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https://svelantbruksuniversitet-my.sharepoint.com/personal/elin_roos_slu_se/Documents/Dokument/SLU/Projekt 42 - Plan'eat/WP3/2 - Livestock/"/>
    </mc:Choice>
  </mc:AlternateContent>
  <xr:revisionPtr revIDLastSave="0" documentId="8_{953B021B-2BEE-4005-9063-242B39BB3AAE}" xr6:coauthVersionLast="47" xr6:coauthVersionMax="47" xr10:uidLastSave="{00000000-0000-0000-0000-000000000000}"/>
  <bookViews>
    <workbookView xWindow="-108" yWindow="-108" windowWidth="23256" windowHeight="12576" firstSheet="6" activeTab="8" xr2:uid="{00000000-000D-0000-FFFF-FFFF00000000}"/>
  </bookViews>
  <sheets>
    <sheet name="README" sheetId="18" r:id="rId1"/>
    <sheet name="Figures" sheetId="27" r:id="rId2"/>
    <sheet name="Footprints, results per kg" sheetId="33" r:id="rId3"/>
    <sheet name="Footprints D24, results per kg" sheetId="36" r:id="rId4"/>
    <sheet name="GHG det D24m, results per kg" sheetId="13" r:id="rId5"/>
    <sheet name="Production SH" sheetId="23" r:id="rId6"/>
    <sheet name="Production D24m" sheetId="35" r:id="rId7"/>
    <sheet name="Parameters SH, country spec" sheetId="4" r:id="rId8"/>
    <sheet name="Parameters D24m, country spec" sheetId="34" r:id="rId9"/>
    <sheet name="Manure" sheetId="25" r:id="rId10"/>
    <sheet name="CO2 per kg feed" sheetId="2" r:id="rId11"/>
    <sheet name="CH4 per kg feed" sheetId="15" r:id="rId12"/>
    <sheet name="N2O per kg feed" sheetId="14" r:id="rId13"/>
    <sheet name="EFP per kg feed" sheetId="16" r:id="rId14"/>
    <sheet name="Parameters, general" sheetId="20" r:id="rId15"/>
    <sheet name="Forage crops, CF" sheetId="32" r:id="rId16"/>
    <sheet name="Forage crops, footprints" sheetId="30" r:id="rId17"/>
    <sheet name="Forage, input data per ha" sheetId="31" r:id="rId18"/>
    <sheet name="Off-farm feed" sheetId="28" r:id="rId19"/>
    <sheet name="Forage feed OLD" sheetId="29" r:id="rId20"/>
    <sheet name="Verification" sheetId="22" r:id="rId21"/>
    <sheet name="References" sheetId="21" r:id="rId22"/>
  </sheets>
  <definedNames>
    <definedName name="_xlnm._FilterDatabase" localSheetId="1" hidden="1">Figures!$A$6:$M$6</definedName>
    <definedName name="_xlnm._FilterDatabase" localSheetId="3" hidden="1">'Footprints D24, results per kg'!$D$6:$U$6</definedName>
    <definedName name="_xlnm._FilterDatabase" localSheetId="2" hidden="1">'Footprints, results per kg'!$D$6:$U$6</definedName>
    <definedName name="Ability_to_perceive_handling">'Parameters, general'!#REF!</definedName>
    <definedName name="AF_beef">'Parameters, general'!$B$38</definedName>
    <definedName name="AF_calves">'Parameters, general'!$B$39</definedName>
    <definedName name="AF_milk">'Parameters, general'!$B$37</definedName>
    <definedName name="Boars_per_sow" localSheetId="8">'Parameters D24m, country spec'!#REF!</definedName>
    <definedName name="Boars_per_sow">'Parameters SH, country spec'!#REF!</definedName>
    <definedName name="CF_GWP_CH4_biog">'Parameters, general'!$B$25</definedName>
    <definedName name="CF_GWP_CH4_biogenic">'Parameters, general'!$B$25</definedName>
    <definedName name="CF_GWP_CH4_fossil">'Parameters, general'!$B$24</definedName>
    <definedName name="CF_GWP_N2O">'Parameters, general'!$B$26</definedName>
    <definedName name="Crop_data" localSheetId="15">'Forage crops, CF'!$A$6:$Z$80</definedName>
    <definedName name="Crop_data" localSheetId="17">'Forage, input data per ha'!#REF!</definedName>
    <definedName name="Crop_data">'Forage crops, footprints'!$A$6:$Z$22</definedName>
    <definedName name="Crop_data_codes" localSheetId="15">'Forage crops, CF'!$A$71:$A$155</definedName>
    <definedName name="Crop_data_codes" localSheetId="17">'Forage, input data per ha'!#REF!</definedName>
    <definedName name="Crop_data_codes">'Forage crops, footprints'!$A$23:$A$39</definedName>
    <definedName name="EF_biofuel_CH4">'Parameters, general'!$C$6</definedName>
    <definedName name="EF_biofuel_N2O">'Parameters, general'!$D$6</definedName>
    <definedName name="EF_biofuels_CO2">'Parameters, general'!$B$6</definedName>
    <definedName name="EF_capital_goods_CH4">'Parameters, general'!$C$10</definedName>
    <definedName name="EF_capital_goods_CO2">'Parameters, general'!$B$10</definedName>
    <definedName name="EF_capital_goods_N2O">'Parameters, general'!$D$10</definedName>
    <definedName name="EF_diesel_CH4">'Parameters, general'!$C$7</definedName>
    <definedName name="EF_diesel_CO2">'Parameters, general'!$B$7</definedName>
    <definedName name="EF_diesel_N2O">'Parameters, general'!$D$7</definedName>
    <definedName name="EF_el_CH4_DE" localSheetId="8">'Parameters D24m, country spec'!$D$45</definedName>
    <definedName name="EF_el_CH4_DE">'Parameters SH, country spec'!$D$67</definedName>
    <definedName name="EF_el_CH4_DK" localSheetId="8">'Parameters D24m, country spec'!$B$45</definedName>
    <definedName name="EF_el_CH4_DK">'Parameters SH, country spec'!$B$67</definedName>
    <definedName name="EF_el_CH4_ES" localSheetId="8">'Parameters D24m, country spec'!$K$45</definedName>
    <definedName name="EF_el_CH4_ES">'Parameters SH, country spec'!$K$67</definedName>
    <definedName name="EF_el_CH4_FR" localSheetId="8">'Parameters D24m, country spec'!$C$45</definedName>
    <definedName name="EF_el_CH4_FR">'Parameters SH, country spec'!$C$67</definedName>
    <definedName name="EF_el_CH4_GR" localSheetId="8">'Parameters D24m, country spec'!$E$45</definedName>
    <definedName name="EF_el_CH4_GR">'Parameters SH, country spec'!$E$67</definedName>
    <definedName name="EF_el_CH4_HU" localSheetId="8">'Parameters D24m, country spec'!$F$45</definedName>
    <definedName name="EF_el_CH4_HU">'Parameters SH, country spec'!$F$67</definedName>
    <definedName name="EF_el_CH4_IE" localSheetId="8">'Parameters D24m, country spec'!$G$45</definedName>
    <definedName name="EF_el_CH4_IE">'Parameters SH, country spec'!$G$67</definedName>
    <definedName name="EF_el_CH4_IT" localSheetId="8">'Parameters D24m, country spec'!$H$45</definedName>
    <definedName name="EF_el_CH4_IT">'Parameters SH, country spec'!$H$67</definedName>
    <definedName name="EF_el_CH4_NL" localSheetId="8">'Parameters D24m, country spec'!$I$45</definedName>
    <definedName name="EF_el_CH4_NL">'Parameters SH, country spec'!$I$67</definedName>
    <definedName name="EF_el_CH4_PL" localSheetId="8">'Parameters D24m, country spec'!$J$45</definedName>
    <definedName name="EF_el_CH4_PL">'Parameters SH, country spec'!$J$67</definedName>
    <definedName name="EF_el_CH4_SE" localSheetId="8">'Parameters D24m, country spec'!$L$45</definedName>
    <definedName name="EF_el_CH4_SE">'Parameters SH, country spec'!$L$67</definedName>
    <definedName name="EF_el_CO2_DE" localSheetId="8">'Parameters D24m, country spec'!$D$44</definedName>
    <definedName name="EF_el_CO2_DE">'Parameters SH, country spec'!$D$66</definedName>
    <definedName name="EF_el_CO2_DK" localSheetId="8">'Parameters D24m, country spec'!$B$44</definedName>
    <definedName name="EF_el_CO2_DK">'Parameters SH, country spec'!$B$66</definedName>
    <definedName name="EF_el_CO2_ES" localSheetId="8">'Parameters D24m, country spec'!$K$44</definedName>
    <definedName name="EF_el_CO2_ES">'Parameters SH, country spec'!$K$66</definedName>
    <definedName name="EF_el_CO2_FR" localSheetId="8">'Parameters D24m, country spec'!$C$44</definedName>
    <definedName name="EF_el_CO2_FR">'Parameters SH, country spec'!$C$66</definedName>
    <definedName name="EF_el_CO2_GR" localSheetId="8">'Parameters D24m, country spec'!$E$44</definedName>
    <definedName name="EF_el_CO2_GR">'Parameters SH, country spec'!$E$66</definedName>
    <definedName name="EF_el_CO2_HU" localSheetId="8">'Parameters D24m, country spec'!$F$44</definedName>
    <definedName name="EF_el_CO2_HU">'Parameters SH, country spec'!$F$66</definedName>
    <definedName name="EF_el_CO2_IE" localSheetId="8">'Parameters D24m, country spec'!$G$44</definedName>
    <definedName name="EF_el_CO2_IE">'Parameters SH, country spec'!$G$66</definedName>
    <definedName name="EF_el_CO2_IT" localSheetId="8">'Parameters D24m, country spec'!$H$44</definedName>
    <definedName name="EF_el_CO2_IT">'Parameters SH, country spec'!$H$66</definedName>
    <definedName name="EF_el_CO2_NL" localSheetId="8">'Parameters D24m, country spec'!$I$44</definedName>
    <definedName name="EF_el_CO2_NL">'Parameters SH, country spec'!$I$66</definedName>
    <definedName name="EF_el_CO2_PL" localSheetId="8">'Parameters D24m, country spec'!$J$44</definedName>
    <definedName name="EF_el_CO2_PL">'Parameters SH, country spec'!$J$66</definedName>
    <definedName name="EF_el_CO2_SE" localSheetId="8">'Parameters D24m, country spec'!$L$44</definedName>
    <definedName name="EF_el_CO2_SE">'Parameters SH, country spec'!$L$66</definedName>
    <definedName name="EF_el_N2O_DE" localSheetId="8">'Parameters D24m, country spec'!$D$46</definedName>
    <definedName name="EF_el_N2O_DE">'Parameters SH, country spec'!$D$68</definedName>
    <definedName name="EF_el_N2O_DK" localSheetId="8">'Parameters D24m, country spec'!$B$46</definedName>
    <definedName name="EF_el_N2O_DK">'Parameters SH, country spec'!$B$68</definedName>
    <definedName name="EF_el_N2O_ES" localSheetId="8">'Parameters D24m, country spec'!$K$46</definedName>
    <definedName name="EF_el_N2O_ES">'Parameters SH, country spec'!$K$68</definedName>
    <definedName name="EF_el_N2O_FR" localSheetId="8">'Parameters D24m, country spec'!$C$46</definedName>
    <definedName name="EF_el_N2O_FR">'Parameters SH, country spec'!$C$68</definedName>
    <definedName name="EF_el_N2O_GR" localSheetId="8">'Parameters D24m, country spec'!$E$46</definedName>
    <definedName name="EF_el_N2O_GR">'Parameters SH, country spec'!$E$68</definedName>
    <definedName name="EF_el_N2O_HU" localSheetId="8">'Parameters D24m, country spec'!$F$46</definedName>
    <definedName name="EF_el_N2O_HU">'Parameters SH, country spec'!$F$68</definedName>
    <definedName name="EF_el_N2O_IE" localSheetId="8">'Parameters D24m, country spec'!$G$46</definedName>
    <definedName name="EF_el_N2O_IE">'Parameters SH, country spec'!$G$68</definedName>
    <definedName name="EF_el_N2O_IT" localSheetId="8">'Parameters D24m, country spec'!$H$46</definedName>
    <definedName name="EF_el_N2O_IT">'Parameters SH, country spec'!$H$68</definedName>
    <definedName name="EF_el_N2O_NL" localSheetId="8">'Parameters D24m, country spec'!$I$46</definedName>
    <definedName name="EF_el_N2O_NL">'Parameters SH, country spec'!$I$68</definedName>
    <definedName name="EF_el_N2O_PL" localSheetId="8">'Parameters D24m, country spec'!$J$46</definedName>
    <definedName name="EF_el_N2O_PL">'Parameters SH, country spec'!$J$68</definedName>
    <definedName name="EF_el_N2O_SE" localSheetId="8">'Parameters D24m, country spec'!$L$46</definedName>
    <definedName name="EF_el_N2O_SE">'Parameters SH, country spec'!$L$68</definedName>
    <definedName name="EF_electricity" localSheetId="8">'Parameters D24m, country spec'!$L$43</definedName>
    <definedName name="EF_electricity">'Parameters SH, country spec'!$L$65</definedName>
    <definedName name="EF_ent_ferm_DE" localSheetId="8">'Parameters D24m, country spec'!$D$33</definedName>
    <definedName name="EF_ent_ferm_DE">'Parameters SH, country spec'!$D$55</definedName>
    <definedName name="EF_ent_ferm_DK" localSheetId="8">'Parameters D24m, country spec'!$B$33</definedName>
    <definedName name="EF_ent_ferm_DK">'Parameters SH, country spec'!$B$55</definedName>
    <definedName name="EF_ent_ferm_ES" localSheetId="8">'Parameters D24m, country spec'!$K$33</definedName>
    <definedName name="EF_ent_ferm_ES">'Parameters SH, country spec'!$K$55</definedName>
    <definedName name="EF_ent_ferm_FR" localSheetId="8">'Parameters D24m, country spec'!$C$33</definedName>
    <definedName name="EF_ent_ferm_FR">'Parameters SH, country spec'!$C$55</definedName>
    <definedName name="EF_ent_ferm_GR" localSheetId="8">'Parameters D24m, country spec'!$E$33</definedName>
    <definedName name="EF_ent_ferm_GR">'Parameters SH, country spec'!$E$55</definedName>
    <definedName name="EF_ent_ferm_heif_DE" localSheetId="8">'Parameters D24m, country spec'!#REF!</definedName>
    <definedName name="EF_ent_ferm_heif_DE">'Parameters SH, country spec'!#REF!</definedName>
    <definedName name="EF_ent_ferm_heif_DK" localSheetId="8">'Parameters D24m, country spec'!#REF!</definedName>
    <definedName name="EF_ent_ferm_heif_DK">'Parameters SH, country spec'!#REF!</definedName>
    <definedName name="EF_ent_ferm_heif_ES" localSheetId="8">'Parameters D24m, country spec'!#REF!</definedName>
    <definedName name="EF_ent_ferm_heif_ES">'Parameters SH, country spec'!#REF!</definedName>
    <definedName name="EF_ent_ferm_heif_FR" localSheetId="8">'Parameters D24m, country spec'!#REF!</definedName>
    <definedName name="EF_ent_ferm_heif_FR">'Parameters SH, country spec'!#REF!</definedName>
    <definedName name="EF_ent_ferm_heif_GR" localSheetId="8">'Parameters D24m, country spec'!#REF!</definedName>
    <definedName name="EF_ent_ferm_heif_GR">'Parameters SH, country spec'!#REF!</definedName>
    <definedName name="EF_ent_ferm_heif_HU" localSheetId="8">'Parameters D24m, country spec'!#REF!</definedName>
    <definedName name="EF_ent_ferm_heif_HU">'Parameters SH, country spec'!#REF!</definedName>
    <definedName name="EF_ent_ferm_heif_IE" localSheetId="8">'Parameters D24m, country spec'!#REF!</definedName>
    <definedName name="EF_ent_ferm_heif_IE">'Parameters SH, country spec'!#REF!</definedName>
    <definedName name="EF_ent_ferm_heif_IT" localSheetId="8">'Parameters D24m, country spec'!#REF!</definedName>
    <definedName name="EF_ent_ferm_heif_IT">'Parameters SH, country spec'!#REF!</definedName>
    <definedName name="EF_ent_ferm_heif_NL" localSheetId="8">'Parameters D24m, country spec'!#REF!</definedName>
    <definedName name="EF_ent_ferm_heif_NL">'Parameters SH, country spec'!#REF!</definedName>
    <definedName name="EF_ent_ferm_heif_PL" localSheetId="8">'Parameters D24m, country spec'!#REF!</definedName>
    <definedName name="EF_ent_ferm_heif_PL">'Parameters SH, country spec'!#REF!</definedName>
    <definedName name="EF_ent_ferm_heif_SE" localSheetId="8">'Parameters D24m, country spec'!#REF!</definedName>
    <definedName name="EF_ent_ferm_heif_SE">'Parameters SH, country spec'!#REF!</definedName>
    <definedName name="EF_ent_ferm_HU" localSheetId="8">'Parameters D24m, country spec'!$F$33</definedName>
    <definedName name="EF_ent_ferm_HU">'Parameters SH, country spec'!$F$55</definedName>
    <definedName name="EF_ent_ferm_IE" localSheetId="8">'Parameters D24m, country spec'!$G$33</definedName>
    <definedName name="EF_ent_ferm_IE">'Parameters SH, country spec'!$G$55</definedName>
    <definedName name="EF_ent_ferm_IT" localSheetId="8">'Parameters D24m, country spec'!$H$33</definedName>
    <definedName name="EF_ent_ferm_IT">'Parameters SH, country spec'!$H$55</definedName>
    <definedName name="EF_ent_ferm_NL" localSheetId="8">'Parameters D24m, country spec'!$I$33</definedName>
    <definedName name="EF_ent_ferm_NL">'Parameters SH, country spec'!$I$55</definedName>
    <definedName name="EF_ent_ferm_PL" localSheetId="8">'Parameters D24m, country spec'!$J$33</definedName>
    <definedName name="EF_ent_ferm_PL">'Parameters SH, country spec'!$J$55</definedName>
    <definedName name="EF_ent_ferm_SE" localSheetId="8">'Parameters D24m, country spec'!$L$33</definedName>
    <definedName name="EF_ent_ferm_SE">'Parameters SH, country spec'!$L$55</definedName>
    <definedName name="EF_GWP_CH4_biog">'Parameters, general'!$B$26</definedName>
    <definedName name="EF_indirect_N2O_DE" localSheetId="8">'Parameters D24m, country spec'!$D$59</definedName>
    <definedName name="EF_indirect_N2O_DE">'Parameters SH, country spec'!$D$81</definedName>
    <definedName name="EF_indirect_N2O_DK" localSheetId="8">'Parameters D24m, country spec'!$B$59</definedName>
    <definedName name="EF_indirect_N2O_DK">'Parameters SH, country spec'!$B$81</definedName>
    <definedName name="EF_indirect_N2O_ES" localSheetId="8">'Parameters D24m, country spec'!$K$59</definedName>
    <definedName name="EF_indirect_N2O_ES">'Parameters SH, country spec'!$K$81</definedName>
    <definedName name="EF_indirect_N2O_FR" localSheetId="8">'Parameters D24m, country spec'!$C$59</definedName>
    <definedName name="EF_indirect_N2O_FR">'Parameters SH, country spec'!$C$81</definedName>
    <definedName name="EF_indirect_N2O_GR" localSheetId="8">'Parameters D24m, country spec'!$E$59</definedName>
    <definedName name="EF_indirect_N2O_GR">'Parameters SH, country spec'!$E$81</definedName>
    <definedName name="EF_indirect_N2O_HU" localSheetId="8">'Parameters D24m, country spec'!$F$59</definedName>
    <definedName name="EF_indirect_N2O_HU">'Parameters SH, country spec'!$F$81</definedName>
    <definedName name="EF_indirect_N2O_IE" localSheetId="8">'Parameters D24m, country spec'!$G$59</definedName>
    <definedName name="EF_indirect_N2O_IE">'Parameters SH, country spec'!$G$81</definedName>
    <definedName name="EF_indirect_N2O_IT" localSheetId="8">'Parameters D24m, country spec'!$H$59</definedName>
    <definedName name="EF_indirect_N2O_IT">'Parameters SH, country spec'!$H$81</definedName>
    <definedName name="EF_indirect_N2O_NL" localSheetId="8">'Parameters D24m, country spec'!$I$59</definedName>
    <definedName name="EF_indirect_N2O_NL">'Parameters SH, country spec'!$I$81</definedName>
    <definedName name="EF_indirect_N2O_PL" localSheetId="8">'Parameters D24m, country spec'!$J$59</definedName>
    <definedName name="EF_indirect_N2O_PL">'Parameters SH, country spec'!$J$81</definedName>
    <definedName name="EF_indirect_N2O_SE" localSheetId="8">'Parameters D24m, country spec'!$L$59</definedName>
    <definedName name="EF_indirect_N2O_SE">'Parameters SH, country spec'!$L$81</definedName>
    <definedName name="EF_min_fert_AN_CH4">'Parameters, general'!$C$14</definedName>
    <definedName name="EF_min_fert_AN_CO2">'Parameters, general'!$B$14</definedName>
    <definedName name="EF_min_fert_AN_N2O">'Parameters, general'!$D$14</definedName>
    <definedName name="EF_min_fert_BAT_CH4">'Parameters, general'!$C$13</definedName>
    <definedName name="EF_min_fert_BAT_CO2">'Parameters, general'!$B$13</definedName>
    <definedName name="EF_min_fert_BAT_N2O">'Parameters, general'!$D$13</definedName>
    <definedName name="EF_N2O_diff_DE" localSheetId="8">'Parameters D24m, country spec'!$D$58</definedName>
    <definedName name="EF_N2O_diff_DE">'Parameters SH, country spec'!$D$80</definedName>
    <definedName name="EF_N2O_diff_DK" localSheetId="8">'Parameters D24m, country spec'!$B$58</definedName>
    <definedName name="EF_N2O_diff_DK">'Parameters SH, country spec'!$B$80</definedName>
    <definedName name="EF_N2O_diff_ES" localSheetId="8">'Parameters D24m, country spec'!$K$58</definedName>
    <definedName name="EF_N2O_diff_ES">'Parameters SH, country spec'!$K$80</definedName>
    <definedName name="EF_N2O_diff_FR" localSheetId="8">'Parameters D24m, country spec'!$C$58</definedName>
    <definedName name="EF_N2O_diff_FR">'Parameters SH, country spec'!$C$80</definedName>
    <definedName name="EF_N2O_diff_GB" localSheetId="8">'Parameters D24m, country spec'!$M$58</definedName>
    <definedName name="EF_N2O_diff_GB">'Parameters SH, country spec'!$M$80</definedName>
    <definedName name="EF_N2O_diff_GR" localSheetId="8">'Parameters D24m, country spec'!$E$58</definedName>
    <definedName name="EF_N2O_diff_GR">'Parameters SH, country spec'!$E$80</definedName>
    <definedName name="EF_N2O_diff_HU" localSheetId="8">'Parameters D24m, country spec'!$F$58</definedName>
    <definedName name="EF_N2O_diff_HU">'Parameters SH, country spec'!$F$80</definedName>
    <definedName name="EF_N2O_diff_IE" localSheetId="8">'Parameters D24m, country spec'!$G$58</definedName>
    <definedName name="EF_N2O_diff_IE">'Parameters SH, country spec'!$G$80</definedName>
    <definedName name="EF_N2O_diff_IT" localSheetId="8">'Parameters D24m, country spec'!$H$58</definedName>
    <definedName name="EF_N2O_diff_IT">'Parameters SH, country spec'!$H$80</definedName>
    <definedName name="EF_N2O_diff_NL" localSheetId="8">'Parameters D24m, country spec'!$I$58</definedName>
    <definedName name="EF_N2O_diff_NL">'Parameters SH, country spec'!$I$80</definedName>
    <definedName name="EF_N2O_diff_PL" localSheetId="8">'Parameters D24m, country spec'!$J$58</definedName>
    <definedName name="EF_N2O_diff_PL">'Parameters SH, country spec'!$J$80</definedName>
    <definedName name="EF_N2O_diff_SE" localSheetId="8">'Parameters D24m, country spec'!$L$58</definedName>
    <definedName name="EF_N2O_diff_SE">'Parameters SH, country spec'!$L$80</definedName>
    <definedName name="EF_NH3">'Parameters, general'!$B$32</definedName>
    <definedName name="EF_oil_CH4">'Parameters, general'!$C$5</definedName>
    <definedName name="EF_oil_CO2">'Parameters, general'!$B$5</definedName>
    <definedName name="EF_oil_N2O">'Parameters, general'!$D$5</definedName>
    <definedName name="Energy_slaughter_el_DE" localSheetId="8">'Parameters D24m, country spec'!$D$39</definedName>
    <definedName name="Energy_slaughter_el_DE">'Parameters SH, country spec'!$D$61</definedName>
    <definedName name="Energy_slaughter_el_DK" localSheetId="8">'Parameters D24m, country spec'!$B$39</definedName>
    <definedName name="Energy_slaughter_el_DK">'Parameters SH, country spec'!$B$61</definedName>
    <definedName name="Energy_slaughter_el_ES" localSheetId="8">'Parameters D24m, country spec'!$K$39</definedName>
    <definedName name="Energy_slaughter_el_ES">'Parameters SH, country spec'!$K$61</definedName>
    <definedName name="Energy_slaughter_el_FR" localSheetId="8">'Parameters D24m, country spec'!$C$39</definedName>
    <definedName name="Energy_slaughter_el_FR">'Parameters SH, country spec'!$C$61</definedName>
    <definedName name="Energy_slaughter_el_GR" localSheetId="8">'Parameters D24m, country spec'!$E$39</definedName>
    <definedName name="Energy_slaughter_el_GR">'Parameters SH, country spec'!$E$61</definedName>
    <definedName name="Energy_slaughter_el_HU" localSheetId="8">'Parameters D24m, country spec'!$F$39</definedName>
    <definedName name="Energy_slaughter_el_HU">'Parameters SH, country spec'!$F$61</definedName>
    <definedName name="Energy_slaughter_el_IE" localSheetId="8">'Parameters D24m, country spec'!$G$39</definedName>
    <definedName name="Energy_slaughter_el_IE">'Parameters SH, country spec'!$G$61</definedName>
    <definedName name="Energy_slaughter_el_IT" localSheetId="8">'Parameters D24m, country spec'!$H$39</definedName>
    <definedName name="Energy_slaughter_el_IT">'Parameters SH, country spec'!$H$61</definedName>
    <definedName name="Energy_slaughter_el_NL" localSheetId="8">'Parameters D24m, country spec'!$I$39</definedName>
    <definedName name="Energy_slaughter_el_NL">'Parameters SH, country spec'!$I$61</definedName>
    <definedName name="Energy_slaughter_el_PL" localSheetId="8">'Parameters D24m, country spec'!$J$39</definedName>
    <definedName name="Energy_slaughter_el_PL">'Parameters SH, country spec'!$J$61</definedName>
    <definedName name="Energy_slaughter_el_SE" localSheetId="8">'Parameters D24m, country spec'!$L$39</definedName>
    <definedName name="Energy_slaughter_el_SE">'Parameters SH, country spec'!$L$61</definedName>
    <definedName name="Energy_slaughter_oil_DE" localSheetId="8">'Parameters D24m, country spec'!$D$40</definedName>
    <definedName name="Energy_slaughter_oil_DE">'Parameters SH, country spec'!$D$62</definedName>
    <definedName name="Energy_slaughter_oil_DK" localSheetId="8">'Parameters D24m, country spec'!$B$40</definedName>
    <definedName name="Energy_slaughter_oil_DK">'Parameters SH, country spec'!$B$62</definedName>
    <definedName name="Energy_slaughter_oil_ES" localSheetId="8">'Parameters D24m, country spec'!$K$40</definedName>
    <definedName name="Energy_slaughter_oil_ES">'Parameters SH, country spec'!$K$62</definedName>
    <definedName name="Energy_slaughter_oil_FR" localSheetId="8">'Parameters D24m, country spec'!$C$40</definedName>
    <definedName name="Energy_slaughter_oil_FR">'Parameters SH, country spec'!$C$62</definedName>
    <definedName name="Energy_slaughter_oil_GR" localSheetId="8">'Parameters D24m, country spec'!$E$40</definedName>
    <definedName name="Energy_slaughter_oil_GR">'Parameters SH, country spec'!$E$62</definedName>
    <definedName name="Energy_slaughter_oil_HU" localSheetId="8">'Parameters D24m, country spec'!$F$40</definedName>
    <definedName name="Energy_slaughter_oil_HU">'Parameters SH, country spec'!$F$62</definedName>
    <definedName name="Energy_slaughter_oil_IE" localSheetId="8">'Parameters D24m, country spec'!$G$40</definedName>
    <definedName name="Energy_slaughter_oil_IE">'Parameters SH, country spec'!$G$62</definedName>
    <definedName name="Energy_slaughter_oil_IT" localSheetId="8">'Parameters D24m, country spec'!$H$40</definedName>
    <definedName name="Energy_slaughter_oil_IT">'Parameters SH, country spec'!$H$62</definedName>
    <definedName name="Energy_slaughter_oil_NL" localSheetId="8">'Parameters D24m, country spec'!$I$40</definedName>
    <definedName name="Energy_slaughter_oil_NL">'Parameters SH, country spec'!$I$62</definedName>
    <definedName name="Energy_slaughter_oil_PL" localSheetId="8">'Parameters D24m, country spec'!$J$40</definedName>
    <definedName name="Energy_slaughter_oil_PL">'Parameters SH, country spec'!$J$62</definedName>
    <definedName name="Energy_slaughter_oil_SE" localSheetId="8">'Parameters D24m, country spec'!$L$40</definedName>
    <definedName name="Energy_slaughter_oil_SE">'Parameters SH, country spec'!$L$62</definedName>
    <definedName name="Energy_stables_DE" localSheetId="8">'Parameters D24m, country spec'!#REF!</definedName>
    <definedName name="Energy_stables_DE">'Parameters SH, country spec'!#REF!</definedName>
    <definedName name="Energy_stables_DK" localSheetId="8">'Parameters D24m, country spec'!#REF!</definedName>
    <definedName name="Energy_stables_DK">'Parameters SH, country spec'!#REF!</definedName>
    <definedName name="Energy_stables_ES" localSheetId="8">'Parameters D24m, country spec'!#REF!</definedName>
    <definedName name="Energy_stables_ES">'Parameters SH, country spec'!#REF!</definedName>
    <definedName name="Energy_stables_FR" localSheetId="8">'Parameters D24m, country spec'!#REF!</definedName>
    <definedName name="Energy_stables_FR">'Parameters SH, country spec'!#REF!</definedName>
    <definedName name="Energy_stables_GR" localSheetId="8">'Parameters D24m, country spec'!#REF!</definedName>
    <definedName name="Energy_stables_GR">'Parameters SH, country spec'!#REF!</definedName>
    <definedName name="Energy_stables_HU" localSheetId="8">'Parameters D24m, country spec'!#REF!</definedName>
    <definedName name="Energy_stables_HU">'Parameters SH, country spec'!#REF!</definedName>
    <definedName name="Energy_stables_IE" localSheetId="8">'Parameters D24m, country spec'!#REF!</definedName>
    <definedName name="Energy_stables_IE">'Parameters SH, country spec'!#REF!</definedName>
    <definedName name="Energy_stables_IT" localSheetId="8">'Parameters D24m, country spec'!#REF!</definedName>
    <definedName name="Energy_stables_IT">'Parameters SH, country spec'!#REF!</definedName>
    <definedName name="Energy_stables_NL" localSheetId="8">'Parameters D24m, country spec'!#REF!</definedName>
    <definedName name="Energy_stables_NL">'Parameters SH, country spec'!#REF!</definedName>
    <definedName name="Energy_stables_PL" localSheetId="8">'Parameters D24m, country spec'!#REF!</definedName>
    <definedName name="Energy_stables_PL">'Parameters SH, country spec'!#REF!</definedName>
    <definedName name="Energy_stables_SE" localSheetId="8">'Parameters D24m, country spec'!#REF!</definedName>
    <definedName name="Energy_stables_SE">'Parameters SH, country spec'!#REF!</definedName>
    <definedName name="Excreted_N_after_losses_DE">Manure!$F$153</definedName>
    <definedName name="Excreted_N_after_losses_DK">Manure!$B$153</definedName>
    <definedName name="Excreted_N_after_losses_ES">Manure!$T$153</definedName>
    <definedName name="Excreted_N_after_losses_FR">Manure!$D$153</definedName>
    <definedName name="Excreted_N_after_losses_GB">Manure!$X$153</definedName>
    <definedName name="Excreted_N_after_losses_GR">Manure!$H$153</definedName>
    <definedName name="Excreted_N_after_losses_HU">Manure!$J$153</definedName>
    <definedName name="Excreted_N_after_losses_IE">Manure!$L$153</definedName>
    <definedName name="Excreted_N_after_losses_IT">Manure!$N$153</definedName>
    <definedName name="Excreted_N_after_losses_NL">Manure!$P$153</definedName>
    <definedName name="Excreted_N_after_losses_PL">Manure!$R$153</definedName>
    <definedName name="Excreted_N_after_losses_SE">Manure!$V$153</definedName>
    <definedName name="FCR_bonefree_incl_parents_DE" localSheetId="8">'Parameters D24m, country spec'!#REF!</definedName>
    <definedName name="FCR_bonefree_incl_parents_DE">'Parameters SH, country spec'!#REF!</definedName>
    <definedName name="FCR_bonefree_incl_parents_DK" localSheetId="8">'Parameters D24m, country spec'!#REF!</definedName>
    <definedName name="FCR_bonefree_incl_parents_DK">'Parameters SH, country spec'!#REF!</definedName>
    <definedName name="FCR_bonefree_incl_parents_ES" localSheetId="8">'Parameters D24m, country spec'!#REF!</definedName>
    <definedName name="FCR_bonefree_incl_parents_ES">'Parameters SH, country spec'!#REF!</definedName>
    <definedName name="FCR_bonefree_incl_parents_FR" localSheetId="8">'Parameters D24m, country spec'!#REF!</definedName>
    <definedName name="FCR_bonefree_incl_parents_FR">'Parameters SH, country spec'!#REF!</definedName>
    <definedName name="FCR_bonefree_incl_parents_GR" localSheetId="8">'Parameters D24m, country spec'!#REF!</definedName>
    <definedName name="FCR_bonefree_incl_parents_GR">'Parameters SH, country spec'!#REF!</definedName>
    <definedName name="FCR_bonefree_incl_parents_HU" localSheetId="8">'Parameters D24m, country spec'!#REF!</definedName>
    <definedName name="FCR_bonefree_incl_parents_HU">'Parameters SH, country spec'!#REF!</definedName>
    <definedName name="FCR_bonefree_incl_parents_IE" localSheetId="8">'Parameters D24m, country spec'!#REF!</definedName>
    <definedName name="FCR_bonefree_incl_parents_IE">'Parameters SH, country spec'!#REF!</definedName>
    <definedName name="FCR_bonefree_incl_parents_IT" localSheetId="8">'Parameters D24m, country spec'!#REF!</definedName>
    <definedName name="FCR_bonefree_incl_parents_IT">'Parameters SH, country spec'!#REF!</definedName>
    <definedName name="FCR_bonefree_incl_parents_NL" localSheetId="8">'Parameters D24m, country spec'!#REF!</definedName>
    <definedName name="FCR_bonefree_incl_parents_NL">'Parameters SH, country spec'!#REF!</definedName>
    <definedName name="FCR_bonefree_incl_parents_PL" localSheetId="8">'Parameters D24m, country spec'!#REF!</definedName>
    <definedName name="FCR_bonefree_incl_parents_PL">'Parameters SH, country spec'!#REF!</definedName>
    <definedName name="FCR_bonefree_incl_parents_SE" localSheetId="8">'Parameters D24m, country spec'!#REF!</definedName>
    <definedName name="FCR_bonefree_incl_parents_SE">'Parameters SH, country spec'!#REF!</definedName>
    <definedName name="Frac_AN_DE" localSheetId="8">'Parameters D24m, country spec'!$D$53</definedName>
    <definedName name="Frac_AN_DE">'Parameters SH, country spec'!$D$75</definedName>
    <definedName name="Frac_AN_DK" localSheetId="8">'Parameters D24m, country spec'!$B$53</definedName>
    <definedName name="Frac_AN_DK">'Parameters SH, country spec'!$B$75</definedName>
    <definedName name="Frac_AN_ES" localSheetId="8">'Parameters D24m, country spec'!$K$53</definedName>
    <definedName name="Frac_AN_ES">'Parameters SH, country spec'!$K$75</definedName>
    <definedName name="Frac_AN_FR" localSheetId="8">'Parameters D24m, country spec'!$C$53</definedName>
    <definedName name="Frac_AN_FR">'Parameters SH, country spec'!$C$75</definedName>
    <definedName name="Frac_AN_GB" localSheetId="8">'Parameters D24m, country spec'!$M$53</definedName>
    <definedName name="Frac_AN_GB">'Parameters SH, country spec'!$M$75</definedName>
    <definedName name="Frac_AN_GR" localSheetId="8">'Parameters D24m, country spec'!$E$53</definedName>
    <definedName name="Frac_AN_GR">'Parameters SH, country spec'!$E$75</definedName>
    <definedName name="Frac_AN_HU" localSheetId="8">'Parameters D24m, country spec'!$F$53</definedName>
    <definedName name="Frac_AN_HU">'Parameters SH, country spec'!$F$75</definedName>
    <definedName name="Frac_AN_IE" localSheetId="8">'Parameters D24m, country spec'!$G$53</definedName>
    <definedName name="Frac_AN_IE">'Parameters SH, country spec'!$G$75</definedName>
    <definedName name="Frac_AN_IT" localSheetId="8">'Parameters D24m, country spec'!$H$53</definedName>
    <definedName name="Frac_AN_IT">'Parameters SH, country spec'!$H$75</definedName>
    <definedName name="Frac_AN_NL" localSheetId="8">'Parameters D24m, country spec'!$I$53</definedName>
    <definedName name="Frac_AN_NL">'Parameters SH, country spec'!$I$75</definedName>
    <definedName name="Frac_AN_NZ">#REF!</definedName>
    <definedName name="Frac_AN_PL" localSheetId="8">'Parameters D24m, country spec'!$J$53</definedName>
    <definedName name="Frac_AN_PL">'Parameters SH, country spec'!$J$75</definedName>
    <definedName name="Frac_AN_SE" localSheetId="8">'Parameters D24m, country spec'!$L$53</definedName>
    <definedName name="Frac_AN_SE">'Parameters SH, country spec'!$L$75</definedName>
    <definedName name="Frac_BAT_DE" localSheetId="8">'Parameters D24m, country spec'!$D$52</definedName>
    <definedName name="Frac_BAT_DE">'Parameters SH, country spec'!$D$74</definedName>
    <definedName name="Frac_BAT_DK" localSheetId="8">'Parameters D24m, country spec'!$B$52</definedName>
    <definedName name="Frac_BAT_DK">'Parameters SH, country spec'!$B$74</definedName>
    <definedName name="Frac_BAT_ES" localSheetId="8">'Parameters D24m, country spec'!$K$52</definedName>
    <definedName name="Frac_BAT_ES">'Parameters SH, country spec'!$K$74</definedName>
    <definedName name="Frac_BAT_FR" localSheetId="8">'Parameters D24m, country spec'!$C$52</definedName>
    <definedName name="Frac_BAT_FR">'Parameters SH, country spec'!$C$74</definedName>
    <definedName name="Frac_BAT_GB" localSheetId="8">'Parameters D24m, country spec'!$M$52</definedName>
    <definedName name="Frac_BAT_GB">'Parameters SH, country spec'!$M$74</definedName>
    <definedName name="Frac_BAT_GR" localSheetId="8">'Parameters D24m, country spec'!$E$52</definedName>
    <definedName name="Frac_BAT_GR">'Parameters SH, country spec'!$E$74</definedName>
    <definedName name="Frac_BAT_HU" localSheetId="8">'Parameters D24m, country spec'!$F$52</definedName>
    <definedName name="Frac_BAT_HU">'Parameters SH, country spec'!$F$74</definedName>
    <definedName name="Frac_BAT_IE" localSheetId="8">'Parameters D24m, country spec'!$G$52</definedName>
    <definedName name="Frac_BAT_IE">'Parameters SH, country spec'!$G$74</definedName>
    <definedName name="Frac_BAT_IT" localSheetId="8">'Parameters D24m, country spec'!$H$52</definedName>
    <definedName name="Frac_BAT_IT">'Parameters SH, country spec'!$H$74</definedName>
    <definedName name="Frac_BAT_NL" localSheetId="8">'Parameters D24m, country spec'!$I$52</definedName>
    <definedName name="Frac_BAT_NL">'Parameters SH, country spec'!$I$74</definedName>
    <definedName name="Frac_BAT_NZ">#REF!</definedName>
    <definedName name="Frac_BAT_PL" localSheetId="8">'Parameters D24m, country spec'!$J$52</definedName>
    <definedName name="Frac_BAT_PL">'Parameters SH, country spec'!$J$74</definedName>
    <definedName name="Frac_BAT_SE" localSheetId="8">'Parameters D24m, country spec'!$L$52</definedName>
    <definedName name="Frac_BAT_SE">'Parameters SH, country spec'!$L$74</definedName>
    <definedName name="GRAT" localSheetId="8">'Parameters D24m, country spec'!$E$46</definedName>
    <definedName name="GRAT">'Parameters SH, country spec'!$E$68</definedName>
    <definedName name="Heating_value_diesel">'Parameters, general'!$E$7</definedName>
    <definedName name="Manure_repl_factor_DE" localSheetId="8">'Parameters D24m, country spec'!$D$62</definedName>
    <definedName name="Manure_repl_factor_DE">'Parameters SH, country spec'!$D$84</definedName>
    <definedName name="Manure_repl_factor_DK" localSheetId="8">'Parameters D24m, country spec'!$B$62</definedName>
    <definedName name="Manure_repl_factor_DK">'Parameters SH, country spec'!$B$84</definedName>
    <definedName name="Manure_repl_factor_ES" localSheetId="8">'Parameters D24m, country spec'!$K$62</definedName>
    <definedName name="Manure_repl_factor_ES">'Parameters SH, country spec'!$K$84</definedName>
    <definedName name="Manure_repl_factor_FR" localSheetId="8">'Parameters D24m, country spec'!$C$62</definedName>
    <definedName name="Manure_repl_factor_FR">'Parameters SH, country spec'!$C$84</definedName>
    <definedName name="Manure_repl_factor_GB" localSheetId="8">'Parameters D24m, country spec'!$M$62</definedName>
    <definedName name="Manure_repl_factor_GB">'Parameters SH, country spec'!$M$84</definedName>
    <definedName name="Manure_repl_factor_GR" localSheetId="8">'Parameters D24m, country spec'!$E$62</definedName>
    <definedName name="Manure_repl_factor_GR">'Parameters SH, country spec'!$E$84</definedName>
    <definedName name="Manure_repl_factor_HU" localSheetId="8">'Parameters D24m, country spec'!$F$62</definedName>
    <definedName name="Manure_repl_factor_HU">'Parameters SH, country spec'!$F$84</definedName>
    <definedName name="Manure_repl_factor_IE" localSheetId="8">'Parameters D24m, country spec'!$G$62</definedName>
    <definedName name="Manure_repl_factor_IE">'Parameters SH, country spec'!$G$84</definedName>
    <definedName name="Manure_repl_factor_IT" localSheetId="8">'Parameters D24m, country spec'!$H$62</definedName>
    <definedName name="Manure_repl_factor_IT">'Parameters SH, country spec'!$H$84</definedName>
    <definedName name="Manure_repl_factor_NL" localSheetId="8">'Parameters D24m, country spec'!$I$62</definedName>
    <definedName name="Manure_repl_factor_NL">'Parameters SH, country spec'!$I$84</definedName>
    <definedName name="Manure_repl_factor_PL" localSheetId="8">'Parameters D24m, country spec'!$J$62</definedName>
    <definedName name="Manure_repl_factor_PL">'Parameters SH, country spec'!$J$84</definedName>
    <definedName name="Manure_repl_factor_SE" localSheetId="8">'Parameters D24m, country spec'!$L$62</definedName>
    <definedName name="Manure_repl_factor_SE">'Parameters SH, country spec'!$L$84</definedName>
    <definedName name="N_fix_DK" localSheetId="3">'Footprints D24, results per kg'!#REF!</definedName>
    <definedName name="N_fix_DK" localSheetId="2">'Footprints, results per kg'!#REF!</definedName>
    <definedName name="N_fix_DK">#REF!</definedName>
    <definedName name="N_min_DK" localSheetId="3">'Footprints D24, results per kg'!#REF!</definedName>
    <definedName name="N_min_DK" localSheetId="2">'Footprints, results per kg'!#REF!</definedName>
    <definedName name="N_min_DK">#REF!</definedName>
    <definedName name="N_to_NH3">'Parameters, general'!$B$33</definedName>
    <definedName name="N_tot_DK" localSheetId="3">'Footprints D24, results per kg'!#REF!</definedName>
    <definedName name="N_tot_DK" localSheetId="2">'Footprints, results per kg'!#REF!</definedName>
    <definedName name="N_tot_DK">#REF!</definedName>
    <definedName name="NH3_per_kg_DE">Manure!#REF!</definedName>
    <definedName name="NH3_per_kg_DK">Manure!#REF!</definedName>
    <definedName name="NH3_per_kg_ES">Manure!#REF!</definedName>
    <definedName name="NH3_per_kg_FR">Manure!#REF!</definedName>
    <definedName name="NH3_per_kg_GR">Manure!#REF!</definedName>
    <definedName name="NH3_per_kg_HU">Manure!#REF!</definedName>
    <definedName name="NH3_per_kg_IE">Manure!#REF!</definedName>
    <definedName name="NH3_per_kg_IT">Manure!#REF!</definedName>
    <definedName name="NH3_per_kg_NL">Manure!#REF!</definedName>
    <definedName name="NH3_per_kg_PL">Manure!#REF!</definedName>
    <definedName name="NH3_per_kg_SE">Manure!#REF!</definedName>
    <definedName name="No_species">'Parameters, general'!$B$29</definedName>
    <definedName name="Share_biofuels_DE" localSheetId="8">'Parameters D24m, country spec'!#REF!</definedName>
    <definedName name="Share_biofuels_DE">'Parameters SH, country spec'!#REF!</definedName>
    <definedName name="Share_biofuels_DK" localSheetId="8">'Parameters D24m, country spec'!#REF!</definedName>
    <definedName name="Share_biofuels_DK">'Parameters SH, country spec'!#REF!</definedName>
    <definedName name="Share_biofuels_ES" localSheetId="8">'Parameters D24m, country spec'!#REF!</definedName>
    <definedName name="Share_biofuels_ES">'Parameters SH, country spec'!#REF!</definedName>
    <definedName name="Share_biofuels_FR" localSheetId="8">'Parameters D24m, country spec'!#REF!</definedName>
    <definedName name="Share_biofuels_FR">'Parameters SH, country spec'!#REF!</definedName>
    <definedName name="Share_biofuels_GR" localSheetId="8">'Parameters D24m, country spec'!#REF!</definedName>
    <definedName name="Share_biofuels_GR">'Parameters SH, country spec'!#REF!</definedName>
    <definedName name="Share_biofuels_HU" localSheetId="8">'Parameters D24m, country spec'!#REF!</definedName>
    <definedName name="Share_biofuels_HU">'Parameters SH, country spec'!#REF!</definedName>
    <definedName name="Share_biofuels_IE" localSheetId="8">'Parameters D24m, country spec'!#REF!</definedName>
    <definedName name="Share_biofuels_IE">'Parameters SH, country spec'!#REF!</definedName>
    <definedName name="Share_biofuels_IT" localSheetId="8">'Parameters D24m, country spec'!#REF!</definedName>
    <definedName name="Share_biofuels_IT">'Parameters SH, country spec'!#REF!</definedName>
    <definedName name="Share_biofuels_NL" localSheetId="8">'Parameters D24m, country spec'!#REF!</definedName>
    <definedName name="Share_biofuels_NL">'Parameters SH, country spec'!#REF!</definedName>
    <definedName name="Share_biofuels_PL" localSheetId="8">'Parameters D24m, country spec'!#REF!</definedName>
    <definedName name="Share_biofuels_PL">'Parameters SH, country spec'!#REF!</definedName>
    <definedName name="Share_biofuels_SE" localSheetId="8">'Parameters D24m, country spec'!#REF!</definedName>
    <definedName name="Share_biofuels_SE">'Parameters SH, country spec'!#REF!</definedName>
    <definedName name="Share_heating_DE" localSheetId="8">'Parameters D24m, country spec'!#REF!</definedName>
    <definedName name="Share_heating_DE">'Parameters SH, country spec'!#REF!</definedName>
    <definedName name="Share_heating_DK" localSheetId="8">'Parameters D24m, country spec'!#REF!</definedName>
    <definedName name="Share_heating_DK">'Parameters SH, country spec'!#REF!</definedName>
    <definedName name="Share_heating_ES" localSheetId="8">'Parameters D24m, country spec'!#REF!</definedName>
    <definedName name="Share_heating_ES">'Parameters SH, country spec'!#REF!</definedName>
    <definedName name="Share_heating_FR" localSheetId="8">'Parameters D24m, country spec'!#REF!</definedName>
    <definedName name="Share_heating_FR">'Parameters SH, country spec'!#REF!</definedName>
    <definedName name="Share_heating_GR" localSheetId="8">'Parameters D24m, country spec'!#REF!</definedName>
    <definedName name="Share_heating_GR">'Parameters SH, country spec'!#REF!</definedName>
    <definedName name="Share_heating_HU" localSheetId="8">'Parameters D24m, country spec'!#REF!</definedName>
    <definedName name="Share_heating_HU">'Parameters SH, country spec'!#REF!</definedName>
    <definedName name="Share_heating_IE" localSheetId="8">'Parameters D24m, country spec'!#REF!</definedName>
    <definedName name="Share_heating_IE">'Parameters SH, country spec'!#REF!</definedName>
    <definedName name="Share_heating_IT" localSheetId="8">'Parameters D24m, country spec'!#REF!</definedName>
    <definedName name="Share_heating_IT">'Parameters SH, country spec'!#REF!</definedName>
    <definedName name="Share_heating_NL" localSheetId="8">'Parameters D24m, country spec'!#REF!</definedName>
    <definedName name="Share_heating_NL">'Parameters SH, country spec'!#REF!</definedName>
    <definedName name="Share_heating_PL" localSheetId="8">'Parameters D24m, country spec'!#REF!</definedName>
    <definedName name="Share_heating_PL">'Parameters SH, country spec'!#REF!</definedName>
    <definedName name="Share_heating_SE" localSheetId="8">'Parameters D24m, country spec'!#REF!</definedName>
    <definedName name="Share_heating_SE">'Parameters SH, country spec'!#REF!</definedName>
    <definedName name="Slaughter_duration_class">'Parameters, general'!#REF!</definedName>
    <definedName name="Time_piglet_system_DE" localSheetId="8">'Parameters D24m, country spec'!#REF!</definedName>
    <definedName name="Time_piglet_system_DE">'Parameters SH, country spec'!#REF!</definedName>
    <definedName name="Time_piglet_system_DK" localSheetId="8">'Parameters D24m, country spec'!#REF!</definedName>
    <definedName name="Time_piglet_system_DK">'Parameters SH, country spec'!#REF!</definedName>
    <definedName name="Time_piglet_system_ES" localSheetId="8">'Parameters D24m, country spec'!#REF!</definedName>
    <definedName name="Time_piglet_system_ES">'Parameters SH, country spec'!#REF!</definedName>
    <definedName name="Time_piglet_system_FR" localSheetId="8">'Parameters D24m, country spec'!#REF!</definedName>
    <definedName name="Time_piglet_system_FR">'Parameters SH, country spec'!#REF!</definedName>
    <definedName name="Time_piglet_system_GR" localSheetId="8">'Parameters D24m, country spec'!#REF!</definedName>
    <definedName name="Time_piglet_system_GR">'Parameters SH, country spec'!#REF!</definedName>
    <definedName name="Time_piglet_system_HU" localSheetId="8">'Parameters D24m, country spec'!#REF!</definedName>
    <definedName name="Time_piglet_system_HU">'Parameters SH, country spec'!#REF!</definedName>
    <definedName name="Time_piglet_system_IE" localSheetId="8">'Parameters D24m, country spec'!#REF!</definedName>
    <definedName name="Time_piglet_system_IE">'Parameters SH, country spec'!#REF!</definedName>
    <definedName name="Time_piglet_system_IT" localSheetId="8">'Parameters D24m, country spec'!#REF!</definedName>
    <definedName name="Time_piglet_system_IT">'Parameters SH, country spec'!#REF!</definedName>
    <definedName name="Time_piglet_system_NL" localSheetId="8">'Parameters D24m, country spec'!#REF!</definedName>
    <definedName name="Time_piglet_system_NL">'Parameters SH, country spec'!#REF!</definedName>
    <definedName name="Time_piglet_system_PL" localSheetId="8">'Parameters D24m, country spec'!#REF!</definedName>
    <definedName name="Time_piglet_system_PL">'Parameters SH, country spec'!#REF!</definedName>
    <definedName name="Time_piglet_system_SE" localSheetId="8">'Parameters D24m, country spec'!#REF!</definedName>
    <definedName name="Time_piglet_system_SE">'Parameters SH, country spec'!#REF!</definedName>
    <definedName name="Water_stables_DE" localSheetId="8">'Parameters D24m, country spec'!$D$65</definedName>
    <definedName name="Water_stables_DE">'Parameters SH, country spec'!$D$87</definedName>
    <definedName name="Water_stables_DK" localSheetId="8">'Parameters D24m, country spec'!$B$65</definedName>
    <definedName name="Water_stables_DK">'Parameters SH, country spec'!$B$87</definedName>
    <definedName name="Water_stables_ES" localSheetId="8">'Parameters D24m, country spec'!$K$65</definedName>
    <definedName name="Water_stables_ES">'Parameters SH, country spec'!$K$87</definedName>
    <definedName name="Water_stables_FR" localSheetId="8">'Parameters D24m, country spec'!$C$65</definedName>
    <definedName name="Water_stables_FR">'Parameters SH, country spec'!$C$87</definedName>
    <definedName name="Water_stables_GR" localSheetId="8">'Parameters D24m, country spec'!$E$65</definedName>
    <definedName name="Water_stables_GR">'Parameters SH, country spec'!$E$87</definedName>
    <definedName name="Water_stables_HU" localSheetId="8">'Parameters D24m, country spec'!$F$65</definedName>
    <definedName name="Water_stables_HU">'Parameters SH, country spec'!$F$87</definedName>
    <definedName name="Water_stables_IE" localSheetId="8">'Parameters D24m, country spec'!$G$65</definedName>
    <definedName name="Water_stables_IE">'Parameters SH, country spec'!$G$87</definedName>
    <definedName name="Water_stables_IT" localSheetId="8">'Parameters D24m, country spec'!$H$65</definedName>
    <definedName name="Water_stables_IT">'Parameters SH, country spec'!$H$87</definedName>
    <definedName name="Water_stables_NL" localSheetId="8">'Parameters D24m, country spec'!$I$65</definedName>
    <definedName name="Water_stables_NL">'Parameters SH, country spec'!$I$87</definedName>
    <definedName name="Water_stables_PL" localSheetId="8">'Parameters D24m, country spec'!$J$65</definedName>
    <definedName name="Water_stables_PL">'Parameters SH, country spec'!$J$87</definedName>
    <definedName name="Water_stables_SE" localSheetId="8">'Parameters D24m, country spec'!$L$65</definedName>
    <definedName name="Water_stables_SE">'Parameters SH, country spec'!$L$87</definedName>
    <definedName name="Weight_ability_to_perceive_handling">'Parameters, general'!#REF!</definedName>
    <definedName name="Weight_diseases">'Parameters, general'!#REF!</definedName>
    <definedName name="Weight_mortality">'Parameters, general'!#REF!</definedName>
    <definedName name="Weight_no_of_animal">'Parameters, general'!#REF!</definedName>
    <definedName name="Weight_slaughter_duration_class">'Parameters, general'!#REF!</definedName>
    <definedName name="Weight_space">'Parameters, general'!#REF!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5" i="13" l="1"/>
  <c r="W13" i="13"/>
  <c r="P10" i="13"/>
  <c r="P8" i="13"/>
  <c r="S24" i="13"/>
  <c r="S19" i="13"/>
  <c r="S14" i="13"/>
  <c r="S9" i="13"/>
  <c r="X65" i="13"/>
  <c r="W65" i="13"/>
  <c r="V65" i="13"/>
  <c r="U65" i="13"/>
  <c r="R65" i="13"/>
  <c r="Q65" i="13"/>
  <c r="P65" i="13"/>
  <c r="O65" i="13"/>
  <c r="N65" i="13"/>
  <c r="L65" i="13"/>
  <c r="J65" i="13"/>
  <c r="I65" i="13"/>
  <c r="H65" i="13"/>
  <c r="U64" i="13"/>
  <c r="S64" i="13"/>
  <c r="X63" i="13"/>
  <c r="W63" i="13"/>
  <c r="R63" i="13"/>
  <c r="Q63" i="13"/>
  <c r="P63" i="13"/>
  <c r="O63" i="13"/>
  <c r="N63" i="13"/>
  <c r="L63" i="13"/>
  <c r="I63" i="13"/>
  <c r="H63" i="13"/>
  <c r="X62" i="13"/>
  <c r="W62" i="13"/>
  <c r="R62" i="13"/>
  <c r="Q62" i="13"/>
  <c r="P62" i="13"/>
  <c r="O62" i="13"/>
  <c r="N62" i="13"/>
  <c r="L62" i="13"/>
  <c r="I62" i="13"/>
  <c r="H62" i="13"/>
  <c r="X60" i="13"/>
  <c r="W60" i="13"/>
  <c r="V60" i="13"/>
  <c r="U60" i="13"/>
  <c r="U59" i="13"/>
  <c r="S59" i="13"/>
  <c r="X58" i="13"/>
  <c r="W58" i="13"/>
  <c r="P58" i="13"/>
  <c r="X57" i="13"/>
  <c r="W57" i="13"/>
  <c r="X55" i="13"/>
  <c r="W55" i="13"/>
  <c r="V55" i="13"/>
  <c r="U55" i="13"/>
  <c r="U54" i="13"/>
  <c r="S54" i="13"/>
  <c r="X53" i="13"/>
  <c r="W53" i="13"/>
  <c r="P53" i="13"/>
  <c r="X52" i="13"/>
  <c r="W52" i="13"/>
  <c r="X50" i="13"/>
  <c r="W50" i="13"/>
  <c r="V50" i="13"/>
  <c r="U50" i="13"/>
  <c r="U49" i="13"/>
  <c r="S49" i="13"/>
  <c r="X48" i="13"/>
  <c r="W48" i="13"/>
  <c r="P48" i="13"/>
  <c r="X47" i="13"/>
  <c r="W47" i="13"/>
  <c r="X45" i="13"/>
  <c r="W45" i="13"/>
  <c r="V45" i="13"/>
  <c r="U45" i="13"/>
  <c r="U44" i="13"/>
  <c r="S44" i="13"/>
  <c r="X43" i="13"/>
  <c r="W43" i="13"/>
  <c r="P43" i="13"/>
  <c r="X42" i="13"/>
  <c r="W42" i="13"/>
  <c r="X40" i="13"/>
  <c r="W40" i="13"/>
  <c r="V40" i="13"/>
  <c r="U40" i="13"/>
  <c r="U39" i="13"/>
  <c r="S39" i="13"/>
  <c r="X38" i="13"/>
  <c r="W38" i="13"/>
  <c r="P38" i="13"/>
  <c r="X37" i="13"/>
  <c r="W37" i="13"/>
  <c r="X35" i="13"/>
  <c r="W35" i="13"/>
  <c r="V35" i="13"/>
  <c r="U35" i="13"/>
  <c r="U34" i="13"/>
  <c r="S34" i="13"/>
  <c r="X33" i="13"/>
  <c r="W33" i="13"/>
  <c r="P33" i="13"/>
  <c r="X32" i="13"/>
  <c r="W32" i="13"/>
  <c r="X30" i="13"/>
  <c r="W30" i="13"/>
  <c r="V30" i="13"/>
  <c r="U30" i="13"/>
  <c r="U29" i="13"/>
  <c r="S29" i="13"/>
  <c r="X28" i="13"/>
  <c r="W28" i="13"/>
  <c r="P28" i="13"/>
  <c r="X27" i="13"/>
  <c r="W27" i="13"/>
  <c r="X25" i="13"/>
  <c r="W25" i="13"/>
  <c r="V25" i="13"/>
  <c r="U25" i="13"/>
  <c r="P25" i="13"/>
  <c r="U24" i="13"/>
  <c r="X23" i="13"/>
  <c r="W23" i="13"/>
  <c r="P23" i="13"/>
  <c r="X22" i="13"/>
  <c r="W22" i="13"/>
  <c r="X20" i="13"/>
  <c r="W20" i="13"/>
  <c r="V20" i="13"/>
  <c r="U20" i="13"/>
  <c r="P20" i="13"/>
  <c r="U19" i="13"/>
  <c r="X18" i="13"/>
  <c r="W18" i="13"/>
  <c r="P18" i="13"/>
  <c r="X17" i="13"/>
  <c r="W17" i="13"/>
  <c r="X15" i="13"/>
  <c r="V15" i="13"/>
  <c r="U15" i="13"/>
  <c r="P15" i="13"/>
  <c r="U14" i="13"/>
  <c r="X13" i="13"/>
  <c r="P13" i="13"/>
  <c r="X12" i="13"/>
  <c r="W12" i="13"/>
  <c r="X10" i="13"/>
  <c r="W10" i="13"/>
  <c r="V10" i="13"/>
  <c r="U10" i="13"/>
  <c r="U9" i="13"/>
  <c r="X8" i="13"/>
  <c r="W8" i="13"/>
  <c r="X7" i="13"/>
  <c r="W7" i="13"/>
  <c r="R18" i="36" l="1"/>
  <c r="Q18" i="36"/>
  <c r="P18" i="36"/>
  <c r="O18" i="36"/>
  <c r="N18" i="36"/>
  <c r="O217" i="16"/>
  <c r="O205" i="16"/>
  <c r="O206" i="16"/>
  <c r="O207" i="16"/>
  <c r="O208" i="16"/>
  <c r="O209" i="16"/>
  <c r="O210" i="16"/>
  <c r="O211" i="16"/>
  <c r="O212" i="16"/>
  <c r="O213" i="16"/>
  <c r="O214" i="16"/>
  <c r="O215" i="16"/>
  <c r="O216" i="16"/>
  <c r="O187" i="16"/>
  <c r="O188" i="16"/>
  <c r="O189" i="16"/>
  <c r="O190" i="16"/>
  <c r="O191" i="16"/>
  <c r="O192" i="16"/>
  <c r="O193" i="16"/>
  <c r="O194" i="16"/>
  <c r="O195" i="16"/>
  <c r="O196" i="16"/>
  <c r="O197" i="16"/>
  <c r="O198" i="16"/>
  <c r="O199" i="16"/>
  <c r="O169" i="16"/>
  <c r="O170" i="16"/>
  <c r="O171" i="16"/>
  <c r="O172" i="16"/>
  <c r="O173" i="16"/>
  <c r="O174" i="16"/>
  <c r="O175" i="16"/>
  <c r="O176" i="16"/>
  <c r="O177" i="16"/>
  <c r="O178" i="16"/>
  <c r="O179" i="16"/>
  <c r="O180" i="16"/>
  <c r="O181" i="16"/>
  <c r="O151" i="16"/>
  <c r="O152" i="16"/>
  <c r="O153" i="16"/>
  <c r="O154" i="16"/>
  <c r="O155" i="16"/>
  <c r="O156" i="16"/>
  <c r="O157" i="16"/>
  <c r="O158" i="16"/>
  <c r="O159" i="16"/>
  <c r="O160" i="16"/>
  <c r="O161" i="16"/>
  <c r="O162" i="16"/>
  <c r="O163" i="16"/>
  <c r="O133" i="16"/>
  <c r="O134" i="16"/>
  <c r="O135" i="16"/>
  <c r="O136" i="16"/>
  <c r="O137" i="16"/>
  <c r="O138" i="16"/>
  <c r="O139" i="16"/>
  <c r="O140" i="16"/>
  <c r="O141" i="16"/>
  <c r="O142" i="16"/>
  <c r="O143" i="16"/>
  <c r="O144" i="16"/>
  <c r="O145" i="16"/>
  <c r="O115" i="16"/>
  <c r="O116" i="16"/>
  <c r="O117" i="16"/>
  <c r="O118" i="16"/>
  <c r="O119" i="16"/>
  <c r="O120" i="16"/>
  <c r="O121" i="16"/>
  <c r="O122" i="16"/>
  <c r="O123" i="16"/>
  <c r="O124" i="16"/>
  <c r="O125" i="16"/>
  <c r="O126" i="16"/>
  <c r="O127" i="16"/>
  <c r="O97" i="16"/>
  <c r="O98" i="16"/>
  <c r="O99" i="16"/>
  <c r="O100" i="16"/>
  <c r="O101" i="16"/>
  <c r="O102" i="16"/>
  <c r="O103" i="16"/>
  <c r="O104" i="16"/>
  <c r="O105" i="16"/>
  <c r="O106" i="16"/>
  <c r="O107" i="16"/>
  <c r="O108" i="16"/>
  <c r="O109" i="16"/>
  <c r="O96" i="16"/>
  <c r="O79" i="16"/>
  <c r="O80" i="16"/>
  <c r="O81" i="16"/>
  <c r="O82" i="16"/>
  <c r="O83" i="16"/>
  <c r="O84" i="16"/>
  <c r="O85" i="16"/>
  <c r="O86" i="16"/>
  <c r="O87" i="16"/>
  <c r="O88" i="16"/>
  <c r="O89" i="16"/>
  <c r="O90" i="16"/>
  <c r="O91" i="16"/>
  <c r="O61" i="16"/>
  <c r="O62" i="16"/>
  <c r="O63" i="16"/>
  <c r="O64" i="16"/>
  <c r="O65" i="16"/>
  <c r="O66" i="16"/>
  <c r="O67" i="16"/>
  <c r="O68" i="16"/>
  <c r="O69" i="16"/>
  <c r="O70" i="16"/>
  <c r="O71" i="16"/>
  <c r="O72" i="16"/>
  <c r="O73" i="16"/>
  <c r="O43" i="16"/>
  <c r="O44" i="16"/>
  <c r="O45" i="16"/>
  <c r="O46" i="16"/>
  <c r="O47" i="16"/>
  <c r="O48" i="16"/>
  <c r="O49" i="16"/>
  <c r="O50" i="16"/>
  <c r="O51" i="16"/>
  <c r="O52" i="16"/>
  <c r="O53" i="16"/>
  <c r="O54" i="16"/>
  <c r="O55" i="16"/>
  <c r="O25" i="16"/>
  <c r="O26" i="16"/>
  <c r="O27" i="16"/>
  <c r="O28" i="16"/>
  <c r="O29" i="16"/>
  <c r="O30" i="16"/>
  <c r="O31" i="16"/>
  <c r="O32" i="16"/>
  <c r="O33" i="16"/>
  <c r="O34" i="16"/>
  <c r="O35" i="16"/>
  <c r="O36" i="16"/>
  <c r="O37" i="16"/>
  <c r="O7" i="16"/>
  <c r="O8" i="16"/>
  <c r="O9" i="16"/>
  <c r="O10" i="16"/>
  <c r="O11" i="16"/>
  <c r="O12" i="16"/>
  <c r="O13" i="16"/>
  <c r="O14" i="16"/>
  <c r="O15" i="16"/>
  <c r="O16" i="16"/>
  <c r="O17" i="16"/>
  <c r="O18" i="16"/>
  <c r="O19" i="16"/>
  <c r="O204" i="16"/>
  <c r="O186" i="16"/>
  <c r="O168" i="16"/>
  <c r="O150" i="16"/>
  <c r="O132" i="16"/>
  <c r="O114" i="16"/>
  <c r="O78" i="16"/>
  <c r="O60" i="16"/>
  <c r="O42" i="16"/>
  <c r="O24" i="16"/>
  <c r="O6" i="16"/>
  <c r="T6" i="2"/>
  <c r="T217" i="14"/>
  <c r="T216" i="14"/>
  <c r="T215" i="14"/>
  <c r="T214" i="14"/>
  <c r="T213" i="14"/>
  <c r="T212" i="14"/>
  <c r="T211" i="14"/>
  <c r="T210" i="14"/>
  <c r="T209" i="14"/>
  <c r="T208" i="14"/>
  <c r="T207" i="14"/>
  <c r="T206" i="14"/>
  <c r="T205" i="14"/>
  <c r="T204" i="14"/>
  <c r="T199" i="14"/>
  <c r="T198" i="14"/>
  <c r="T197" i="14"/>
  <c r="T196" i="14"/>
  <c r="T195" i="14"/>
  <c r="T194" i="14"/>
  <c r="T193" i="14"/>
  <c r="T192" i="14"/>
  <c r="T191" i="14"/>
  <c r="T190" i="14"/>
  <c r="T189" i="14"/>
  <c r="T188" i="14"/>
  <c r="T187" i="14"/>
  <c r="T186" i="14"/>
  <c r="T181" i="14"/>
  <c r="T180" i="14"/>
  <c r="T179" i="14"/>
  <c r="T178" i="14"/>
  <c r="T177" i="14"/>
  <c r="T176" i="14"/>
  <c r="T175" i="14"/>
  <c r="T174" i="14"/>
  <c r="T173" i="14"/>
  <c r="T172" i="14"/>
  <c r="T171" i="14"/>
  <c r="T170" i="14"/>
  <c r="T169" i="14"/>
  <c r="T168" i="14"/>
  <c r="T163" i="14"/>
  <c r="T162" i="14"/>
  <c r="T161" i="14"/>
  <c r="T160" i="14"/>
  <c r="T159" i="14"/>
  <c r="T158" i="14"/>
  <c r="T157" i="14"/>
  <c r="T156" i="14"/>
  <c r="T155" i="14"/>
  <c r="T154" i="14"/>
  <c r="T153" i="14"/>
  <c r="T152" i="14"/>
  <c r="T151" i="14"/>
  <c r="T150" i="14"/>
  <c r="T145" i="14"/>
  <c r="T144" i="14"/>
  <c r="T143" i="14"/>
  <c r="T142" i="14"/>
  <c r="T141" i="14"/>
  <c r="T140" i="14"/>
  <c r="T139" i="14"/>
  <c r="T138" i="14"/>
  <c r="T137" i="14"/>
  <c r="T136" i="14"/>
  <c r="T135" i="14"/>
  <c r="T134" i="14"/>
  <c r="T133" i="14"/>
  <c r="T132" i="14"/>
  <c r="T127" i="14"/>
  <c r="T126" i="14"/>
  <c r="T125" i="14"/>
  <c r="T124" i="14"/>
  <c r="T123" i="14"/>
  <c r="T122" i="14"/>
  <c r="T121" i="14"/>
  <c r="T120" i="14"/>
  <c r="T119" i="14"/>
  <c r="T118" i="14"/>
  <c r="T117" i="14"/>
  <c r="T116" i="14"/>
  <c r="T115" i="14"/>
  <c r="T114" i="14"/>
  <c r="T109" i="14"/>
  <c r="T108" i="14"/>
  <c r="T107" i="14"/>
  <c r="T106" i="14"/>
  <c r="T105" i="14"/>
  <c r="T104" i="14"/>
  <c r="T103" i="14"/>
  <c r="T102" i="14"/>
  <c r="T101" i="14"/>
  <c r="T100" i="14"/>
  <c r="T99" i="14"/>
  <c r="T98" i="14"/>
  <c r="T97" i="14"/>
  <c r="T96" i="14"/>
  <c r="T91" i="14"/>
  <c r="T90" i="14"/>
  <c r="T89" i="14"/>
  <c r="T88" i="14"/>
  <c r="T87" i="14"/>
  <c r="T86" i="14"/>
  <c r="T85" i="14"/>
  <c r="T84" i="14"/>
  <c r="T83" i="14"/>
  <c r="T82" i="14"/>
  <c r="T81" i="14"/>
  <c r="T80" i="14"/>
  <c r="T79" i="14"/>
  <c r="T78" i="14"/>
  <c r="T73" i="14"/>
  <c r="T72" i="14"/>
  <c r="T71" i="14"/>
  <c r="T70" i="14"/>
  <c r="T69" i="14"/>
  <c r="T68" i="14"/>
  <c r="T67" i="14"/>
  <c r="T66" i="14"/>
  <c r="T65" i="14"/>
  <c r="T64" i="14"/>
  <c r="T63" i="14"/>
  <c r="T62" i="14"/>
  <c r="T61" i="14"/>
  <c r="T60" i="14"/>
  <c r="T55" i="14"/>
  <c r="T54" i="14"/>
  <c r="T53" i="14"/>
  <c r="T52" i="14"/>
  <c r="T51" i="14"/>
  <c r="T50" i="14"/>
  <c r="T49" i="14"/>
  <c r="T48" i="14"/>
  <c r="T47" i="14"/>
  <c r="T46" i="14"/>
  <c r="T45" i="14"/>
  <c r="T44" i="14"/>
  <c r="T43" i="14"/>
  <c r="T42" i="14"/>
  <c r="T37" i="14"/>
  <c r="T36" i="14"/>
  <c r="T35" i="14"/>
  <c r="T34" i="14"/>
  <c r="T33" i="14"/>
  <c r="T32" i="14"/>
  <c r="T31" i="14"/>
  <c r="T30" i="14"/>
  <c r="T29" i="14"/>
  <c r="T28" i="14"/>
  <c r="T27" i="14"/>
  <c r="T26" i="14"/>
  <c r="T25" i="14"/>
  <c r="T24" i="14"/>
  <c r="T19" i="14"/>
  <c r="T18" i="14"/>
  <c r="T17" i="14"/>
  <c r="T16" i="14"/>
  <c r="T15" i="14"/>
  <c r="T14" i="14"/>
  <c r="T13" i="14"/>
  <c r="T12" i="14"/>
  <c r="T11" i="14"/>
  <c r="T10" i="14"/>
  <c r="T9" i="14"/>
  <c r="T8" i="14"/>
  <c r="T7" i="14"/>
  <c r="T6" i="14"/>
  <c r="T217" i="15"/>
  <c r="T216" i="15"/>
  <c r="T215" i="15"/>
  <c r="T214" i="15"/>
  <c r="T213" i="15"/>
  <c r="T212" i="15"/>
  <c r="T211" i="15"/>
  <c r="T210" i="15"/>
  <c r="T209" i="15"/>
  <c r="T208" i="15"/>
  <c r="T207" i="15"/>
  <c r="T206" i="15"/>
  <c r="T205" i="15"/>
  <c r="T204" i="15"/>
  <c r="T199" i="15"/>
  <c r="T198" i="15"/>
  <c r="T197" i="15"/>
  <c r="T196" i="15"/>
  <c r="T195" i="15"/>
  <c r="T194" i="15"/>
  <c r="T193" i="15"/>
  <c r="T192" i="15"/>
  <c r="T191" i="15"/>
  <c r="T190" i="15"/>
  <c r="T189" i="15"/>
  <c r="T188" i="15"/>
  <c r="T187" i="15"/>
  <c r="T186" i="15"/>
  <c r="T181" i="15"/>
  <c r="T180" i="15"/>
  <c r="T179" i="15"/>
  <c r="T178" i="15"/>
  <c r="T177" i="15"/>
  <c r="T176" i="15"/>
  <c r="T175" i="15"/>
  <c r="T174" i="15"/>
  <c r="T173" i="15"/>
  <c r="T172" i="15"/>
  <c r="T171" i="15"/>
  <c r="T170" i="15"/>
  <c r="T169" i="15"/>
  <c r="T168" i="15"/>
  <c r="T163" i="15"/>
  <c r="T162" i="15"/>
  <c r="T161" i="15"/>
  <c r="T160" i="15"/>
  <c r="T159" i="15"/>
  <c r="T158" i="15"/>
  <c r="T157" i="15"/>
  <c r="T156" i="15"/>
  <c r="T155" i="15"/>
  <c r="T154" i="15"/>
  <c r="T153" i="15"/>
  <c r="T152" i="15"/>
  <c r="T151" i="15"/>
  <c r="T150" i="15"/>
  <c r="T145" i="15"/>
  <c r="T144" i="15"/>
  <c r="T143" i="15"/>
  <c r="T142" i="15"/>
  <c r="T141" i="15"/>
  <c r="T140" i="15"/>
  <c r="T139" i="15"/>
  <c r="T138" i="15"/>
  <c r="T137" i="15"/>
  <c r="T136" i="15"/>
  <c r="T135" i="15"/>
  <c r="T134" i="15"/>
  <c r="T133" i="15"/>
  <c r="T132" i="15"/>
  <c r="T127" i="15"/>
  <c r="T126" i="15"/>
  <c r="T125" i="15"/>
  <c r="T124" i="15"/>
  <c r="T123" i="15"/>
  <c r="T122" i="15"/>
  <c r="T121" i="15"/>
  <c r="T120" i="15"/>
  <c r="T119" i="15"/>
  <c r="T118" i="15"/>
  <c r="T117" i="15"/>
  <c r="T116" i="15"/>
  <c r="T115" i="15"/>
  <c r="T114" i="15"/>
  <c r="T109" i="15"/>
  <c r="T108" i="15"/>
  <c r="T107" i="15"/>
  <c r="T106" i="15"/>
  <c r="T105" i="15"/>
  <c r="T104" i="15"/>
  <c r="T103" i="15"/>
  <c r="T102" i="15"/>
  <c r="T101" i="15"/>
  <c r="T100" i="15"/>
  <c r="T99" i="15"/>
  <c r="T98" i="15"/>
  <c r="T97" i="15"/>
  <c r="T96" i="15"/>
  <c r="T91" i="15"/>
  <c r="T90" i="15"/>
  <c r="T89" i="15"/>
  <c r="T88" i="15"/>
  <c r="T87" i="15"/>
  <c r="T86" i="15"/>
  <c r="T85" i="15"/>
  <c r="T84" i="15"/>
  <c r="T83" i="15"/>
  <c r="T82" i="15"/>
  <c r="T81" i="15"/>
  <c r="T80" i="15"/>
  <c r="T79" i="15"/>
  <c r="T78" i="15"/>
  <c r="T73" i="15"/>
  <c r="T72" i="15"/>
  <c r="T71" i="15"/>
  <c r="T70" i="15"/>
  <c r="T69" i="15"/>
  <c r="T68" i="15"/>
  <c r="T67" i="15"/>
  <c r="T66" i="15"/>
  <c r="T65" i="15"/>
  <c r="T64" i="15"/>
  <c r="T63" i="15"/>
  <c r="T62" i="15"/>
  <c r="T61" i="15"/>
  <c r="T60" i="15"/>
  <c r="T55" i="15"/>
  <c r="T54" i="15"/>
  <c r="T53" i="15"/>
  <c r="T52" i="15"/>
  <c r="T51" i="15"/>
  <c r="T50" i="15"/>
  <c r="T49" i="15"/>
  <c r="T48" i="15"/>
  <c r="T47" i="15"/>
  <c r="T46" i="15"/>
  <c r="T45" i="15"/>
  <c r="T44" i="15"/>
  <c r="T43" i="15"/>
  <c r="T42" i="15"/>
  <c r="T37" i="15"/>
  <c r="T36" i="15"/>
  <c r="T35" i="15"/>
  <c r="T34" i="15"/>
  <c r="T33" i="15"/>
  <c r="T32" i="15"/>
  <c r="T31" i="15"/>
  <c r="T30" i="15"/>
  <c r="T29" i="15"/>
  <c r="T28" i="15"/>
  <c r="T27" i="15"/>
  <c r="T26" i="15"/>
  <c r="T25" i="15"/>
  <c r="T24" i="15"/>
  <c r="T19" i="15"/>
  <c r="T18" i="15"/>
  <c r="T17" i="15"/>
  <c r="T16" i="15"/>
  <c r="T15" i="15"/>
  <c r="T14" i="15"/>
  <c r="T13" i="15"/>
  <c r="T12" i="15"/>
  <c r="T11" i="15"/>
  <c r="T10" i="15"/>
  <c r="T9" i="15"/>
  <c r="T8" i="15"/>
  <c r="T7" i="15"/>
  <c r="T6" i="15"/>
  <c r="T205" i="2"/>
  <c r="T206" i="2"/>
  <c r="T207" i="2"/>
  <c r="T208" i="2"/>
  <c r="T209" i="2"/>
  <c r="T210" i="2"/>
  <c r="T211" i="2"/>
  <c r="T212" i="2"/>
  <c r="T213" i="2"/>
  <c r="T214" i="2"/>
  <c r="T215" i="2"/>
  <c r="T216" i="2"/>
  <c r="T217" i="2"/>
  <c r="T187" i="2"/>
  <c r="T188" i="2"/>
  <c r="T189" i="2"/>
  <c r="T190" i="2"/>
  <c r="T191" i="2"/>
  <c r="T192" i="2"/>
  <c r="T193" i="2"/>
  <c r="T194" i="2"/>
  <c r="T195" i="2"/>
  <c r="T196" i="2"/>
  <c r="T197" i="2"/>
  <c r="T198" i="2"/>
  <c r="T199" i="2"/>
  <c r="T169" i="2"/>
  <c r="T170" i="2"/>
  <c r="T171" i="2"/>
  <c r="T172" i="2"/>
  <c r="T173" i="2"/>
  <c r="T174" i="2"/>
  <c r="T175" i="2"/>
  <c r="T176" i="2"/>
  <c r="T177" i="2"/>
  <c r="T178" i="2"/>
  <c r="T179" i="2"/>
  <c r="T180" i="2"/>
  <c r="T181" i="2"/>
  <c r="T151" i="2"/>
  <c r="T152" i="2"/>
  <c r="T153" i="2"/>
  <c r="T154" i="2"/>
  <c r="T155" i="2"/>
  <c r="T156" i="2"/>
  <c r="T157" i="2"/>
  <c r="T158" i="2"/>
  <c r="T159" i="2"/>
  <c r="T160" i="2"/>
  <c r="T161" i="2"/>
  <c r="T162" i="2"/>
  <c r="T163" i="2"/>
  <c r="T133" i="2"/>
  <c r="T134" i="2"/>
  <c r="T135" i="2"/>
  <c r="T136" i="2"/>
  <c r="T137" i="2"/>
  <c r="T138" i="2"/>
  <c r="T139" i="2"/>
  <c r="T140" i="2"/>
  <c r="T141" i="2"/>
  <c r="T142" i="2"/>
  <c r="T143" i="2"/>
  <c r="T144" i="2"/>
  <c r="T145" i="2"/>
  <c r="T115" i="2"/>
  <c r="T116" i="2"/>
  <c r="T117" i="2"/>
  <c r="T118" i="2"/>
  <c r="T119" i="2"/>
  <c r="T120" i="2"/>
  <c r="T121" i="2"/>
  <c r="T122" i="2"/>
  <c r="T123" i="2"/>
  <c r="T124" i="2"/>
  <c r="T125" i="2"/>
  <c r="T126" i="2"/>
  <c r="T127" i="2"/>
  <c r="T97" i="2"/>
  <c r="T98" i="2"/>
  <c r="T99" i="2"/>
  <c r="T100" i="2"/>
  <c r="T101" i="2"/>
  <c r="T102" i="2"/>
  <c r="T103" i="2"/>
  <c r="T104" i="2"/>
  <c r="T105" i="2"/>
  <c r="T106" i="2"/>
  <c r="T107" i="2"/>
  <c r="T108" i="2"/>
  <c r="T109" i="2"/>
  <c r="T79" i="2"/>
  <c r="T80" i="2"/>
  <c r="T81" i="2"/>
  <c r="T82" i="2"/>
  <c r="T83" i="2"/>
  <c r="T84" i="2"/>
  <c r="T85" i="2"/>
  <c r="T86" i="2"/>
  <c r="T87" i="2"/>
  <c r="T88" i="2"/>
  <c r="T89" i="2"/>
  <c r="T90" i="2"/>
  <c r="T91" i="2"/>
  <c r="T61" i="2"/>
  <c r="T62" i="2"/>
  <c r="T63" i="2"/>
  <c r="T64" i="2"/>
  <c r="T65" i="2"/>
  <c r="T66" i="2"/>
  <c r="T67" i="2"/>
  <c r="T68" i="2"/>
  <c r="T69" i="2"/>
  <c r="T70" i="2"/>
  <c r="T71" i="2"/>
  <c r="T72" i="2"/>
  <c r="T73" i="2"/>
  <c r="T43" i="2"/>
  <c r="T44" i="2"/>
  <c r="T45" i="2"/>
  <c r="T46" i="2"/>
  <c r="T47" i="2"/>
  <c r="T48" i="2"/>
  <c r="T49" i="2"/>
  <c r="T50" i="2"/>
  <c r="T51" i="2"/>
  <c r="T52" i="2"/>
  <c r="T53" i="2"/>
  <c r="T54" i="2"/>
  <c r="T55" i="2"/>
  <c r="T204" i="2"/>
  <c r="T186" i="2"/>
  <c r="T168" i="2"/>
  <c r="T150" i="2"/>
  <c r="T132" i="2"/>
  <c r="T114" i="2"/>
  <c r="T96" i="2"/>
  <c r="T78" i="2"/>
  <c r="T60" i="2"/>
  <c r="T42" i="2"/>
  <c r="T24" i="2"/>
  <c r="T25" i="2"/>
  <c r="T26" i="2"/>
  <c r="T27" i="2"/>
  <c r="T28" i="2"/>
  <c r="T29" i="2"/>
  <c r="T30" i="2"/>
  <c r="T31" i="2"/>
  <c r="T32" i="2"/>
  <c r="T33" i="2"/>
  <c r="T34" i="2"/>
  <c r="T35" i="2"/>
  <c r="T36" i="2"/>
  <c r="T37" i="2"/>
  <c r="T7" i="2"/>
  <c r="T8" i="2"/>
  <c r="T9" i="2"/>
  <c r="T10" i="2"/>
  <c r="T11" i="2"/>
  <c r="T12" i="2"/>
  <c r="T13" i="2"/>
  <c r="T14" i="2"/>
  <c r="T15" i="2"/>
  <c r="T16" i="2"/>
  <c r="T17" i="2"/>
  <c r="T18" i="2"/>
  <c r="T19" i="2"/>
  <c r="I24" i="2"/>
  <c r="J24" i="2"/>
  <c r="L24" i="2"/>
  <c r="N24" i="2"/>
  <c r="O24" i="2"/>
  <c r="P24" i="2"/>
  <c r="Q24" i="2"/>
  <c r="R24" i="2"/>
  <c r="S24" i="2"/>
  <c r="I25" i="2"/>
  <c r="J25" i="2"/>
  <c r="L25" i="2"/>
  <c r="N25" i="2"/>
  <c r="O25" i="2"/>
  <c r="P25" i="2"/>
  <c r="Q25" i="2"/>
  <c r="R25" i="2"/>
  <c r="S25" i="2"/>
  <c r="B15" i="35"/>
  <c r="B13" i="35"/>
  <c r="J7" i="35"/>
  <c r="J9" i="35" s="1"/>
  <c r="B7" i="35"/>
  <c r="B9" i="35" s="1"/>
  <c r="I7" i="35"/>
  <c r="I9" i="35" s="1"/>
  <c r="H7" i="35"/>
  <c r="H9" i="35" s="1"/>
  <c r="G7" i="35"/>
  <c r="G9" i="35" s="1"/>
  <c r="F7" i="35"/>
  <c r="F9" i="35" s="1"/>
  <c r="L30" i="34"/>
  <c r="Q13" i="34"/>
  <c r="C7" i="34"/>
  <c r="D7" i="34"/>
  <c r="E7" i="34"/>
  <c r="F7" i="34"/>
  <c r="G7" i="34"/>
  <c r="H7" i="34"/>
  <c r="I7" i="34"/>
  <c r="J7" i="34"/>
  <c r="K7" i="34"/>
  <c r="L7" i="34"/>
  <c r="M7" i="34"/>
  <c r="B7" i="34"/>
  <c r="M58" i="34"/>
  <c r="L58" i="34"/>
  <c r="K58" i="34"/>
  <c r="J58" i="34"/>
  <c r="I58" i="34"/>
  <c r="H58" i="34"/>
  <c r="G58" i="34"/>
  <c r="F58" i="34"/>
  <c r="E58" i="34"/>
  <c r="D58" i="34"/>
  <c r="C58" i="34"/>
  <c r="B58" i="34"/>
  <c r="L43" i="34"/>
  <c r="K43" i="34"/>
  <c r="J43" i="34"/>
  <c r="I43" i="34"/>
  <c r="H43" i="34"/>
  <c r="G43" i="34"/>
  <c r="F43" i="34"/>
  <c r="E43" i="34"/>
  <c r="D43" i="34"/>
  <c r="C43" i="34"/>
  <c r="B43" i="34"/>
  <c r="M36" i="34"/>
  <c r="L36" i="34"/>
  <c r="K36" i="34"/>
  <c r="J36" i="34"/>
  <c r="I36" i="34"/>
  <c r="H36" i="34"/>
  <c r="G36" i="34"/>
  <c r="F36" i="34"/>
  <c r="E36" i="34"/>
  <c r="D36" i="34"/>
  <c r="C36" i="34"/>
  <c r="B36" i="34"/>
  <c r="M26" i="34"/>
  <c r="K26" i="34"/>
  <c r="J26" i="34"/>
  <c r="I26" i="34"/>
  <c r="H26" i="34"/>
  <c r="G26" i="34"/>
  <c r="F26" i="34"/>
  <c r="E26" i="34"/>
  <c r="D26" i="34"/>
  <c r="C26" i="34"/>
  <c r="B26" i="34"/>
  <c r="H13" i="35" l="1"/>
  <c r="H11" i="35"/>
  <c r="J11" i="35"/>
  <c r="J13" i="35"/>
  <c r="G13" i="35"/>
  <c r="G11" i="35"/>
  <c r="I13" i="35"/>
  <c r="I11" i="35"/>
  <c r="F13" i="35"/>
  <c r="F11" i="35"/>
  <c r="B11" i="35"/>
  <c r="C7" i="35"/>
  <c r="C9" i="35" s="1"/>
  <c r="K7" i="35"/>
  <c r="K9" i="35" s="1"/>
  <c r="D7" i="35"/>
  <c r="D9" i="35" s="1"/>
  <c r="L7" i="35"/>
  <c r="L9" i="35" s="1"/>
  <c r="E7" i="35"/>
  <c r="E9" i="35" s="1"/>
  <c r="M7" i="35"/>
  <c r="M9" i="35" s="1"/>
  <c r="Q16" i="34"/>
  <c r="R15" i="34" s="1"/>
  <c r="L14" i="34" s="1"/>
  <c r="J15" i="35" l="1"/>
  <c r="M13" i="35"/>
  <c r="M11" i="35"/>
  <c r="C13" i="35"/>
  <c r="C11" i="35"/>
  <c r="M15" i="35"/>
  <c r="E13" i="35"/>
  <c r="E11" i="35"/>
  <c r="D13" i="35"/>
  <c r="D11" i="35"/>
  <c r="D15" i="35" s="1"/>
  <c r="F15" i="35"/>
  <c r="H15" i="35"/>
  <c r="K13" i="35"/>
  <c r="K11" i="35"/>
  <c r="L13" i="35"/>
  <c r="L11" i="35"/>
  <c r="L15" i="35" s="1"/>
  <c r="R14" i="34"/>
  <c r="L11" i="34" s="1"/>
  <c r="L26" i="34" s="1"/>
  <c r="R13" i="34"/>
  <c r="L13" i="34" s="1"/>
  <c r="I30" i="34"/>
  <c r="H30" i="34"/>
  <c r="B30" i="34"/>
  <c r="G30" i="34"/>
  <c r="J30" i="34"/>
  <c r="F30" i="34"/>
  <c r="M30" i="34"/>
  <c r="E30" i="34"/>
  <c r="D30" i="34"/>
  <c r="K30" i="34"/>
  <c r="C30" i="34"/>
  <c r="K15" i="35" l="1"/>
  <c r="C15" i="35"/>
  <c r="E15" i="35"/>
  <c r="I15" i="35"/>
  <c r="G15" i="35"/>
  <c r="Y156" i="25" l="1"/>
  <c r="W46" i="25"/>
  <c r="W52" i="25" s="1"/>
  <c r="W130" i="25" s="1"/>
  <c r="W138" i="25" s="1"/>
  <c r="W45" i="25"/>
  <c r="W51" i="25" s="1"/>
  <c r="V45" i="25"/>
  <c r="V51" i="25" s="1"/>
  <c r="W44" i="25"/>
  <c r="V44" i="25"/>
  <c r="W43" i="25"/>
  <c r="V43" i="25"/>
  <c r="V49" i="25" s="1"/>
  <c r="W27" i="25"/>
  <c r="W33" i="25" s="1"/>
  <c r="W26" i="25"/>
  <c r="W32" i="25" s="1"/>
  <c r="V26" i="25"/>
  <c r="V32" i="25" s="1"/>
  <c r="W25" i="25"/>
  <c r="W31" i="25" s="1"/>
  <c r="V25" i="25"/>
  <c r="V31" i="25" s="1"/>
  <c r="W24" i="25"/>
  <c r="W30" i="25" s="1"/>
  <c r="V24" i="25"/>
  <c r="V30" i="25" s="1"/>
  <c r="V9" i="25"/>
  <c r="V46" i="25" s="1"/>
  <c r="I204" i="2"/>
  <c r="J204" i="2"/>
  <c r="L204" i="2"/>
  <c r="N204" i="2"/>
  <c r="O204" i="2"/>
  <c r="P204" i="2"/>
  <c r="Q204" i="2"/>
  <c r="I205" i="2"/>
  <c r="J205" i="2"/>
  <c r="L205" i="2"/>
  <c r="N205" i="2"/>
  <c r="O205" i="2"/>
  <c r="P205" i="2"/>
  <c r="Q205" i="2"/>
  <c r="S217" i="2"/>
  <c r="R217" i="2"/>
  <c r="S216" i="2"/>
  <c r="R216" i="2"/>
  <c r="S215" i="2"/>
  <c r="R215" i="2"/>
  <c r="S214" i="2"/>
  <c r="R214" i="2"/>
  <c r="S213" i="2"/>
  <c r="R213" i="2"/>
  <c r="S212" i="2"/>
  <c r="R212" i="2"/>
  <c r="S211" i="2"/>
  <c r="R211" i="2"/>
  <c r="S210" i="2"/>
  <c r="R210" i="2"/>
  <c r="S209" i="2"/>
  <c r="R209" i="2"/>
  <c r="S208" i="2"/>
  <c r="R208" i="2"/>
  <c r="S207" i="2"/>
  <c r="R207" i="2"/>
  <c r="S206" i="2"/>
  <c r="R206" i="2"/>
  <c r="S205" i="2"/>
  <c r="R205" i="2"/>
  <c r="S204" i="2"/>
  <c r="R204" i="2"/>
  <c r="I204" i="15"/>
  <c r="J204" i="15"/>
  <c r="L204" i="15"/>
  <c r="N204" i="15"/>
  <c r="O204" i="15"/>
  <c r="P204" i="15"/>
  <c r="Q204" i="15"/>
  <c r="I205" i="15"/>
  <c r="J205" i="15"/>
  <c r="L205" i="15"/>
  <c r="N205" i="15"/>
  <c r="O205" i="15"/>
  <c r="P205" i="15"/>
  <c r="Q205" i="15"/>
  <c r="S217" i="15"/>
  <c r="R217" i="15"/>
  <c r="S216" i="15"/>
  <c r="R216" i="15"/>
  <c r="S215" i="15"/>
  <c r="R215" i="15"/>
  <c r="S214" i="15"/>
  <c r="R214" i="15"/>
  <c r="S213" i="15"/>
  <c r="R213" i="15"/>
  <c r="S212" i="15"/>
  <c r="R212" i="15"/>
  <c r="S211" i="15"/>
  <c r="R211" i="15"/>
  <c r="S210" i="15"/>
  <c r="R210" i="15"/>
  <c r="S209" i="15"/>
  <c r="R209" i="15"/>
  <c r="S208" i="15"/>
  <c r="R208" i="15"/>
  <c r="S207" i="15"/>
  <c r="R207" i="15"/>
  <c r="S206" i="15"/>
  <c r="R206" i="15"/>
  <c r="S205" i="15"/>
  <c r="R205" i="15"/>
  <c r="S204" i="15"/>
  <c r="R204" i="15"/>
  <c r="F215" i="15"/>
  <c r="F214" i="15"/>
  <c r="F213" i="15"/>
  <c r="F212" i="15"/>
  <c r="F211" i="15"/>
  <c r="F210" i="15"/>
  <c r="F209" i="15"/>
  <c r="F208" i="15"/>
  <c r="F207" i="15"/>
  <c r="L205" i="14"/>
  <c r="N205" i="14"/>
  <c r="O205" i="14"/>
  <c r="P205" i="14"/>
  <c r="Q205" i="14"/>
  <c r="R205" i="14"/>
  <c r="S205" i="14"/>
  <c r="R206" i="14"/>
  <c r="S206" i="14"/>
  <c r="R207" i="14"/>
  <c r="S207" i="14"/>
  <c r="R208" i="14"/>
  <c r="S208" i="14"/>
  <c r="R209" i="14"/>
  <c r="S209" i="14"/>
  <c r="R210" i="14"/>
  <c r="S210" i="14"/>
  <c r="R211" i="14"/>
  <c r="S211" i="14"/>
  <c r="R212" i="14"/>
  <c r="S212" i="14"/>
  <c r="R213" i="14"/>
  <c r="S213" i="14"/>
  <c r="R214" i="14"/>
  <c r="S214" i="14"/>
  <c r="R215" i="14"/>
  <c r="S215" i="14"/>
  <c r="R216" i="14"/>
  <c r="S216" i="14"/>
  <c r="R217" i="14"/>
  <c r="S217" i="14"/>
  <c r="S204" i="14"/>
  <c r="N204" i="16"/>
  <c r="R204" i="14"/>
  <c r="M204" i="16"/>
  <c r="L204" i="14"/>
  <c r="N204" i="14"/>
  <c r="O204" i="14"/>
  <c r="P204" i="14"/>
  <c r="Q204" i="14"/>
  <c r="Q215" i="14"/>
  <c r="P215" i="14"/>
  <c r="N215" i="14"/>
  <c r="M215" i="14"/>
  <c r="K215" i="14"/>
  <c r="J215" i="14"/>
  <c r="I215" i="14"/>
  <c r="H215" i="14"/>
  <c r="G215" i="14"/>
  <c r="Q214" i="14"/>
  <c r="N214" i="14"/>
  <c r="M214" i="14"/>
  <c r="K214" i="14"/>
  <c r="J214" i="14"/>
  <c r="I214" i="14"/>
  <c r="H214" i="14"/>
  <c r="G214" i="14"/>
  <c r="F213" i="14"/>
  <c r="F212" i="14"/>
  <c r="F211" i="14"/>
  <c r="F210" i="14"/>
  <c r="F209" i="14"/>
  <c r="F208" i="14"/>
  <c r="F207" i="14"/>
  <c r="L215" i="16"/>
  <c r="K215" i="16"/>
  <c r="J215" i="16"/>
  <c r="I215" i="16"/>
  <c r="H215" i="16"/>
  <c r="G215" i="16"/>
  <c r="F215" i="16"/>
  <c r="L214" i="16"/>
  <c r="K214" i="16"/>
  <c r="J214" i="16"/>
  <c r="I214" i="16"/>
  <c r="H214" i="16"/>
  <c r="G214" i="16"/>
  <c r="F214" i="16"/>
  <c r="N205" i="16"/>
  <c r="N206" i="16"/>
  <c r="N207" i="16"/>
  <c r="N208" i="16"/>
  <c r="N209" i="16"/>
  <c r="N210" i="16"/>
  <c r="N211" i="16"/>
  <c r="N212" i="16"/>
  <c r="N213" i="16"/>
  <c r="N214" i="16"/>
  <c r="N215" i="16"/>
  <c r="N216" i="16"/>
  <c r="N217" i="16"/>
  <c r="N186" i="16"/>
  <c r="M205" i="16"/>
  <c r="M206" i="16"/>
  <c r="M207" i="16"/>
  <c r="M208" i="16"/>
  <c r="M209" i="16"/>
  <c r="M210" i="16"/>
  <c r="M211" i="16"/>
  <c r="M212" i="16"/>
  <c r="M213" i="16"/>
  <c r="M214" i="16"/>
  <c r="M215" i="16"/>
  <c r="M216" i="16"/>
  <c r="M217" i="16"/>
  <c r="M186" i="16"/>
  <c r="L213" i="16"/>
  <c r="K213" i="16"/>
  <c r="J213" i="16"/>
  <c r="H213" i="16"/>
  <c r="G213" i="16"/>
  <c r="F213" i="16"/>
  <c r="L212" i="16"/>
  <c r="K212" i="16"/>
  <c r="J212" i="16"/>
  <c r="H212" i="16"/>
  <c r="G212" i="16"/>
  <c r="F212" i="16"/>
  <c r="L211" i="16"/>
  <c r="K211" i="16"/>
  <c r="J211" i="16"/>
  <c r="H211" i="16"/>
  <c r="G211" i="16"/>
  <c r="F211" i="16"/>
  <c r="L210" i="16"/>
  <c r="K210" i="16"/>
  <c r="J210" i="16"/>
  <c r="H210" i="16"/>
  <c r="G210" i="16"/>
  <c r="F210" i="16"/>
  <c r="L209" i="16"/>
  <c r="K209" i="16"/>
  <c r="J209" i="16"/>
  <c r="H209" i="16"/>
  <c r="G209" i="16"/>
  <c r="F209" i="16"/>
  <c r="L208" i="16"/>
  <c r="K208" i="16"/>
  <c r="J208" i="16"/>
  <c r="H208" i="16"/>
  <c r="G208" i="16"/>
  <c r="F208" i="16"/>
  <c r="L207" i="16"/>
  <c r="K207" i="16"/>
  <c r="J207" i="16"/>
  <c r="H207" i="16"/>
  <c r="G207" i="16"/>
  <c r="F207" i="16"/>
  <c r="I217" i="16" l="1"/>
  <c r="J217" i="16"/>
  <c r="G217" i="16"/>
  <c r="L217" i="16"/>
  <c r="K217" i="16"/>
  <c r="H217" i="16"/>
  <c r="K217" i="14"/>
  <c r="K217" i="15"/>
  <c r="L217" i="15"/>
  <c r="V52" i="25"/>
  <c r="V130" i="25" s="1"/>
  <c r="V55" i="25"/>
  <c r="V67" i="25"/>
  <c r="V72" i="25" s="1"/>
  <c r="V69" i="25"/>
  <c r="V74" i="25" s="1"/>
  <c r="V57" i="25"/>
  <c r="W57" i="25"/>
  <c r="W143" i="25"/>
  <c r="W149" i="25"/>
  <c r="W49" i="25"/>
  <c r="V50" i="25"/>
  <c r="W50" i="25"/>
  <c r="V27" i="25"/>
  <c r="V33" i="25" s="1"/>
  <c r="W34" i="25" s="1"/>
  <c r="F215" i="14"/>
  <c r="G217" i="14"/>
  <c r="M217" i="15"/>
  <c r="N217" i="15"/>
  <c r="G217" i="15"/>
  <c r="O217" i="15"/>
  <c r="H217" i="15"/>
  <c r="P217" i="15"/>
  <c r="I217" i="15"/>
  <c r="Q217" i="15"/>
  <c r="J217" i="15"/>
  <c r="N217" i="14"/>
  <c r="O217" i="14"/>
  <c r="L217" i="14"/>
  <c r="M217" i="14"/>
  <c r="H217" i="14"/>
  <c r="I217" i="14"/>
  <c r="Q217" i="14"/>
  <c r="J217" i="14"/>
  <c r="F217" i="16"/>
  <c r="V81" i="25" l="1"/>
  <c r="V111" i="25" s="1"/>
  <c r="V91" i="25"/>
  <c r="V101" i="25"/>
  <c r="W55" i="25"/>
  <c r="W67" i="25" s="1"/>
  <c r="W72" i="25" s="1"/>
  <c r="W58" i="25"/>
  <c r="W56" i="25"/>
  <c r="W68" i="25" s="1"/>
  <c r="W73" i="25" s="1"/>
  <c r="V79" i="25"/>
  <c r="V89" i="25"/>
  <c r="V99" i="25"/>
  <c r="V56" i="25"/>
  <c r="W69" i="25"/>
  <c r="W74" i="25" s="1"/>
  <c r="W131" i="25"/>
  <c r="V138" i="25"/>
  <c r="F217" i="15"/>
  <c r="V116" i="25" l="1"/>
  <c r="V137" i="25" s="1"/>
  <c r="W80" i="25"/>
  <c r="W90" i="25"/>
  <c r="W100" i="25"/>
  <c r="W110" i="25"/>
  <c r="W79" i="25"/>
  <c r="W89" i="25"/>
  <c r="W99" i="25"/>
  <c r="V143" i="25"/>
  <c r="V149" i="25"/>
  <c r="V109" i="25"/>
  <c r="W81" i="25"/>
  <c r="W111" i="25" s="1"/>
  <c r="W91" i="25"/>
  <c r="W101" i="25"/>
  <c r="V68" i="25"/>
  <c r="V73" i="25" s="1"/>
  <c r="W92" i="25" l="1"/>
  <c r="W82" i="25"/>
  <c r="W116" i="25"/>
  <c r="W127" i="25"/>
  <c r="V142" i="25"/>
  <c r="V148" i="25"/>
  <c r="V90" i="25"/>
  <c r="V110" i="25" s="1"/>
  <c r="V100" i="25"/>
  <c r="V80" i="25"/>
  <c r="W109" i="25"/>
  <c r="W137" i="25"/>
  <c r="V127" i="25"/>
  <c r="V114" i="25"/>
  <c r="V125" i="25"/>
  <c r="W115" i="25"/>
  <c r="W136" i="25" s="1"/>
  <c r="V115" i="25" l="1"/>
  <c r="V126" i="25" s="1"/>
  <c r="V135" i="25"/>
  <c r="W141" i="25"/>
  <c r="W147" i="25"/>
  <c r="W148" i="25"/>
  <c r="W142" i="25"/>
  <c r="W114" i="25"/>
  <c r="W135" i="25" s="1"/>
  <c r="W126" i="25"/>
  <c r="W140" i="25" l="1"/>
  <c r="W146" i="25"/>
  <c r="V146" i="25"/>
  <c r="V140" i="25"/>
  <c r="V136" i="25"/>
  <c r="W117" i="25"/>
  <c r="W159" i="25" s="1"/>
  <c r="W125" i="25"/>
  <c r="V141" i="25" l="1"/>
  <c r="V147" i="25"/>
  <c r="W150" i="25"/>
  <c r="V153" i="25" s="1"/>
  <c r="D37" i="31" l="1"/>
  <c r="E37" i="31"/>
  <c r="G37" i="31"/>
  <c r="H37" i="31"/>
  <c r="J37" i="31"/>
  <c r="C37" i="31"/>
  <c r="F129" i="32" s="1"/>
  <c r="G205" i="15" s="1"/>
  <c r="D55" i="31"/>
  <c r="F196" i="32" s="1"/>
  <c r="E55" i="31"/>
  <c r="G55" i="31"/>
  <c r="H55" i="31"/>
  <c r="J193" i="32" s="1"/>
  <c r="I19" i="31"/>
  <c r="J55" i="31"/>
  <c r="K55" i="31"/>
  <c r="C55" i="31"/>
  <c r="C19" i="31" s="1"/>
  <c r="D73" i="31"/>
  <c r="F258" i="32" s="1"/>
  <c r="E73" i="31"/>
  <c r="G73" i="31"/>
  <c r="H70" i="30" s="1"/>
  <c r="H73" i="31"/>
  <c r="J261" i="32" s="1"/>
  <c r="L261" i="32"/>
  <c r="K73" i="31"/>
  <c r="L73" i="31"/>
  <c r="M73" i="31"/>
  <c r="N73" i="31"/>
  <c r="O73" i="31"/>
  <c r="P73" i="31"/>
  <c r="Q73" i="31"/>
  <c r="K70" i="30"/>
  <c r="C73" i="31"/>
  <c r="J258" i="32"/>
  <c r="O262" i="32"/>
  <c r="N262" i="32"/>
  <c r="M262" i="32"/>
  <c r="K262" i="32"/>
  <c r="G261" i="32"/>
  <c r="E260" i="32"/>
  <c r="G259" i="32"/>
  <c r="G258" i="32"/>
  <c r="J196" i="32"/>
  <c r="O197" i="32"/>
  <c r="N197" i="32"/>
  <c r="M197" i="32"/>
  <c r="K197" i="32"/>
  <c r="G196" i="32"/>
  <c r="E195" i="32"/>
  <c r="G194" i="32"/>
  <c r="G193" i="32"/>
  <c r="O132" i="32"/>
  <c r="N132" i="32"/>
  <c r="M132" i="32"/>
  <c r="K132" i="32"/>
  <c r="G131" i="32"/>
  <c r="H205" i="14" s="1"/>
  <c r="E130" i="32"/>
  <c r="G129" i="32"/>
  <c r="H205" i="15" s="1"/>
  <c r="G128" i="32"/>
  <c r="O67" i="32"/>
  <c r="N67" i="32"/>
  <c r="M67" i="32"/>
  <c r="K67" i="32"/>
  <c r="G66" i="32"/>
  <c r="H204" i="14" s="1"/>
  <c r="E65" i="32"/>
  <c r="G64" i="32"/>
  <c r="H204" i="15" s="1"/>
  <c r="G63" i="32"/>
  <c r="H204" i="2" s="1"/>
  <c r="J53" i="30"/>
  <c r="G36" i="30"/>
  <c r="F70" i="30"/>
  <c r="F53" i="30"/>
  <c r="C89" i="31"/>
  <c r="B89" i="31"/>
  <c r="Q55" i="31"/>
  <c r="P55" i="31"/>
  <c r="O55" i="31"/>
  <c r="N55" i="31"/>
  <c r="M55" i="31"/>
  <c r="L55" i="31"/>
  <c r="W37" i="31"/>
  <c r="W19" i="31"/>
  <c r="G19" i="31"/>
  <c r="E19" i="31"/>
  <c r="Q215" i="2"/>
  <c r="P215" i="2"/>
  <c r="O215" i="2"/>
  <c r="N215" i="2"/>
  <c r="M215" i="2"/>
  <c r="K215" i="2"/>
  <c r="I215" i="2"/>
  <c r="H215" i="2"/>
  <c r="G215" i="2"/>
  <c r="Q214" i="2"/>
  <c r="O214" i="2"/>
  <c r="N214" i="2"/>
  <c r="M214" i="2"/>
  <c r="K214" i="2"/>
  <c r="K217" i="2" s="1"/>
  <c r="I214" i="2"/>
  <c r="H214" i="2"/>
  <c r="G214" i="2"/>
  <c r="G217" i="2" s="1"/>
  <c r="F213" i="2"/>
  <c r="F212" i="2"/>
  <c r="F211" i="2"/>
  <c r="F210" i="2"/>
  <c r="F209" i="2"/>
  <c r="F208" i="2"/>
  <c r="F207" i="2"/>
  <c r="AA66" i="13" s="1"/>
  <c r="M6" i="23"/>
  <c r="M9" i="23" s="1"/>
  <c r="M66" i="13"/>
  <c r="T64" i="13"/>
  <c r="X66" i="13"/>
  <c r="G52" i="30"/>
  <c r="J19" i="30" l="1"/>
  <c r="J204" i="16" s="1"/>
  <c r="F19" i="30"/>
  <c r="F259" i="32"/>
  <c r="K53" i="30"/>
  <c r="L70" i="30"/>
  <c r="J128" i="32"/>
  <c r="K205" i="2" s="1"/>
  <c r="G53" i="30"/>
  <c r="F194" i="32"/>
  <c r="D19" i="31"/>
  <c r="G19" i="30" s="1"/>
  <c r="G204" i="16" s="1"/>
  <c r="H53" i="30"/>
  <c r="J194" i="32"/>
  <c r="L131" i="32"/>
  <c r="M205" i="14" s="1"/>
  <c r="H19" i="31"/>
  <c r="J64" i="32" s="1"/>
  <c r="K204" i="15" s="1"/>
  <c r="F193" i="32"/>
  <c r="F197" i="32" s="1"/>
  <c r="J131" i="32"/>
  <c r="K205" i="14" s="1"/>
  <c r="I53" i="30"/>
  <c r="L193" i="32"/>
  <c r="O217" i="2"/>
  <c r="F215" i="2"/>
  <c r="N217" i="2"/>
  <c r="G262" i="32"/>
  <c r="G132" i="32"/>
  <c r="H205" i="2"/>
  <c r="G197" i="32"/>
  <c r="L128" i="32"/>
  <c r="M205" i="2" s="1"/>
  <c r="I36" i="30"/>
  <c r="J129" i="32"/>
  <c r="K205" i="15" s="1"/>
  <c r="J36" i="30"/>
  <c r="L129" i="32"/>
  <c r="M205" i="15" s="1"/>
  <c r="H36" i="30"/>
  <c r="F36" i="30"/>
  <c r="L36" i="30"/>
  <c r="K36" i="30"/>
  <c r="F131" i="32"/>
  <c r="G205" i="14" s="1"/>
  <c r="F128" i="32"/>
  <c r="I19" i="30"/>
  <c r="I204" i="16" s="1"/>
  <c r="L66" i="32"/>
  <c r="M204" i="14" s="1"/>
  <c r="L64" i="32"/>
  <c r="M204" i="15" s="1"/>
  <c r="L194" i="32"/>
  <c r="F66" i="32"/>
  <c r="G204" i="14" s="1"/>
  <c r="L53" i="30"/>
  <c r="L196" i="32"/>
  <c r="J63" i="32"/>
  <c r="K204" i="2" s="1"/>
  <c r="H19" i="30"/>
  <c r="H204" i="16" s="1"/>
  <c r="L63" i="32"/>
  <c r="F64" i="32"/>
  <c r="J197" i="32"/>
  <c r="K19" i="30"/>
  <c r="K204" i="16" s="1"/>
  <c r="L258" i="32"/>
  <c r="E258" i="32" s="1"/>
  <c r="F261" i="32"/>
  <c r="F262" i="32" s="1"/>
  <c r="J259" i="32"/>
  <c r="J262" i="32" s="1"/>
  <c r="G70" i="30"/>
  <c r="L259" i="32"/>
  <c r="I70" i="30"/>
  <c r="G67" i="32"/>
  <c r="L217" i="2"/>
  <c r="M217" i="2"/>
  <c r="H217" i="2"/>
  <c r="I217" i="2"/>
  <c r="Q217" i="2"/>
  <c r="J217" i="2"/>
  <c r="M18" i="23"/>
  <c r="M12" i="23"/>
  <c r="M15" i="23" s="1"/>
  <c r="M7" i="23"/>
  <c r="M10" i="23" s="1"/>
  <c r="B61" i="27"/>
  <c r="B60" i="27"/>
  <c r="B59" i="27"/>
  <c r="B58" i="27"/>
  <c r="B57" i="27"/>
  <c r="B56" i="27"/>
  <c r="B55" i="27"/>
  <c r="J66" i="32" l="1"/>
  <c r="J67" i="32" s="1"/>
  <c r="L19" i="30"/>
  <c r="L204" i="16" s="1"/>
  <c r="F63" i="32"/>
  <c r="G204" i="2" s="1"/>
  <c r="L132" i="32"/>
  <c r="L262" i="32"/>
  <c r="F205" i="15"/>
  <c r="L67" i="32"/>
  <c r="M204" i="2"/>
  <c r="E193" i="32"/>
  <c r="E194" i="32"/>
  <c r="L197" i="32"/>
  <c r="F67" i="32"/>
  <c r="G204" i="15"/>
  <c r="E128" i="32"/>
  <c r="G205" i="2"/>
  <c r="E129" i="32"/>
  <c r="J132" i="32"/>
  <c r="F132" i="32"/>
  <c r="E63" i="32"/>
  <c r="E64" i="32"/>
  <c r="E259" i="32"/>
  <c r="M19" i="23"/>
  <c r="M21" i="23" s="1"/>
  <c r="M13" i="23"/>
  <c r="M16" i="23" s="1"/>
  <c r="K204" i="14" l="1"/>
  <c r="F204" i="15"/>
  <c r="C30" i="27"/>
  <c r="L52" i="4" l="1"/>
  <c r="L51" i="4"/>
  <c r="X9" i="25"/>
  <c r="B24" i="25" l="1"/>
  <c r="E26" i="27"/>
  <c r="F26" i="27"/>
  <c r="G26" i="27"/>
  <c r="H26" i="27"/>
  <c r="I26" i="27"/>
  <c r="D26" i="27"/>
  <c r="D6" i="23" l="1"/>
  <c r="C6" i="23"/>
  <c r="E6" i="23"/>
  <c r="F6" i="23"/>
  <c r="G6" i="23"/>
  <c r="H6" i="23"/>
  <c r="I6" i="23"/>
  <c r="J6" i="23"/>
  <c r="K6" i="23"/>
  <c r="L6" i="23"/>
  <c r="B6" i="23"/>
  <c r="M58" i="4"/>
  <c r="M48" i="4"/>
  <c r="M30" i="4"/>
  <c r="J7" i="23" l="1"/>
  <c r="J10" i="23" s="1"/>
  <c r="J13" i="23" s="1"/>
  <c r="J16" i="23" s="1"/>
  <c r="S26" i="25"/>
  <c r="S25" i="25"/>
  <c r="S24" i="25"/>
  <c r="S46" i="25"/>
  <c r="S45" i="25"/>
  <c r="S44" i="25"/>
  <c r="S27" i="25"/>
  <c r="S43" i="25"/>
  <c r="G7" i="23"/>
  <c r="G10" i="23" s="1"/>
  <c r="G13" i="23" s="1"/>
  <c r="G16" i="23" s="1"/>
  <c r="M45" i="25"/>
  <c r="M44" i="25"/>
  <c r="M26" i="25"/>
  <c r="M25" i="25"/>
  <c r="M24" i="25"/>
  <c r="F9" i="23"/>
  <c r="E7" i="23"/>
  <c r="E10" i="23" s="1"/>
  <c r="E13" i="23" s="1"/>
  <c r="E16" i="23" s="1"/>
  <c r="I45" i="25"/>
  <c r="I44" i="25"/>
  <c r="I43" i="25"/>
  <c r="I27" i="25"/>
  <c r="I46" i="25"/>
  <c r="I25" i="25"/>
  <c r="I24" i="25"/>
  <c r="C7" i="23"/>
  <c r="C10" i="23" s="1"/>
  <c r="C13" i="23" s="1"/>
  <c r="C16" i="23" s="1"/>
  <c r="E45" i="25"/>
  <c r="E44" i="25"/>
  <c r="E26" i="25"/>
  <c r="E24" i="25"/>
  <c r="I7" i="23"/>
  <c r="I10" i="23" s="1"/>
  <c r="I13" i="23" s="1"/>
  <c r="I16" i="23" s="1"/>
  <c r="H7" i="23"/>
  <c r="H10" i="23" s="1"/>
  <c r="H13" i="23" s="1"/>
  <c r="H16" i="23" s="1"/>
  <c r="O26" i="25"/>
  <c r="O25" i="25"/>
  <c r="O24" i="25"/>
  <c r="O46" i="25"/>
  <c r="O44" i="25"/>
  <c r="O27" i="25"/>
  <c r="O43" i="25"/>
  <c r="B9" i="23"/>
  <c r="C24" i="25"/>
  <c r="C43" i="25"/>
  <c r="L7" i="23"/>
  <c r="L10" i="23" s="1"/>
  <c r="O66" i="13"/>
  <c r="G63" i="13"/>
  <c r="Y26" i="25"/>
  <c r="Y25" i="25"/>
  <c r="Y24" i="25"/>
  <c r="Y45" i="25"/>
  <c r="Y44" i="25"/>
  <c r="Y43" i="25"/>
  <c r="Y27" i="25"/>
  <c r="K7" i="23"/>
  <c r="K10" i="23" s="1"/>
  <c r="K13" i="23" s="1"/>
  <c r="K16" i="23" s="1"/>
  <c r="U27" i="25"/>
  <c r="D9" i="23"/>
  <c r="G25" i="25"/>
  <c r="F7" i="23"/>
  <c r="F10" i="23" s="1"/>
  <c r="E9" i="23"/>
  <c r="B7" i="23"/>
  <c r="B10" i="23" s="1"/>
  <c r="B13" i="23" s="1"/>
  <c r="L9" i="23"/>
  <c r="K9" i="23"/>
  <c r="J9" i="23"/>
  <c r="I9" i="23"/>
  <c r="H9" i="23"/>
  <c r="G9" i="23"/>
  <c r="C9" i="23"/>
  <c r="D7" i="23"/>
  <c r="D10" i="23" s="1"/>
  <c r="K27" i="25" l="1"/>
  <c r="C44" i="25"/>
  <c r="Q26" i="25"/>
  <c r="K44" i="25"/>
  <c r="K65" i="13"/>
  <c r="K66" i="13" s="1"/>
  <c r="J66" i="13"/>
  <c r="C45" i="25"/>
  <c r="B15" i="23"/>
  <c r="B12" i="23"/>
  <c r="Q27" i="25"/>
  <c r="E25" i="25"/>
  <c r="K45" i="25"/>
  <c r="G44" i="25"/>
  <c r="U44" i="25"/>
  <c r="Q43" i="25"/>
  <c r="K46" i="25"/>
  <c r="Q25" i="25"/>
  <c r="G43" i="25"/>
  <c r="U43" i="25"/>
  <c r="G27" i="25"/>
  <c r="U46" i="25"/>
  <c r="U24" i="25"/>
  <c r="U45" i="25"/>
  <c r="C46" i="25"/>
  <c r="Q44" i="25"/>
  <c r="E46" i="25"/>
  <c r="K24" i="25"/>
  <c r="G26" i="25"/>
  <c r="G45" i="25"/>
  <c r="U25" i="25"/>
  <c r="Y46" i="25"/>
  <c r="P66" i="13"/>
  <c r="C26" i="25"/>
  <c r="Q46" i="25"/>
  <c r="E27" i="25"/>
  <c r="M27" i="25"/>
  <c r="G46" i="25"/>
  <c r="C25" i="25"/>
  <c r="Q45" i="25"/>
  <c r="K25" i="25"/>
  <c r="M46" i="25"/>
  <c r="G24" i="25"/>
  <c r="U26" i="25"/>
  <c r="L13" i="23"/>
  <c r="L16" i="23" s="1"/>
  <c r="W66" i="13"/>
  <c r="C27" i="25"/>
  <c r="O45" i="25"/>
  <c r="Q24" i="25"/>
  <c r="E43" i="25"/>
  <c r="I26" i="25"/>
  <c r="K43" i="25"/>
  <c r="K26" i="25"/>
  <c r="M43" i="25"/>
  <c r="F13" i="23"/>
  <c r="F16" i="23" s="1"/>
  <c r="D13" i="23"/>
  <c r="D16" i="23" s="1"/>
  <c r="B16" i="23"/>
  <c r="M80" i="4"/>
  <c r="M10" i="4"/>
  <c r="Q35" i="4"/>
  <c r="Q37" i="4" s="1"/>
  <c r="Q17" i="4"/>
  <c r="R36" i="4" l="1"/>
  <c r="L33" i="4" s="1"/>
  <c r="B52" i="4"/>
  <c r="R35" i="4"/>
  <c r="L35" i="4" s="1"/>
  <c r="Q19" i="4"/>
  <c r="R17" i="4" s="1"/>
  <c r="L17" i="4" s="1"/>
  <c r="E52" i="4" l="1"/>
  <c r="F52" i="4"/>
  <c r="I52" i="4"/>
  <c r="J52" i="4"/>
  <c r="C52" i="4"/>
  <c r="K52" i="4"/>
  <c r="D52" i="4"/>
  <c r="M52" i="4"/>
  <c r="G52" i="4"/>
  <c r="H52" i="4"/>
  <c r="R18" i="4"/>
  <c r="L15" i="4" s="1"/>
  <c r="F51" i="4" l="1"/>
  <c r="G51" i="4"/>
  <c r="C51" i="4"/>
  <c r="D51" i="4"/>
  <c r="E51" i="4"/>
  <c r="H51" i="4"/>
  <c r="M51" i="4"/>
  <c r="I51" i="4"/>
  <c r="J51" i="4"/>
  <c r="K51" i="4"/>
  <c r="B51" i="4"/>
  <c r="L186" i="14" l="1"/>
  <c r="N186" i="14"/>
  <c r="O186" i="14"/>
  <c r="P186" i="14"/>
  <c r="Q186" i="14"/>
  <c r="L168" i="14"/>
  <c r="N168" i="14"/>
  <c r="O168" i="14"/>
  <c r="P168" i="14"/>
  <c r="Q168" i="14"/>
  <c r="L150" i="14"/>
  <c r="N150" i="14"/>
  <c r="O150" i="14"/>
  <c r="P150" i="14"/>
  <c r="Q150" i="14"/>
  <c r="L132" i="14"/>
  <c r="N132" i="14"/>
  <c r="O132" i="14"/>
  <c r="P132" i="14"/>
  <c r="Q132" i="14"/>
  <c r="L114" i="14"/>
  <c r="N114" i="14"/>
  <c r="O114" i="14"/>
  <c r="P114" i="14"/>
  <c r="Q114" i="14"/>
  <c r="L96" i="14"/>
  <c r="N96" i="14"/>
  <c r="O96" i="14"/>
  <c r="P96" i="14"/>
  <c r="Q96" i="14"/>
  <c r="L78" i="14"/>
  <c r="N78" i="14"/>
  <c r="O78" i="14"/>
  <c r="P78" i="14"/>
  <c r="Q78" i="14"/>
  <c r="L60" i="14"/>
  <c r="N60" i="14"/>
  <c r="O60" i="14"/>
  <c r="P60" i="14"/>
  <c r="Q60" i="14"/>
  <c r="L42" i="14"/>
  <c r="N42" i="14"/>
  <c r="O42" i="14"/>
  <c r="P42" i="14"/>
  <c r="Q42" i="14"/>
  <c r="L24" i="14"/>
  <c r="N24" i="14"/>
  <c r="O24" i="14"/>
  <c r="P24" i="14"/>
  <c r="Q24" i="14"/>
  <c r="L6" i="14"/>
  <c r="N6" i="14"/>
  <c r="O6" i="14"/>
  <c r="P6" i="14"/>
  <c r="Q6" i="14"/>
  <c r="I24" i="15"/>
  <c r="J24" i="15"/>
  <c r="I42" i="15"/>
  <c r="J42" i="15"/>
  <c r="I60" i="15"/>
  <c r="J60" i="15"/>
  <c r="I78" i="15"/>
  <c r="J78" i="15"/>
  <c r="I96" i="15"/>
  <c r="J96" i="15"/>
  <c r="I114" i="15"/>
  <c r="J114" i="15"/>
  <c r="I132" i="15"/>
  <c r="J132" i="15"/>
  <c r="I150" i="15"/>
  <c r="J150" i="15"/>
  <c r="I168" i="15"/>
  <c r="J168" i="15"/>
  <c r="I186" i="15"/>
  <c r="J186" i="15"/>
  <c r="L24" i="15"/>
  <c r="L42" i="15"/>
  <c r="L60" i="15"/>
  <c r="L78" i="15"/>
  <c r="L96" i="15"/>
  <c r="L114" i="15"/>
  <c r="L132" i="15"/>
  <c r="L150" i="15"/>
  <c r="L168" i="15"/>
  <c r="L186" i="15"/>
  <c r="N186" i="15"/>
  <c r="O186" i="15"/>
  <c r="P186" i="15"/>
  <c r="Q186" i="15"/>
  <c r="N168" i="15"/>
  <c r="O168" i="15"/>
  <c r="P168" i="15"/>
  <c r="Q168" i="15"/>
  <c r="N150" i="15"/>
  <c r="O150" i="15"/>
  <c r="P150" i="15"/>
  <c r="Q150" i="15"/>
  <c r="N132" i="15"/>
  <c r="O132" i="15"/>
  <c r="P132" i="15"/>
  <c r="Q132" i="15"/>
  <c r="N114" i="15"/>
  <c r="O114" i="15"/>
  <c r="P114" i="15"/>
  <c r="Q114" i="15"/>
  <c r="N96" i="15"/>
  <c r="O96" i="15"/>
  <c r="P96" i="15"/>
  <c r="Q96" i="15"/>
  <c r="N78" i="15"/>
  <c r="O78" i="15"/>
  <c r="P78" i="15"/>
  <c r="Q78" i="15"/>
  <c r="N60" i="15"/>
  <c r="O60" i="15"/>
  <c r="P60" i="15"/>
  <c r="Q60" i="15"/>
  <c r="N42" i="15"/>
  <c r="O42" i="15"/>
  <c r="P42" i="15"/>
  <c r="Q42" i="15"/>
  <c r="N24" i="15"/>
  <c r="O24" i="15"/>
  <c r="P24" i="15"/>
  <c r="Q24" i="15"/>
  <c r="N6" i="15"/>
  <c r="P6" i="15"/>
  <c r="I186" i="2"/>
  <c r="J186" i="2"/>
  <c r="L186" i="2"/>
  <c r="N186" i="2"/>
  <c r="O186" i="2"/>
  <c r="P186" i="2"/>
  <c r="Q186" i="2"/>
  <c r="I168" i="2"/>
  <c r="J168" i="2"/>
  <c r="L168" i="2"/>
  <c r="N168" i="2"/>
  <c r="O168" i="2"/>
  <c r="P168" i="2"/>
  <c r="Q168" i="2"/>
  <c r="I150" i="2"/>
  <c r="J150" i="2"/>
  <c r="L150" i="2"/>
  <c r="N150" i="2"/>
  <c r="O150" i="2"/>
  <c r="P150" i="2"/>
  <c r="Q150" i="2"/>
  <c r="I132" i="2"/>
  <c r="J132" i="2"/>
  <c r="L132" i="2"/>
  <c r="N132" i="2"/>
  <c r="O132" i="2"/>
  <c r="P132" i="2"/>
  <c r="Q132" i="2"/>
  <c r="I114" i="2"/>
  <c r="J114" i="2"/>
  <c r="L114" i="2"/>
  <c r="N114" i="2"/>
  <c r="O114" i="2"/>
  <c r="P114" i="2"/>
  <c r="Q114" i="2"/>
  <c r="I96" i="2"/>
  <c r="J96" i="2"/>
  <c r="L96" i="2"/>
  <c r="N96" i="2"/>
  <c r="O96" i="2"/>
  <c r="P96" i="2"/>
  <c r="Q96" i="2"/>
  <c r="I78" i="2"/>
  <c r="J78" i="2"/>
  <c r="L78" i="2"/>
  <c r="N78" i="2"/>
  <c r="O78" i="2"/>
  <c r="P78" i="2"/>
  <c r="Q78" i="2"/>
  <c r="I60" i="2"/>
  <c r="J60" i="2"/>
  <c r="L60" i="2"/>
  <c r="N60" i="2"/>
  <c r="O60" i="2"/>
  <c r="P60" i="2"/>
  <c r="Q60" i="2"/>
  <c r="I42" i="2"/>
  <c r="J42" i="2"/>
  <c r="L42" i="2"/>
  <c r="N42" i="2"/>
  <c r="O42" i="2"/>
  <c r="P42" i="2"/>
  <c r="Q42" i="2"/>
  <c r="I6" i="2"/>
  <c r="J6" i="2"/>
  <c r="L6" i="2"/>
  <c r="N6" i="2"/>
  <c r="O6" i="2"/>
  <c r="P6" i="2"/>
  <c r="Q6" i="2"/>
  <c r="G100" i="16"/>
  <c r="H100" i="16"/>
  <c r="J100" i="16"/>
  <c r="K100" i="16"/>
  <c r="L100" i="16"/>
  <c r="F100" i="16"/>
  <c r="L61" i="32" l="1"/>
  <c r="M186" i="14" s="1"/>
  <c r="F61" i="32"/>
  <c r="G186" i="14" s="1"/>
  <c r="L59" i="32"/>
  <c r="M186" i="15" s="1"/>
  <c r="F59" i="32"/>
  <c r="G186" i="15" s="1"/>
  <c r="L58" i="32"/>
  <c r="M186" i="2" s="1"/>
  <c r="F58" i="32"/>
  <c r="F48" i="32"/>
  <c r="G150" i="2" s="1"/>
  <c r="O62" i="32"/>
  <c r="N62" i="32"/>
  <c r="M62" i="32"/>
  <c r="K62" i="32"/>
  <c r="O57" i="32"/>
  <c r="N57" i="32"/>
  <c r="M57" i="32"/>
  <c r="K57" i="32"/>
  <c r="O52" i="32"/>
  <c r="N52" i="32"/>
  <c r="M52" i="32"/>
  <c r="K52" i="32"/>
  <c r="G61" i="32"/>
  <c r="H186" i="14" s="1"/>
  <c r="E60" i="32"/>
  <c r="G59" i="32"/>
  <c r="H186" i="15" s="1"/>
  <c r="G58" i="32"/>
  <c r="H186" i="2" s="1"/>
  <c r="G56" i="32"/>
  <c r="H168" i="14" s="1"/>
  <c r="E55" i="32"/>
  <c r="G54" i="32"/>
  <c r="H168" i="15" s="1"/>
  <c r="G53" i="32"/>
  <c r="H168" i="2" s="1"/>
  <c r="G51" i="32"/>
  <c r="H150" i="14" s="1"/>
  <c r="E50" i="32"/>
  <c r="G49" i="32"/>
  <c r="H150" i="15" s="1"/>
  <c r="G48" i="32"/>
  <c r="O47" i="32"/>
  <c r="N47" i="32"/>
  <c r="M47" i="32"/>
  <c r="K47" i="32"/>
  <c r="O42" i="32"/>
  <c r="N42" i="32"/>
  <c r="M42" i="32"/>
  <c r="K42" i="32"/>
  <c r="O37" i="32"/>
  <c r="N37" i="32"/>
  <c r="M37" i="32"/>
  <c r="K37" i="32"/>
  <c r="O32" i="32"/>
  <c r="N32" i="32"/>
  <c r="M32" i="32"/>
  <c r="K32" i="32"/>
  <c r="O27" i="32"/>
  <c r="N27" i="32"/>
  <c r="M27" i="32"/>
  <c r="K27" i="32"/>
  <c r="J26" i="32"/>
  <c r="K60" i="14" s="1"/>
  <c r="O22" i="32"/>
  <c r="N22" i="32"/>
  <c r="M22" i="32"/>
  <c r="K22" i="32"/>
  <c r="O17" i="32"/>
  <c r="N17" i="32"/>
  <c r="M17" i="32"/>
  <c r="K17" i="32"/>
  <c r="O12" i="32"/>
  <c r="N12" i="32"/>
  <c r="M12" i="32"/>
  <c r="K12" i="32"/>
  <c r="G46" i="32"/>
  <c r="H132" i="14" s="1"/>
  <c r="E45" i="32"/>
  <c r="G44" i="32"/>
  <c r="H132" i="15" s="1"/>
  <c r="G43" i="32"/>
  <c r="G41" i="32"/>
  <c r="E40" i="32"/>
  <c r="G39" i="32"/>
  <c r="H114" i="15" s="1"/>
  <c r="G38" i="32"/>
  <c r="H114" i="2" s="1"/>
  <c r="G36" i="32"/>
  <c r="H96" i="14" s="1"/>
  <c r="E35" i="32"/>
  <c r="G34" i="32"/>
  <c r="G33" i="32"/>
  <c r="H96" i="2" s="1"/>
  <c r="G31" i="32"/>
  <c r="H78" i="14" s="1"/>
  <c r="E30" i="32"/>
  <c r="G29" i="32"/>
  <c r="H78" i="15" s="1"/>
  <c r="G28" i="32"/>
  <c r="G26" i="32"/>
  <c r="H60" i="14" s="1"/>
  <c r="E25" i="32"/>
  <c r="G24" i="32"/>
  <c r="H60" i="15" s="1"/>
  <c r="G23" i="32"/>
  <c r="G21" i="32"/>
  <c r="H42" i="14" s="1"/>
  <c r="E20" i="32"/>
  <c r="G19" i="32"/>
  <c r="H42" i="15" s="1"/>
  <c r="G18" i="32"/>
  <c r="G16" i="32"/>
  <c r="H24" i="14" s="1"/>
  <c r="E15" i="32"/>
  <c r="G14" i="32"/>
  <c r="H24" i="15" s="1"/>
  <c r="G13" i="32"/>
  <c r="H24" i="2" s="1"/>
  <c r="G11" i="32"/>
  <c r="H6" i="14" s="1"/>
  <c r="E10" i="32"/>
  <c r="G9" i="32"/>
  <c r="H6" i="15" s="1"/>
  <c r="G8" i="32"/>
  <c r="H6" i="2" s="1"/>
  <c r="L18" i="30"/>
  <c r="L186" i="16" s="1"/>
  <c r="J18" i="30"/>
  <c r="J186" i="16" s="1"/>
  <c r="I18" i="30"/>
  <c r="I186" i="16" s="1"/>
  <c r="H18" i="30"/>
  <c r="H186" i="16" s="1"/>
  <c r="F18" i="30"/>
  <c r="F16" i="30"/>
  <c r="J44" i="31"/>
  <c r="J45" i="31"/>
  <c r="J46" i="31"/>
  <c r="J47" i="31"/>
  <c r="J48" i="31"/>
  <c r="J50" i="31"/>
  <c r="J51" i="31"/>
  <c r="J52" i="31"/>
  <c r="J53" i="31"/>
  <c r="F51" i="31"/>
  <c r="C9" i="31"/>
  <c r="F13" i="32" s="1"/>
  <c r="G24" i="2" s="1"/>
  <c r="D9" i="31"/>
  <c r="F16" i="32" s="1"/>
  <c r="G24" i="14" s="1"/>
  <c r="E9" i="31"/>
  <c r="G9" i="31"/>
  <c r="H9" i="31"/>
  <c r="J16" i="32" s="1"/>
  <c r="K24" i="14" s="1"/>
  <c r="I9" i="31"/>
  <c r="L13" i="32" s="1"/>
  <c r="M24" i="2" s="1"/>
  <c r="C10" i="31"/>
  <c r="F10" i="30" s="1"/>
  <c r="D10" i="31"/>
  <c r="F21" i="32" s="1"/>
  <c r="G42" i="14" s="1"/>
  <c r="E10" i="31"/>
  <c r="G10" i="31"/>
  <c r="H10" i="31"/>
  <c r="J21" i="32" s="1"/>
  <c r="K42" i="14" s="1"/>
  <c r="I10" i="31"/>
  <c r="C11" i="31"/>
  <c r="F11" i="30" s="1"/>
  <c r="D11" i="31"/>
  <c r="F26" i="32" s="1"/>
  <c r="E11" i="31"/>
  <c r="G11" i="31"/>
  <c r="H11" i="31"/>
  <c r="I11" i="31"/>
  <c r="C12" i="31"/>
  <c r="K12" i="30" s="1"/>
  <c r="K78" i="16" s="1"/>
  <c r="D12" i="31"/>
  <c r="E12" i="31"/>
  <c r="G12" i="31"/>
  <c r="H12" i="30" s="1"/>
  <c r="H78" i="16" s="1"/>
  <c r="H12" i="31"/>
  <c r="J28" i="32" s="1"/>
  <c r="I12" i="31"/>
  <c r="C13" i="31"/>
  <c r="D13" i="31"/>
  <c r="E13" i="31"/>
  <c r="G13" i="31"/>
  <c r="H13" i="31"/>
  <c r="J36" i="32" s="1"/>
  <c r="K96" i="14" s="1"/>
  <c r="I13" i="31"/>
  <c r="L34" i="32" s="1"/>
  <c r="M96" i="15" s="1"/>
  <c r="J13" i="30"/>
  <c r="J96" i="16" s="1"/>
  <c r="C14" i="31"/>
  <c r="F14" i="30" s="1"/>
  <c r="D14" i="31"/>
  <c r="E14" i="31"/>
  <c r="G14" i="31"/>
  <c r="H14" i="30" s="1"/>
  <c r="H114" i="16" s="1"/>
  <c r="H14" i="31"/>
  <c r="J41" i="32" s="1"/>
  <c r="K114" i="14" s="1"/>
  <c r="I14" i="31"/>
  <c r="L41" i="32" s="1"/>
  <c r="M114" i="14" s="1"/>
  <c r="C15" i="31"/>
  <c r="D15" i="31"/>
  <c r="F46" i="32" s="1"/>
  <c r="G132" i="14" s="1"/>
  <c r="E15" i="31"/>
  <c r="G15" i="31"/>
  <c r="H15" i="31"/>
  <c r="I15" i="31"/>
  <c r="C16" i="31"/>
  <c r="J16" i="30" s="1"/>
  <c r="J150" i="16" s="1"/>
  <c r="D16" i="31"/>
  <c r="L16" i="30" s="1"/>
  <c r="L150" i="16" s="1"/>
  <c r="E16" i="31"/>
  <c r="G16" i="31"/>
  <c r="H16" i="30" s="1"/>
  <c r="H150" i="16" s="1"/>
  <c r="H16" i="31"/>
  <c r="I16" i="31"/>
  <c r="C17" i="31"/>
  <c r="J17" i="30" s="1"/>
  <c r="J168" i="16" s="1"/>
  <c r="D17" i="31"/>
  <c r="F53" i="32" s="1"/>
  <c r="G168" i="2" s="1"/>
  <c r="E17" i="31"/>
  <c r="G17" i="30" s="1"/>
  <c r="G168" i="16" s="1"/>
  <c r="G17" i="31"/>
  <c r="H17" i="30" s="1"/>
  <c r="H168" i="16" s="1"/>
  <c r="H17" i="31"/>
  <c r="J56" i="32" s="1"/>
  <c r="K168" i="14" s="1"/>
  <c r="I17" i="31"/>
  <c r="L53" i="32" s="1"/>
  <c r="M168" i="2" s="1"/>
  <c r="D8" i="31"/>
  <c r="E8" i="31"/>
  <c r="G8" i="31"/>
  <c r="H8" i="31"/>
  <c r="J9" i="32" s="1"/>
  <c r="K6" i="15" s="1"/>
  <c r="I8" i="31"/>
  <c r="C8" i="31"/>
  <c r="L14" i="30"/>
  <c r="L114" i="16" s="1"/>
  <c r="K14" i="30"/>
  <c r="K114" i="16" s="1"/>
  <c r="L13" i="30"/>
  <c r="L96" i="16" s="1"/>
  <c r="H13" i="30"/>
  <c r="H96" i="16" s="1"/>
  <c r="G13" i="30"/>
  <c r="G96" i="16" s="1"/>
  <c r="F13" i="30"/>
  <c r="K11" i="30"/>
  <c r="K60" i="16" s="1"/>
  <c r="H11" i="30"/>
  <c r="H60" i="16" s="1"/>
  <c r="G10" i="30"/>
  <c r="G42" i="16" s="1"/>
  <c r="H9" i="30"/>
  <c r="H24" i="16" s="1"/>
  <c r="G9" i="30"/>
  <c r="G24" i="16" s="1"/>
  <c r="AW23" i="31"/>
  <c r="AU21" i="31"/>
  <c r="AU23" i="31" s="1"/>
  <c r="W18" i="31"/>
  <c r="W17" i="31"/>
  <c r="W16" i="31"/>
  <c r="W15" i="31"/>
  <c r="W14" i="31"/>
  <c r="W13" i="31"/>
  <c r="W12" i="31"/>
  <c r="W11" i="31"/>
  <c r="W10" i="31"/>
  <c r="W9" i="31"/>
  <c r="W8" i="31"/>
  <c r="S13" i="31" l="1"/>
  <c r="T13" i="31"/>
  <c r="L9" i="32"/>
  <c r="M6" i="15" s="1"/>
  <c r="F29" i="32"/>
  <c r="G78" i="15" s="1"/>
  <c r="J14" i="30"/>
  <c r="J114" i="16" s="1"/>
  <c r="K16" i="30"/>
  <c r="K150" i="16" s="1"/>
  <c r="J33" i="32"/>
  <c r="F17" i="30"/>
  <c r="J53" i="32"/>
  <c r="K168" i="2" s="1"/>
  <c r="J44" i="32"/>
  <c r="K132" i="15" s="1"/>
  <c r="F33" i="32"/>
  <c r="K17" i="30"/>
  <c r="K168" i="16" s="1"/>
  <c r="L49" i="32"/>
  <c r="M150" i="15" s="1"/>
  <c r="J24" i="32"/>
  <c r="K60" i="15" s="1"/>
  <c r="J29" i="32"/>
  <c r="K78" i="15" s="1"/>
  <c r="J8" i="32"/>
  <c r="K6" i="2" s="1"/>
  <c r="F9" i="32"/>
  <c r="J51" i="32"/>
  <c r="K150" i="14" s="1"/>
  <c r="J9" i="30"/>
  <c r="J24" i="16" s="1"/>
  <c r="J13" i="32"/>
  <c r="K24" i="2" s="1"/>
  <c r="F24" i="2" s="1"/>
  <c r="H10" i="30"/>
  <c r="H42" i="16" s="1"/>
  <c r="L11" i="30"/>
  <c r="L60" i="16" s="1"/>
  <c r="F11" i="32"/>
  <c r="G6" i="14" s="1"/>
  <c r="F14" i="32"/>
  <c r="G24" i="15" s="1"/>
  <c r="F18" i="32"/>
  <c r="F31" i="32"/>
  <c r="G78" i="14" s="1"/>
  <c r="F34" i="32"/>
  <c r="G96" i="15" s="1"/>
  <c r="F38" i="32"/>
  <c r="G114" i="2" s="1"/>
  <c r="J46" i="32"/>
  <c r="K132" i="14" s="1"/>
  <c r="J48" i="32"/>
  <c r="K150" i="2" s="1"/>
  <c r="F54" i="32"/>
  <c r="G168" i="15" s="1"/>
  <c r="F9" i="30"/>
  <c r="I10" i="30"/>
  <c r="I42" i="16" s="1"/>
  <c r="F12" i="30"/>
  <c r="I13" i="30"/>
  <c r="I96" i="16" s="1"/>
  <c r="J11" i="30"/>
  <c r="J60" i="16" s="1"/>
  <c r="L19" i="32"/>
  <c r="M42" i="15" s="1"/>
  <c r="J11" i="32"/>
  <c r="K6" i="14" s="1"/>
  <c r="J14" i="32"/>
  <c r="K24" i="15" s="1"/>
  <c r="J18" i="32"/>
  <c r="K42" i="2" s="1"/>
  <c r="J31" i="32"/>
  <c r="K78" i="14" s="1"/>
  <c r="J34" i="32"/>
  <c r="K96" i="15" s="1"/>
  <c r="J38" i="32"/>
  <c r="K114" i="2" s="1"/>
  <c r="F49" i="32"/>
  <c r="G150" i="15" s="1"/>
  <c r="J54" i="32"/>
  <c r="K168" i="15" s="1"/>
  <c r="K10" i="30"/>
  <c r="K42" i="16" s="1"/>
  <c r="G12" i="30"/>
  <c r="G78" i="16" s="1"/>
  <c r="L28" i="32"/>
  <c r="M78" i="2" s="1"/>
  <c r="L26" i="32"/>
  <c r="M60" i="14" s="1"/>
  <c r="G16" i="30"/>
  <c r="G150" i="16" s="1"/>
  <c r="F19" i="32"/>
  <c r="G42" i="15" s="1"/>
  <c r="F23" i="32"/>
  <c r="G60" i="2" s="1"/>
  <c r="F36" i="32"/>
  <c r="G96" i="14" s="1"/>
  <c r="F39" i="32"/>
  <c r="G114" i="15" s="1"/>
  <c r="F43" i="32"/>
  <c r="G132" i="2" s="1"/>
  <c r="J49" i="32"/>
  <c r="K150" i="15" s="1"/>
  <c r="F56" i="32"/>
  <c r="G168" i="14" s="1"/>
  <c r="J19" i="32"/>
  <c r="K42" i="15" s="1"/>
  <c r="J23" i="32"/>
  <c r="K60" i="2" s="1"/>
  <c r="J39" i="32"/>
  <c r="K114" i="15" s="1"/>
  <c r="J43" i="32"/>
  <c r="K132" i="2" s="1"/>
  <c r="F51" i="32"/>
  <c r="G150" i="14" s="1"/>
  <c r="K9" i="30"/>
  <c r="K24" i="16" s="1"/>
  <c r="J12" i="30"/>
  <c r="J78" i="16" s="1"/>
  <c r="L17" i="30"/>
  <c r="L168" i="16" s="1"/>
  <c r="F8" i="32"/>
  <c r="G6" i="2" s="1"/>
  <c r="F24" i="32"/>
  <c r="G60" i="15" s="1"/>
  <c r="F28" i="32"/>
  <c r="F32" i="32" s="1"/>
  <c r="F41" i="32"/>
  <c r="G114" i="14" s="1"/>
  <c r="F44" i="32"/>
  <c r="G132" i="15" s="1"/>
  <c r="L9" i="30"/>
  <c r="L24" i="16" s="1"/>
  <c r="G11" i="30"/>
  <c r="G60" i="16" s="1"/>
  <c r="L12" i="30"/>
  <c r="L78" i="16" s="1"/>
  <c r="G14" i="30"/>
  <c r="G114" i="16" s="1"/>
  <c r="L43" i="32"/>
  <c r="M132" i="2" s="1"/>
  <c r="L10" i="30"/>
  <c r="L42" i="16" s="1"/>
  <c r="J10" i="30"/>
  <c r="J42" i="16" s="1"/>
  <c r="L44" i="32"/>
  <c r="M132" i="15" s="1"/>
  <c r="L11" i="32"/>
  <c r="M6" i="14" s="1"/>
  <c r="L38" i="32"/>
  <c r="M114" i="2" s="1"/>
  <c r="I9" i="30"/>
  <c r="I24" i="16" s="1"/>
  <c r="I12" i="30"/>
  <c r="I78" i="16" s="1"/>
  <c r="I14" i="30"/>
  <c r="I114" i="16" s="1"/>
  <c r="L23" i="32"/>
  <c r="M60" i="2" s="1"/>
  <c r="L29" i="32"/>
  <c r="M78" i="15" s="1"/>
  <c r="L36" i="32"/>
  <c r="M96" i="14" s="1"/>
  <c r="L54" i="32"/>
  <c r="M168" i="15" s="1"/>
  <c r="L8" i="32"/>
  <c r="M6" i="2" s="1"/>
  <c r="L14" i="32"/>
  <c r="M24" i="15" s="1"/>
  <c r="L21" i="32"/>
  <c r="M42" i="14" s="1"/>
  <c r="L33" i="32"/>
  <c r="E33" i="32" s="1"/>
  <c r="L39" i="32"/>
  <c r="M114" i="15" s="1"/>
  <c r="L46" i="32"/>
  <c r="M132" i="14" s="1"/>
  <c r="L51" i="32"/>
  <c r="M150" i="14" s="1"/>
  <c r="L18" i="32"/>
  <c r="M42" i="2" s="1"/>
  <c r="L24" i="32"/>
  <c r="M60" i="15" s="1"/>
  <c r="L31" i="32"/>
  <c r="M78" i="14" s="1"/>
  <c r="L48" i="32"/>
  <c r="M150" i="2" s="1"/>
  <c r="I17" i="30"/>
  <c r="I168" i="16" s="1"/>
  <c r="L16" i="32"/>
  <c r="M24" i="14" s="1"/>
  <c r="L56" i="32"/>
  <c r="M168" i="14" s="1"/>
  <c r="I11" i="30"/>
  <c r="I60" i="16" s="1"/>
  <c r="I16" i="30"/>
  <c r="I150" i="16" s="1"/>
  <c r="J52" i="32"/>
  <c r="J37" i="32"/>
  <c r="K96" i="2"/>
  <c r="G32" i="32"/>
  <c r="H78" i="2"/>
  <c r="G12" i="32"/>
  <c r="J32" i="32"/>
  <c r="K78" i="2"/>
  <c r="G52" i="32"/>
  <c r="H150" i="2"/>
  <c r="G42" i="32"/>
  <c r="H114" i="14"/>
  <c r="G57" i="32"/>
  <c r="G22" i="32"/>
  <c r="H42" i="2"/>
  <c r="E13" i="32"/>
  <c r="G27" i="32"/>
  <c r="H60" i="2"/>
  <c r="G37" i="32"/>
  <c r="H96" i="15"/>
  <c r="G47" i="32"/>
  <c r="H132" i="2"/>
  <c r="E23" i="32"/>
  <c r="E53" i="32"/>
  <c r="F62" i="32"/>
  <c r="G186" i="2"/>
  <c r="G60" i="14"/>
  <c r="F52" i="32"/>
  <c r="F37" i="32"/>
  <c r="G96" i="2"/>
  <c r="E9" i="32"/>
  <c r="G6" i="15"/>
  <c r="G42" i="2"/>
  <c r="G62" i="32"/>
  <c r="L62" i="32"/>
  <c r="J27" i="32"/>
  <c r="F27" i="32"/>
  <c r="E39" i="32"/>
  <c r="F17" i="32"/>
  <c r="L27" i="32"/>
  <c r="E34" i="32"/>
  <c r="E49" i="32"/>
  <c r="J57" i="32"/>
  <c r="G17" i="32"/>
  <c r="J42" i="32"/>
  <c r="J47" i="32"/>
  <c r="G15" i="30"/>
  <c r="G132" i="16" s="1"/>
  <c r="H15" i="30"/>
  <c r="H132" i="16" s="1"/>
  <c r="I15" i="30"/>
  <c r="I132" i="16" s="1"/>
  <c r="L15" i="30"/>
  <c r="L132" i="16" s="1"/>
  <c r="F15" i="30"/>
  <c r="K15" i="30"/>
  <c r="K132" i="16" s="1"/>
  <c r="H8" i="30"/>
  <c r="H6" i="16" s="1"/>
  <c r="G8" i="30"/>
  <c r="G6" i="16" s="1"/>
  <c r="K8" i="30"/>
  <c r="K6" i="16" s="1"/>
  <c r="L8" i="30"/>
  <c r="L6" i="16" s="1"/>
  <c r="F8" i="30"/>
  <c r="I8" i="30"/>
  <c r="I6" i="16" s="1"/>
  <c r="V18" i="31"/>
  <c r="U13" i="31"/>
  <c r="U18" i="31"/>
  <c r="V13" i="31"/>
  <c r="T18" i="31"/>
  <c r="S18" i="31"/>
  <c r="R18" i="31"/>
  <c r="K18" i="30" s="1"/>
  <c r="K186" i="16" s="1"/>
  <c r="R13" i="31"/>
  <c r="J17" i="32" l="1"/>
  <c r="F42" i="32"/>
  <c r="E44" i="32"/>
  <c r="E19" i="32"/>
  <c r="F12" i="32"/>
  <c r="K13" i="30"/>
  <c r="K96" i="16" s="1"/>
  <c r="J12" i="32"/>
  <c r="L12" i="32"/>
  <c r="E8" i="32"/>
  <c r="E54" i="32"/>
  <c r="M96" i="2"/>
  <c r="E18" i="32"/>
  <c r="E14" i="32"/>
  <c r="E24" i="32"/>
  <c r="F22" i="32"/>
  <c r="L22" i="32"/>
  <c r="E28" i="32"/>
  <c r="G78" i="2"/>
  <c r="E43" i="32"/>
  <c r="J22" i="32"/>
  <c r="F47" i="32"/>
  <c r="E48" i="32"/>
  <c r="E38" i="32"/>
  <c r="F57" i="32"/>
  <c r="E29" i="32"/>
  <c r="L37" i="32"/>
  <c r="L17" i="32"/>
  <c r="L32" i="32"/>
  <c r="L52" i="32"/>
  <c r="L47" i="32"/>
  <c r="L57" i="32"/>
  <c r="L42" i="32"/>
  <c r="H18" i="31" l="1"/>
  <c r="E18" i="31"/>
  <c r="G18" i="30" s="1"/>
  <c r="G186" i="16" s="1"/>
  <c r="J58" i="32" l="1"/>
  <c r="J61" i="32"/>
  <c r="K186" i="14" s="1"/>
  <c r="J59" i="32"/>
  <c r="F11" i="22"/>
  <c r="F8" i="22"/>
  <c r="F7" i="22"/>
  <c r="K186" i="15" l="1"/>
  <c r="E59" i="32"/>
  <c r="K186" i="2"/>
  <c r="J62" i="32"/>
  <c r="E58" i="32"/>
  <c r="K17" i="16"/>
  <c r="L58" i="4"/>
  <c r="K60" i="30"/>
  <c r="K61" i="30"/>
  <c r="K62" i="30"/>
  <c r="K63" i="30"/>
  <c r="K64" i="30"/>
  <c r="K65" i="30"/>
  <c r="K66" i="30"/>
  <c r="K67" i="30"/>
  <c r="K68" i="30"/>
  <c r="K69" i="30"/>
  <c r="K59" i="30"/>
  <c r="K43" i="30"/>
  <c r="K44" i="30"/>
  <c r="K45" i="30"/>
  <c r="K46" i="30"/>
  <c r="K47" i="30"/>
  <c r="K48" i="30"/>
  <c r="K49" i="30"/>
  <c r="K50" i="30"/>
  <c r="K51" i="30"/>
  <c r="K52" i="30"/>
  <c r="K42" i="30"/>
  <c r="K26" i="30"/>
  <c r="K27" i="30"/>
  <c r="K28" i="30"/>
  <c r="K29" i="30"/>
  <c r="K30" i="30"/>
  <c r="K31" i="30"/>
  <c r="K32" i="30"/>
  <c r="K33" i="30"/>
  <c r="K34" i="30"/>
  <c r="K35" i="30"/>
  <c r="K25" i="30"/>
  <c r="J58" i="4" l="1"/>
  <c r="L30" i="4"/>
  <c r="C33" i="25" l="1"/>
  <c r="H58" i="4"/>
  <c r="K58" i="4"/>
  <c r="G58" i="4"/>
  <c r="F58" i="4"/>
  <c r="E58" i="4"/>
  <c r="I58" i="4"/>
  <c r="B58" i="4"/>
  <c r="D58" i="4"/>
  <c r="C58" i="4"/>
  <c r="M56" i="13" l="1"/>
  <c r="B30" i="25" l="1"/>
  <c r="M11" i="13"/>
  <c r="M16" i="13"/>
  <c r="M21" i="13"/>
  <c r="M26" i="13"/>
  <c r="M31" i="13"/>
  <c r="M36" i="13"/>
  <c r="M41" i="13"/>
  <c r="M46" i="13"/>
  <c r="M51" i="13"/>
  <c r="M61" i="13"/>
  <c r="B25" i="25"/>
  <c r="B31" i="25" s="1"/>
  <c r="G42" i="30"/>
  <c r="G25" i="30"/>
  <c r="U49" i="25"/>
  <c r="U55" i="25" s="1"/>
  <c r="B43" i="25" l="1"/>
  <c r="X46" i="25"/>
  <c r="T46" i="25"/>
  <c r="R46" i="25"/>
  <c r="P46" i="25"/>
  <c r="N46" i="25"/>
  <c r="L46" i="25"/>
  <c r="J46" i="25"/>
  <c r="H46" i="25"/>
  <c r="F46" i="25"/>
  <c r="D46" i="25"/>
  <c r="B46" i="25"/>
  <c r="X45" i="25"/>
  <c r="T45" i="25"/>
  <c r="R45" i="25"/>
  <c r="P45" i="25"/>
  <c r="N45" i="25"/>
  <c r="L45" i="25"/>
  <c r="J45" i="25"/>
  <c r="H45" i="25"/>
  <c r="F45" i="25"/>
  <c r="D45" i="25"/>
  <c r="B45" i="25"/>
  <c r="X44" i="25"/>
  <c r="T44" i="25"/>
  <c r="R44" i="25"/>
  <c r="P44" i="25"/>
  <c r="N44" i="25"/>
  <c r="L44" i="25"/>
  <c r="J44" i="25"/>
  <c r="H44" i="25"/>
  <c r="F44" i="25"/>
  <c r="D44" i="25"/>
  <c r="B44" i="25"/>
  <c r="B50" i="25" s="1"/>
  <c r="X43" i="25"/>
  <c r="T43" i="25"/>
  <c r="R43" i="25"/>
  <c r="P43" i="25"/>
  <c r="N43" i="25"/>
  <c r="L43" i="25"/>
  <c r="J43" i="25"/>
  <c r="H43" i="25"/>
  <c r="F43" i="25"/>
  <c r="D43" i="25"/>
  <c r="B52" i="25" l="1"/>
  <c r="B130" i="25" s="1"/>
  <c r="F49" i="25"/>
  <c r="H50" i="25"/>
  <c r="B51" i="25"/>
  <c r="B57" i="25" s="1"/>
  <c r="R51" i="25"/>
  <c r="R142" i="25"/>
  <c r="L52" i="25"/>
  <c r="L130" i="25" s="1"/>
  <c r="L138" i="25" s="1"/>
  <c r="L149" i="25" s="1"/>
  <c r="T52" i="25"/>
  <c r="T130" i="25" s="1"/>
  <c r="T138" i="25" s="1"/>
  <c r="T149" i="25" s="1"/>
  <c r="O49" i="25"/>
  <c r="I50" i="25"/>
  <c r="S51" i="25"/>
  <c r="S142" i="25"/>
  <c r="U52" i="25"/>
  <c r="U130" i="25" s="1"/>
  <c r="X52" i="25"/>
  <c r="X130" i="25" s="1"/>
  <c r="X138" i="25" s="1"/>
  <c r="X149" i="25" s="1"/>
  <c r="S52" i="25"/>
  <c r="S130" i="25" s="1"/>
  <c r="G49" i="25"/>
  <c r="Y49" i="25"/>
  <c r="Y55" i="25" s="1"/>
  <c r="Q50" i="25"/>
  <c r="K51" i="25"/>
  <c r="E52" i="25"/>
  <c r="E130" i="25" s="1"/>
  <c r="M52" i="25"/>
  <c r="M130" i="25" s="1"/>
  <c r="R50" i="25"/>
  <c r="L51" i="25"/>
  <c r="N52" i="25"/>
  <c r="N130" i="25" s="1"/>
  <c r="N138" i="25" s="1"/>
  <c r="N149" i="25" s="1"/>
  <c r="I49" i="25"/>
  <c r="Q49" i="25"/>
  <c r="K50" i="25"/>
  <c r="S50" i="25"/>
  <c r="E51" i="25"/>
  <c r="M51" i="25"/>
  <c r="U51" i="25"/>
  <c r="G52" i="25"/>
  <c r="G130" i="25" s="1"/>
  <c r="O52" i="25"/>
  <c r="O130" i="25" s="1"/>
  <c r="Y52" i="25"/>
  <c r="Y130" i="25" s="1"/>
  <c r="I51" i="25"/>
  <c r="I142" i="25"/>
  <c r="H49" i="25"/>
  <c r="P49" i="25"/>
  <c r="J50" i="25"/>
  <c r="D51" i="25"/>
  <c r="T51" i="25"/>
  <c r="F52" i="25"/>
  <c r="F130" i="25" s="1"/>
  <c r="F138" i="25" s="1"/>
  <c r="F149" i="25" s="1"/>
  <c r="J49" i="25"/>
  <c r="R49" i="25"/>
  <c r="D50" i="25"/>
  <c r="L50" i="25"/>
  <c r="L141" i="25"/>
  <c r="T50" i="25"/>
  <c r="F51" i="25"/>
  <c r="N51" i="25"/>
  <c r="N142" i="25"/>
  <c r="X51" i="25"/>
  <c r="H52" i="25"/>
  <c r="H130" i="25" s="1"/>
  <c r="H138" i="25" s="1"/>
  <c r="H149" i="25" s="1"/>
  <c r="P52" i="25"/>
  <c r="P130" i="25" s="1"/>
  <c r="P138" i="25" s="1"/>
  <c r="P149" i="25" s="1"/>
  <c r="B49" i="25"/>
  <c r="B55" i="25" s="1"/>
  <c r="M49" i="25"/>
  <c r="M140" i="25"/>
  <c r="G50" i="25"/>
  <c r="O50" i="25"/>
  <c r="Y50" i="25"/>
  <c r="Y56" i="25" s="1"/>
  <c r="Q51" i="25"/>
  <c r="Q142" i="25"/>
  <c r="K52" i="25"/>
  <c r="K130" i="25" s="1"/>
  <c r="N49" i="25"/>
  <c r="K49" i="25"/>
  <c r="S49" i="25"/>
  <c r="E50" i="25"/>
  <c r="M50" i="25"/>
  <c r="M141" i="25"/>
  <c r="U50" i="25"/>
  <c r="G51" i="25"/>
  <c r="O51" i="25"/>
  <c r="O142" i="25"/>
  <c r="Y51" i="25"/>
  <c r="Y57" i="25" s="1"/>
  <c r="I52" i="25"/>
  <c r="I130" i="25" s="1"/>
  <c r="Q52" i="25"/>
  <c r="Q130" i="25" s="1"/>
  <c r="E49" i="25"/>
  <c r="X49" i="25"/>
  <c r="P50" i="25"/>
  <c r="J51" i="25"/>
  <c r="D52" i="25"/>
  <c r="D130" i="25" s="1"/>
  <c r="D138" i="25" s="1"/>
  <c r="D149" i="25" s="1"/>
  <c r="D49" i="25"/>
  <c r="L49" i="25"/>
  <c r="L140" i="25"/>
  <c r="T49" i="25"/>
  <c r="F50" i="25"/>
  <c r="N50" i="25"/>
  <c r="X50" i="25"/>
  <c r="H51" i="25"/>
  <c r="H142" i="25"/>
  <c r="P51" i="25"/>
  <c r="J52" i="25"/>
  <c r="J130" i="25" s="1"/>
  <c r="J138" i="25" s="1"/>
  <c r="J149" i="25" s="1"/>
  <c r="R52" i="25"/>
  <c r="R130" i="25" s="1"/>
  <c r="R138" i="25" s="1"/>
  <c r="R149" i="25" s="1"/>
  <c r="B56" i="25"/>
  <c r="B68" i="25" s="1"/>
  <c r="B73" i="25" s="1"/>
  <c r="B90" i="25" s="1"/>
  <c r="Y33" i="25"/>
  <c r="X27" i="25"/>
  <c r="X33" i="25" s="1"/>
  <c r="U33" i="25"/>
  <c r="T27" i="25"/>
  <c r="T33" i="25" s="1"/>
  <c r="S33" i="25"/>
  <c r="R27" i="25"/>
  <c r="R33" i="25" s="1"/>
  <c r="Q33" i="25"/>
  <c r="P27" i="25"/>
  <c r="P33" i="25" s="1"/>
  <c r="O33" i="25"/>
  <c r="N27" i="25"/>
  <c r="N33" i="25" s="1"/>
  <c r="M33" i="25"/>
  <c r="L27" i="25"/>
  <c r="L33" i="25" s="1"/>
  <c r="K33" i="25"/>
  <c r="J27" i="25"/>
  <c r="J33" i="25" s="1"/>
  <c r="I33" i="25"/>
  <c r="H27" i="25"/>
  <c r="H33" i="25" s="1"/>
  <c r="G33" i="25"/>
  <c r="F27" i="25"/>
  <c r="F33" i="25" s="1"/>
  <c r="E33" i="25"/>
  <c r="D27" i="25"/>
  <c r="D33" i="25" s="1"/>
  <c r="B27" i="25"/>
  <c r="B33" i="25" s="1"/>
  <c r="T143" i="25" l="1"/>
  <c r="M138" i="25"/>
  <c r="M149" i="25" s="1"/>
  <c r="M131" i="25"/>
  <c r="U138" i="25"/>
  <c r="U149" i="25" s="1"/>
  <c r="U131" i="25"/>
  <c r="Q138" i="25"/>
  <c r="Q149" i="25" s="1"/>
  <c r="Q131" i="25"/>
  <c r="Y138" i="25"/>
  <c r="Y149" i="25" s="1"/>
  <c r="Y131" i="25"/>
  <c r="O138" i="25"/>
  <c r="O149" i="25" s="1"/>
  <c r="O131" i="25"/>
  <c r="G138" i="25"/>
  <c r="G149" i="25" s="1"/>
  <c r="G131" i="25"/>
  <c r="E138" i="25"/>
  <c r="E149" i="25" s="1"/>
  <c r="E131" i="25"/>
  <c r="I138" i="25"/>
  <c r="I149" i="25" s="1"/>
  <c r="I131" i="25"/>
  <c r="K138" i="25"/>
  <c r="K149" i="25" s="1"/>
  <c r="K131" i="25"/>
  <c r="S138" i="25"/>
  <c r="S149" i="25" s="1"/>
  <c r="S131" i="25"/>
  <c r="B138" i="25"/>
  <c r="B143" i="25" s="1"/>
  <c r="B67" i="25"/>
  <c r="B69" i="25"/>
  <c r="B74" i="25" s="1"/>
  <c r="S199" i="14"/>
  <c r="S198" i="14"/>
  <c r="S197" i="14"/>
  <c r="S196" i="14"/>
  <c r="S195" i="14"/>
  <c r="S194" i="14"/>
  <c r="S193" i="14"/>
  <c r="S192" i="14"/>
  <c r="S191" i="14"/>
  <c r="S190" i="14"/>
  <c r="S189" i="14"/>
  <c r="S188" i="14"/>
  <c r="S187" i="14"/>
  <c r="S186" i="14"/>
  <c r="S181" i="14"/>
  <c r="S180" i="14"/>
  <c r="S179" i="14"/>
  <c r="S178" i="14"/>
  <c r="S177" i="14"/>
  <c r="S176" i="14"/>
  <c r="S175" i="14"/>
  <c r="S174" i="14"/>
  <c r="S173" i="14"/>
  <c r="S172" i="14"/>
  <c r="S171" i="14"/>
  <c r="S170" i="14"/>
  <c r="S169" i="14"/>
  <c r="S168" i="14"/>
  <c r="S163" i="14"/>
  <c r="S162" i="14"/>
  <c r="S161" i="14"/>
  <c r="S160" i="14"/>
  <c r="S159" i="14"/>
  <c r="S158" i="14"/>
  <c r="S157" i="14"/>
  <c r="S156" i="14"/>
  <c r="S155" i="14"/>
  <c r="S154" i="14"/>
  <c r="S153" i="14"/>
  <c r="S152" i="14"/>
  <c r="S151" i="14"/>
  <c r="S150" i="14"/>
  <c r="S145" i="14"/>
  <c r="S144" i="14"/>
  <c r="S143" i="14"/>
  <c r="S142" i="14"/>
  <c r="S141" i="14"/>
  <c r="S140" i="14"/>
  <c r="S139" i="14"/>
  <c r="S138" i="14"/>
  <c r="S137" i="14"/>
  <c r="S136" i="14"/>
  <c r="S135" i="14"/>
  <c r="S134" i="14"/>
  <c r="S133" i="14"/>
  <c r="S132" i="14"/>
  <c r="S127" i="14"/>
  <c r="S126" i="14"/>
  <c r="S125" i="14"/>
  <c r="S124" i="14"/>
  <c r="S123" i="14"/>
  <c r="S122" i="14"/>
  <c r="S121" i="14"/>
  <c r="S120" i="14"/>
  <c r="S119" i="14"/>
  <c r="S118" i="14"/>
  <c r="S117" i="14"/>
  <c r="S116" i="14"/>
  <c r="S115" i="14"/>
  <c r="S114" i="14"/>
  <c r="S109" i="14"/>
  <c r="S108" i="14"/>
  <c r="S107" i="14"/>
  <c r="S106" i="14"/>
  <c r="S105" i="14"/>
  <c r="S104" i="14"/>
  <c r="S103" i="14"/>
  <c r="S102" i="14"/>
  <c r="S101" i="14"/>
  <c r="S100" i="14"/>
  <c r="S99" i="14"/>
  <c r="S98" i="14"/>
  <c r="S97" i="14"/>
  <c r="S96" i="14"/>
  <c r="S91" i="14"/>
  <c r="S90" i="14"/>
  <c r="S89" i="14"/>
  <c r="S88" i="14"/>
  <c r="S87" i="14"/>
  <c r="S86" i="14"/>
  <c r="S85" i="14"/>
  <c r="S84" i="14"/>
  <c r="S83" i="14"/>
  <c r="S82" i="14"/>
  <c r="S81" i="14"/>
  <c r="S80" i="14"/>
  <c r="S79" i="14"/>
  <c r="S78" i="14"/>
  <c r="S73" i="14"/>
  <c r="S72" i="14"/>
  <c r="S71" i="14"/>
  <c r="S70" i="14"/>
  <c r="S69" i="14"/>
  <c r="S68" i="14"/>
  <c r="S67" i="14"/>
  <c r="S66" i="14"/>
  <c r="S65" i="14"/>
  <c r="S64" i="14"/>
  <c r="S63" i="14"/>
  <c r="S62" i="14"/>
  <c r="S61" i="14"/>
  <c r="S60" i="14"/>
  <c r="S55" i="14"/>
  <c r="S54" i="14"/>
  <c r="S53" i="14"/>
  <c r="S52" i="14"/>
  <c r="S51" i="14"/>
  <c r="S50" i="14"/>
  <c r="S49" i="14"/>
  <c r="S48" i="14"/>
  <c r="S47" i="14"/>
  <c r="S46" i="14"/>
  <c r="S45" i="14"/>
  <c r="S44" i="14"/>
  <c r="S43" i="14"/>
  <c r="S42" i="14"/>
  <c r="S37" i="14"/>
  <c r="S36" i="14"/>
  <c r="S35" i="14"/>
  <c r="S34" i="14"/>
  <c r="S33" i="14"/>
  <c r="S32" i="14"/>
  <c r="S31" i="14"/>
  <c r="S30" i="14"/>
  <c r="S29" i="14"/>
  <c r="S28" i="14"/>
  <c r="S27" i="14"/>
  <c r="S26" i="14"/>
  <c r="S25" i="14"/>
  <c r="S24" i="14"/>
  <c r="S19" i="14"/>
  <c r="S18" i="14"/>
  <c r="S17" i="14"/>
  <c r="S16" i="14"/>
  <c r="S15" i="14"/>
  <c r="S14" i="14"/>
  <c r="S13" i="14"/>
  <c r="S12" i="14"/>
  <c r="S11" i="14"/>
  <c r="S10" i="14"/>
  <c r="S9" i="14"/>
  <c r="S8" i="14"/>
  <c r="S7" i="14"/>
  <c r="S6" i="14"/>
  <c r="N187" i="14"/>
  <c r="O187" i="14"/>
  <c r="N169" i="14"/>
  <c r="O169" i="14"/>
  <c r="N151" i="14"/>
  <c r="O151" i="14"/>
  <c r="N133" i="14"/>
  <c r="O133" i="14"/>
  <c r="N115" i="14"/>
  <c r="O115" i="14"/>
  <c r="N97" i="14"/>
  <c r="O97" i="14"/>
  <c r="N79" i="14"/>
  <c r="O79" i="14"/>
  <c r="N61" i="14"/>
  <c r="N43" i="14"/>
  <c r="N25" i="14"/>
  <c r="N7" i="14"/>
  <c r="S199" i="15"/>
  <c r="S198" i="15"/>
  <c r="S197" i="15"/>
  <c r="S196" i="15"/>
  <c r="S195" i="15"/>
  <c r="S194" i="15"/>
  <c r="S193" i="15"/>
  <c r="S192" i="15"/>
  <c r="S191" i="15"/>
  <c r="S190" i="15"/>
  <c r="S189" i="15"/>
  <c r="S188" i="15"/>
  <c r="S187" i="15"/>
  <c r="S186" i="15"/>
  <c r="S181" i="15"/>
  <c r="S180" i="15"/>
  <c r="S179" i="15"/>
  <c r="S178" i="15"/>
  <c r="S177" i="15"/>
  <c r="S176" i="15"/>
  <c r="S175" i="15"/>
  <c r="S174" i="15"/>
  <c r="S173" i="15"/>
  <c r="S172" i="15"/>
  <c r="S171" i="15"/>
  <c r="S170" i="15"/>
  <c r="S169" i="15"/>
  <c r="S168" i="15"/>
  <c r="S163" i="15"/>
  <c r="S162" i="15"/>
  <c r="S161" i="15"/>
  <c r="S160" i="15"/>
  <c r="S159" i="15"/>
  <c r="S158" i="15"/>
  <c r="S157" i="15"/>
  <c r="S156" i="15"/>
  <c r="S155" i="15"/>
  <c r="S154" i="15"/>
  <c r="S153" i="15"/>
  <c r="S152" i="15"/>
  <c r="S151" i="15"/>
  <c r="S150" i="15"/>
  <c r="S145" i="15"/>
  <c r="S144" i="15"/>
  <c r="S143" i="15"/>
  <c r="S142" i="15"/>
  <c r="S141" i="15"/>
  <c r="S140" i="15"/>
  <c r="S139" i="15"/>
  <c r="S138" i="15"/>
  <c r="S137" i="15"/>
  <c r="S136" i="15"/>
  <c r="S135" i="15"/>
  <c r="S134" i="15"/>
  <c r="S133" i="15"/>
  <c r="S132" i="15"/>
  <c r="S127" i="15"/>
  <c r="S126" i="15"/>
  <c r="S125" i="15"/>
  <c r="S124" i="15"/>
  <c r="S123" i="15"/>
  <c r="S122" i="15"/>
  <c r="S121" i="15"/>
  <c r="S120" i="15"/>
  <c r="S119" i="15"/>
  <c r="S118" i="15"/>
  <c r="S117" i="15"/>
  <c r="S116" i="15"/>
  <c r="S115" i="15"/>
  <c r="S114" i="15"/>
  <c r="S109" i="15"/>
  <c r="S108" i="15"/>
  <c r="S107" i="15"/>
  <c r="S106" i="15"/>
  <c r="S105" i="15"/>
  <c r="S104" i="15"/>
  <c r="S103" i="15"/>
  <c r="S102" i="15"/>
  <c r="S101" i="15"/>
  <c r="S100" i="15"/>
  <c r="S99" i="15"/>
  <c r="S98" i="15"/>
  <c r="S97" i="15"/>
  <c r="S96" i="15"/>
  <c r="S91" i="15"/>
  <c r="S90" i="15"/>
  <c r="S89" i="15"/>
  <c r="S88" i="15"/>
  <c r="S87" i="15"/>
  <c r="S86" i="15"/>
  <c r="S85" i="15"/>
  <c r="S84" i="15"/>
  <c r="S83" i="15"/>
  <c r="S82" i="15"/>
  <c r="S81" i="15"/>
  <c r="S80" i="15"/>
  <c r="S79" i="15"/>
  <c r="S78" i="15"/>
  <c r="S73" i="15"/>
  <c r="S72" i="15"/>
  <c r="S71" i="15"/>
  <c r="S70" i="15"/>
  <c r="S69" i="15"/>
  <c r="S68" i="15"/>
  <c r="S67" i="15"/>
  <c r="S66" i="15"/>
  <c r="S65" i="15"/>
  <c r="S64" i="15"/>
  <c r="S63" i="15"/>
  <c r="S62" i="15"/>
  <c r="S61" i="15"/>
  <c r="S60" i="15"/>
  <c r="S55" i="15"/>
  <c r="S54" i="15"/>
  <c r="S53" i="15"/>
  <c r="S52" i="15"/>
  <c r="S51" i="15"/>
  <c r="S50" i="15"/>
  <c r="S49" i="15"/>
  <c r="S48" i="15"/>
  <c r="S47" i="15"/>
  <c r="S46" i="15"/>
  <c r="S45" i="15"/>
  <c r="S44" i="15"/>
  <c r="S43" i="15"/>
  <c r="S42" i="15"/>
  <c r="S37" i="15"/>
  <c r="S36" i="15"/>
  <c r="S35" i="15"/>
  <c r="S34" i="15"/>
  <c r="S33" i="15"/>
  <c r="S32" i="15"/>
  <c r="S31" i="15"/>
  <c r="S30" i="15"/>
  <c r="S29" i="15"/>
  <c r="S28" i="15"/>
  <c r="S27" i="15"/>
  <c r="S26" i="15"/>
  <c r="S25" i="15"/>
  <c r="S24" i="15"/>
  <c r="S19" i="15"/>
  <c r="S18" i="15"/>
  <c r="S17" i="15"/>
  <c r="S16" i="15"/>
  <c r="S15" i="15"/>
  <c r="S14" i="15"/>
  <c r="S13" i="15"/>
  <c r="S12" i="15"/>
  <c r="S11" i="15"/>
  <c r="S10" i="15"/>
  <c r="S9" i="15"/>
  <c r="S8" i="15"/>
  <c r="S7" i="15"/>
  <c r="S6" i="15"/>
  <c r="S199" i="2"/>
  <c r="S198" i="2"/>
  <c r="S197" i="2"/>
  <c r="S196" i="2"/>
  <c r="S195" i="2"/>
  <c r="S194" i="2"/>
  <c r="S193" i="2"/>
  <c r="S192" i="2"/>
  <c r="S191" i="2"/>
  <c r="S190" i="2"/>
  <c r="S189" i="2"/>
  <c r="S188" i="2"/>
  <c r="S187" i="2"/>
  <c r="S186" i="2"/>
  <c r="S181" i="2"/>
  <c r="S180" i="2"/>
  <c r="S179" i="2"/>
  <c r="S178" i="2"/>
  <c r="S177" i="2"/>
  <c r="S176" i="2"/>
  <c r="S175" i="2"/>
  <c r="S174" i="2"/>
  <c r="S173" i="2"/>
  <c r="S172" i="2"/>
  <c r="S171" i="2"/>
  <c r="S170" i="2"/>
  <c r="S169" i="2"/>
  <c r="S168" i="2"/>
  <c r="S163" i="2"/>
  <c r="S162" i="2"/>
  <c r="S161" i="2"/>
  <c r="S160" i="2"/>
  <c r="S159" i="2"/>
  <c r="S158" i="2"/>
  <c r="S157" i="2"/>
  <c r="S156" i="2"/>
  <c r="S155" i="2"/>
  <c r="S154" i="2"/>
  <c r="S153" i="2"/>
  <c r="S152" i="2"/>
  <c r="S151" i="2"/>
  <c r="S150" i="2"/>
  <c r="S145" i="2"/>
  <c r="S144" i="2"/>
  <c r="S143" i="2"/>
  <c r="S142" i="2"/>
  <c r="S141" i="2"/>
  <c r="S140" i="2"/>
  <c r="S139" i="2"/>
  <c r="S138" i="2"/>
  <c r="S137" i="2"/>
  <c r="S136" i="2"/>
  <c r="S135" i="2"/>
  <c r="S134" i="2"/>
  <c r="S133" i="2"/>
  <c r="S132" i="2"/>
  <c r="S127" i="2"/>
  <c r="S126" i="2"/>
  <c r="S125" i="2"/>
  <c r="S124" i="2"/>
  <c r="S123" i="2"/>
  <c r="S122" i="2"/>
  <c r="S121" i="2"/>
  <c r="S120" i="2"/>
  <c r="S119" i="2"/>
  <c r="S118" i="2"/>
  <c r="S117" i="2"/>
  <c r="S116" i="2"/>
  <c r="S115" i="2"/>
  <c r="S114" i="2"/>
  <c r="S109" i="2"/>
  <c r="S108" i="2"/>
  <c r="S107" i="2"/>
  <c r="S106" i="2"/>
  <c r="S105" i="2"/>
  <c r="S104" i="2"/>
  <c r="S103" i="2"/>
  <c r="S102" i="2"/>
  <c r="S101" i="2"/>
  <c r="S100" i="2"/>
  <c r="S99" i="2"/>
  <c r="S98" i="2"/>
  <c r="S97" i="2"/>
  <c r="S96" i="2"/>
  <c r="S91" i="2"/>
  <c r="S90" i="2"/>
  <c r="S89" i="2"/>
  <c r="S88" i="2"/>
  <c r="S87" i="2"/>
  <c r="S86" i="2"/>
  <c r="S85" i="2"/>
  <c r="S84" i="2"/>
  <c r="S83" i="2"/>
  <c r="S82" i="2"/>
  <c r="S81" i="2"/>
  <c r="S80" i="2"/>
  <c r="S79" i="2"/>
  <c r="S78" i="2"/>
  <c r="S73" i="2"/>
  <c r="S72" i="2"/>
  <c r="S71" i="2"/>
  <c r="S70" i="2"/>
  <c r="S69" i="2"/>
  <c r="S68" i="2"/>
  <c r="S67" i="2"/>
  <c r="S66" i="2"/>
  <c r="S65" i="2"/>
  <c r="S64" i="2"/>
  <c r="S63" i="2"/>
  <c r="S62" i="2"/>
  <c r="S61" i="2"/>
  <c r="S60" i="2"/>
  <c r="S55" i="2"/>
  <c r="S54" i="2"/>
  <c r="S53" i="2"/>
  <c r="S52" i="2"/>
  <c r="S51" i="2"/>
  <c r="S50" i="2"/>
  <c r="S49" i="2"/>
  <c r="S48" i="2"/>
  <c r="S47" i="2"/>
  <c r="S46" i="2"/>
  <c r="S45" i="2"/>
  <c r="S44" i="2"/>
  <c r="S43" i="2"/>
  <c r="S42" i="2"/>
  <c r="S37" i="2"/>
  <c r="S36" i="2"/>
  <c r="S35" i="2"/>
  <c r="S34" i="2"/>
  <c r="S33" i="2"/>
  <c r="S32" i="2"/>
  <c r="S31" i="2"/>
  <c r="S30" i="2"/>
  <c r="S29" i="2"/>
  <c r="S28" i="2"/>
  <c r="S27" i="2"/>
  <c r="S26" i="2"/>
  <c r="S19" i="2"/>
  <c r="S18" i="2"/>
  <c r="S17" i="2"/>
  <c r="S16" i="2"/>
  <c r="S15" i="2"/>
  <c r="S14" i="2"/>
  <c r="S13" i="2"/>
  <c r="S12" i="2"/>
  <c r="S11" i="2"/>
  <c r="S10" i="2"/>
  <c r="S9" i="2"/>
  <c r="S8" i="2"/>
  <c r="S7" i="2"/>
  <c r="S6" i="2"/>
  <c r="N187" i="15"/>
  <c r="N169" i="15"/>
  <c r="N151" i="15"/>
  <c r="N133" i="15"/>
  <c r="N115" i="15"/>
  <c r="N97" i="15"/>
  <c r="N79" i="15"/>
  <c r="N61" i="15"/>
  <c r="N43" i="15"/>
  <c r="N25" i="15"/>
  <c r="N7" i="15"/>
  <c r="R60" i="15"/>
  <c r="R60" i="2"/>
  <c r="I187" i="2"/>
  <c r="J187" i="2"/>
  <c r="L187" i="2"/>
  <c r="N187" i="2"/>
  <c r="O187" i="2"/>
  <c r="Q187" i="2"/>
  <c r="I169" i="2"/>
  <c r="J169" i="2"/>
  <c r="L169" i="2"/>
  <c r="N169" i="2"/>
  <c r="O169" i="2"/>
  <c r="Q169" i="2"/>
  <c r="I151" i="2"/>
  <c r="J151" i="2"/>
  <c r="L151" i="2"/>
  <c r="N151" i="2"/>
  <c r="O151" i="2"/>
  <c r="Q151" i="2"/>
  <c r="I133" i="2"/>
  <c r="J133" i="2"/>
  <c r="L133" i="2"/>
  <c r="N133" i="2"/>
  <c r="O133" i="2"/>
  <c r="Q133" i="2"/>
  <c r="I115" i="2"/>
  <c r="J115" i="2"/>
  <c r="L115" i="2"/>
  <c r="N115" i="2"/>
  <c r="O115" i="2"/>
  <c r="Q115" i="2"/>
  <c r="I97" i="2"/>
  <c r="J97" i="2"/>
  <c r="L97" i="2"/>
  <c r="N97" i="2"/>
  <c r="O97" i="2"/>
  <c r="Q97" i="2"/>
  <c r="I79" i="2"/>
  <c r="J79" i="2"/>
  <c r="L79" i="2"/>
  <c r="N79" i="2"/>
  <c r="O79" i="2"/>
  <c r="Q79" i="2"/>
  <c r="I61" i="2"/>
  <c r="J61" i="2"/>
  <c r="L61" i="2"/>
  <c r="N61" i="2"/>
  <c r="O61" i="2"/>
  <c r="Q61" i="2"/>
  <c r="I43" i="2"/>
  <c r="J43" i="2"/>
  <c r="L43" i="2"/>
  <c r="N43" i="2"/>
  <c r="O43" i="2"/>
  <c r="Q43" i="2"/>
  <c r="I7" i="2"/>
  <c r="J7" i="2"/>
  <c r="L7" i="2"/>
  <c r="N7" i="2"/>
  <c r="O7" i="2"/>
  <c r="Q7" i="2"/>
  <c r="O191" i="32"/>
  <c r="O189" i="32"/>
  <c r="O188" i="32"/>
  <c r="O256" i="32"/>
  <c r="O254" i="32"/>
  <c r="O253" i="32"/>
  <c r="O251" i="32"/>
  <c r="O249" i="32"/>
  <c r="O248" i="32"/>
  <c r="O246" i="32"/>
  <c r="O244" i="32"/>
  <c r="O243" i="32"/>
  <c r="O241" i="32"/>
  <c r="O239" i="32"/>
  <c r="O238" i="32"/>
  <c r="O236" i="32"/>
  <c r="O234" i="32"/>
  <c r="O233" i="32"/>
  <c r="O231" i="32"/>
  <c r="O229" i="32"/>
  <c r="O228" i="32"/>
  <c r="O226" i="32"/>
  <c r="O224" i="32"/>
  <c r="O223" i="32"/>
  <c r="O221" i="32"/>
  <c r="O219" i="32"/>
  <c r="O218" i="32"/>
  <c r="O216" i="32"/>
  <c r="O214" i="32"/>
  <c r="O213" i="32"/>
  <c r="O211" i="32"/>
  <c r="O209" i="32"/>
  <c r="O208" i="32"/>
  <c r="O206" i="32"/>
  <c r="O204" i="32"/>
  <c r="O203" i="32"/>
  <c r="O186" i="32"/>
  <c r="O184" i="32"/>
  <c r="O183" i="32"/>
  <c r="O181" i="32"/>
  <c r="O179" i="32"/>
  <c r="O178" i="32"/>
  <c r="O176" i="32"/>
  <c r="O174" i="32"/>
  <c r="O173" i="32"/>
  <c r="O171" i="32"/>
  <c r="O169" i="32"/>
  <c r="O168" i="32"/>
  <c r="O166" i="32"/>
  <c r="O164" i="32"/>
  <c r="O163" i="32"/>
  <c r="O161" i="32"/>
  <c r="O159" i="32"/>
  <c r="O158" i="32"/>
  <c r="O156" i="32"/>
  <c r="O154" i="32"/>
  <c r="O153" i="32"/>
  <c r="O151" i="32"/>
  <c r="O149" i="32"/>
  <c r="O148" i="32"/>
  <c r="O146" i="32"/>
  <c r="O144" i="32"/>
  <c r="O143" i="32"/>
  <c r="O141" i="32"/>
  <c r="O139" i="32"/>
  <c r="O138" i="32"/>
  <c r="O126" i="32"/>
  <c r="P187" i="14" s="1"/>
  <c r="O124" i="32"/>
  <c r="P187" i="15" s="1"/>
  <c r="O123" i="32"/>
  <c r="P187" i="2" s="1"/>
  <c r="O121" i="32"/>
  <c r="P169" i="14" s="1"/>
  <c r="O119" i="32"/>
  <c r="P169" i="15" s="1"/>
  <c r="O118" i="32"/>
  <c r="P169" i="2" s="1"/>
  <c r="O116" i="32"/>
  <c r="P151" i="14" s="1"/>
  <c r="O114" i="32"/>
  <c r="P151" i="15" s="1"/>
  <c r="O113" i="32"/>
  <c r="P151" i="2" s="1"/>
  <c r="O111" i="32"/>
  <c r="P133" i="14" s="1"/>
  <c r="O109" i="32"/>
  <c r="P133" i="15" s="1"/>
  <c r="O108" i="32"/>
  <c r="P133" i="2" s="1"/>
  <c r="O106" i="32"/>
  <c r="P115" i="14" s="1"/>
  <c r="O104" i="32"/>
  <c r="P115" i="15" s="1"/>
  <c r="O103" i="32"/>
  <c r="P115" i="2" s="1"/>
  <c r="O101" i="32"/>
  <c r="P97" i="14" s="1"/>
  <c r="O99" i="32"/>
  <c r="P97" i="15" s="1"/>
  <c r="O98" i="32"/>
  <c r="P97" i="2" s="1"/>
  <c r="O96" i="32"/>
  <c r="P79" i="14" s="1"/>
  <c r="O94" i="32"/>
  <c r="P79" i="15" s="1"/>
  <c r="O93" i="32"/>
  <c r="P79" i="2" s="1"/>
  <c r="O91" i="32"/>
  <c r="P61" i="14" s="1"/>
  <c r="O89" i="32"/>
  <c r="P61" i="15" s="1"/>
  <c r="O88" i="32"/>
  <c r="P61" i="2" s="1"/>
  <c r="O86" i="32"/>
  <c r="P43" i="14" s="1"/>
  <c r="O84" i="32"/>
  <c r="P43" i="15" s="1"/>
  <c r="O83" i="32"/>
  <c r="P43" i="2" s="1"/>
  <c r="O81" i="32"/>
  <c r="P25" i="14" s="1"/>
  <c r="O79" i="32"/>
  <c r="O78" i="32"/>
  <c r="O76" i="32"/>
  <c r="P7" i="14" s="1"/>
  <c r="O74" i="32"/>
  <c r="P7" i="15" s="1"/>
  <c r="O73" i="32"/>
  <c r="P7" i="2" s="1"/>
  <c r="D20" i="20"/>
  <c r="C20" i="20"/>
  <c r="B20" i="20"/>
  <c r="L256" i="32"/>
  <c r="L254" i="32"/>
  <c r="L253" i="32"/>
  <c r="L251" i="32"/>
  <c r="L249" i="32"/>
  <c r="L248" i="32"/>
  <c r="L246" i="32"/>
  <c r="L244" i="32"/>
  <c r="L243" i="32"/>
  <c r="L241" i="32"/>
  <c r="L239" i="32"/>
  <c r="L238" i="32"/>
  <c r="L236" i="32"/>
  <c r="L234" i="32"/>
  <c r="L233" i="32"/>
  <c r="L231" i="32"/>
  <c r="L229" i="32"/>
  <c r="L228" i="32"/>
  <c r="L226" i="32"/>
  <c r="L224" i="32"/>
  <c r="L223" i="32"/>
  <c r="L221" i="32"/>
  <c r="L219" i="32"/>
  <c r="L218" i="32"/>
  <c r="L216" i="32"/>
  <c r="L214" i="32"/>
  <c r="L213" i="32"/>
  <c r="L211" i="32"/>
  <c r="L209" i="32"/>
  <c r="L208" i="32"/>
  <c r="L206" i="32"/>
  <c r="L204" i="32"/>
  <c r="L203" i="32"/>
  <c r="L191" i="32"/>
  <c r="L189" i="32"/>
  <c r="L188" i="32"/>
  <c r="L186" i="32"/>
  <c r="L184" i="32"/>
  <c r="L183" i="32"/>
  <c r="L181" i="32"/>
  <c r="L179" i="32"/>
  <c r="L178" i="32"/>
  <c r="L176" i="32"/>
  <c r="L174" i="32"/>
  <c r="L173" i="32"/>
  <c r="L171" i="32"/>
  <c r="L169" i="32"/>
  <c r="L168" i="32"/>
  <c r="L166" i="32"/>
  <c r="L164" i="32"/>
  <c r="L163" i="32"/>
  <c r="L161" i="32"/>
  <c r="L159" i="32"/>
  <c r="L158" i="32"/>
  <c r="L156" i="32"/>
  <c r="L154" i="32"/>
  <c r="L153" i="32"/>
  <c r="L151" i="32"/>
  <c r="L149" i="32"/>
  <c r="L148" i="32"/>
  <c r="L146" i="32"/>
  <c r="L144" i="32"/>
  <c r="L143" i="32"/>
  <c r="L141" i="32"/>
  <c r="L139" i="32"/>
  <c r="L138" i="32"/>
  <c r="L126" i="32"/>
  <c r="M187" i="14" s="1"/>
  <c r="L124" i="32"/>
  <c r="M187" i="15" s="1"/>
  <c r="L123" i="32"/>
  <c r="M187" i="2" s="1"/>
  <c r="L121" i="32"/>
  <c r="M169" i="14" s="1"/>
  <c r="L119" i="32"/>
  <c r="M169" i="15" s="1"/>
  <c r="L118" i="32"/>
  <c r="M169" i="2" s="1"/>
  <c r="L116" i="32"/>
  <c r="M151" i="14" s="1"/>
  <c r="L114" i="32"/>
  <c r="M151" i="15" s="1"/>
  <c r="L113" i="32"/>
  <c r="M151" i="2" s="1"/>
  <c r="L111" i="32"/>
  <c r="M133" i="14" s="1"/>
  <c r="L109" i="32"/>
  <c r="M133" i="15" s="1"/>
  <c r="L108" i="32"/>
  <c r="M133" i="2" s="1"/>
  <c r="L106" i="32"/>
  <c r="M115" i="14" s="1"/>
  <c r="L104" i="32"/>
  <c r="M115" i="15" s="1"/>
  <c r="L103" i="32"/>
  <c r="M115" i="2" s="1"/>
  <c r="L98" i="32"/>
  <c r="M97" i="2" s="1"/>
  <c r="L101" i="32"/>
  <c r="M97" i="14" s="1"/>
  <c r="L99" i="32"/>
  <c r="M97" i="15" s="1"/>
  <c r="L96" i="32"/>
  <c r="M79" i="14" s="1"/>
  <c r="L94" i="32"/>
  <c r="M79" i="15" s="1"/>
  <c r="L93" i="32"/>
  <c r="M79" i="2" s="1"/>
  <c r="L91" i="32"/>
  <c r="M61" i="14" s="1"/>
  <c r="L89" i="32"/>
  <c r="M61" i="15" s="1"/>
  <c r="L88" i="32"/>
  <c r="M61" i="2" s="1"/>
  <c r="L86" i="32"/>
  <c r="M43" i="14" s="1"/>
  <c r="L84" i="32"/>
  <c r="M43" i="15" s="1"/>
  <c r="L83" i="32"/>
  <c r="M43" i="2" s="1"/>
  <c r="L81" i="32"/>
  <c r="M25" i="14" s="1"/>
  <c r="L79" i="32"/>
  <c r="L78" i="32"/>
  <c r="M25" i="2" s="1"/>
  <c r="L76" i="32"/>
  <c r="M7" i="14" s="1"/>
  <c r="L74" i="32"/>
  <c r="M7" i="15" s="1"/>
  <c r="L73" i="32"/>
  <c r="M7" i="2" s="1"/>
  <c r="M25" i="15" l="1"/>
  <c r="P25" i="15"/>
  <c r="B149" i="25"/>
  <c r="L77" i="32"/>
  <c r="B26" i="25" l="1"/>
  <c r="B32" i="25" s="1"/>
  <c r="X25" i="25"/>
  <c r="X31" i="25" s="1"/>
  <c r="X26" i="25"/>
  <c r="X32" i="25" s="1"/>
  <c r="X24" i="25"/>
  <c r="X30" i="25" s="1"/>
  <c r="T25" i="25"/>
  <c r="T31" i="25" s="1"/>
  <c r="T26" i="25"/>
  <c r="T32" i="25" s="1"/>
  <c r="T24" i="25"/>
  <c r="T30" i="25" s="1"/>
  <c r="R25" i="25"/>
  <c r="R31" i="25" s="1"/>
  <c r="R26" i="25"/>
  <c r="R32" i="25" s="1"/>
  <c r="R24" i="25"/>
  <c r="R30" i="25" s="1"/>
  <c r="P25" i="25"/>
  <c r="P31" i="25" s="1"/>
  <c r="P26" i="25"/>
  <c r="P32" i="25" s="1"/>
  <c r="P24" i="25"/>
  <c r="P30" i="25" s="1"/>
  <c r="N25" i="25"/>
  <c r="N31" i="25" s="1"/>
  <c r="N26" i="25"/>
  <c r="N32" i="25" s="1"/>
  <c r="N24" i="25"/>
  <c r="N30" i="25" s="1"/>
  <c r="L25" i="25"/>
  <c r="L31" i="25" s="1"/>
  <c r="L26" i="25"/>
  <c r="L32" i="25" s="1"/>
  <c r="L24" i="25"/>
  <c r="L30" i="25" s="1"/>
  <c r="J25" i="25"/>
  <c r="J31" i="25" s="1"/>
  <c r="J26" i="25"/>
  <c r="J32" i="25" s="1"/>
  <c r="J24" i="25"/>
  <c r="J30" i="25" s="1"/>
  <c r="H25" i="25"/>
  <c r="H31" i="25" s="1"/>
  <c r="H26" i="25"/>
  <c r="H32" i="25" s="1"/>
  <c r="H24" i="25"/>
  <c r="H30" i="25" s="1"/>
  <c r="F25" i="25"/>
  <c r="F31" i="25" s="1"/>
  <c r="F26" i="25"/>
  <c r="F32" i="25" s="1"/>
  <c r="F24" i="25"/>
  <c r="F30" i="25" s="1"/>
  <c r="D25" i="25"/>
  <c r="D31" i="25" s="1"/>
  <c r="D26" i="25"/>
  <c r="D32" i="25" s="1"/>
  <c r="D24" i="25"/>
  <c r="D30" i="25" s="1"/>
  <c r="N66" i="13" l="1"/>
  <c r="U143" i="25"/>
  <c r="M143" i="25"/>
  <c r="F143" i="25"/>
  <c r="R143" i="25"/>
  <c r="Q143" i="25"/>
  <c r="I143" i="25"/>
  <c r="S143" i="25"/>
  <c r="D143" i="25"/>
  <c r="L143" i="25"/>
  <c r="N143" i="25"/>
  <c r="J143" i="25"/>
  <c r="P143" i="25"/>
  <c r="X143" i="25"/>
  <c r="O143" i="25"/>
  <c r="K143" i="25" l="1"/>
  <c r="H143" i="25"/>
  <c r="Y143" i="25"/>
  <c r="E143" i="25"/>
  <c r="G143" i="25"/>
  <c r="E7" i="20"/>
  <c r="D7" i="20"/>
  <c r="J246" i="32" s="1"/>
  <c r="C7" i="20"/>
  <c r="J219" i="32" s="1"/>
  <c r="B7" i="20"/>
  <c r="J233" i="32" s="1"/>
  <c r="G256" i="32"/>
  <c r="G254" i="32"/>
  <c r="G253" i="32"/>
  <c r="G251" i="32"/>
  <c r="G249" i="32"/>
  <c r="G248" i="32"/>
  <c r="G246" i="32"/>
  <c r="G244" i="32"/>
  <c r="G243" i="32"/>
  <c r="G241" i="32"/>
  <c r="G239" i="32"/>
  <c r="G238" i="32"/>
  <c r="G236" i="32"/>
  <c r="G234" i="32"/>
  <c r="G233" i="32"/>
  <c r="G231" i="32"/>
  <c r="G229" i="32"/>
  <c r="G228" i="32"/>
  <c r="G226" i="32"/>
  <c r="G224" i="32"/>
  <c r="G223" i="32"/>
  <c r="G221" i="32"/>
  <c r="G219" i="32"/>
  <c r="G218" i="32"/>
  <c r="G216" i="32"/>
  <c r="G214" i="32"/>
  <c r="G213" i="32"/>
  <c r="G211" i="32"/>
  <c r="G209" i="32"/>
  <c r="G208" i="32"/>
  <c r="G206" i="32"/>
  <c r="G204" i="32"/>
  <c r="G203" i="32"/>
  <c r="G191" i="32"/>
  <c r="G189" i="32"/>
  <c r="G188" i="32"/>
  <c r="G186" i="32"/>
  <c r="G184" i="32"/>
  <c r="G183" i="32"/>
  <c r="G181" i="32"/>
  <c r="G179" i="32"/>
  <c r="G178" i="32"/>
  <c r="G176" i="32"/>
  <c r="G174" i="32"/>
  <c r="G173" i="32"/>
  <c r="G171" i="32"/>
  <c r="G169" i="32"/>
  <c r="G168" i="32"/>
  <c r="G166" i="32"/>
  <c r="G164" i="32"/>
  <c r="G163" i="32"/>
  <c r="G161" i="32"/>
  <c r="G159" i="32"/>
  <c r="G158" i="32"/>
  <c r="G156" i="32"/>
  <c r="G154" i="32"/>
  <c r="G153" i="32"/>
  <c r="G151" i="32"/>
  <c r="G149" i="32"/>
  <c r="G148" i="32"/>
  <c r="G146" i="32"/>
  <c r="G144" i="32"/>
  <c r="G143" i="32"/>
  <c r="G141" i="32"/>
  <c r="G139" i="32"/>
  <c r="G138" i="32"/>
  <c r="G126" i="32"/>
  <c r="H187" i="14" s="1"/>
  <c r="G124" i="32"/>
  <c r="H187" i="15" s="1"/>
  <c r="G123" i="32"/>
  <c r="H187" i="2" s="1"/>
  <c r="G121" i="32"/>
  <c r="H169" i="14" s="1"/>
  <c r="G119" i="32"/>
  <c r="H169" i="15" s="1"/>
  <c r="G118" i="32"/>
  <c r="H169" i="2" s="1"/>
  <c r="G116" i="32"/>
  <c r="H151" i="14" s="1"/>
  <c r="G114" i="32"/>
  <c r="H151" i="15" s="1"/>
  <c r="G113" i="32"/>
  <c r="H151" i="2" s="1"/>
  <c r="G111" i="32"/>
  <c r="H133" i="14" s="1"/>
  <c r="G109" i="32"/>
  <c r="H133" i="15" s="1"/>
  <c r="G108" i="32"/>
  <c r="H133" i="2" s="1"/>
  <c r="G106" i="32"/>
  <c r="H115" i="14" s="1"/>
  <c r="G104" i="32"/>
  <c r="H115" i="15" s="1"/>
  <c r="G103" i="32"/>
  <c r="H115" i="2" s="1"/>
  <c r="G101" i="32"/>
  <c r="H97" i="14" s="1"/>
  <c r="G99" i="32"/>
  <c r="H97" i="15" s="1"/>
  <c r="G98" i="32"/>
  <c r="H97" i="2" s="1"/>
  <c r="G96" i="32"/>
  <c r="H79" i="14" s="1"/>
  <c r="G94" i="32"/>
  <c r="H79" i="15" s="1"/>
  <c r="G93" i="32"/>
  <c r="H79" i="2" s="1"/>
  <c r="G91" i="32"/>
  <c r="H61" i="14" s="1"/>
  <c r="G89" i="32"/>
  <c r="H61" i="15" s="1"/>
  <c r="G88" i="32"/>
  <c r="H61" i="2" s="1"/>
  <c r="G86" i="32"/>
  <c r="H43" i="14" s="1"/>
  <c r="G84" i="32"/>
  <c r="H43" i="15" s="1"/>
  <c r="G83" i="32"/>
  <c r="H43" i="2" s="1"/>
  <c r="G81" i="32"/>
  <c r="H25" i="14" s="1"/>
  <c r="G79" i="32"/>
  <c r="G78" i="32"/>
  <c r="H25" i="2" s="1"/>
  <c r="G76" i="32"/>
  <c r="H7" i="14" s="1"/>
  <c r="G74" i="32"/>
  <c r="H7" i="15" s="1"/>
  <c r="G73" i="32"/>
  <c r="H7" i="2" s="1"/>
  <c r="F256" i="32"/>
  <c r="F254" i="32"/>
  <c r="F253" i="32"/>
  <c r="F251" i="32"/>
  <c r="F249" i="32"/>
  <c r="F248" i="32"/>
  <c r="F246" i="32"/>
  <c r="F244" i="32"/>
  <c r="F243" i="32"/>
  <c r="F241" i="32"/>
  <c r="F239" i="32"/>
  <c r="F238" i="32"/>
  <c r="F236" i="32"/>
  <c r="F234" i="32"/>
  <c r="F233" i="32"/>
  <c r="F231" i="32"/>
  <c r="F229" i="32"/>
  <c r="F228" i="32"/>
  <c r="F226" i="32"/>
  <c r="F224" i="32"/>
  <c r="F223" i="32"/>
  <c r="F221" i="32"/>
  <c r="F219" i="32"/>
  <c r="F218" i="32"/>
  <c r="F216" i="32"/>
  <c r="F214" i="32"/>
  <c r="F213" i="32"/>
  <c r="F211" i="32"/>
  <c r="F209" i="32"/>
  <c r="F208" i="32"/>
  <c r="F206" i="32"/>
  <c r="F204" i="32"/>
  <c r="F203" i="32"/>
  <c r="F191" i="32"/>
  <c r="F189" i="32"/>
  <c r="F188" i="32"/>
  <c r="F186" i="32"/>
  <c r="F184" i="32"/>
  <c r="F183" i="32"/>
  <c r="F181" i="32"/>
  <c r="F179" i="32"/>
  <c r="F178" i="32"/>
  <c r="F176" i="32"/>
  <c r="F174" i="32"/>
  <c r="F173" i="32"/>
  <c r="F171" i="32"/>
  <c r="F169" i="32"/>
  <c r="F168" i="32"/>
  <c r="F166" i="32"/>
  <c r="F164" i="32"/>
  <c r="F163" i="32"/>
  <c r="F161" i="32"/>
  <c r="F159" i="32"/>
  <c r="F158" i="32"/>
  <c r="F156" i="32"/>
  <c r="F154" i="32"/>
  <c r="F153" i="32"/>
  <c r="F151" i="32"/>
  <c r="F149" i="32"/>
  <c r="F148" i="32"/>
  <c r="F146" i="32"/>
  <c r="F144" i="32"/>
  <c r="F143" i="32"/>
  <c r="F141" i="32"/>
  <c r="F139" i="32"/>
  <c r="F138" i="32"/>
  <c r="F126" i="32"/>
  <c r="G187" i="14" s="1"/>
  <c r="F124" i="32"/>
  <c r="G187" i="15" s="1"/>
  <c r="F123" i="32"/>
  <c r="G187" i="2" s="1"/>
  <c r="F121" i="32"/>
  <c r="G169" i="14" s="1"/>
  <c r="F119" i="32"/>
  <c r="G169" i="15" s="1"/>
  <c r="F118" i="32"/>
  <c r="G169" i="2" s="1"/>
  <c r="F116" i="32"/>
  <c r="G151" i="14" s="1"/>
  <c r="F114" i="32"/>
  <c r="G151" i="15" s="1"/>
  <c r="F113" i="32"/>
  <c r="G151" i="2" s="1"/>
  <c r="F111" i="32"/>
  <c r="G133" i="14" s="1"/>
  <c r="F109" i="32"/>
  <c r="G133" i="15" s="1"/>
  <c r="F108" i="32"/>
  <c r="G133" i="2" s="1"/>
  <c r="F106" i="32"/>
  <c r="G115" i="14" s="1"/>
  <c r="F104" i="32"/>
  <c r="G115" i="15" s="1"/>
  <c r="F103" i="32"/>
  <c r="G115" i="2" s="1"/>
  <c r="F101" i="32"/>
  <c r="G97" i="14" s="1"/>
  <c r="F99" i="32"/>
  <c r="G97" i="15" s="1"/>
  <c r="F98" i="32"/>
  <c r="G97" i="2" s="1"/>
  <c r="F96" i="32"/>
  <c r="G79" i="14" s="1"/>
  <c r="F94" i="32"/>
  <c r="G79" i="15" s="1"/>
  <c r="F93" i="32"/>
  <c r="G79" i="2" s="1"/>
  <c r="F91" i="32"/>
  <c r="G61" i="14" s="1"/>
  <c r="F89" i="32"/>
  <c r="G61" i="15" s="1"/>
  <c r="F88" i="32"/>
  <c r="G61" i="2" s="1"/>
  <c r="F86" i="32"/>
  <c r="G43" i="14" s="1"/>
  <c r="F84" i="32"/>
  <c r="G43" i="15" s="1"/>
  <c r="F83" i="32"/>
  <c r="G43" i="2" s="1"/>
  <c r="F81" i="32"/>
  <c r="G25" i="14" s="1"/>
  <c r="F79" i="32"/>
  <c r="F78" i="32"/>
  <c r="G25" i="2" s="1"/>
  <c r="F76" i="32"/>
  <c r="G7" i="14" s="1"/>
  <c r="F74" i="32"/>
  <c r="G7" i="15" s="1"/>
  <c r="F73" i="32"/>
  <c r="G7" i="2" s="1"/>
  <c r="P257" i="32"/>
  <c r="O257" i="32"/>
  <c r="N257" i="32"/>
  <c r="M257" i="32"/>
  <c r="L257" i="32"/>
  <c r="K257" i="32"/>
  <c r="E255" i="32"/>
  <c r="P252" i="32"/>
  <c r="O252" i="32"/>
  <c r="N252" i="32"/>
  <c r="M252" i="32"/>
  <c r="L252" i="32"/>
  <c r="K252" i="32"/>
  <c r="E250" i="32"/>
  <c r="P247" i="32"/>
  <c r="O247" i="32"/>
  <c r="N247" i="32"/>
  <c r="M247" i="32"/>
  <c r="L247" i="32"/>
  <c r="K247" i="32"/>
  <c r="E245" i="32"/>
  <c r="P242" i="32"/>
  <c r="O242" i="32"/>
  <c r="N242" i="32"/>
  <c r="M242" i="32"/>
  <c r="L242" i="32"/>
  <c r="K242" i="32"/>
  <c r="E240" i="32"/>
  <c r="P237" i="32"/>
  <c r="O237" i="32"/>
  <c r="N237" i="32"/>
  <c r="M237" i="32"/>
  <c r="L237" i="32"/>
  <c r="K237" i="32"/>
  <c r="E235" i="32"/>
  <c r="P232" i="32"/>
  <c r="O232" i="32"/>
  <c r="N232" i="32"/>
  <c r="M232" i="32"/>
  <c r="L232" i="32"/>
  <c r="K232" i="32"/>
  <c r="E230" i="32"/>
  <c r="P227" i="32"/>
  <c r="O227" i="32"/>
  <c r="N227" i="32"/>
  <c r="M227" i="32"/>
  <c r="L227" i="32"/>
  <c r="K227" i="32"/>
  <c r="E225" i="32"/>
  <c r="P222" i="32"/>
  <c r="O222" i="32"/>
  <c r="N222" i="32"/>
  <c r="M222" i="32"/>
  <c r="L222" i="32"/>
  <c r="K222" i="32"/>
  <c r="E220" i="32"/>
  <c r="P217" i="32"/>
  <c r="O217" i="32"/>
  <c r="N217" i="32"/>
  <c r="M217" i="32"/>
  <c r="L217" i="32"/>
  <c r="K217" i="32"/>
  <c r="E215" i="32"/>
  <c r="P212" i="32"/>
  <c r="O212" i="32"/>
  <c r="N212" i="32"/>
  <c r="M212" i="32"/>
  <c r="L212" i="32"/>
  <c r="K212" i="32"/>
  <c r="E210" i="32"/>
  <c r="P207" i="32"/>
  <c r="O207" i="32"/>
  <c r="N207" i="32"/>
  <c r="M207" i="32"/>
  <c r="L207" i="32"/>
  <c r="K207" i="32"/>
  <c r="E205" i="32"/>
  <c r="L177" i="32"/>
  <c r="P192" i="32"/>
  <c r="O192" i="32"/>
  <c r="N192" i="32"/>
  <c r="M192" i="32"/>
  <c r="L192" i="32"/>
  <c r="K192" i="32"/>
  <c r="P187" i="32"/>
  <c r="O187" i="32"/>
  <c r="N187" i="32"/>
  <c r="M187" i="32"/>
  <c r="L187" i="32"/>
  <c r="K187" i="32"/>
  <c r="P182" i="32"/>
  <c r="O182" i="32"/>
  <c r="N182" i="32"/>
  <c r="M182" i="32"/>
  <c r="L182" i="32"/>
  <c r="K182" i="32"/>
  <c r="P177" i="32"/>
  <c r="O177" i="32"/>
  <c r="N177" i="32"/>
  <c r="M177" i="32"/>
  <c r="K177" i="32"/>
  <c r="P172" i="32"/>
  <c r="O172" i="32"/>
  <c r="N172" i="32"/>
  <c r="M172" i="32"/>
  <c r="L172" i="32"/>
  <c r="K172" i="32"/>
  <c r="P167" i="32"/>
  <c r="O167" i="32"/>
  <c r="N167" i="32"/>
  <c r="M167" i="32"/>
  <c r="L167" i="32"/>
  <c r="K167" i="32"/>
  <c r="P162" i="32"/>
  <c r="O162" i="32"/>
  <c r="N162" i="32"/>
  <c r="M162" i="32"/>
  <c r="L162" i="32"/>
  <c r="K162" i="32"/>
  <c r="P157" i="32"/>
  <c r="O157" i="32"/>
  <c r="N157" i="32"/>
  <c r="M157" i="32"/>
  <c r="L157" i="32"/>
  <c r="K157" i="32"/>
  <c r="P152" i="32"/>
  <c r="O152" i="32"/>
  <c r="N152" i="32"/>
  <c r="M152" i="32"/>
  <c r="L152" i="32"/>
  <c r="K152" i="32"/>
  <c r="P147" i="32"/>
  <c r="O147" i="32"/>
  <c r="N147" i="32"/>
  <c r="M147" i="32"/>
  <c r="L147" i="32"/>
  <c r="K147" i="32"/>
  <c r="P142" i="32"/>
  <c r="O142" i="32"/>
  <c r="N142" i="32"/>
  <c r="M142" i="32"/>
  <c r="L142" i="32"/>
  <c r="K142" i="32"/>
  <c r="O127" i="32"/>
  <c r="N127" i="32"/>
  <c r="M127" i="32"/>
  <c r="L127" i="32"/>
  <c r="K127" i="32"/>
  <c r="O122" i="32"/>
  <c r="N122" i="32"/>
  <c r="M122" i="32"/>
  <c r="L122" i="32"/>
  <c r="K122" i="32"/>
  <c r="O117" i="32"/>
  <c r="N117" i="32"/>
  <c r="M117" i="32"/>
  <c r="L117" i="32"/>
  <c r="K117" i="32"/>
  <c r="O112" i="32"/>
  <c r="N112" i="32"/>
  <c r="M112" i="32"/>
  <c r="L112" i="32"/>
  <c r="K112" i="32"/>
  <c r="O107" i="32"/>
  <c r="N107" i="32"/>
  <c r="M107" i="32"/>
  <c r="L107" i="32"/>
  <c r="K107" i="32"/>
  <c r="O102" i="32"/>
  <c r="N102" i="32"/>
  <c r="M102" i="32"/>
  <c r="L102" i="32"/>
  <c r="K102" i="32"/>
  <c r="O97" i="32"/>
  <c r="N97" i="32"/>
  <c r="M97" i="32"/>
  <c r="L97" i="32"/>
  <c r="K97" i="32"/>
  <c r="O92" i="32"/>
  <c r="N92" i="32"/>
  <c r="M92" i="32"/>
  <c r="L92" i="32"/>
  <c r="K92" i="32"/>
  <c r="O87" i="32"/>
  <c r="N87" i="32"/>
  <c r="M87" i="32"/>
  <c r="L87" i="32"/>
  <c r="K87" i="32"/>
  <c r="O82" i="32"/>
  <c r="N82" i="32"/>
  <c r="M82" i="32"/>
  <c r="L82" i="32"/>
  <c r="K82" i="32"/>
  <c r="K77" i="32"/>
  <c r="M77" i="32"/>
  <c r="N77" i="32"/>
  <c r="O77" i="32"/>
  <c r="H25" i="15" l="1"/>
  <c r="G25" i="15"/>
  <c r="J81" i="32"/>
  <c r="K25" i="14" s="1"/>
  <c r="J94" i="32"/>
  <c r="K79" i="15" s="1"/>
  <c r="J108" i="32"/>
  <c r="K133" i="2" s="1"/>
  <c r="J121" i="32"/>
  <c r="K169" i="14" s="1"/>
  <c r="J144" i="32"/>
  <c r="F205" i="2" s="1"/>
  <c r="J158" i="32"/>
  <c r="J171" i="32"/>
  <c r="J184" i="32"/>
  <c r="J208" i="32"/>
  <c r="E208" i="32" s="1"/>
  <c r="J221" i="32"/>
  <c r="J234" i="32"/>
  <c r="E234" i="32" s="1"/>
  <c r="J248" i="32"/>
  <c r="E248" i="32" s="1"/>
  <c r="J83" i="32"/>
  <c r="K43" i="2" s="1"/>
  <c r="J96" i="32"/>
  <c r="K79" i="14" s="1"/>
  <c r="J109" i="32"/>
  <c r="K133" i="15" s="1"/>
  <c r="J123" i="32"/>
  <c r="J146" i="32"/>
  <c r="J159" i="32"/>
  <c r="J173" i="32"/>
  <c r="J186" i="32"/>
  <c r="J209" i="32"/>
  <c r="J223" i="32"/>
  <c r="J236" i="32"/>
  <c r="J249" i="32"/>
  <c r="J84" i="32"/>
  <c r="K43" i="15" s="1"/>
  <c r="J98" i="32"/>
  <c r="K97" i="2" s="1"/>
  <c r="J111" i="32"/>
  <c r="K133" i="14" s="1"/>
  <c r="J124" i="32"/>
  <c r="K187" i="15" s="1"/>
  <c r="J148" i="32"/>
  <c r="J161" i="32"/>
  <c r="J174" i="32"/>
  <c r="J188" i="32"/>
  <c r="J211" i="32"/>
  <c r="J224" i="32"/>
  <c r="J238" i="32"/>
  <c r="E238" i="32" s="1"/>
  <c r="J251" i="32"/>
  <c r="J73" i="32"/>
  <c r="K7" i="2" s="1"/>
  <c r="J86" i="32"/>
  <c r="K43" i="14" s="1"/>
  <c r="J99" i="32"/>
  <c r="K97" i="15" s="1"/>
  <c r="J113" i="32"/>
  <c r="K151" i="2" s="1"/>
  <c r="J126" i="32"/>
  <c r="K187" i="14" s="1"/>
  <c r="J149" i="32"/>
  <c r="J163" i="32"/>
  <c r="J176" i="32"/>
  <c r="J189" i="32"/>
  <c r="J213" i="32"/>
  <c r="E213" i="32" s="1"/>
  <c r="J226" i="32"/>
  <c r="J239" i="32"/>
  <c r="E239" i="32" s="1"/>
  <c r="J253" i="32"/>
  <c r="E253" i="32" s="1"/>
  <c r="J74" i="32"/>
  <c r="K7" i="15" s="1"/>
  <c r="J88" i="32"/>
  <c r="K61" i="2" s="1"/>
  <c r="J101" i="32"/>
  <c r="K97" i="14" s="1"/>
  <c r="J114" i="32"/>
  <c r="K151" i="15" s="1"/>
  <c r="J138" i="32"/>
  <c r="J151" i="32"/>
  <c r="J164" i="32"/>
  <c r="J178" i="32"/>
  <c r="J191" i="32"/>
  <c r="J214" i="32"/>
  <c r="E214" i="32" s="1"/>
  <c r="J228" i="32"/>
  <c r="E228" i="32" s="1"/>
  <c r="J241" i="32"/>
  <c r="J254" i="32"/>
  <c r="E254" i="32" s="1"/>
  <c r="J76" i="32"/>
  <c r="K7" i="14" s="1"/>
  <c r="J89" i="32"/>
  <c r="K61" i="15" s="1"/>
  <c r="J103" i="32"/>
  <c r="K115" i="2" s="1"/>
  <c r="J116" i="32"/>
  <c r="K151" i="14" s="1"/>
  <c r="J139" i="32"/>
  <c r="J153" i="32"/>
  <c r="J166" i="32"/>
  <c r="J179" i="32"/>
  <c r="J203" i="32"/>
  <c r="E203" i="32" s="1"/>
  <c r="J216" i="32"/>
  <c r="J229" i="32"/>
  <c r="E229" i="32" s="1"/>
  <c r="J243" i="32"/>
  <c r="J256" i="32"/>
  <c r="J78" i="32"/>
  <c r="K25" i="2" s="1"/>
  <c r="F25" i="2" s="1"/>
  <c r="J91" i="32"/>
  <c r="K61" i="14" s="1"/>
  <c r="J104" i="32"/>
  <c r="J118" i="32"/>
  <c r="K169" i="2" s="1"/>
  <c r="J141" i="32"/>
  <c r="J154" i="32"/>
  <c r="J168" i="32"/>
  <c r="J181" i="32"/>
  <c r="J204" i="32"/>
  <c r="E204" i="32" s="1"/>
  <c r="J218" i="32"/>
  <c r="E218" i="32" s="1"/>
  <c r="J231" i="32"/>
  <c r="J244" i="32"/>
  <c r="E244" i="32" s="1"/>
  <c r="J79" i="32"/>
  <c r="J93" i="32"/>
  <c r="K79" i="2" s="1"/>
  <c r="J106" i="32"/>
  <c r="K115" i="14" s="1"/>
  <c r="J119" i="32"/>
  <c r="K169" i="15" s="1"/>
  <c r="J143" i="32"/>
  <c r="J156" i="32"/>
  <c r="J169" i="32"/>
  <c r="J183" i="32"/>
  <c r="J206" i="32"/>
  <c r="G122" i="32"/>
  <c r="G147" i="32"/>
  <c r="G107" i="32"/>
  <c r="G192" i="32"/>
  <c r="G182" i="32"/>
  <c r="G92" i="32"/>
  <c r="G142" i="32"/>
  <c r="G117" i="32"/>
  <c r="G247" i="32"/>
  <c r="G97" i="32"/>
  <c r="G187" i="32"/>
  <c r="G87" i="32"/>
  <c r="G102" i="32"/>
  <c r="G127" i="32"/>
  <c r="G152" i="32"/>
  <c r="G162" i="32"/>
  <c r="G217" i="32"/>
  <c r="G232" i="32"/>
  <c r="G257" i="32"/>
  <c r="G82" i="32"/>
  <c r="G222" i="32"/>
  <c r="G237" i="32"/>
  <c r="G112" i="32"/>
  <c r="G177" i="32"/>
  <c r="G172" i="32"/>
  <c r="G242" i="32"/>
  <c r="E233" i="32"/>
  <c r="F122" i="32"/>
  <c r="G167" i="32"/>
  <c r="G157" i="32"/>
  <c r="G207" i="32"/>
  <c r="G252" i="32"/>
  <c r="G212" i="32"/>
  <c r="G227" i="32"/>
  <c r="E224" i="32"/>
  <c r="E219" i="32"/>
  <c r="G77" i="32"/>
  <c r="F157" i="32"/>
  <c r="F87" i="32"/>
  <c r="F232" i="32"/>
  <c r="F207" i="32"/>
  <c r="F162" i="32"/>
  <c r="F152" i="32"/>
  <c r="F102" i="32"/>
  <c r="F97" i="32"/>
  <c r="F252" i="32"/>
  <c r="F247" i="32"/>
  <c r="F227" i="32"/>
  <c r="F212" i="32"/>
  <c r="F192" i="32"/>
  <c r="F187" i="32"/>
  <c r="F182" i="32"/>
  <c r="F177" i="32"/>
  <c r="F172" i="32"/>
  <c r="F167" i="32"/>
  <c r="F147" i="32"/>
  <c r="F142" i="32"/>
  <c r="F127" i="32"/>
  <c r="F117" i="32"/>
  <c r="F112" i="32"/>
  <c r="F107" i="32"/>
  <c r="F92" i="32"/>
  <c r="F82" i="32"/>
  <c r="F257" i="32"/>
  <c r="E243" i="32"/>
  <c r="F242" i="32"/>
  <c r="F237" i="32"/>
  <c r="F222" i="32"/>
  <c r="F217" i="32"/>
  <c r="F77" i="32"/>
  <c r="F7" i="2" l="1"/>
  <c r="K25" i="15"/>
  <c r="F204" i="2"/>
  <c r="E123" i="32"/>
  <c r="K187" i="2"/>
  <c r="J232" i="32"/>
  <c r="J107" i="32"/>
  <c r="K115" i="15"/>
  <c r="J157" i="32"/>
  <c r="J212" i="32"/>
  <c r="E209" i="32"/>
  <c r="J122" i="32"/>
  <c r="J102" i="32"/>
  <c r="J177" i="32"/>
  <c r="J112" i="32"/>
  <c r="J207" i="32"/>
  <c r="J82" i="32"/>
  <c r="J192" i="32"/>
  <c r="J252" i="32"/>
  <c r="J187" i="32"/>
  <c r="J247" i="32"/>
  <c r="J237" i="32"/>
  <c r="J172" i="32"/>
  <c r="J182" i="32"/>
  <c r="J127" i="32"/>
  <c r="J227" i="32"/>
  <c r="J97" i="32"/>
  <c r="J162" i="32"/>
  <c r="J92" i="32"/>
  <c r="J167" i="32"/>
  <c r="J242" i="32"/>
  <c r="J117" i="32"/>
  <c r="J77" i="32"/>
  <c r="J152" i="32"/>
  <c r="J87" i="32"/>
  <c r="J147" i="32"/>
  <c r="E249" i="32"/>
  <c r="J222" i="32"/>
  <c r="J257" i="32"/>
  <c r="J142" i="32"/>
  <c r="J217" i="32"/>
  <c r="E223" i="32"/>
  <c r="I66" i="13" l="1"/>
  <c r="H66" i="13"/>
  <c r="N187" i="16"/>
  <c r="N188" i="16"/>
  <c r="N189" i="16"/>
  <c r="N190" i="16"/>
  <c r="N191" i="16"/>
  <c r="N192" i="16"/>
  <c r="N193" i="16"/>
  <c r="N194" i="16"/>
  <c r="N195" i="16"/>
  <c r="N196" i="16"/>
  <c r="N197" i="16"/>
  <c r="N198" i="16"/>
  <c r="N199" i="16"/>
  <c r="N169" i="16"/>
  <c r="N170" i="16"/>
  <c r="N171" i="16"/>
  <c r="N172" i="16"/>
  <c r="N173" i="16"/>
  <c r="N174" i="16"/>
  <c r="N175" i="16"/>
  <c r="N176" i="16"/>
  <c r="N177" i="16"/>
  <c r="N178" i="16"/>
  <c r="N179" i="16"/>
  <c r="N180" i="16"/>
  <c r="N181" i="16"/>
  <c r="N151" i="16"/>
  <c r="N152" i="16"/>
  <c r="N153" i="16"/>
  <c r="N154" i="16"/>
  <c r="N155" i="16"/>
  <c r="N156" i="16"/>
  <c r="N157" i="16"/>
  <c r="N158" i="16"/>
  <c r="N159" i="16"/>
  <c r="N160" i="16"/>
  <c r="N161" i="16"/>
  <c r="N162" i="16"/>
  <c r="N163" i="16"/>
  <c r="N133" i="16"/>
  <c r="N134" i="16"/>
  <c r="N135" i="16"/>
  <c r="N136" i="16"/>
  <c r="N137" i="16"/>
  <c r="N138" i="16"/>
  <c r="N139" i="16"/>
  <c r="N140" i="16"/>
  <c r="N141" i="16"/>
  <c r="N142" i="16"/>
  <c r="N143" i="16"/>
  <c r="N144" i="16"/>
  <c r="N145" i="16"/>
  <c r="N115" i="16"/>
  <c r="N116" i="16"/>
  <c r="N117" i="16"/>
  <c r="N118" i="16"/>
  <c r="N119" i="16"/>
  <c r="N120" i="16"/>
  <c r="N121" i="16"/>
  <c r="N122" i="16"/>
  <c r="N123" i="16"/>
  <c r="N124" i="16"/>
  <c r="N125" i="16"/>
  <c r="N126" i="16"/>
  <c r="N127" i="16"/>
  <c r="N97" i="16"/>
  <c r="N98" i="16"/>
  <c r="N99" i="16"/>
  <c r="N100" i="16"/>
  <c r="N101" i="16"/>
  <c r="N102" i="16"/>
  <c r="N103" i="16"/>
  <c r="N104" i="16"/>
  <c r="N105" i="16"/>
  <c r="N106" i="16"/>
  <c r="N107" i="16"/>
  <c r="N108" i="16"/>
  <c r="N109" i="16"/>
  <c r="N79" i="16"/>
  <c r="N80" i="16"/>
  <c r="N81" i="16"/>
  <c r="N82" i="16"/>
  <c r="N83" i="16"/>
  <c r="N84" i="16"/>
  <c r="N85" i="16"/>
  <c r="N86" i="16"/>
  <c r="N87" i="16"/>
  <c r="N88" i="16"/>
  <c r="N89" i="16"/>
  <c r="N90" i="16"/>
  <c r="N91" i="16"/>
  <c r="N61" i="16"/>
  <c r="N62" i="16"/>
  <c r="N63" i="16"/>
  <c r="N64" i="16"/>
  <c r="N65" i="16"/>
  <c r="N66" i="16"/>
  <c r="N67" i="16"/>
  <c r="N68" i="16"/>
  <c r="N69" i="16"/>
  <c r="N70" i="16"/>
  <c r="N71" i="16"/>
  <c r="N72" i="16"/>
  <c r="N73" i="16"/>
  <c r="N43" i="16"/>
  <c r="N44" i="16"/>
  <c r="N45" i="16"/>
  <c r="N46" i="16"/>
  <c r="N47" i="16"/>
  <c r="N48" i="16"/>
  <c r="N49" i="16"/>
  <c r="N50" i="16"/>
  <c r="N51" i="16"/>
  <c r="N52" i="16"/>
  <c r="N53" i="16"/>
  <c r="N54" i="16"/>
  <c r="N55" i="16"/>
  <c r="N168" i="16"/>
  <c r="N150" i="16"/>
  <c r="N132" i="16"/>
  <c r="N114" i="16"/>
  <c r="N96" i="16"/>
  <c r="N78" i="16"/>
  <c r="N60" i="16"/>
  <c r="N42" i="16"/>
  <c r="N24" i="16"/>
  <c r="N25" i="16"/>
  <c r="N26" i="16"/>
  <c r="N27" i="16"/>
  <c r="N28" i="16"/>
  <c r="N29" i="16"/>
  <c r="N30" i="16"/>
  <c r="N31" i="16"/>
  <c r="N32" i="16"/>
  <c r="N33" i="16"/>
  <c r="N34" i="16"/>
  <c r="N35" i="16"/>
  <c r="N36" i="16"/>
  <c r="N37" i="16"/>
  <c r="N6" i="16"/>
  <c r="N7" i="16"/>
  <c r="N8" i="16"/>
  <c r="N9" i="16"/>
  <c r="N10" i="16"/>
  <c r="N11" i="16"/>
  <c r="N12" i="16"/>
  <c r="N13" i="16"/>
  <c r="N14" i="16"/>
  <c r="N15" i="16"/>
  <c r="N16" i="16"/>
  <c r="N17" i="16"/>
  <c r="N18" i="16"/>
  <c r="N19" i="16"/>
  <c r="L48" i="4"/>
  <c r="K48" i="4"/>
  <c r="J48" i="4"/>
  <c r="I48" i="4"/>
  <c r="H48" i="4"/>
  <c r="G48" i="4"/>
  <c r="F48" i="4"/>
  <c r="E48" i="4"/>
  <c r="D48" i="4"/>
  <c r="C48" i="4"/>
  <c r="B48" i="4"/>
  <c r="D79" i="31" l="1"/>
  <c r="E79" i="31"/>
  <c r="D80" i="31"/>
  <c r="E80" i="31"/>
  <c r="D81" i="31"/>
  <c r="E81" i="31"/>
  <c r="D82" i="31"/>
  <c r="D89" i="31" s="1"/>
  <c r="E82" i="31"/>
  <c r="E89" i="31" s="1"/>
  <c r="D83" i="31"/>
  <c r="E83" i="31"/>
  <c r="D84" i="31"/>
  <c r="E84" i="31"/>
  <c r="D85" i="31"/>
  <c r="E85" i="31"/>
  <c r="D86" i="31"/>
  <c r="E86" i="31"/>
  <c r="D87" i="31"/>
  <c r="E87" i="31"/>
  <c r="D88" i="31"/>
  <c r="E88" i="31"/>
  <c r="E78" i="31"/>
  <c r="D78" i="31"/>
  <c r="L206" i="2" l="1"/>
  <c r="N206" i="2"/>
  <c r="L206" i="15"/>
  <c r="Q206" i="14"/>
  <c r="F206" i="16"/>
  <c r="P206" i="2"/>
  <c r="P206" i="14"/>
  <c r="O206" i="2"/>
  <c r="N206" i="15"/>
  <c r="O206" i="15"/>
  <c r="Q206" i="2"/>
  <c r="P206" i="15"/>
  <c r="N206" i="14"/>
  <c r="J206" i="2"/>
  <c r="I206" i="15"/>
  <c r="J206" i="15"/>
  <c r="Q206" i="15"/>
  <c r="L206" i="14"/>
  <c r="I206" i="2"/>
  <c r="G206" i="16"/>
  <c r="O206" i="14"/>
  <c r="H206" i="16"/>
  <c r="K206" i="16"/>
  <c r="H206" i="2"/>
  <c r="K206" i="2"/>
  <c r="H206" i="15"/>
  <c r="G206" i="15"/>
  <c r="K206" i="14"/>
  <c r="H206" i="14"/>
  <c r="M206" i="14"/>
  <c r="G206" i="2"/>
  <c r="I206" i="16"/>
  <c r="K206" i="15"/>
  <c r="M206" i="15"/>
  <c r="G206" i="14"/>
  <c r="L206" i="16"/>
  <c r="M206" i="2"/>
  <c r="L66" i="13"/>
  <c r="O170" i="14"/>
  <c r="Q170" i="2"/>
  <c r="I170" i="2"/>
  <c r="N170" i="15"/>
  <c r="J170" i="2"/>
  <c r="L170" i="2"/>
  <c r="N170" i="2"/>
  <c r="N170" i="14"/>
  <c r="O170" i="2"/>
  <c r="M170" i="15"/>
  <c r="P170" i="14"/>
  <c r="M170" i="14"/>
  <c r="M170" i="2"/>
  <c r="P170" i="15"/>
  <c r="P170" i="2"/>
  <c r="H170" i="15"/>
  <c r="G170" i="2"/>
  <c r="G170" i="15"/>
  <c r="H170" i="2"/>
  <c r="G170" i="14"/>
  <c r="H170" i="14"/>
  <c r="K170" i="15"/>
  <c r="K170" i="2"/>
  <c r="K170" i="14"/>
  <c r="Q98" i="2"/>
  <c r="I98" i="2"/>
  <c r="N98" i="15"/>
  <c r="J98" i="2"/>
  <c r="L98" i="2"/>
  <c r="N98" i="2"/>
  <c r="N98" i="14"/>
  <c r="O98" i="2"/>
  <c r="O98" i="14"/>
  <c r="M98" i="2"/>
  <c r="M98" i="15"/>
  <c r="P98" i="15"/>
  <c r="M98" i="14"/>
  <c r="P98" i="2"/>
  <c r="P98" i="14"/>
  <c r="G98" i="15"/>
  <c r="H98" i="14"/>
  <c r="G98" i="14"/>
  <c r="G98" i="2"/>
  <c r="H98" i="2"/>
  <c r="H98" i="15"/>
  <c r="K98" i="2"/>
  <c r="K98" i="15"/>
  <c r="K98" i="14"/>
  <c r="L80" i="2"/>
  <c r="N80" i="2"/>
  <c r="J80" i="2"/>
  <c r="N80" i="14"/>
  <c r="O80" i="2"/>
  <c r="O80" i="14"/>
  <c r="Q80" i="2"/>
  <c r="N80" i="15"/>
  <c r="I80" i="2"/>
  <c r="M80" i="15"/>
  <c r="P80" i="2"/>
  <c r="P80" i="15"/>
  <c r="M80" i="14"/>
  <c r="P80" i="14"/>
  <c r="M80" i="2"/>
  <c r="G80" i="14"/>
  <c r="H80" i="14"/>
  <c r="G80" i="2"/>
  <c r="H80" i="15"/>
  <c r="H80" i="2"/>
  <c r="G80" i="15"/>
  <c r="K80" i="2"/>
  <c r="K80" i="15"/>
  <c r="K80" i="14"/>
  <c r="Q134" i="2"/>
  <c r="I134" i="2"/>
  <c r="J134" i="2"/>
  <c r="O134" i="14"/>
  <c r="N134" i="15"/>
  <c r="L134" i="2"/>
  <c r="N134" i="2"/>
  <c r="N134" i="14"/>
  <c r="O134" i="2"/>
  <c r="P134" i="15"/>
  <c r="M134" i="14"/>
  <c r="M134" i="15"/>
  <c r="M134" i="2"/>
  <c r="P134" i="14"/>
  <c r="P134" i="2"/>
  <c r="G134" i="2"/>
  <c r="G134" i="15"/>
  <c r="G134" i="14"/>
  <c r="H134" i="14"/>
  <c r="H134" i="15"/>
  <c r="H134" i="2"/>
  <c r="K134" i="14"/>
  <c r="K134" i="15"/>
  <c r="K134" i="2"/>
  <c r="L8" i="2"/>
  <c r="N8" i="2"/>
  <c r="J8" i="2"/>
  <c r="O8" i="2"/>
  <c r="N8" i="14"/>
  <c r="Q8" i="2"/>
  <c r="N8" i="15"/>
  <c r="I8" i="2"/>
  <c r="P8" i="2"/>
  <c r="M8" i="15"/>
  <c r="M8" i="2"/>
  <c r="P8" i="15"/>
  <c r="M8" i="14"/>
  <c r="P8" i="14"/>
  <c r="H8" i="2"/>
  <c r="H8" i="14"/>
  <c r="G8" i="14"/>
  <c r="H8" i="15"/>
  <c r="G8" i="2"/>
  <c r="G8" i="15"/>
  <c r="K8" i="14"/>
  <c r="K8" i="2"/>
  <c r="K8" i="15"/>
  <c r="L44" i="2"/>
  <c r="J44" i="2"/>
  <c r="N44" i="15"/>
  <c r="N44" i="2"/>
  <c r="O44" i="2"/>
  <c r="Q44" i="2"/>
  <c r="N44" i="14"/>
  <c r="I44" i="2"/>
  <c r="M44" i="15"/>
  <c r="M44" i="14"/>
  <c r="P44" i="14"/>
  <c r="P44" i="15"/>
  <c r="M44" i="2"/>
  <c r="P44" i="2"/>
  <c r="G44" i="14"/>
  <c r="H44" i="2"/>
  <c r="G44" i="15"/>
  <c r="H44" i="15"/>
  <c r="H44" i="14"/>
  <c r="G44" i="2"/>
  <c r="K44" i="14"/>
  <c r="K44" i="15"/>
  <c r="K44" i="2"/>
  <c r="N26" i="14"/>
  <c r="I26" i="2"/>
  <c r="N26" i="15"/>
  <c r="J26" i="2"/>
  <c r="L26" i="2"/>
  <c r="N26" i="2"/>
  <c r="O26" i="2"/>
  <c r="Q26" i="2"/>
  <c r="M26" i="14"/>
  <c r="M26" i="2"/>
  <c r="P26" i="15"/>
  <c r="P26" i="14"/>
  <c r="P26" i="2"/>
  <c r="M26" i="15"/>
  <c r="G26" i="15"/>
  <c r="G26" i="2"/>
  <c r="H26" i="2"/>
  <c r="H26" i="14"/>
  <c r="G26" i="14"/>
  <c r="H26" i="15"/>
  <c r="K26" i="15"/>
  <c r="K26" i="2"/>
  <c r="K26" i="14"/>
  <c r="L152" i="2"/>
  <c r="J152" i="2"/>
  <c r="N152" i="2"/>
  <c r="N152" i="14"/>
  <c r="O152" i="2"/>
  <c r="O152" i="14"/>
  <c r="Q152" i="2"/>
  <c r="N152" i="15"/>
  <c r="I152" i="2"/>
  <c r="M152" i="14"/>
  <c r="P152" i="2"/>
  <c r="P152" i="15"/>
  <c r="M152" i="15"/>
  <c r="M152" i="2"/>
  <c r="P152" i="14"/>
  <c r="G152" i="2"/>
  <c r="H152" i="15"/>
  <c r="G152" i="15"/>
  <c r="H152" i="2"/>
  <c r="H152" i="14"/>
  <c r="G152" i="14"/>
  <c r="K152" i="14"/>
  <c r="K152" i="2"/>
  <c r="K152" i="15"/>
  <c r="Q62" i="2"/>
  <c r="I62" i="2"/>
  <c r="J62" i="2"/>
  <c r="L62" i="2"/>
  <c r="N62" i="14"/>
  <c r="N62" i="2"/>
  <c r="N62" i="15"/>
  <c r="O62" i="2"/>
  <c r="M62" i="2"/>
  <c r="M62" i="14"/>
  <c r="M62" i="15"/>
  <c r="P62" i="15"/>
  <c r="P62" i="14"/>
  <c r="P62" i="2"/>
  <c r="H62" i="2"/>
  <c r="G62" i="2"/>
  <c r="G62" i="14"/>
  <c r="H62" i="15"/>
  <c r="H62" i="14"/>
  <c r="G62" i="15"/>
  <c r="K62" i="14"/>
  <c r="K62" i="15"/>
  <c r="K62" i="2"/>
  <c r="L188" i="2"/>
  <c r="N188" i="15"/>
  <c r="N188" i="2"/>
  <c r="N188" i="14"/>
  <c r="O188" i="2"/>
  <c r="O188" i="14"/>
  <c r="Q188" i="2"/>
  <c r="I188" i="2"/>
  <c r="J188" i="2"/>
  <c r="M188" i="2"/>
  <c r="M188" i="15"/>
  <c r="M188" i="14"/>
  <c r="P188" i="14"/>
  <c r="P188" i="2"/>
  <c r="P188" i="15"/>
  <c r="G188" i="2"/>
  <c r="G188" i="14"/>
  <c r="G188" i="15"/>
  <c r="H188" i="15"/>
  <c r="H188" i="2"/>
  <c r="H188" i="14"/>
  <c r="K188" i="14"/>
  <c r="K188" i="2"/>
  <c r="K188" i="15"/>
  <c r="L116" i="2"/>
  <c r="N116" i="15"/>
  <c r="N116" i="2"/>
  <c r="N116" i="14"/>
  <c r="O116" i="2"/>
  <c r="O116" i="14"/>
  <c r="Q116" i="2"/>
  <c r="J116" i="2"/>
  <c r="I116" i="2"/>
  <c r="P116" i="15"/>
  <c r="M116" i="2"/>
  <c r="M116" i="15"/>
  <c r="M116" i="14"/>
  <c r="P116" i="2"/>
  <c r="P116" i="14"/>
  <c r="H116" i="14"/>
  <c r="G116" i="15"/>
  <c r="G116" i="14"/>
  <c r="H116" i="2"/>
  <c r="H116" i="15"/>
  <c r="G116" i="2"/>
  <c r="K116" i="15"/>
  <c r="K116" i="2"/>
  <c r="K116" i="14"/>
  <c r="M26" i="16"/>
  <c r="M27" i="16"/>
  <c r="F60" i="30"/>
  <c r="G60" i="30"/>
  <c r="H60" i="30"/>
  <c r="I60" i="30"/>
  <c r="F61" i="30"/>
  <c r="G61" i="30"/>
  <c r="H61" i="30"/>
  <c r="I61" i="30"/>
  <c r="F62" i="30"/>
  <c r="G62" i="30"/>
  <c r="H62" i="30"/>
  <c r="I62" i="30"/>
  <c r="F63" i="30"/>
  <c r="G63" i="30"/>
  <c r="H63" i="30"/>
  <c r="I63" i="30"/>
  <c r="F64" i="30"/>
  <c r="G64" i="30"/>
  <c r="H64" i="30"/>
  <c r="I64" i="30"/>
  <c r="F65" i="30"/>
  <c r="G65" i="30"/>
  <c r="H65" i="30"/>
  <c r="I65" i="30"/>
  <c r="F66" i="30"/>
  <c r="G66" i="30"/>
  <c r="H66" i="30"/>
  <c r="I66" i="30"/>
  <c r="F67" i="30"/>
  <c r="G67" i="30"/>
  <c r="H67" i="30"/>
  <c r="I67" i="30"/>
  <c r="F68" i="30"/>
  <c r="G68" i="30"/>
  <c r="H68" i="30"/>
  <c r="I68" i="30"/>
  <c r="F69" i="30"/>
  <c r="G69" i="30"/>
  <c r="H69" i="30"/>
  <c r="I69" i="30"/>
  <c r="J69" i="30"/>
  <c r="I59" i="30"/>
  <c r="H59" i="30"/>
  <c r="G59" i="30"/>
  <c r="G8" i="16" s="1"/>
  <c r="F59" i="30"/>
  <c r="F43" i="30"/>
  <c r="G43" i="30"/>
  <c r="H43" i="30"/>
  <c r="I43" i="30"/>
  <c r="F44" i="30"/>
  <c r="G44" i="30"/>
  <c r="H44" i="30"/>
  <c r="I44" i="30"/>
  <c r="F45" i="30"/>
  <c r="G45" i="30"/>
  <c r="H45" i="30"/>
  <c r="I45" i="30"/>
  <c r="F46" i="30"/>
  <c r="G46" i="30"/>
  <c r="H46" i="30"/>
  <c r="I46" i="30"/>
  <c r="F47" i="30"/>
  <c r="G47" i="30"/>
  <c r="H47" i="30"/>
  <c r="I47" i="30"/>
  <c r="J47" i="30"/>
  <c r="F48" i="30"/>
  <c r="G48" i="30"/>
  <c r="H48" i="30"/>
  <c r="I48" i="30"/>
  <c r="F49" i="30"/>
  <c r="G49" i="30"/>
  <c r="H49" i="30"/>
  <c r="I49" i="30"/>
  <c r="F50" i="30"/>
  <c r="G50" i="30"/>
  <c r="H50" i="30"/>
  <c r="I50" i="30"/>
  <c r="F51" i="30"/>
  <c r="G51" i="30"/>
  <c r="H51" i="30"/>
  <c r="I51" i="30"/>
  <c r="F52" i="30"/>
  <c r="H52" i="30"/>
  <c r="I52" i="30"/>
  <c r="J52" i="30"/>
  <c r="I42" i="30"/>
  <c r="H42" i="30"/>
  <c r="F42" i="30"/>
  <c r="I26" i="30"/>
  <c r="I25" i="16" s="1"/>
  <c r="J26" i="30"/>
  <c r="J25" i="16" s="1"/>
  <c r="K25" i="16"/>
  <c r="I27" i="30"/>
  <c r="I43" i="16" s="1"/>
  <c r="J27" i="30"/>
  <c r="J43" i="16" s="1"/>
  <c r="K43" i="16"/>
  <c r="I28" i="30"/>
  <c r="I61" i="16" s="1"/>
  <c r="K61" i="16"/>
  <c r="I29" i="30"/>
  <c r="I79" i="16" s="1"/>
  <c r="K79" i="16"/>
  <c r="I30" i="30"/>
  <c r="I97" i="16" s="1"/>
  <c r="J30" i="30"/>
  <c r="J97" i="16" s="1"/>
  <c r="K97" i="16"/>
  <c r="I31" i="30"/>
  <c r="I115" i="16" s="1"/>
  <c r="K115" i="16"/>
  <c r="I32" i="30"/>
  <c r="I133" i="16" s="1"/>
  <c r="J32" i="30"/>
  <c r="J133" i="16" s="1"/>
  <c r="K133" i="16"/>
  <c r="I33" i="30"/>
  <c r="I151" i="16" s="1"/>
  <c r="K151" i="16"/>
  <c r="I34" i="30"/>
  <c r="I169" i="16" s="1"/>
  <c r="K169" i="16"/>
  <c r="I35" i="30"/>
  <c r="I187" i="16" s="1"/>
  <c r="J35" i="30"/>
  <c r="J187" i="16" s="1"/>
  <c r="K187" i="16"/>
  <c r="B33" i="20"/>
  <c r="L65" i="30" s="1"/>
  <c r="K7" i="16"/>
  <c r="J25" i="30"/>
  <c r="J7" i="16" s="1"/>
  <c r="I25" i="30"/>
  <c r="I7" i="16" s="1"/>
  <c r="H26" i="30"/>
  <c r="H25" i="16" s="1"/>
  <c r="H27" i="30"/>
  <c r="H43" i="16" s="1"/>
  <c r="H28" i="30"/>
  <c r="H61" i="16" s="1"/>
  <c r="H29" i="30"/>
  <c r="H79" i="16" s="1"/>
  <c r="H30" i="30"/>
  <c r="H97" i="16" s="1"/>
  <c r="H31" i="30"/>
  <c r="H115" i="16" s="1"/>
  <c r="H32" i="30"/>
  <c r="H133" i="16" s="1"/>
  <c r="H33" i="30"/>
  <c r="H151" i="16" s="1"/>
  <c r="H34" i="30"/>
  <c r="H169" i="16" s="1"/>
  <c r="H35" i="30"/>
  <c r="H187" i="16" s="1"/>
  <c r="H25" i="30"/>
  <c r="H7" i="16" s="1"/>
  <c r="G26" i="30"/>
  <c r="G25" i="16" s="1"/>
  <c r="G27" i="30"/>
  <c r="G43" i="16" s="1"/>
  <c r="G28" i="30"/>
  <c r="G61" i="16" s="1"/>
  <c r="G29" i="30"/>
  <c r="G79" i="16" s="1"/>
  <c r="G30" i="30"/>
  <c r="G97" i="16" s="1"/>
  <c r="G31" i="30"/>
  <c r="G115" i="16" s="1"/>
  <c r="G32" i="30"/>
  <c r="G133" i="16" s="1"/>
  <c r="G33" i="30"/>
  <c r="G151" i="16" s="1"/>
  <c r="G34" i="30"/>
  <c r="G169" i="16" s="1"/>
  <c r="G35" i="30"/>
  <c r="G187" i="16" s="1"/>
  <c r="G7" i="16"/>
  <c r="F26" i="30"/>
  <c r="F25" i="16" s="1"/>
  <c r="F27" i="30"/>
  <c r="F43" i="16" s="1"/>
  <c r="F28" i="30"/>
  <c r="F61" i="16" s="1"/>
  <c r="F29" i="30"/>
  <c r="F79" i="16" s="1"/>
  <c r="F30" i="30"/>
  <c r="F97" i="16" s="1"/>
  <c r="F31" i="30"/>
  <c r="F115" i="16" s="1"/>
  <c r="F32" i="30"/>
  <c r="F133" i="16" s="1"/>
  <c r="F33" i="30"/>
  <c r="F151" i="16" s="1"/>
  <c r="F34" i="30"/>
  <c r="F169" i="16" s="1"/>
  <c r="F35" i="30"/>
  <c r="F187" i="16" s="1"/>
  <c r="F25" i="30"/>
  <c r="F7" i="16" s="1"/>
  <c r="E190" i="32"/>
  <c r="E189" i="32"/>
  <c r="E188" i="32"/>
  <c r="E185" i="32"/>
  <c r="E184" i="32"/>
  <c r="E183" i="32"/>
  <c r="E180" i="32"/>
  <c r="E179" i="32"/>
  <c r="E178" i="32"/>
  <c r="E175" i="32"/>
  <c r="E174" i="32"/>
  <c r="E173" i="32"/>
  <c r="E170" i="32"/>
  <c r="E169" i="32"/>
  <c r="E168" i="32"/>
  <c r="E165" i="32"/>
  <c r="E164" i="32"/>
  <c r="E163" i="32"/>
  <c r="E160" i="32"/>
  <c r="E159" i="32"/>
  <c r="E158" i="32"/>
  <c r="E155" i="32"/>
  <c r="E154" i="32"/>
  <c r="E153" i="32"/>
  <c r="E150" i="32"/>
  <c r="E149" i="32"/>
  <c r="E148" i="32"/>
  <c r="E145" i="32"/>
  <c r="E144" i="32"/>
  <c r="E143" i="32"/>
  <c r="E140" i="32"/>
  <c r="E139" i="32"/>
  <c r="E138" i="32"/>
  <c r="E125" i="32"/>
  <c r="E124" i="32"/>
  <c r="E120" i="32"/>
  <c r="E119" i="32"/>
  <c r="E118" i="32"/>
  <c r="E115" i="32"/>
  <c r="E114" i="32"/>
  <c r="E113" i="32"/>
  <c r="E110" i="32"/>
  <c r="E109" i="32"/>
  <c r="E108" i="32"/>
  <c r="E105" i="32"/>
  <c r="E104" i="32"/>
  <c r="E103" i="32"/>
  <c r="E100" i="32"/>
  <c r="E99" i="32"/>
  <c r="E98" i="32"/>
  <c r="E95" i="32"/>
  <c r="E94" i="32"/>
  <c r="E93" i="32"/>
  <c r="E90" i="32"/>
  <c r="E89" i="32"/>
  <c r="E88" i="32"/>
  <c r="E85" i="32"/>
  <c r="E84" i="32"/>
  <c r="E83" i="32"/>
  <c r="E80" i="32"/>
  <c r="E79" i="32"/>
  <c r="E78" i="32"/>
  <c r="E75" i="32"/>
  <c r="E74" i="32"/>
  <c r="E73" i="32"/>
  <c r="H218" i="14" l="1"/>
  <c r="H221" i="14"/>
  <c r="H220" i="14"/>
  <c r="H219" i="14"/>
  <c r="G220" i="2"/>
  <c r="G221" i="2"/>
  <c r="F206" i="2"/>
  <c r="G218" i="2"/>
  <c r="G219" i="2"/>
  <c r="I221" i="15"/>
  <c r="I220" i="15"/>
  <c r="I219" i="15"/>
  <c r="I218" i="15"/>
  <c r="M219" i="14"/>
  <c r="M218" i="14"/>
  <c r="M221" i="14"/>
  <c r="M220" i="14"/>
  <c r="J221" i="2"/>
  <c r="J220" i="2"/>
  <c r="J219" i="2"/>
  <c r="J218" i="2"/>
  <c r="N219" i="14"/>
  <c r="N220" i="14"/>
  <c r="N218" i="14"/>
  <c r="N221" i="14"/>
  <c r="P221" i="2"/>
  <c r="P220" i="2"/>
  <c r="K220" i="14"/>
  <c r="K218" i="14"/>
  <c r="K219" i="14"/>
  <c r="K221" i="14"/>
  <c r="P218" i="15"/>
  <c r="P221" i="15"/>
  <c r="P220" i="15"/>
  <c r="P219" i="15"/>
  <c r="G220" i="14"/>
  <c r="G221" i="14"/>
  <c r="G218" i="14"/>
  <c r="G219" i="14"/>
  <c r="F206" i="15"/>
  <c r="G220" i="15"/>
  <c r="G221" i="15"/>
  <c r="G219" i="15"/>
  <c r="G218" i="15"/>
  <c r="I221" i="2"/>
  <c r="I220" i="2"/>
  <c r="I218" i="2"/>
  <c r="I219" i="2"/>
  <c r="Q221" i="2"/>
  <c r="Q220" i="2"/>
  <c r="Q218" i="2"/>
  <c r="Q219" i="2"/>
  <c r="Q220" i="14"/>
  <c r="Q218" i="14"/>
  <c r="Q219" i="14"/>
  <c r="Q221" i="14"/>
  <c r="O219" i="14"/>
  <c r="O221" i="14"/>
  <c r="O218" i="14"/>
  <c r="O220" i="14"/>
  <c r="M219" i="15"/>
  <c r="M221" i="15"/>
  <c r="M218" i="15"/>
  <c r="M220" i="15"/>
  <c r="H218" i="15"/>
  <c r="H219" i="15"/>
  <c r="H220" i="15"/>
  <c r="H221" i="15"/>
  <c r="L220" i="14"/>
  <c r="L218" i="14"/>
  <c r="L219" i="14"/>
  <c r="L221" i="14"/>
  <c r="O221" i="15"/>
  <c r="O218" i="15"/>
  <c r="O220" i="15"/>
  <c r="O219" i="15"/>
  <c r="L220" i="15"/>
  <c r="L221" i="15"/>
  <c r="L219" i="15"/>
  <c r="L218" i="15"/>
  <c r="K221" i="15"/>
  <c r="K220" i="15"/>
  <c r="K219" i="15"/>
  <c r="K218" i="15"/>
  <c r="K221" i="2"/>
  <c r="K220" i="2"/>
  <c r="K219" i="2"/>
  <c r="K218" i="2"/>
  <c r="Q218" i="15"/>
  <c r="Q219" i="15"/>
  <c r="Q221" i="15"/>
  <c r="Q220" i="15"/>
  <c r="N220" i="15"/>
  <c r="N218" i="15"/>
  <c r="N221" i="15"/>
  <c r="N219" i="15"/>
  <c r="N220" i="2"/>
  <c r="N221" i="2"/>
  <c r="N219" i="2"/>
  <c r="N218" i="2"/>
  <c r="M221" i="2"/>
  <c r="M220" i="2"/>
  <c r="M218" i="2"/>
  <c r="M219" i="2"/>
  <c r="H221" i="2"/>
  <c r="H220" i="2"/>
  <c r="H219" i="2"/>
  <c r="H218" i="2"/>
  <c r="J221" i="15"/>
  <c r="J219" i="15"/>
  <c r="J220" i="15"/>
  <c r="J218" i="15"/>
  <c r="O221" i="2"/>
  <c r="O220" i="2"/>
  <c r="O219" i="2"/>
  <c r="O218" i="2"/>
  <c r="L221" i="2"/>
  <c r="L220" i="2"/>
  <c r="L219" i="2"/>
  <c r="L218" i="2"/>
  <c r="I134" i="16"/>
  <c r="I188" i="16"/>
  <c r="I116" i="16"/>
  <c r="I44" i="16"/>
  <c r="H134" i="16"/>
  <c r="F134" i="16"/>
  <c r="F188" i="16"/>
  <c r="G170" i="16"/>
  <c r="G98" i="16"/>
  <c r="H152" i="16"/>
  <c r="F132" i="2"/>
  <c r="F96" i="15"/>
  <c r="F42" i="15"/>
  <c r="F114" i="2"/>
  <c r="F150" i="15"/>
  <c r="F132" i="15"/>
  <c r="F186" i="15"/>
  <c r="F114" i="15"/>
  <c r="F60" i="2"/>
  <c r="F150" i="2"/>
  <c r="F24" i="15"/>
  <c r="F78" i="15"/>
  <c r="F168" i="2"/>
  <c r="F186" i="2"/>
  <c r="G134" i="16"/>
  <c r="F42" i="2"/>
  <c r="F96" i="2"/>
  <c r="F78" i="2"/>
  <c r="F168" i="15"/>
  <c r="F60" i="15"/>
  <c r="I8" i="16"/>
  <c r="F8" i="16"/>
  <c r="K134" i="16"/>
  <c r="K62" i="16"/>
  <c r="K8" i="16"/>
  <c r="G26" i="16"/>
  <c r="J188" i="16"/>
  <c r="F116" i="16"/>
  <c r="H62" i="16"/>
  <c r="H170" i="16"/>
  <c r="F152" i="16"/>
  <c r="H98" i="16"/>
  <c r="F80" i="16"/>
  <c r="H8" i="16"/>
  <c r="G188" i="16"/>
  <c r="H80" i="16"/>
  <c r="G116" i="16"/>
  <c r="I62" i="16"/>
  <c r="K188" i="16"/>
  <c r="I170" i="16"/>
  <c r="G152" i="16"/>
  <c r="I98" i="16"/>
  <c r="G80" i="16"/>
  <c r="K44" i="16"/>
  <c r="I26" i="16"/>
  <c r="F62" i="16"/>
  <c r="F44" i="16"/>
  <c r="I152" i="16"/>
  <c r="K98" i="16"/>
  <c r="I80" i="16"/>
  <c r="H26" i="16"/>
  <c r="G44" i="16"/>
  <c r="G62" i="16"/>
  <c r="K26" i="16"/>
  <c r="H188" i="16"/>
  <c r="F170" i="16"/>
  <c r="H116" i="16"/>
  <c r="F98" i="16"/>
  <c r="H44" i="16"/>
  <c r="F26" i="16"/>
  <c r="L35" i="30"/>
  <c r="L187" i="16" s="1"/>
  <c r="L25" i="30"/>
  <c r="L7" i="16" s="1"/>
  <c r="L33" i="30"/>
  <c r="L151" i="16" s="1"/>
  <c r="L52" i="30"/>
  <c r="L29" i="30"/>
  <c r="L79" i="16" s="1"/>
  <c r="L27" i="30"/>
  <c r="L43" i="16" s="1"/>
  <c r="L68" i="30"/>
  <c r="L59" i="30"/>
  <c r="L60" i="30"/>
  <c r="L31" i="30"/>
  <c r="L115" i="16" s="1"/>
  <c r="K80" i="16"/>
  <c r="K170" i="16"/>
  <c r="L48" i="30"/>
  <c r="L116" i="16" s="1"/>
  <c r="L46" i="30"/>
  <c r="L66" i="30"/>
  <c r="L47" i="30"/>
  <c r="L67" i="30"/>
  <c r="L34" i="30"/>
  <c r="L169" i="16" s="1"/>
  <c r="L32" i="30"/>
  <c r="L133" i="16" s="1"/>
  <c r="L30" i="30"/>
  <c r="L97" i="16" s="1"/>
  <c r="L28" i="30"/>
  <c r="L61" i="16" s="1"/>
  <c r="L26" i="30"/>
  <c r="L25" i="16" s="1"/>
  <c r="L49" i="30"/>
  <c r="L69" i="30"/>
  <c r="L61" i="30"/>
  <c r="L50" i="30"/>
  <c r="L62" i="30"/>
  <c r="L42" i="30"/>
  <c r="L51" i="30"/>
  <c r="K152" i="16"/>
  <c r="L43" i="30"/>
  <c r="L63" i="30"/>
  <c r="L44" i="30"/>
  <c r="L64" i="30"/>
  <c r="L45" i="30"/>
  <c r="K116" i="16"/>
  <c r="F220" i="2" l="1"/>
  <c r="F221" i="2"/>
  <c r="F219" i="15"/>
  <c r="F221" i="15"/>
  <c r="F218" i="15"/>
  <c r="F220" i="15"/>
  <c r="L44" i="16"/>
  <c r="L170" i="16"/>
  <c r="L62" i="16"/>
  <c r="L188" i="16"/>
  <c r="L8" i="16"/>
  <c r="L26" i="16"/>
  <c r="L152" i="16"/>
  <c r="L134" i="16"/>
  <c r="L98" i="16"/>
  <c r="L80" i="16"/>
  <c r="F72" i="31" l="1"/>
  <c r="H256" i="32" s="1"/>
  <c r="J71" i="31"/>
  <c r="J68" i="30" s="1"/>
  <c r="F71" i="31"/>
  <c r="H251" i="32" s="1"/>
  <c r="J70" i="31"/>
  <c r="J67" i="30" s="1"/>
  <c r="F70" i="31"/>
  <c r="H246" i="32" s="1"/>
  <c r="J69" i="31"/>
  <c r="J66" i="30" s="1"/>
  <c r="F69" i="31"/>
  <c r="H241" i="32" s="1"/>
  <c r="J68" i="31"/>
  <c r="J65" i="30" s="1"/>
  <c r="F68" i="31"/>
  <c r="H236" i="32" s="1"/>
  <c r="J67" i="31"/>
  <c r="F67" i="31"/>
  <c r="J66" i="31"/>
  <c r="J63" i="30" s="1"/>
  <c r="F66" i="31"/>
  <c r="H226" i="32" s="1"/>
  <c r="J65" i="31"/>
  <c r="J62" i="30" s="1"/>
  <c r="F65" i="31"/>
  <c r="H221" i="32" s="1"/>
  <c r="J64" i="31"/>
  <c r="J61" i="30" s="1"/>
  <c r="F64" i="31"/>
  <c r="H216" i="32" s="1"/>
  <c r="J63" i="31"/>
  <c r="J60" i="30" s="1"/>
  <c r="F63" i="31"/>
  <c r="H211" i="32" s="1"/>
  <c r="J62" i="31"/>
  <c r="J59" i="30" s="1"/>
  <c r="F62" i="31"/>
  <c r="H206" i="32" s="1"/>
  <c r="F54" i="31"/>
  <c r="J51" i="30"/>
  <c r="F53" i="31"/>
  <c r="J50" i="30"/>
  <c r="F52" i="31"/>
  <c r="J48" i="30"/>
  <c r="F50" i="31"/>
  <c r="F49" i="31"/>
  <c r="J46" i="30"/>
  <c r="J80" i="16" s="1"/>
  <c r="F48" i="31"/>
  <c r="J45" i="30"/>
  <c r="F47" i="31"/>
  <c r="J44" i="30"/>
  <c r="F46" i="31"/>
  <c r="J43" i="30"/>
  <c r="F45" i="31"/>
  <c r="F44" i="31"/>
  <c r="F36" i="31"/>
  <c r="H126" i="32" s="1"/>
  <c r="J35" i="31"/>
  <c r="J34" i="30" s="1"/>
  <c r="J169" i="16" s="1"/>
  <c r="F35" i="31"/>
  <c r="H121" i="32" s="1"/>
  <c r="J34" i="31"/>
  <c r="J33" i="30" s="1"/>
  <c r="J151" i="16" s="1"/>
  <c r="F34" i="31"/>
  <c r="H116" i="32" s="1"/>
  <c r="F33" i="31"/>
  <c r="H111" i="32" s="1"/>
  <c r="J32" i="31"/>
  <c r="J31" i="30" s="1"/>
  <c r="J115" i="16" s="1"/>
  <c r="F32" i="31"/>
  <c r="H106" i="32" s="1"/>
  <c r="F31" i="31"/>
  <c r="J30" i="31"/>
  <c r="J29" i="30" s="1"/>
  <c r="J79" i="16" s="1"/>
  <c r="F30" i="31"/>
  <c r="H96" i="32" s="1"/>
  <c r="J29" i="31"/>
  <c r="J28" i="30" s="1"/>
  <c r="J61" i="16" s="1"/>
  <c r="F29" i="31"/>
  <c r="H91" i="32" s="1"/>
  <c r="F28" i="31"/>
  <c r="H86" i="32" s="1"/>
  <c r="F27" i="31"/>
  <c r="H81" i="32" s="1"/>
  <c r="F26" i="31"/>
  <c r="H76" i="32" s="1"/>
  <c r="H156" i="32" l="1"/>
  <c r="F11" i="31"/>
  <c r="H26" i="32" s="1"/>
  <c r="H186" i="32"/>
  <c r="F17" i="31"/>
  <c r="H56" i="32" s="1"/>
  <c r="H101" i="32"/>
  <c r="F37" i="31"/>
  <c r="H131" i="32" s="1"/>
  <c r="H161" i="32"/>
  <c r="F12" i="31"/>
  <c r="H31" i="32" s="1"/>
  <c r="H191" i="32"/>
  <c r="F18" i="31"/>
  <c r="H61" i="32" s="1"/>
  <c r="H166" i="32"/>
  <c r="F55" i="31"/>
  <c r="F13" i="31"/>
  <c r="H36" i="32" s="1"/>
  <c r="H171" i="32"/>
  <c r="I116" i="14" s="1"/>
  <c r="F14" i="31"/>
  <c r="H41" i="32" s="1"/>
  <c r="H151" i="32"/>
  <c r="I151" i="32" s="1"/>
  <c r="E151" i="32" s="1"/>
  <c r="F10" i="31"/>
  <c r="H21" i="32" s="1"/>
  <c r="H146" i="32"/>
  <c r="H147" i="32" s="1"/>
  <c r="F9" i="31"/>
  <c r="H16" i="32" s="1"/>
  <c r="H231" i="32"/>
  <c r="F73" i="31"/>
  <c r="H261" i="32" s="1"/>
  <c r="H181" i="32"/>
  <c r="I181" i="32" s="1"/>
  <c r="E181" i="32" s="1"/>
  <c r="F16" i="31"/>
  <c r="H51" i="32" s="1"/>
  <c r="J64" i="30"/>
  <c r="J98" i="16" s="1"/>
  <c r="J73" i="31"/>
  <c r="J70" i="30" s="1"/>
  <c r="J206" i="16" s="1"/>
  <c r="J49" i="30"/>
  <c r="J134" i="16" s="1"/>
  <c r="J15" i="30"/>
  <c r="J132" i="16" s="1"/>
  <c r="H176" i="32"/>
  <c r="I134" i="14" s="1"/>
  <c r="F15" i="31"/>
  <c r="H46" i="32" s="1"/>
  <c r="J42" i="30"/>
  <c r="J8" i="16" s="1"/>
  <c r="J8" i="30"/>
  <c r="J6" i="16" s="1"/>
  <c r="H141" i="32"/>
  <c r="H142" i="32" s="1"/>
  <c r="F8" i="31"/>
  <c r="H11" i="32" s="1"/>
  <c r="J62" i="16"/>
  <c r="J152" i="16"/>
  <c r="J170" i="16"/>
  <c r="J26" i="16"/>
  <c r="H187" i="32"/>
  <c r="I170" i="14"/>
  <c r="I186" i="32"/>
  <c r="E186" i="32" s="1"/>
  <c r="I106" i="32"/>
  <c r="I115" i="14"/>
  <c r="H107" i="32"/>
  <c r="I146" i="32"/>
  <c r="E146" i="32" s="1"/>
  <c r="H222" i="32"/>
  <c r="I221" i="32"/>
  <c r="I222" i="32" s="1"/>
  <c r="I166" i="32"/>
  <c r="E166" i="32" s="1"/>
  <c r="H167" i="32"/>
  <c r="I98" i="14"/>
  <c r="H92" i="32"/>
  <c r="I91" i="32"/>
  <c r="E91" i="32" s="1"/>
  <c r="I61" i="14"/>
  <c r="I116" i="32"/>
  <c r="E116" i="32" s="1"/>
  <c r="I151" i="14"/>
  <c r="H117" i="32"/>
  <c r="I171" i="32"/>
  <c r="E171" i="32" s="1"/>
  <c r="I191" i="32"/>
  <c r="E191" i="32" s="1"/>
  <c r="I188" i="14"/>
  <c r="H192" i="32"/>
  <c r="I44" i="14"/>
  <c r="J116" i="16"/>
  <c r="H227" i="32"/>
  <c r="I226" i="32"/>
  <c r="I227" i="32" s="1"/>
  <c r="H247" i="32"/>
  <c r="I246" i="32"/>
  <c r="I247" i="32" s="1"/>
  <c r="I86" i="32"/>
  <c r="E86" i="32" s="1"/>
  <c r="H87" i="32"/>
  <c r="I43" i="14"/>
  <c r="I156" i="32"/>
  <c r="E156" i="32" s="1"/>
  <c r="H157" i="32"/>
  <c r="I62" i="14"/>
  <c r="H212" i="32"/>
  <c r="I211" i="32"/>
  <c r="I212" i="32" s="1"/>
  <c r="H232" i="32"/>
  <c r="I231" i="32"/>
  <c r="I232" i="32" s="1"/>
  <c r="I251" i="32"/>
  <c r="I252" i="32" s="1"/>
  <c r="H252" i="32"/>
  <c r="H82" i="32"/>
  <c r="I25" i="14"/>
  <c r="I81" i="32"/>
  <c r="E81" i="32" s="1"/>
  <c r="H97" i="32"/>
  <c r="I79" i="14"/>
  <c r="I96" i="32"/>
  <c r="E96" i="32" s="1"/>
  <c r="J44" i="16"/>
  <c r="I101" i="32"/>
  <c r="E101" i="32" s="1"/>
  <c r="H102" i="32"/>
  <c r="I97" i="14"/>
  <c r="I126" i="32"/>
  <c r="E126" i="32" s="1"/>
  <c r="H127" i="32"/>
  <c r="I187" i="14"/>
  <c r="H182" i="32"/>
  <c r="H162" i="32"/>
  <c r="I80" i="14"/>
  <c r="I161" i="32"/>
  <c r="E161" i="32" s="1"/>
  <c r="H217" i="32"/>
  <c r="I216" i="32"/>
  <c r="I217" i="32" s="1"/>
  <c r="I236" i="32"/>
  <c r="I237" i="32" s="1"/>
  <c r="H237" i="32"/>
  <c r="I256" i="32"/>
  <c r="I257" i="32" s="1"/>
  <c r="H257" i="32"/>
  <c r="I241" i="32"/>
  <c r="I242" i="32" s="1"/>
  <c r="H242" i="32"/>
  <c r="I176" i="32"/>
  <c r="E176" i="32" s="1"/>
  <c r="H177" i="32"/>
  <c r="H207" i="32"/>
  <c r="I206" i="32"/>
  <c r="I207" i="32" s="1"/>
  <c r="I111" i="32"/>
  <c r="E111" i="32" s="1"/>
  <c r="H112" i="32"/>
  <c r="I133" i="14"/>
  <c r="H122" i="32"/>
  <c r="I169" i="14"/>
  <c r="I121" i="32"/>
  <c r="E121" i="32" s="1"/>
  <c r="H77" i="32"/>
  <c r="I76" i="32"/>
  <c r="E76" i="32" s="1"/>
  <c r="I7" i="14"/>
  <c r="M188" i="16"/>
  <c r="M187" i="16"/>
  <c r="M170" i="16"/>
  <c r="M169" i="16"/>
  <c r="M168" i="16"/>
  <c r="M152" i="16"/>
  <c r="M151" i="16"/>
  <c r="M150" i="16"/>
  <c r="M134" i="16"/>
  <c r="M133" i="16"/>
  <c r="M132" i="16"/>
  <c r="M116" i="16"/>
  <c r="M115" i="16"/>
  <c r="M114" i="16"/>
  <c r="M98" i="16"/>
  <c r="M97" i="16"/>
  <c r="M96" i="16"/>
  <c r="M80" i="16"/>
  <c r="M79" i="16"/>
  <c r="M78" i="16"/>
  <c r="M62" i="16"/>
  <c r="M61" i="16"/>
  <c r="M60" i="16"/>
  <c r="M44" i="16"/>
  <c r="M43" i="16"/>
  <c r="M42" i="16"/>
  <c r="M25" i="16"/>
  <c r="M24" i="16"/>
  <c r="M8" i="16"/>
  <c r="M7" i="16"/>
  <c r="M6" i="16"/>
  <c r="M9" i="16"/>
  <c r="M10" i="16"/>
  <c r="M11" i="16"/>
  <c r="M12" i="16"/>
  <c r="M13" i="16"/>
  <c r="M14" i="16"/>
  <c r="M15" i="16"/>
  <c r="M16" i="16"/>
  <c r="M17" i="16"/>
  <c r="M18" i="16"/>
  <c r="M19" i="16"/>
  <c r="M28" i="16"/>
  <c r="M29" i="16"/>
  <c r="M30" i="16"/>
  <c r="M31" i="16"/>
  <c r="M32" i="16"/>
  <c r="M33" i="16"/>
  <c r="M34" i="16"/>
  <c r="M35" i="16"/>
  <c r="M36" i="16"/>
  <c r="M37" i="16"/>
  <c r="M45" i="16"/>
  <c r="M46" i="16"/>
  <c r="M47" i="16"/>
  <c r="M48" i="16"/>
  <c r="M49" i="16"/>
  <c r="M50" i="16"/>
  <c r="M51" i="16"/>
  <c r="M52" i="16"/>
  <c r="M53" i="16"/>
  <c r="M54" i="16"/>
  <c r="M55" i="16"/>
  <c r="M63" i="16"/>
  <c r="M64" i="16"/>
  <c r="M65" i="16"/>
  <c r="M66" i="16"/>
  <c r="M67" i="16"/>
  <c r="M68" i="16"/>
  <c r="M69" i="16"/>
  <c r="M70" i="16"/>
  <c r="M71" i="16"/>
  <c r="M72" i="16"/>
  <c r="M73" i="16"/>
  <c r="M81" i="16"/>
  <c r="M82" i="16"/>
  <c r="M83" i="16"/>
  <c r="M84" i="16"/>
  <c r="M85" i="16"/>
  <c r="M86" i="16"/>
  <c r="M87" i="16"/>
  <c r="M88" i="16"/>
  <c r="M89" i="16"/>
  <c r="M90" i="16"/>
  <c r="M91" i="16"/>
  <c r="M99" i="16"/>
  <c r="M100" i="16"/>
  <c r="M101" i="16"/>
  <c r="M102" i="16"/>
  <c r="M103" i="16"/>
  <c r="M104" i="16"/>
  <c r="M105" i="16"/>
  <c r="M106" i="16"/>
  <c r="M107" i="16"/>
  <c r="M108" i="16"/>
  <c r="M109" i="16"/>
  <c r="M117" i="16"/>
  <c r="M118" i="16"/>
  <c r="M119" i="16"/>
  <c r="M120" i="16"/>
  <c r="M121" i="16"/>
  <c r="M122" i="16"/>
  <c r="M123" i="16"/>
  <c r="M124" i="16"/>
  <c r="M125" i="16"/>
  <c r="M126" i="16"/>
  <c r="M127" i="16"/>
  <c r="M135" i="16"/>
  <c r="M136" i="16"/>
  <c r="M137" i="16"/>
  <c r="M138" i="16"/>
  <c r="M139" i="16"/>
  <c r="M140" i="16"/>
  <c r="M141" i="16"/>
  <c r="M142" i="16"/>
  <c r="M143" i="16"/>
  <c r="M144" i="16"/>
  <c r="M145" i="16"/>
  <c r="M153" i="16"/>
  <c r="M154" i="16"/>
  <c r="M155" i="16"/>
  <c r="M156" i="16"/>
  <c r="M157" i="16"/>
  <c r="M158" i="16"/>
  <c r="M159" i="16"/>
  <c r="M160" i="16"/>
  <c r="M161" i="16"/>
  <c r="M162" i="16"/>
  <c r="M163" i="16"/>
  <c r="M171" i="16"/>
  <c r="M172" i="16"/>
  <c r="M173" i="16"/>
  <c r="M174" i="16"/>
  <c r="M175" i="16"/>
  <c r="M176" i="16"/>
  <c r="M177" i="16"/>
  <c r="M178" i="16"/>
  <c r="M179" i="16"/>
  <c r="M180" i="16"/>
  <c r="M181" i="16"/>
  <c r="M189" i="16"/>
  <c r="M190" i="16"/>
  <c r="M191" i="16"/>
  <c r="M192" i="16"/>
  <c r="M193" i="16"/>
  <c r="M194" i="16"/>
  <c r="M195" i="16"/>
  <c r="M196" i="16"/>
  <c r="M197" i="16"/>
  <c r="M198" i="16"/>
  <c r="M199" i="16"/>
  <c r="R199" i="14"/>
  <c r="R198" i="14"/>
  <c r="R197" i="14"/>
  <c r="R196" i="14"/>
  <c r="R195" i="14"/>
  <c r="R194" i="14"/>
  <c r="R193" i="14"/>
  <c r="R192" i="14"/>
  <c r="R191" i="14"/>
  <c r="R190" i="14"/>
  <c r="R189" i="14"/>
  <c r="R188" i="14"/>
  <c r="R187" i="14"/>
  <c r="R186" i="14"/>
  <c r="R181" i="14"/>
  <c r="R180" i="14"/>
  <c r="R179" i="14"/>
  <c r="R178" i="14"/>
  <c r="R177" i="14"/>
  <c r="R176" i="14"/>
  <c r="R175" i="14"/>
  <c r="R174" i="14"/>
  <c r="R173" i="14"/>
  <c r="R172" i="14"/>
  <c r="R171" i="14"/>
  <c r="R170" i="14"/>
  <c r="R169" i="14"/>
  <c r="R168" i="14"/>
  <c r="R163" i="14"/>
  <c r="R162" i="14"/>
  <c r="R161" i="14"/>
  <c r="R160" i="14"/>
  <c r="R159" i="14"/>
  <c r="R158" i="14"/>
  <c r="R157" i="14"/>
  <c r="R156" i="14"/>
  <c r="R155" i="14"/>
  <c r="R154" i="14"/>
  <c r="R153" i="14"/>
  <c r="R152" i="14"/>
  <c r="R151" i="14"/>
  <c r="R150" i="14"/>
  <c r="R145" i="14"/>
  <c r="R144" i="14"/>
  <c r="R143" i="14"/>
  <c r="R142" i="14"/>
  <c r="R141" i="14"/>
  <c r="R140" i="14"/>
  <c r="R139" i="14"/>
  <c r="R138" i="14"/>
  <c r="R137" i="14"/>
  <c r="R136" i="14"/>
  <c r="R135" i="14"/>
  <c r="R134" i="14"/>
  <c r="R133" i="14"/>
  <c r="R132" i="14"/>
  <c r="R127" i="14"/>
  <c r="R126" i="14"/>
  <c r="R125" i="14"/>
  <c r="R124" i="14"/>
  <c r="R123" i="14"/>
  <c r="R122" i="14"/>
  <c r="R121" i="14"/>
  <c r="R120" i="14"/>
  <c r="R119" i="14"/>
  <c r="R118" i="14"/>
  <c r="R117" i="14"/>
  <c r="R116" i="14"/>
  <c r="R115" i="14"/>
  <c r="R114" i="14"/>
  <c r="R109" i="14"/>
  <c r="R108" i="14"/>
  <c r="R107" i="14"/>
  <c r="R106" i="14"/>
  <c r="R105" i="14"/>
  <c r="R104" i="14"/>
  <c r="R103" i="14"/>
  <c r="R102" i="14"/>
  <c r="R101" i="14"/>
  <c r="R100" i="14"/>
  <c r="R99" i="14"/>
  <c r="R98" i="14"/>
  <c r="R97" i="14"/>
  <c r="R96" i="14"/>
  <c r="R91" i="14"/>
  <c r="R90" i="14"/>
  <c r="R89" i="14"/>
  <c r="R88" i="14"/>
  <c r="R87" i="14"/>
  <c r="R86" i="14"/>
  <c r="R85" i="14"/>
  <c r="R84" i="14"/>
  <c r="R83" i="14"/>
  <c r="R82" i="14"/>
  <c r="R81" i="14"/>
  <c r="R80" i="14"/>
  <c r="R79" i="14"/>
  <c r="R78" i="14"/>
  <c r="R73" i="14"/>
  <c r="R72" i="14"/>
  <c r="R71" i="14"/>
  <c r="R70" i="14"/>
  <c r="R69" i="14"/>
  <c r="R68" i="14"/>
  <c r="R67" i="14"/>
  <c r="R66" i="14"/>
  <c r="R65" i="14"/>
  <c r="R64" i="14"/>
  <c r="R63" i="14"/>
  <c r="R62" i="14"/>
  <c r="R61" i="14"/>
  <c r="R60" i="14"/>
  <c r="R55" i="14"/>
  <c r="R54" i="14"/>
  <c r="R53" i="14"/>
  <c r="R52" i="14"/>
  <c r="R51" i="14"/>
  <c r="R50" i="14"/>
  <c r="R49" i="14"/>
  <c r="R48" i="14"/>
  <c r="R47" i="14"/>
  <c r="R46" i="14"/>
  <c r="R45" i="14"/>
  <c r="R44" i="14"/>
  <c r="R43" i="14"/>
  <c r="R42" i="14"/>
  <c r="R37" i="14"/>
  <c r="R36" i="14"/>
  <c r="R35" i="14"/>
  <c r="R34" i="14"/>
  <c r="R33" i="14"/>
  <c r="R32" i="14"/>
  <c r="R31" i="14"/>
  <c r="R30" i="14"/>
  <c r="R29" i="14"/>
  <c r="R28" i="14"/>
  <c r="R27" i="14"/>
  <c r="R26" i="14"/>
  <c r="R25" i="14"/>
  <c r="R24" i="14"/>
  <c r="R19" i="14"/>
  <c r="R18" i="14"/>
  <c r="R17" i="14"/>
  <c r="R16" i="14"/>
  <c r="R15" i="14"/>
  <c r="R14" i="14"/>
  <c r="R13" i="14"/>
  <c r="R12" i="14"/>
  <c r="R11" i="14"/>
  <c r="R10" i="14"/>
  <c r="R9" i="14"/>
  <c r="R8" i="14"/>
  <c r="R7" i="14"/>
  <c r="R6" i="14"/>
  <c r="R199" i="15"/>
  <c r="R198" i="15"/>
  <c r="R197" i="15"/>
  <c r="R196" i="15"/>
  <c r="R195" i="15"/>
  <c r="R194" i="15"/>
  <c r="R193" i="15"/>
  <c r="R192" i="15"/>
  <c r="R191" i="15"/>
  <c r="R190" i="15"/>
  <c r="R189" i="15"/>
  <c r="R188" i="15"/>
  <c r="R187" i="15"/>
  <c r="R186" i="15"/>
  <c r="R181" i="15"/>
  <c r="R180" i="15"/>
  <c r="R179" i="15"/>
  <c r="R178" i="15"/>
  <c r="R177" i="15"/>
  <c r="R176" i="15"/>
  <c r="R175" i="15"/>
  <c r="R174" i="15"/>
  <c r="R173" i="15"/>
  <c r="R172" i="15"/>
  <c r="R171" i="15"/>
  <c r="R170" i="15"/>
  <c r="R169" i="15"/>
  <c r="R168" i="15"/>
  <c r="R163" i="15"/>
  <c r="R162" i="15"/>
  <c r="R161" i="15"/>
  <c r="R160" i="15"/>
  <c r="R159" i="15"/>
  <c r="R158" i="15"/>
  <c r="R157" i="15"/>
  <c r="R156" i="15"/>
  <c r="R155" i="15"/>
  <c r="R154" i="15"/>
  <c r="R153" i="15"/>
  <c r="R152" i="15"/>
  <c r="R151" i="15"/>
  <c r="R150" i="15"/>
  <c r="R145" i="15"/>
  <c r="R144" i="15"/>
  <c r="R143" i="15"/>
  <c r="R142" i="15"/>
  <c r="R141" i="15"/>
  <c r="R140" i="15"/>
  <c r="R139" i="15"/>
  <c r="R138" i="15"/>
  <c r="R137" i="15"/>
  <c r="R136" i="15"/>
  <c r="R135" i="15"/>
  <c r="R134" i="15"/>
  <c r="R133" i="15"/>
  <c r="R132" i="15"/>
  <c r="R127" i="15"/>
  <c r="R126" i="15"/>
  <c r="R125" i="15"/>
  <c r="R124" i="15"/>
  <c r="R123" i="15"/>
  <c r="R122" i="15"/>
  <c r="R121" i="15"/>
  <c r="R120" i="15"/>
  <c r="R119" i="15"/>
  <c r="R118" i="15"/>
  <c r="R117" i="15"/>
  <c r="R116" i="15"/>
  <c r="R115" i="15"/>
  <c r="R114" i="15"/>
  <c r="R109" i="15"/>
  <c r="R108" i="15"/>
  <c r="R107" i="15"/>
  <c r="R106" i="15"/>
  <c r="R105" i="15"/>
  <c r="R104" i="15"/>
  <c r="R103" i="15"/>
  <c r="R102" i="15"/>
  <c r="R101" i="15"/>
  <c r="R100" i="15"/>
  <c r="R99" i="15"/>
  <c r="R98" i="15"/>
  <c r="R97" i="15"/>
  <c r="R96" i="15"/>
  <c r="R91" i="15"/>
  <c r="R90" i="15"/>
  <c r="R89" i="15"/>
  <c r="R88" i="15"/>
  <c r="R87" i="15"/>
  <c r="R86" i="15"/>
  <c r="R85" i="15"/>
  <c r="R84" i="15"/>
  <c r="R83" i="15"/>
  <c r="R82" i="15"/>
  <c r="R81" i="15"/>
  <c r="R80" i="15"/>
  <c r="R79" i="15"/>
  <c r="R78" i="15"/>
  <c r="R73" i="15"/>
  <c r="R72" i="15"/>
  <c r="R71" i="15"/>
  <c r="R70" i="15"/>
  <c r="R69" i="15"/>
  <c r="R68" i="15"/>
  <c r="R67" i="15"/>
  <c r="R66" i="15"/>
  <c r="R65" i="15"/>
  <c r="R64" i="15"/>
  <c r="R63" i="15"/>
  <c r="R62" i="15"/>
  <c r="R61" i="15"/>
  <c r="R55" i="15"/>
  <c r="R54" i="15"/>
  <c r="R53" i="15"/>
  <c r="R52" i="15"/>
  <c r="R51" i="15"/>
  <c r="R50" i="15"/>
  <c r="R49" i="15"/>
  <c r="R48" i="15"/>
  <c r="R47" i="15"/>
  <c r="R46" i="15"/>
  <c r="R45" i="15"/>
  <c r="R44" i="15"/>
  <c r="R43" i="15"/>
  <c r="R42" i="15"/>
  <c r="R37" i="15"/>
  <c r="R36" i="15"/>
  <c r="R35" i="15"/>
  <c r="R34" i="15"/>
  <c r="R33" i="15"/>
  <c r="R32" i="15"/>
  <c r="R31" i="15"/>
  <c r="R30" i="15"/>
  <c r="R29" i="15"/>
  <c r="R28" i="15"/>
  <c r="R27" i="15"/>
  <c r="R26" i="15"/>
  <c r="R25" i="15"/>
  <c r="R24" i="15"/>
  <c r="R19" i="15"/>
  <c r="R18" i="15"/>
  <c r="R17" i="15"/>
  <c r="R16" i="15"/>
  <c r="R15" i="15"/>
  <c r="R14" i="15"/>
  <c r="R13" i="15"/>
  <c r="R12" i="15"/>
  <c r="R11" i="15"/>
  <c r="R10" i="15"/>
  <c r="R9" i="15"/>
  <c r="R8" i="15"/>
  <c r="R7" i="15"/>
  <c r="R6" i="15"/>
  <c r="F6" i="15"/>
  <c r="R187" i="2"/>
  <c r="R188" i="2"/>
  <c r="R189" i="2"/>
  <c r="R190" i="2"/>
  <c r="R191" i="2"/>
  <c r="R192" i="2"/>
  <c r="R193" i="2"/>
  <c r="R194" i="2"/>
  <c r="R195" i="2"/>
  <c r="R196" i="2"/>
  <c r="R197" i="2"/>
  <c r="R198" i="2"/>
  <c r="R199" i="2"/>
  <c r="R186" i="2"/>
  <c r="R168" i="2"/>
  <c r="R169" i="2"/>
  <c r="R170" i="2"/>
  <c r="R171" i="2"/>
  <c r="R172" i="2"/>
  <c r="R173" i="2"/>
  <c r="R174" i="2"/>
  <c r="R175" i="2"/>
  <c r="R176" i="2"/>
  <c r="R177" i="2"/>
  <c r="R178" i="2"/>
  <c r="R179" i="2"/>
  <c r="R180" i="2"/>
  <c r="R181" i="2"/>
  <c r="R150" i="2"/>
  <c r="R151" i="2"/>
  <c r="R152" i="2"/>
  <c r="R153" i="2"/>
  <c r="R154" i="2"/>
  <c r="R155" i="2"/>
  <c r="R156" i="2"/>
  <c r="R157" i="2"/>
  <c r="R158" i="2"/>
  <c r="R159" i="2"/>
  <c r="R160" i="2"/>
  <c r="R161" i="2"/>
  <c r="R162" i="2"/>
  <c r="R163" i="2"/>
  <c r="R132" i="2"/>
  <c r="R133" i="2"/>
  <c r="R134" i="2"/>
  <c r="R135" i="2"/>
  <c r="R136" i="2"/>
  <c r="R137" i="2"/>
  <c r="R138" i="2"/>
  <c r="R139" i="2"/>
  <c r="R140" i="2"/>
  <c r="R141" i="2"/>
  <c r="R142" i="2"/>
  <c r="R143" i="2"/>
  <c r="R144" i="2"/>
  <c r="R145" i="2"/>
  <c r="R114" i="2"/>
  <c r="R115" i="2"/>
  <c r="R116" i="2"/>
  <c r="R117" i="2"/>
  <c r="R118" i="2"/>
  <c r="R119" i="2"/>
  <c r="R120" i="2"/>
  <c r="R121" i="2"/>
  <c r="R122" i="2"/>
  <c r="R123" i="2"/>
  <c r="R124" i="2"/>
  <c r="R125" i="2"/>
  <c r="R126" i="2"/>
  <c r="R127" i="2"/>
  <c r="R96" i="2"/>
  <c r="R97" i="2"/>
  <c r="R98" i="2"/>
  <c r="R99" i="2"/>
  <c r="R100" i="2"/>
  <c r="R101" i="2"/>
  <c r="R102" i="2"/>
  <c r="R103" i="2"/>
  <c r="R104" i="2"/>
  <c r="R105" i="2"/>
  <c r="R106" i="2"/>
  <c r="R107" i="2"/>
  <c r="R108" i="2"/>
  <c r="R109" i="2"/>
  <c r="R78" i="2"/>
  <c r="R79" i="2"/>
  <c r="R80" i="2"/>
  <c r="R81" i="2"/>
  <c r="R82" i="2"/>
  <c r="R83" i="2"/>
  <c r="R84" i="2"/>
  <c r="R85" i="2"/>
  <c r="R86" i="2"/>
  <c r="R87" i="2"/>
  <c r="R88" i="2"/>
  <c r="R89" i="2"/>
  <c r="R90" i="2"/>
  <c r="R91" i="2"/>
  <c r="R61" i="2"/>
  <c r="R62" i="2"/>
  <c r="R63" i="2"/>
  <c r="R64" i="2"/>
  <c r="R65" i="2"/>
  <c r="R66" i="2"/>
  <c r="R67" i="2"/>
  <c r="R68" i="2"/>
  <c r="R69" i="2"/>
  <c r="R70" i="2"/>
  <c r="R71" i="2"/>
  <c r="R72" i="2"/>
  <c r="R73" i="2"/>
  <c r="R42" i="2"/>
  <c r="R43" i="2"/>
  <c r="R44" i="2"/>
  <c r="R45" i="2"/>
  <c r="R46" i="2"/>
  <c r="R47" i="2"/>
  <c r="R48" i="2"/>
  <c r="R49" i="2"/>
  <c r="R50" i="2"/>
  <c r="R51" i="2"/>
  <c r="R52" i="2"/>
  <c r="R53" i="2"/>
  <c r="R54" i="2"/>
  <c r="R55" i="2"/>
  <c r="R26" i="2"/>
  <c r="R27" i="2"/>
  <c r="R28" i="2"/>
  <c r="R29" i="2"/>
  <c r="R30" i="2"/>
  <c r="R31" i="2"/>
  <c r="R32" i="2"/>
  <c r="R33" i="2"/>
  <c r="R34" i="2"/>
  <c r="R35" i="2"/>
  <c r="R36" i="2"/>
  <c r="R37" i="2"/>
  <c r="R6" i="2"/>
  <c r="R7" i="2"/>
  <c r="R8" i="2"/>
  <c r="R9" i="2"/>
  <c r="R10" i="2"/>
  <c r="R11" i="2"/>
  <c r="R12" i="2"/>
  <c r="R13" i="2"/>
  <c r="R14" i="2"/>
  <c r="R15" i="2"/>
  <c r="R16" i="2"/>
  <c r="R17" i="2"/>
  <c r="R18" i="2"/>
  <c r="R19" i="2"/>
  <c r="C30" i="4"/>
  <c r="D30" i="4"/>
  <c r="E30" i="4"/>
  <c r="F30" i="4"/>
  <c r="G30" i="4"/>
  <c r="H30" i="4"/>
  <c r="I30" i="4"/>
  <c r="J30" i="4"/>
  <c r="K30" i="4"/>
  <c r="B30" i="4"/>
  <c r="F188" i="2"/>
  <c r="F187" i="2"/>
  <c r="F6" i="2"/>
  <c r="J66" i="29"/>
  <c r="G66" i="29"/>
  <c r="F66" i="29"/>
  <c r="J65" i="29"/>
  <c r="G65" i="29"/>
  <c r="F65" i="29"/>
  <c r="J64" i="29"/>
  <c r="G64" i="29"/>
  <c r="F64" i="29"/>
  <c r="J63" i="29"/>
  <c r="G63" i="29"/>
  <c r="F63" i="29"/>
  <c r="J62" i="29"/>
  <c r="G62" i="29"/>
  <c r="F62" i="29"/>
  <c r="J61" i="29"/>
  <c r="G61" i="29"/>
  <c r="F61" i="29"/>
  <c r="J60" i="29"/>
  <c r="G60" i="29"/>
  <c r="F60" i="29"/>
  <c r="J59" i="29"/>
  <c r="G59" i="29"/>
  <c r="F59" i="29"/>
  <c r="J58" i="29"/>
  <c r="G58" i="29"/>
  <c r="F58" i="29"/>
  <c r="J57" i="29"/>
  <c r="G57" i="29"/>
  <c r="F57" i="29"/>
  <c r="K56" i="29"/>
  <c r="J56" i="29"/>
  <c r="G56" i="29"/>
  <c r="F56" i="29"/>
  <c r="E50" i="29"/>
  <c r="E49" i="29"/>
  <c r="E48" i="29"/>
  <c r="E47" i="29"/>
  <c r="E46" i="29"/>
  <c r="I152" i="14" l="1"/>
  <c r="H152" i="32"/>
  <c r="I78" i="14"/>
  <c r="I31" i="32"/>
  <c r="H32" i="32"/>
  <c r="I150" i="14"/>
  <c r="H52" i="32"/>
  <c r="I51" i="32"/>
  <c r="I114" i="14"/>
  <c r="H42" i="32"/>
  <c r="I41" i="32"/>
  <c r="E41" i="32" s="1"/>
  <c r="H132" i="32"/>
  <c r="I205" i="14"/>
  <c r="I131" i="32"/>
  <c r="E131" i="32" s="1"/>
  <c r="I26" i="14"/>
  <c r="H47" i="32"/>
  <c r="I46" i="32"/>
  <c r="I132" i="14"/>
  <c r="E46" i="32"/>
  <c r="I261" i="32"/>
  <c r="I262" i="32" s="1"/>
  <c r="H262" i="32"/>
  <c r="E262" i="32" s="1"/>
  <c r="E261" i="32"/>
  <c r="H37" i="32"/>
  <c r="I36" i="32"/>
  <c r="I96" i="14"/>
  <c r="H172" i="32"/>
  <c r="F19" i="31"/>
  <c r="H66" i="32" s="1"/>
  <c r="H196" i="32"/>
  <c r="I168" i="14"/>
  <c r="I56" i="32"/>
  <c r="E56" i="32" s="1"/>
  <c r="H57" i="32"/>
  <c r="I16" i="32"/>
  <c r="I24" i="14"/>
  <c r="H17" i="32"/>
  <c r="I61" i="32"/>
  <c r="E61" i="32" s="1"/>
  <c r="I186" i="14"/>
  <c r="H62" i="32"/>
  <c r="I60" i="14"/>
  <c r="H27" i="32"/>
  <c r="I26" i="32"/>
  <c r="E26" i="32" s="1"/>
  <c r="I11" i="32"/>
  <c r="E11" i="32" s="1"/>
  <c r="H12" i="32"/>
  <c r="I6" i="14"/>
  <c r="I42" i="14"/>
  <c r="I21" i="32"/>
  <c r="E21" i="32" s="1"/>
  <c r="H22" i="32"/>
  <c r="J73" i="2"/>
  <c r="L73" i="2"/>
  <c r="J91" i="15"/>
  <c r="I91" i="15"/>
  <c r="I92" i="15" s="1"/>
  <c r="L91" i="15"/>
  <c r="M91" i="15"/>
  <c r="K91" i="15"/>
  <c r="H91" i="15"/>
  <c r="G91" i="15"/>
  <c r="N91" i="15"/>
  <c r="Q91" i="15"/>
  <c r="P91" i="15"/>
  <c r="O91" i="15"/>
  <c r="L163" i="15"/>
  <c r="I163" i="15"/>
  <c r="J163" i="15"/>
  <c r="M163" i="15"/>
  <c r="N163" i="15"/>
  <c r="K163" i="15"/>
  <c r="H163" i="15"/>
  <c r="G163" i="15"/>
  <c r="Q163" i="15"/>
  <c r="P163" i="15"/>
  <c r="O163" i="15"/>
  <c r="O37" i="14"/>
  <c r="L37" i="14"/>
  <c r="L109" i="14"/>
  <c r="O109" i="14"/>
  <c r="O181" i="14"/>
  <c r="L181" i="14"/>
  <c r="J127" i="2"/>
  <c r="L127" i="2"/>
  <c r="L55" i="2"/>
  <c r="J55" i="2"/>
  <c r="J74" i="2"/>
  <c r="L199" i="2"/>
  <c r="J199" i="2"/>
  <c r="L73" i="15"/>
  <c r="I73" i="15"/>
  <c r="J73" i="15"/>
  <c r="M73" i="15"/>
  <c r="K73" i="15"/>
  <c r="H73" i="15"/>
  <c r="N73" i="15"/>
  <c r="G73" i="15"/>
  <c r="Q73" i="15"/>
  <c r="P73" i="15"/>
  <c r="O73" i="15"/>
  <c r="I145" i="15"/>
  <c r="L145" i="15"/>
  <c r="J145" i="15"/>
  <c r="M145" i="15"/>
  <c r="K145" i="15"/>
  <c r="H145" i="15"/>
  <c r="G145" i="15"/>
  <c r="Q145" i="15"/>
  <c r="P145" i="15"/>
  <c r="O145" i="15"/>
  <c r="N145" i="15"/>
  <c r="O19" i="14"/>
  <c r="L19" i="14"/>
  <c r="L91" i="14"/>
  <c r="O91" i="14"/>
  <c r="O163" i="14"/>
  <c r="L163" i="14"/>
  <c r="L145" i="2"/>
  <c r="J145" i="2"/>
  <c r="I37" i="15"/>
  <c r="J37" i="15"/>
  <c r="L37" i="15"/>
  <c r="O37" i="15"/>
  <c r="L109" i="2"/>
  <c r="J109" i="2"/>
  <c r="L181" i="2"/>
  <c r="J181" i="2"/>
  <c r="L19" i="15"/>
  <c r="I19" i="15"/>
  <c r="J19" i="15"/>
  <c r="O19" i="15"/>
  <c r="J37" i="2"/>
  <c r="L37" i="2"/>
  <c r="I127" i="15"/>
  <c r="J127" i="15"/>
  <c r="L127" i="15"/>
  <c r="M127" i="15"/>
  <c r="K127" i="15"/>
  <c r="H127" i="15"/>
  <c r="G127" i="15"/>
  <c r="Q127" i="15"/>
  <c r="N127" i="15"/>
  <c r="P127" i="15"/>
  <c r="O127" i="15"/>
  <c r="I199" i="15"/>
  <c r="L199" i="15"/>
  <c r="J199" i="15"/>
  <c r="N199" i="15"/>
  <c r="M199" i="15"/>
  <c r="K199" i="15"/>
  <c r="O199" i="15"/>
  <c r="H199" i="15"/>
  <c r="G199" i="15"/>
  <c r="Q199" i="15"/>
  <c r="P199" i="15"/>
  <c r="O73" i="14"/>
  <c r="L73" i="14"/>
  <c r="L145" i="14"/>
  <c r="O145" i="14"/>
  <c r="L91" i="2"/>
  <c r="J91" i="2"/>
  <c r="L163" i="2"/>
  <c r="J163" i="2"/>
  <c r="I55" i="15"/>
  <c r="J55" i="15"/>
  <c r="L55" i="15"/>
  <c r="M55" i="15"/>
  <c r="K55" i="15"/>
  <c r="H55" i="15"/>
  <c r="G55" i="15"/>
  <c r="Q55" i="15"/>
  <c r="P55" i="15"/>
  <c r="O55" i="15"/>
  <c r="N55" i="15"/>
  <c r="Q92" i="15"/>
  <c r="G92" i="15"/>
  <c r="P92" i="15"/>
  <c r="L19" i="2"/>
  <c r="J19" i="2"/>
  <c r="I20" i="15"/>
  <c r="J109" i="15"/>
  <c r="L109" i="15"/>
  <c r="I109" i="15"/>
  <c r="M109" i="15"/>
  <c r="K109" i="15"/>
  <c r="N109" i="15"/>
  <c r="H109" i="15"/>
  <c r="G109" i="15"/>
  <c r="Q109" i="15"/>
  <c r="P109" i="15"/>
  <c r="O109" i="15"/>
  <c r="I181" i="15"/>
  <c r="J181" i="15"/>
  <c r="L181" i="15"/>
  <c r="M181" i="15"/>
  <c r="K181" i="15"/>
  <c r="H181" i="15"/>
  <c r="G181" i="15"/>
  <c r="Q181" i="15"/>
  <c r="P181" i="15"/>
  <c r="N181" i="15"/>
  <c r="O181" i="15"/>
  <c r="L55" i="14"/>
  <c r="O55" i="14"/>
  <c r="O127" i="14"/>
  <c r="L127" i="14"/>
  <c r="L199" i="14"/>
  <c r="O199" i="14"/>
  <c r="I141" i="32"/>
  <c r="E141" i="32" s="1"/>
  <c r="I8" i="14"/>
  <c r="E222" i="32"/>
  <c r="E226" i="32"/>
  <c r="E217" i="32"/>
  <c r="E221" i="32"/>
  <c r="E246" i="32"/>
  <c r="E256" i="32"/>
  <c r="E257" i="32"/>
  <c r="E237" i="32"/>
  <c r="E211" i="32"/>
  <c r="E216" i="32"/>
  <c r="E251" i="32"/>
  <c r="E212" i="32"/>
  <c r="E227" i="32"/>
  <c r="J115" i="14"/>
  <c r="I107" i="32"/>
  <c r="E107" i="32" s="1"/>
  <c r="I97" i="32"/>
  <c r="E97" i="32" s="1"/>
  <c r="J79" i="14"/>
  <c r="E252" i="32"/>
  <c r="I192" i="32"/>
  <c r="E192" i="32" s="1"/>
  <c r="J188" i="14"/>
  <c r="J43" i="14"/>
  <c r="I87" i="32"/>
  <c r="E87" i="32" s="1"/>
  <c r="I147" i="32"/>
  <c r="E147" i="32" s="1"/>
  <c r="J26" i="14"/>
  <c r="I187" i="32"/>
  <c r="E187" i="32" s="1"/>
  <c r="J170" i="14"/>
  <c r="F170" i="14" s="1"/>
  <c r="J187" i="14"/>
  <c r="I127" i="32"/>
  <c r="E127" i="32" s="1"/>
  <c r="E231" i="32"/>
  <c r="I117" i="32"/>
  <c r="E117" i="32" s="1"/>
  <c r="J151" i="14"/>
  <c r="I167" i="32"/>
  <c r="E167" i="32" s="1"/>
  <c r="J98" i="14"/>
  <c r="E236" i="32"/>
  <c r="I162" i="32"/>
  <c r="E162" i="32" s="1"/>
  <c r="J80" i="14"/>
  <c r="J152" i="14"/>
  <c r="I182" i="32"/>
  <c r="E182" i="32" s="1"/>
  <c r="I82" i="32"/>
  <c r="E82" i="32" s="1"/>
  <c r="J25" i="14"/>
  <c r="E232" i="32"/>
  <c r="E247" i="32"/>
  <c r="J44" i="14"/>
  <c r="I152" i="32"/>
  <c r="E152" i="32" s="1"/>
  <c r="I172" i="32"/>
  <c r="E172" i="32" s="1"/>
  <c r="J116" i="14"/>
  <c r="E106" i="32"/>
  <c r="I102" i="32"/>
  <c r="E102" i="32" s="1"/>
  <c r="J97" i="14"/>
  <c r="I157" i="32"/>
  <c r="E157" i="32" s="1"/>
  <c r="J62" i="14"/>
  <c r="I92" i="32"/>
  <c r="E92" i="32" s="1"/>
  <c r="J61" i="14"/>
  <c r="E242" i="32"/>
  <c r="E241" i="32"/>
  <c r="I177" i="32"/>
  <c r="E177" i="32" s="1"/>
  <c r="J134" i="14"/>
  <c r="E207" i="32"/>
  <c r="E206" i="32"/>
  <c r="I112" i="32"/>
  <c r="E112" i="32" s="1"/>
  <c r="J133" i="14"/>
  <c r="I122" i="32"/>
  <c r="E122" i="32" s="1"/>
  <c r="J169" i="14"/>
  <c r="I77" i="32"/>
  <c r="E77" i="32" s="1"/>
  <c r="J7" i="14"/>
  <c r="F169" i="15"/>
  <c r="F188" i="15"/>
  <c r="F187" i="15"/>
  <c r="F170" i="15"/>
  <c r="F152" i="15"/>
  <c r="F151" i="15"/>
  <c r="F134" i="15"/>
  <c r="F115" i="15"/>
  <c r="F133" i="15"/>
  <c r="F116" i="15"/>
  <c r="F98" i="15"/>
  <c r="F80" i="15"/>
  <c r="F79" i="15"/>
  <c r="F97" i="15"/>
  <c r="F62" i="15"/>
  <c r="F61" i="15"/>
  <c r="F44" i="15"/>
  <c r="F43" i="15"/>
  <c r="F26" i="15"/>
  <c r="F25" i="15"/>
  <c r="F7" i="15"/>
  <c r="F8" i="15"/>
  <c r="F169" i="2"/>
  <c r="F170" i="2"/>
  <c r="F133" i="2"/>
  <c r="F152" i="2"/>
  <c r="F115" i="2"/>
  <c r="F151" i="2"/>
  <c r="F134" i="2"/>
  <c r="F80" i="2"/>
  <c r="F116" i="2"/>
  <c r="F98" i="2"/>
  <c r="F97" i="2"/>
  <c r="F79" i="2"/>
  <c r="F61" i="2"/>
  <c r="F62" i="2"/>
  <c r="F44" i="2"/>
  <c r="F43" i="2"/>
  <c r="F8" i="2"/>
  <c r="F26" i="2"/>
  <c r="J96" i="14" l="1"/>
  <c r="I37" i="32"/>
  <c r="E37" i="32" s="1"/>
  <c r="J168" i="14"/>
  <c r="F168" i="14" s="1"/>
  <c r="I57" i="32"/>
  <c r="E57" i="32" s="1"/>
  <c r="E51" i="32"/>
  <c r="I52" i="32"/>
  <c r="J150" i="14"/>
  <c r="F150" i="14" s="1"/>
  <c r="J6" i="14"/>
  <c r="I12" i="32"/>
  <c r="E12" i="32" s="1"/>
  <c r="I62" i="32"/>
  <c r="E62" i="32" s="1"/>
  <c r="J186" i="14"/>
  <c r="I206" i="14"/>
  <c r="I196" i="32"/>
  <c r="E196" i="32" s="1"/>
  <c r="H197" i="32"/>
  <c r="I132" i="32"/>
  <c r="E132" i="32" s="1"/>
  <c r="J205" i="14"/>
  <c r="F205" i="14" s="1"/>
  <c r="E52" i="32"/>
  <c r="I66" i="32"/>
  <c r="E66" i="32" s="1"/>
  <c r="I204" i="14"/>
  <c r="H67" i="32"/>
  <c r="J60" i="14"/>
  <c r="I27" i="32"/>
  <c r="E27" i="32" s="1"/>
  <c r="J42" i="14"/>
  <c r="F42" i="14" s="1"/>
  <c r="I22" i="32"/>
  <c r="E22" i="32" s="1"/>
  <c r="E16" i="32"/>
  <c r="I17" i="32"/>
  <c r="E17" i="32" s="1"/>
  <c r="J24" i="14"/>
  <c r="F24" i="14" s="1"/>
  <c r="E36" i="32"/>
  <c r="E31" i="32"/>
  <c r="J78" i="14"/>
  <c r="F78" i="14" s="1"/>
  <c r="I32" i="32"/>
  <c r="E32" i="32" s="1"/>
  <c r="I47" i="32"/>
  <c r="E47" i="32" s="1"/>
  <c r="J132" i="14"/>
  <c r="F132" i="14" s="1"/>
  <c r="J114" i="14"/>
  <c r="F114" i="14" s="1"/>
  <c r="I42" i="32"/>
  <c r="E42" i="32" s="1"/>
  <c r="F187" i="14"/>
  <c r="O201" i="14"/>
  <c r="O203" i="14"/>
  <c r="O202" i="14"/>
  <c r="L201" i="14"/>
  <c r="L202" i="14"/>
  <c r="L203" i="14"/>
  <c r="F169" i="14"/>
  <c r="O183" i="14"/>
  <c r="O184" i="14"/>
  <c r="O185" i="14"/>
  <c r="L183" i="14"/>
  <c r="L184" i="14"/>
  <c r="L185" i="14"/>
  <c r="F151" i="14"/>
  <c r="L165" i="14"/>
  <c r="L166" i="14"/>
  <c r="L167" i="14"/>
  <c r="O165" i="14"/>
  <c r="O167" i="14"/>
  <c r="O166" i="14"/>
  <c r="L147" i="14"/>
  <c r="L149" i="14"/>
  <c r="L148" i="14"/>
  <c r="F133" i="14"/>
  <c r="O147" i="14"/>
  <c r="O149" i="14"/>
  <c r="O148" i="14"/>
  <c r="O129" i="14"/>
  <c r="O130" i="14"/>
  <c r="O131" i="14"/>
  <c r="F115" i="14"/>
  <c r="L129" i="14"/>
  <c r="L131" i="14"/>
  <c r="L130" i="14"/>
  <c r="F97" i="14"/>
  <c r="O111" i="14"/>
  <c r="O113" i="14"/>
  <c r="O112" i="14"/>
  <c r="L111" i="14"/>
  <c r="L112" i="14"/>
  <c r="L113" i="14"/>
  <c r="L93" i="14"/>
  <c r="L94" i="14"/>
  <c r="L95" i="14"/>
  <c r="O93" i="14"/>
  <c r="O94" i="14"/>
  <c r="O95" i="14"/>
  <c r="F79" i="14"/>
  <c r="F61" i="14"/>
  <c r="O75" i="14"/>
  <c r="O77" i="14"/>
  <c r="O76" i="14"/>
  <c r="L75" i="14"/>
  <c r="L77" i="14"/>
  <c r="L76" i="14"/>
  <c r="O57" i="14"/>
  <c r="O59" i="14"/>
  <c r="O58" i="14"/>
  <c r="L57" i="14"/>
  <c r="L58" i="14"/>
  <c r="L59" i="14"/>
  <c r="F43" i="14"/>
  <c r="F25" i="14"/>
  <c r="L39" i="14"/>
  <c r="L41" i="14"/>
  <c r="L40" i="14"/>
  <c r="O39" i="14"/>
  <c r="O41" i="14"/>
  <c r="O40" i="14"/>
  <c r="F7" i="14"/>
  <c r="L21" i="14"/>
  <c r="L22" i="14"/>
  <c r="L23" i="14"/>
  <c r="O21" i="14"/>
  <c r="O23" i="14"/>
  <c r="O22" i="14"/>
  <c r="L92" i="14"/>
  <c r="P201" i="15"/>
  <c r="P203" i="15"/>
  <c r="P202" i="15"/>
  <c r="J201" i="15"/>
  <c r="J202" i="15"/>
  <c r="J203" i="15"/>
  <c r="M201" i="15"/>
  <c r="M203" i="15"/>
  <c r="M202" i="15"/>
  <c r="N201" i="15"/>
  <c r="N203" i="15"/>
  <c r="N202" i="15"/>
  <c r="Q201" i="15"/>
  <c r="Q203" i="15"/>
  <c r="Q202" i="15"/>
  <c r="L201" i="15"/>
  <c r="L203" i="15"/>
  <c r="L202" i="15"/>
  <c r="G201" i="15"/>
  <c r="G202" i="15"/>
  <c r="G203" i="15"/>
  <c r="I201" i="15"/>
  <c r="I202" i="15"/>
  <c r="I203" i="15"/>
  <c r="H201" i="15"/>
  <c r="H202" i="15"/>
  <c r="H203" i="15"/>
  <c r="O201" i="15"/>
  <c r="O202" i="15"/>
  <c r="O203" i="15"/>
  <c r="K201" i="15"/>
  <c r="K202" i="15"/>
  <c r="K203" i="15"/>
  <c r="H183" i="15"/>
  <c r="H185" i="15"/>
  <c r="H184" i="15"/>
  <c r="G183" i="15"/>
  <c r="G185" i="15"/>
  <c r="G184" i="15"/>
  <c r="K183" i="15"/>
  <c r="K184" i="15"/>
  <c r="K185" i="15"/>
  <c r="M183" i="15"/>
  <c r="M184" i="15"/>
  <c r="M185" i="15"/>
  <c r="L183" i="15"/>
  <c r="L185" i="15"/>
  <c r="L184" i="15"/>
  <c r="N183" i="15"/>
  <c r="N185" i="15"/>
  <c r="N184" i="15"/>
  <c r="J183" i="15"/>
  <c r="J185" i="15"/>
  <c r="J184" i="15"/>
  <c r="P183" i="15"/>
  <c r="P184" i="15"/>
  <c r="P185" i="15"/>
  <c r="I183" i="15"/>
  <c r="I184" i="15"/>
  <c r="I185" i="15"/>
  <c r="O183" i="15"/>
  <c r="O184" i="15"/>
  <c r="O185" i="15"/>
  <c r="Q183" i="15"/>
  <c r="Q185" i="15"/>
  <c r="Q184" i="15"/>
  <c r="P165" i="15"/>
  <c r="P167" i="15"/>
  <c r="P166" i="15"/>
  <c r="I165" i="15"/>
  <c r="I166" i="15"/>
  <c r="I167" i="15"/>
  <c r="O165" i="15"/>
  <c r="O166" i="15"/>
  <c r="O167" i="15"/>
  <c r="Q165" i="15"/>
  <c r="Q167" i="15"/>
  <c r="Q166" i="15"/>
  <c r="L165" i="15"/>
  <c r="L166" i="15"/>
  <c r="L167" i="15"/>
  <c r="G165" i="15"/>
  <c r="G167" i="15"/>
  <c r="G166" i="15"/>
  <c r="H165" i="15"/>
  <c r="H166" i="15"/>
  <c r="H167" i="15"/>
  <c r="K165" i="15"/>
  <c r="K166" i="15"/>
  <c r="K167" i="15"/>
  <c r="N165" i="15"/>
  <c r="N167" i="15"/>
  <c r="N166" i="15"/>
  <c r="J165" i="15"/>
  <c r="J166" i="15"/>
  <c r="J167" i="15"/>
  <c r="M165" i="15"/>
  <c r="M166" i="15"/>
  <c r="M167" i="15"/>
  <c r="G147" i="15"/>
  <c r="G149" i="15"/>
  <c r="G148" i="15"/>
  <c r="I147" i="15"/>
  <c r="I148" i="15"/>
  <c r="I149" i="15"/>
  <c r="H147" i="15"/>
  <c r="H148" i="15"/>
  <c r="H149" i="15"/>
  <c r="K147" i="15"/>
  <c r="K149" i="15"/>
  <c r="K148" i="15"/>
  <c r="M147" i="15"/>
  <c r="M149" i="15"/>
  <c r="M148" i="15"/>
  <c r="P147" i="15"/>
  <c r="P149" i="15"/>
  <c r="P148" i="15"/>
  <c r="Q147" i="15"/>
  <c r="Q148" i="15"/>
  <c r="Q149" i="15"/>
  <c r="N147" i="15"/>
  <c r="N149" i="15"/>
  <c r="N148" i="15"/>
  <c r="J147" i="15"/>
  <c r="J148" i="15"/>
  <c r="J149" i="15"/>
  <c r="H164" i="15"/>
  <c r="I48" i="13" s="1"/>
  <c r="O147" i="15"/>
  <c r="O148" i="15"/>
  <c r="O149" i="15"/>
  <c r="L147" i="15"/>
  <c r="L149" i="15"/>
  <c r="L148" i="15"/>
  <c r="H112" i="15"/>
  <c r="H113" i="15"/>
  <c r="G129" i="15"/>
  <c r="G130" i="15"/>
  <c r="G131" i="15"/>
  <c r="Q129" i="15"/>
  <c r="Q130" i="15"/>
  <c r="Q131" i="15"/>
  <c r="N113" i="15"/>
  <c r="N112" i="15"/>
  <c r="H129" i="15"/>
  <c r="H131" i="15"/>
  <c r="H130" i="15"/>
  <c r="K112" i="15"/>
  <c r="K113" i="15"/>
  <c r="K129" i="15"/>
  <c r="K131" i="15"/>
  <c r="K130" i="15"/>
  <c r="M112" i="15"/>
  <c r="M113" i="15"/>
  <c r="M129" i="15"/>
  <c r="M131" i="15"/>
  <c r="M130" i="15"/>
  <c r="O112" i="15"/>
  <c r="O113" i="15"/>
  <c r="I113" i="15"/>
  <c r="I112" i="15"/>
  <c r="O129" i="15"/>
  <c r="O131" i="15"/>
  <c r="O130" i="15"/>
  <c r="L129" i="15"/>
  <c r="L130" i="15"/>
  <c r="L131" i="15"/>
  <c r="P112" i="15"/>
  <c r="P113" i="15"/>
  <c r="L113" i="15"/>
  <c r="L112" i="15"/>
  <c r="P129" i="15"/>
  <c r="P130" i="15"/>
  <c r="P131" i="15"/>
  <c r="J129" i="15"/>
  <c r="J131" i="15"/>
  <c r="J130" i="15"/>
  <c r="G112" i="15"/>
  <c r="G113" i="15"/>
  <c r="Q113" i="15"/>
  <c r="Q112" i="15"/>
  <c r="J112" i="15"/>
  <c r="J113" i="15"/>
  <c r="N129" i="15"/>
  <c r="N130" i="15"/>
  <c r="N131" i="15"/>
  <c r="I129" i="15"/>
  <c r="I131" i="15"/>
  <c r="I130" i="15"/>
  <c r="N111" i="15"/>
  <c r="K111" i="15"/>
  <c r="M111" i="15"/>
  <c r="H111" i="15"/>
  <c r="O111" i="15"/>
  <c r="I111" i="15"/>
  <c r="P111" i="15"/>
  <c r="L111" i="15"/>
  <c r="G111" i="15"/>
  <c r="Q111" i="15"/>
  <c r="J111" i="15"/>
  <c r="H93" i="15"/>
  <c r="H94" i="15"/>
  <c r="H95" i="15"/>
  <c r="K93" i="15"/>
  <c r="K94" i="15"/>
  <c r="K95" i="15"/>
  <c r="M93" i="15"/>
  <c r="M95" i="15"/>
  <c r="M94" i="15"/>
  <c r="O93" i="15"/>
  <c r="O95" i="15"/>
  <c r="O94" i="15"/>
  <c r="L93" i="15"/>
  <c r="L95" i="15"/>
  <c r="L94" i="15"/>
  <c r="P93" i="15"/>
  <c r="Q28" i="13" s="1"/>
  <c r="P94" i="15"/>
  <c r="P95" i="15"/>
  <c r="I93" i="15"/>
  <c r="I95" i="15"/>
  <c r="I94" i="15"/>
  <c r="Q93" i="15"/>
  <c r="Q95" i="15"/>
  <c r="Q94" i="15"/>
  <c r="J93" i="15"/>
  <c r="J94" i="15"/>
  <c r="J95" i="15"/>
  <c r="N93" i="15"/>
  <c r="N95" i="15"/>
  <c r="N94" i="15"/>
  <c r="G93" i="15"/>
  <c r="H28" i="13" s="1"/>
  <c r="G95" i="15"/>
  <c r="G94" i="15"/>
  <c r="M75" i="15"/>
  <c r="M76" i="15"/>
  <c r="M77" i="15"/>
  <c r="O75" i="15"/>
  <c r="O77" i="15"/>
  <c r="O76" i="15"/>
  <c r="J75" i="15"/>
  <c r="J76" i="15"/>
  <c r="J77" i="15"/>
  <c r="P75" i="15"/>
  <c r="P77" i="15"/>
  <c r="P76" i="15"/>
  <c r="I75" i="15"/>
  <c r="I76" i="15"/>
  <c r="I77" i="15"/>
  <c r="Q75" i="15"/>
  <c r="Q76" i="15"/>
  <c r="Q77" i="15"/>
  <c r="L75" i="15"/>
  <c r="L76" i="15"/>
  <c r="L77" i="15"/>
  <c r="G75" i="15"/>
  <c r="G77" i="15"/>
  <c r="G76" i="15"/>
  <c r="N75" i="15"/>
  <c r="N76" i="15"/>
  <c r="N77" i="15"/>
  <c r="H75" i="15"/>
  <c r="H77" i="15"/>
  <c r="H76" i="15"/>
  <c r="K75" i="15"/>
  <c r="K77" i="15"/>
  <c r="K76" i="15"/>
  <c r="K57" i="15"/>
  <c r="K59" i="15"/>
  <c r="K58" i="15"/>
  <c r="M57" i="15"/>
  <c r="M59" i="15"/>
  <c r="M58" i="15"/>
  <c r="N57" i="15"/>
  <c r="N59" i="15"/>
  <c r="N58" i="15"/>
  <c r="L57" i="15"/>
  <c r="L58" i="15"/>
  <c r="L59" i="15"/>
  <c r="G57" i="15"/>
  <c r="G58" i="15"/>
  <c r="G59" i="15"/>
  <c r="H57" i="15"/>
  <c r="H59" i="15"/>
  <c r="H58" i="15"/>
  <c r="O57" i="15"/>
  <c r="O59" i="15"/>
  <c r="O58" i="15"/>
  <c r="J57" i="15"/>
  <c r="J58" i="15"/>
  <c r="J59" i="15"/>
  <c r="P57" i="15"/>
  <c r="P58" i="15"/>
  <c r="P59" i="15"/>
  <c r="I57" i="15"/>
  <c r="I58" i="15"/>
  <c r="I59" i="15"/>
  <c r="Q57" i="15"/>
  <c r="Q59" i="15"/>
  <c r="Q58" i="15"/>
  <c r="O39" i="15"/>
  <c r="O41" i="15"/>
  <c r="O40" i="15"/>
  <c r="L39" i="15"/>
  <c r="L41" i="15"/>
  <c r="L40" i="15"/>
  <c r="N164" i="15"/>
  <c r="O48" i="13" s="1"/>
  <c r="J39" i="15"/>
  <c r="J40" i="15"/>
  <c r="J41" i="15"/>
  <c r="P164" i="15"/>
  <c r="I39" i="15"/>
  <c r="I40" i="15"/>
  <c r="I41" i="15"/>
  <c r="N92" i="15"/>
  <c r="O28" i="13" s="1"/>
  <c r="J22" i="15"/>
  <c r="J23" i="15"/>
  <c r="I21" i="15"/>
  <c r="I23" i="15"/>
  <c r="I22" i="15"/>
  <c r="L21" i="15"/>
  <c r="L22" i="15"/>
  <c r="L23" i="15"/>
  <c r="Q164" i="15"/>
  <c r="O21" i="15"/>
  <c r="O22" i="15"/>
  <c r="O23" i="15"/>
  <c r="J201" i="2"/>
  <c r="J202" i="2"/>
  <c r="J203" i="2"/>
  <c r="L201" i="2"/>
  <c r="L202" i="2"/>
  <c r="L203" i="2"/>
  <c r="L183" i="2"/>
  <c r="L185" i="2"/>
  <c r="L184" i="2"/>
  <c r="J183" i="2"/>
  <c r="J185" i="2"/>
  <c r="J184" i="2"/>
  <c r="J165" i="2"/>
  <c r="J166" i="2"/>
  <c r="J167" i="2"/>
  <c r="L165" i="2"/>
  <c r="L166" i="2"/>
  <c r="L167" i="2"/>
  <c r="J147" i="2"/>
  <c r="J148" i="2"/>
  <c r="J149" i="2"/>
  <c r="L147" i="2"/>
  <c r="L148" i="2"/>
  <c r="L149" i="2"/>
  <c r="J129" i="2"/>
  <c r="J130" i="2"/>
  <c r="J131" i="2"/>
  <c r="L129" i="2"/>
  <c r="L130" i="2"/>
  <c r="L131" i="2"/>
  <c r="J111" i="2"/>
  <c r="J113" i="2"/>
  <c r="J112" i="2"/>
  <c r="L111" i="2"/>
  <c r="L113" i="2"/>
  <c r="L112" i="2"/>
  <c r="J93" i="2"/>
  <c r="J94" i="2"/>
  <c r="J95" i="2"/>
  <c r="L93" i="2"/>
  <c r="L95" i="2"/>
  <c r="L94" i="2"/>
  <c r="L75" i="2"/>
  <c r="L77" i="2"/>
  <c r="L76" i="2"/>
  <c r="J75" i="2"/>
  <c r="J76" i="2"/>
  <c r="J77" i="2"/>
  <c r="L57" i="2"/>
  <c r="L59" i="2"/>
  <c r="L58" i="2"/>
  <c r="J57" i="2"/>
  <c r="J58" i="2"/>
  <c r="J59" i="2"/>
  <c r="L40" i="2"/>
  <c r="L41" i="2"/>
  <c r="J40" i="2"/>
  <c r="J41" i="2"/>
  <c r="J22" i="2"/>
  <c r="J23" i="2"/>
  <c r="L23" i="2"/>
  <c r="L22" i="2"/>
  <c r="L74" i="2"/>
  <c r="J128" i="2"/>
  <c r="L56" i="2"/>
  <c r="J110" i="2"/>
  <c r="J21" i="2"/>
  <c r="L21" i="2"/>
  <c r="L182" i="2"/>
  <c r="O20" i="14"/>
  <c r="J56" i="2"/>
  <c r="L38" i="14"/>
  <c r="L164" i="15"/>
  <c r="O182" i="14"/>
  <c r="P55" i="13" s="1"/>
  <c r="G164" i="15"/>
  <c r="H48" i="13" s="1"/>
  <c r="M92" i="15"/>
  <c r="N28" i="13" s="1"/>
  <c r="L110" i="14"/>
  <c r="L110" i="2"/>
  <c r="N128" i="15"/>
  <c r="O38" i="13" s="1"/>
  <c r="L38" i="15"/>
  <c r="I38" i="15"/>
  <c r="O92" i="14"/>
  <c r="I128" i="15"/>
  <c r="O20" i="15"/>
  <c r="O146" i="14"/>
  <c r="P45" i="13" s="1"/>
  <c r="O38" i="15"/>
  <c r="L74" i="14"/>
  <c r="J38" i="15"/>
  <c r="G128" i="15"/>
  <c r="L20" i="14"/>
  <c r="O128" i="15"/>
  <c r="O74" i="14"/>
  <c r="L128" i="15"/>
  <c r="O164" i="15"/>
  <c r="H92" i="15"/>
  <c r="L146" i="14"/>
  <c r="K92" i="15"/>
  <c r="L28" i="13" s="1"/>
  <c r="J164" i="15"/>
  <c r="I164" i="15"/>
  <c r="I56" i="15"/>
  <c r="I74" i="15"/>
  <c r="F44" i="14"/>
  <c r="L200" i="2"/>
  <c r="H128" i="15"/>
  <c r="G110" i="15"/>
  <c r="H33" i="13" s="1"/>
  <c r="L200" i="15"/>
  <c r="K56" i="15"/>
  <c r="L18" i="13" s="1"/>
  <c r="O38" i="14"/>
  <c r="L128" i="14"/>
  <c r="L110" i="15"/>
  <c r="H56" i="15"/>
  <c r="M74" i="15"/>
  <c r="O56" i="14"/>
  <c r="J164" i="2"/>
  <c r="H146" i="15"/>
  <c r="I43" i="13" s="1"/>
  <c r="J182" i="2"/>
  <c r="M164" i="15"/>
  <c r="N48" i="13" s="1"/>
  <c r="M182" i="15"/>
  <c r="N53" i="13" s="1"/>
  <c r="O146" i="15"/>
  <c r="L20" i="15"/>
  <c r="K128" i="15"/>
  <c r="L38" i="13" s="1"/>
  <c r="Q182" i="15"/>
  <c r="M200" i="15"/>
  <c r="N58" i="13" s="1"/>
  <c r="M128" i="15"/>
  <c r="P110" i="15"/>
  <c r="K200" i="15"/>
  <c r="L58" i="13" s="1"/>
  <c r="J56" i="15"/>
  <c r="K164" i="15"/>
  <c r="L48" i="13" s="1"/>
  <c r="Q128" i="15"/>
  <c r="L56" i="14"/>
  <c r="O182" i="15"/>
  <c r="M110" i="15"/>
  <c r="N33" i="13" s="1"/>
  <c r="P200" i="15"/>
  <c r="I200" i="15"/>
  <c r="N56" i="15"/>
  <c r="L56" i="15"/>
  <c r="Q146" i="15"/>
  <c r="J74" i="15"/>
  <c r="J146" i="15"/>
  <c r="J92" i="2"/>
  <c r="L92" i="2"/>
  <c r="O92" i="15"/>
  <c r="J128" i="15"/>
  <c r="J20" i="2"/>
  <c r="J20" i="15"/>
  <c r="J21" i="15"/>
  <c r="G182" i="15"/>
  <c r="H53" i="13" s="1"/>
  <c r="J182" i="15"/>
  <c r="K110" i="15"/>
  <c r="L33" i="13" s="1"/>
  <c r="H200" i="15"/>
  <c r="P56" i="15"/>
  <c r="K146" i="15"/>
  <c r="L43" i="13" s="1"/>
  <c r="L146" i="15"/>
  <c r="H74" i="15"/>
  <c r="I23" i="13" s="1"/>
  <c r="Q74" i="15"/>
  <c r="J92" i="15"/>
  <c r="L128" i="2"/>
  <c r="O128" i="14"/>
  <c r="P40" i="13" s="1"/>
  <c r="K182" i="15"/>
  <c r="L53" i="13" s="1"/>
  <c r="L182" i="15"/>
  <c r="O110" i="15"/>
  <c r="N200" i="15"/>
  <c r="O58" i="13" s="1"/>
  <c r="G56" i="15"/>
  <c r="H18" i="13" s="1"/>
  <c r="N146" i="15"/>
  <c r="O43" i="13" s="1"/>
  <c r="I146" i="15"/>
  <c r="N74" i="15"/>
  <c r="L74" i="15"/>
  <c r="L164" i="2"/>
  <c r="J8" i="14"/>
  <c r="J200" i="2"/>
  <c r="P128" i="15"/>
  <c r="L20" i="2"/>
  <c r="O200" i="14"/>
  <c r="P60" i="13" s="1"/>
  <c r="H182" i="15"/>
  <c r="I53" i="13" s="1"/>
  <c r="I182" i="15"/>
  <c r="Q110" i="15"/>
  <c r="Q200" i="15"/>
  <c r="M56" i="15"/>
  <c r="N18" i="13" s="1"/>
  <c r="P146" i="15"/>
  <c r="K74" i="15"/>
  <c r="L23" i="13" s="1"/>
  <c r="O74" i="15"/>
  <c r="L182" i="14"/>
  <c r="L92" i="15"/>
  <c r="N182" i="15"/>
  <c r="H110" i="15"/>
  <c r="J110" i="15"/>
  <c r="O200" i="15"/>
  <c r="Q56" i="15"/>
  <c r="L146" i="2"/>
  <c r="G146" i="15"/>
  <c r="H43" i="13" s="1"/>
  <c r="P74" i="15"/>
  <c r="L164" i="14"/>
  <c r="F26" i="14"/>
  <c r="I142" i="32"/>
  <c r="E142" i="32" s="1"/>
  <c r="O110" i="14"/>
  <c r="P35" i="13" s="1"/>
  <c r="L200" i="14"/>
  <c r="P182" i="15"/>
  <c r="N110" i="15"/>
  <c r="O33" i="13" s="1"/>
  <c r="I110" i="15"/>
  <c r="G200" i="15"/>
  <c r="H58" i="13" s="1"/>
  <c r="J200" i="15"/>
  <c r="O56" i="15"/>
  <c r="J146" i="2"/>
  <c r="M146" i="15"/>
  <c r="N43" i="13" s="1"/>
  <c r="G74" i="15"/>
  <c r="H23" i="13" s="1"/>
  <c r="O164" i="14"/>
  <c r="P50" i="13" s="1"/>
  <c r="F98" i="14"/>
  <c r="F96" i="14"/>
  <c r="F80" i="14"/>
  <c r="F152" i="14"/>
  <c r="F62" i="14"/>
  <c r="F6" i="14"/>
  <c r="F188" i="14"/>
  <c r="F60" i="14"/>
  <c r="F116" i="14"/>
  <c r="F134" i="14"/>
  <c r="F21" i="29"/>
  <c r="G21" i="29"/>
  <c r="J21" i="29"/>
  <c r="F22" i="29"/>
  <c r="G22" i="29"/>
  <c r="J22" i="29"/>
  <c r="F23" i="29"/>
  <c r="G23" i="29"/>
  <c r="J23" i="29"/>
  <c r="F24" i="29"/>
  <c r="G24" i="29"/>
  <c r="J24" i="29"/>
  <c r="F25" i="29"/>
  <c r="G25" i="29"/>
  <c r="J25" i="29"/>
  <c r="F26" i="29"/>
  <c r="G26" i="29"/>
  <c r="J26" i="29"/>
  <c r="F27" i="29"/>
  <c r="G27" i="29"/>
  <c r="J27" i="29"/>
  <c r="F28" i="29"/>
  <c r="G28" i="29"/>
  <c r="J28" i="29"/>
  <c r="F29" i="29"/>
  <c r="G29" i="29"/>
  <c r="J29" i="29"/>
  <c r="F30" i="29"/>
  <c r="G30" i="29"/>
  <c r="J30" i="29"/>
  <c r="G20" i="29"/>
  <c r="F20" i="29"/>
  <c r="K20" i="29" s="1"/>
  <c r="J20" i="29"/>
  <c r="E10" i="29"/>
  <c r="E55" i="28"/>
  <c r="E10" i="28"/>
  <c r="E14" i="29"/>
  <c r="E13" i="29"/>
  <c r="L197" i="16"/>
  <c r="K197" i="16"/>
  <c r="J197" i="16"/>
  <c r="I197" i="16"/>
  <c r="H197" i="16"/>
  <c r="G197" i="16"/>
  <c r="F197" i="16"/>
  <c r="L196" i="16"/>
  <c r="K196" i="16"/>
  <c r="J196" i="16"/>
  <c r="I196" i="16"/>
  <c r="H196" i="16"/>
  <c r="G196" i="16"/>
  <c r="F196" i="16"/>
  <c r="L179" i="16"/>
  <c r="K179" i="16"/>
  <c r="J179" i="16"/>
  <c r="I179" i="16"/>
  <c r="H179" i="16"/>
  <c r="G179" i="16"/>
  <c r="F179" i="16"/>
  <c r="L178" i="16"/>
  <c r="K178" i="16"/>
  <c r="J178" i="16"/>
  <c r="I178" i="16"/>
  <c r="H178" i="16"/>
  <c r="G178" i="16"/>
  <c r="F178" i="16"/>
  <c r="L161" i="16"/>
  <c r="K161" i="16"/>
  <c r="J161" i="16"/>
  <c r="I161" i="16"/>
  <c r="H161" i="16"/>
  <c r="G161" i="16"/>
  <c r="F161" i="16"/>
  <c r="L160" i="16"/>
  <c r="K160" i="16"/>
  <c r="J160" i="16"/>
  <c r="I160" i="16"/>
  <c r="H160" i="16"/>
  <c r="G160" i="16"/>
  <c r="F160" i="16"/>
  <c r="L143" i="16"/>
  <c r="K143" i="16"/>
  <c r="J143" i="16"/>
  <c r="I143" i="16"/>
  <c r="H143" i="16"/>
  <c r="G143" i="16"/>
  <c r="F143" i="16"/>
  <c r="L142" i="16"/>
  <c r="K142" i="16"/>
  <c r="J142" i="16"/>
  <c r="I142" i="16"/>
  <c r="H142" i="16"/>
  <c r="G142" i="16"/>
  <c r="F142" i="16"/>
  <c r="L125" i="16"/>
  <c r="K125" i="16"/>
  <c r="J125" i="16"/>
  <c r="I125" i="16"/>
  <c r="H125" i="16"/>
  <c r="G125" i="16"/>
  <c r="F125" i="16"/>
  <c r="L124" i="16"/>
  <c r="K124" i="16"/>
  <c r="J124" i="16"/>
  <c r="I124" i="16"/>
  <c r="H124" i="16"/>
  <c r="G124" i="16"/>
  <c r="F124" i="16"/>
  <c r="L107" i="16"/>
  <c r="K107" i="16"/>
  <c r="J107" i="16"/>
  <c r="I107" i="16"/>
  <c r="H107" i="16"/>
  <c r="G107" i="16"/>
  <c r="F107" i="16"/>
  <c r="L106" i="16"/>
  <c r="K106" i="16"/>
  <c r="J106" i="16"/>
  <c r="I106" i="16"/>
  <c r="H106" i="16"/>
  <c r="G106" i="16"/>
  <c r="F106" i="16"/>
  <c r="L89" i="16"/>
  <c r="K89" i="16"/>
  <c r="J89" i="16"/>
  <c r="I89" i="16"/>
  <c r="H89" i="16"/>
  <c r="G89" i="16"/>
  <c r="F89" i="16"/>
  <c r="L88" i="16"/>
  <c r="K88" i="16"/>
  <c r="J88" i="16"/>
  <c r="I88" i="16"/>
  <c r="H88" i="16"/>
  <c r="G88" i="16"/>
  <c r="F88" i="16"/>
  <c r="L71" i="16"/>
  <c r="K71" i="16"/>
  <c r="J71" i="16"/>
  <c r="I71" i="16"/>
  <c r="H71" i="16"/>
  <c r="G71" i="16"/>
  <c r="F71" i="16"/>
  <c r="L70" i="16"/>
  <c r="K70" i="16"/>
  <c r="J70" i="16"/>
  <c r="I70" i="16"/>
  <c r="H70" i="16"/>
  <c r="G70" i="16"/>
  <c r="F70" i="16"/>
  <c r="L53" i="16"/>
  <c r="K53" i="16"/>
  <c r="J53" i="16"/>
  <c r="I53" i="16"/>
  <c r="H53" i="16"/>
  <c r="G53" i="16"/>
  <c r="F53" i="16"/>
  <c r="L52" i="16"/>
  <c r="K52" i="16"/>
  <c r="J52" i="16"/>
  <c r="I52" i="16"/>
  <c r="H52" i="16"/>
  <c r="G52" i="16"/>
  <c r="F52" i="16"/>
  <c r="L35" i="16"/>
  <c r="K35" i="16"/>
  <c r="J35" i="16"/>
  <c r="I35" i="16"/>
  <c r="H35" i="16"/>
  <c r="G35" i="16"/>
  <c r="F35" i="16"/>
  <c r="L34" i="16"/>
  <c r="K34" i="16"/>
  <c r="J34" i="16"/>
  <c r="I34" i="16"/>
  <c r="H34" i="16"/>
  <c r="G34" i="16"/>
  <c r="F34" i="16"/>
  <c r="L17" i="16"/>
  <c r="J17" i="16"/>
  <c r="I17" i="16"/>
  <c r="H17" i="16"/>
  <c r="G17" i="16"/>
  <c r="F17" i="16"/>
  <c r="L16" i="16"/>
  <c r="K16" i="16"/>
  <c r="J16" i="16"/>
  <c r="I16" i="16"/>
  <c r="H16" i="16"/>
  <c r="G16" i="16"/>
  <c r="F16" i="16"/>
  <c r="Q197" i="14"/>
  <c r="P197" i="14"/>
  <c r="N197" i="14"/>
  <c r="M197" i="14"/>
  <c r="K197" i="14"/>
  <c r="J197" i="14"/>
  <c r="I197" i="14"/>
  <c r="H197" i="14"/>
  <c r="G197" i="14"/>
  <c r="Q196" i="14"/>
  <c r="N196" i="14"/>
  <c r="M196" i="14"/>
  <c r="K196" i="14"/>
  <c r="J196" i="14"/>
  <c r="J199" i="14" s="1"/>
  <c r="I196" i="14"/>
  <c r="H196" i="14"/>
  <c r="G196" i="14"/>
  <c r="Q179" i="14"/>
  <c r="P179" i="14"/>
  <c r="N179" i="14"/>
  <c r="M179" i="14"/>
  <c r="K179" i="14"/>
  <c r="J179" i="14"/>
  <c r="I179" i="14"/>
  <c r="H179" i="14"/>
  <c r="G179" i="14"/>
  <c r="Q178" i="14"/>
  <c r="N178" i="14"/>
  <c r="M178" i="14"/>
  <c r="K178" i="14"/>
  <c r="J178" i="14"/>
  <c r="J181" i="14" s="1"/>
  <c r="I178" i="14"/>
  <c r="H178" i="14"/>
  <c r="G178" i="14"/>
  <c r="Q161" i="14"/>
  <c r="P161" i="14"/>
  <c r="N161" i="14"/>
  <c r="M161" i="14"/>
  <c r="K161" i="14"/>
  <c r="J161" i="14"/>
  <c r="I161" i="14"/>
  <c r="H161" i="14"/>
  <c r="G161" i="14"/>
  <c r="Q160" i="14"/>
  <c r="N160" i="14"/>
  <c r="M160" i="14"/>
  <c r="K160" i="14"/>
  <c r="J160" i="14"/>
  <c r="I160" i="14"/>
  <c r="H160" i="14"/>
  <c r="G160" i="14"/>
  <c r="Q143" i="14"/>
  <c r="P143" i="14"/>
  <c r="N143" i="14"/>
  <c r="M143" i="14"/>
  <c r="K143" i="14"/>
  <c r="J143" i="14"/>
  <c r="I143" i="14"/>
  <c r="H143" i="14"/>
  <c r="G143" i="14"/>
  <c r="Q142" i="14"/>
  <c r="N142" i="14"/>
  <c r="M142" i="14"/>
  <c r="K142" i="14"/>
  <c r="J142" i="14"/>
  <c r="J145" i="14" s="1"/>
  <c r="I142" i="14"/>
  <c r="H142" i="14"/>
  <c r="G142" i="14"/>
  <c r="Q125" i="14"/>
  <c r="P125" i="14"/>
  <c r="N125" i="14"/>
  <c r="M125" i="14"/>
  <c r="K125" i="14"/>
  <c r="J125" i="14"/>
  <c r="I125" i="14"/>
  <c r="H125" i="14"/>
  <c r="G125" i="14"/>
  <c r="Q124" i="14"/>
  <c r="N124" i="14"/>
  <c r="M124" i="14"/>
  <c r="K124" i="14"/>
  <c r="J124" i="14"/>
  <c r="I124" i="14"/>
  <c r="H124" i="14"/>
  <c r="G124" i="14"/>
  <c r="Q107" i="14"/>
  <c r="P107" i="14"/>
  <c r="N107" i="14"/>
  <c r="M107" i="14"/>
  <c r="K107" i="14"/>
  <c r="J107" i="14"/>
  <c r="I107" i="14"/>
  <c r="H107" i="14"/>
  <c r="G107" i="14"/>
  <c r="Q106" i="14"/>
  <c r="N106" i="14"/>
  <c r="M106" i="14"/>
  <c r="K106" i="14"/>
  <c r="J106" i="14"/>
  <c r="J109" i="14" s="1"/>
  <c r="I106" i="14"/>
  <c r="H106" i="14"/>
  <c r="G106" i="14"/>
  <c r="Q89" i="14"/>
  <c r="P89" i="14"/>
  <c r="N89" i="14"/>
  <c r="M89" i="14"/>
  <c r="K89" i="14"/>
  <c r="J89" i="14"/>
  <c r="I89" i="14"/>
  <c r="H89" i="14"/>
  <c r="G89" i="14"/>
  <c r="Q88" i="14"/>
  <c r="N88" i="14"/>
  <c r="M88" i="14"/>
  <c r="K88" i="14"/>
  <c r="J88" i="14"/>
  <c r="J91" i="14" s="1"/>
  <c r="I88" i="14"/>
  <c r="H88" i="14"/>
  <c r="G88" i="14"/>
  <c r="Q71" i="14"/>
  <c r="P71" i="14"/>
  <c r="N71" i="14"/>
  <c r="M71" i="14"/>
  <c r="K71" i="14"/>
  <c r="J71" i="14"/>
  <c r="I71" i="14"/>
  <c r="H71" i="14"/>
  <c r="G71" i="14"/>
  <c r="Q70" i="14"/>
  <c r="N70" i="14"/>
  <c r="M70" i="14"/>
  <c r="K70" i="14"/>
  <c r="J70" i="14"/>
  <c r="J73" i="14" s="1"/>
  <c r="I70" i="14"/>
  <c r="H70" i="14"/>
  <c r="G70" i="14"/>
  <c r="Q53" i="14"/>
  <c r="P53" i="14"/>
  <c r="N53" i="14"/>
  <c r="M53" i="14"/>
  <c r="K53" i="14"/>
  <c r="J53" i="14"/>
  <c r="I53" i="14"/>
  <c r="H53" i="14"/>
  <c r="G53" i="14"/>
  <c r="Q52" i="14"/>
  <c r="N52" i="14"/>
  <c r="M52" i="14"/>
  <c r="K52" i="14"/>
  <c r="J52" i="14"/>
  <c r="I52" i="14"/>
  <c r="H52" i="14"/>
  <c r="G52" i="14"/>
  <c r="Q35" i="14"/>
  <c r="P35" i="14"/>
  <c r="N35" i="14"/>
  <c r="M35" i="14"/>
  <c r="K35" i="14"/>
  <c r="J35" i="14"/>
  <c r="I35" i="14"/>
  <c r="H35" i="14"/>
  <c r="G35" i="14"/>
  <c r="Q34" i="14"/>
  <c r="N34" i="14"/>
  <c r="M34" i="14"/>
  <c r="K34" i="14"/>
  <c r="J34" i="14"/>
  <c r="J37" i="14" s="1"/>
  <c r="I34" i="14"/>
  <c r="H34" i="14"/>
  <c r="G34" i="14"/>
  <c r="Q17" i="14"/>
  <c r="P17" i="14"/>
  <c r="N17" i="14"/>
  <c r="M17" i="14"/>
  <c r="K17" i="14"/>
  <c r="J17" i="14"/>
  <c r="I17" i="14"/>
  <c r="H17" i="14"/>
  <c r="G17" i="14"/>
  <c r="Q16" i="14"/>
  <c r="N16" i="14"/>
  <c r="M16" i="14"/>
  <c r="K16" i="14"/>
  <c r="J16" i="14"/>
  <c r="J19" i="14" s="1"/>
  <c r="I16" i="14"/>
  <c r="I19" i="14" s="1"/>
  <c r="H16" i="14"/>
  <c r="G16" i="14"/>
  <c r="Q35" i="15"/>
  <c r="P35" i="15"/>
  <c r="N35" i="15"/>
  <c r="M35" i="15"/>
  <c r="K35" i="15"/>
  <c r="H35" i="15"/>
  <c r="G35" i="15"/>
  <c r="Q34" i="15"/>
  <c r="N34" i="15"/>
  <c r="M34" i="15"/>
  <c r="K34" i="15"/>
  <c r="H34" i="15"/>
  <c r="G34" i="15"/>
  <c r="Q17" i="15"/>
  <c r="P17" i="15"/>
  <c r="N17" i="15"/>
  <c r="M17" i="15"/>
  <c r="K17" i="15"/>
  <c r="H17" i="15"/>
  <c r="G17" i="15"/>
  <c r="Q16" i="15"/>
  <c r="N16" i="15"/>
  <c r="M16" i="15"/>
  <c r="K16" i="15"/>
  <c r="H16" i="15"/>
  <c r="G16" i="15"/>
  <c r="Q197" i="2"/>
  <c r="P197" i="2"/>
  <c r="O197" i="2"/>
  <c r="N197" i="2"/>
  <c r="M197" i="2"/>
  <c r="K197" i="2"/>
  <c r="H197" i="2"/>
  <c r="G197" i="2"/>
  <c r="Q196" i="2"/>
  <c r="O196" i="2"/>
  <c r="N196" i="2"/>
  <c r="M196" i="2"/>
  <c r="K196" i="2"/>
  <c r="H196" i="2"/>
  <c r="G196" i="2"/>
  <c r="Q179" i="2"/>
  <c r="P179" i="2"/>
  <c r="O179" i="2"/>
  <c r="N179" i="2"/>
  <c r="M179" i="2"/>
  <c r="K179" i="2"/>
  <c r="H179" i="2"/>
  <c r="G179" i="2"/>
  <c r="Q178" i="2"/>
  <c r="O178" i="2"/>
  <c r="N178" i="2"/>
  <c r="M178" i="2"/>
  <c r="K178" i="2"/>
  <c r="H178" i="2"/>
  <c r="G178" i="2"/>
  <c r="Q161" i="2"/>
  <c r="P161" i="2"/>
  <c r="O161" i="2"/>
  <c r="N161" i="2"/>
  <c r="M161" i="2"/>
  <c r="K161" i="2"/>
  <c r="H161" i="2"/>
  <c r="G161" i="2"/>
  <c r="Q160" i="2"/>
  <c r="O160" i="2"/>
  <c r="N160" i="2"/>
  <c r="M160" i="2"/>
  <c r="K160" i="2"/>
  <c r="H160" i="2"/>
  <c r="G160" i="2"/>
  <c r="Q143" i="2"/>
  <c r="P143" i="2"/>
  <c r="O143" i="2"/>
  <c r="N143" i="2"/>
  <c r="M143" i="2"/>
  <c r="K143" i="2"/>
  <c r="H143" i="2"/>
  <c r="G143" i="2"/>
  <c r="Q142" i="2"/>
  <c r="O142" i="2"/>
  <c r="N142" i="2"/>
  <c r="M142" i="2"/>
  <c r="K142" i="2"/>
  <c r="H142" i="2"/>
  <c r="G142" i="2"/>
  <c r="Q125" i="2"/>
  <c r="P125" i="2"/>
  <c r="O125" i="2"/>
  <c r="N125" i="2"/>
  <c r="M125" i="2"/>
  <c r="K125" i="2"/>
  <c r="H125" i="2"/>
  <c r="G125" i="2"/>
  <c r="Q124" i="2"/>
  <c r="O124" i="2"/>
  <c r="N124" i="2"/>
  <c r="M124" i="2"/>
  <c r="K124" i="2"/>
  <c r="H124" i="2"/>
  <c r="G124" i="2"/>
  <c r="Q107" i="2"/>
  <c r="P107" i="2"/>
  <c r="O107" i="2"/>
  <c r="N107" i="2"/>
  <c r="M107" i="2"/>
  <c r="K107" i="2"/>
  <c r="H107" i="2"/>
  <c r="G107" i="2"/>
  <c r="Q106" i="2"/>
  <c r="O106" i="2"/>
  <c r="N106" i="2"/>
  <c r="M106" i="2"/>
  <c r="K106" i="2"/>
  <c r="H106" i="2"/>
  <c r="G106" i="2"/>
  <c r="Q89" i="2"/>
  <c r="P89" i="2"/>
  <c r="O89" i="2"/>
  <c r="N89" i="2"/>
  <c r="M89" i="2"/>
  <c r="K89" i="2"/>
  <c r="H89" i="2"/>
  <c r="G89" i="2"/>
  <c r="Q88" i="2"/>
  <c r="O88" i="2"/>
  <c r="N88" i="2"/>
  <c r="M88" i="2"/>
  <c r="K88" i="2"/>
  <c r="H88" i="2"/>
  <c r="G88" i="2"/>
  <c r="Q71" i="2"/>
  <c r="P71" i="2"/>
  <c r="O71" i="2"/>
  <c r="N71" i="2"/>
  <c r="M71" i="2"/>
  <c r="K71" i="2"/>
  <c r="H71" i="2"/>
  <c r="G71" i="2"/>
  <c r="Q70" i="2"/>
  <c r="O70" i="2"/>
  <c r="N70" i="2"/>
  <c r="M70" i="2"/>
  <c r="K70" i="2"/>
  <c r="H70" i="2"/>
  <c r="G70" i="2"/>
  <c r="Q53" i="2"/>
  <c r="P53" i="2"/>
  <c r="O53" i="2"/>
  <c r="N53" i="2"/>
  <c r="M53" i="2"/>
  <c r="K53" i="2"/>
  <c r="H53" i="2"/>
  <c r="G53" i="2"/>
  <c r="Q52" i="2"/>
  <c r="O52" i="2"/>
  <c r="N52" i="2"/>
  <c r="M52" i="2"/>
  <c r="K52" i="2"/>
  <c r="H52" i="2"/>
  <c r="G52" i="2"/>
  <c r="Q35" i="2"/>
  <c r="P35" i="2"/>
  <c r="O35" i="2"/>
  <c r="N35" i="2"/>
  <c r="M35" i="2"/>
  <c r="K35" i="2"/>
  <c r="H35" i="2"/>
  <c r="G35" i="2"/>
  <c r="Q34" i="2"/>
  <c r="O34" i="2"/>
  <c r="N34" i="2"/>
  <c r="M34" i="2"/>
  <c r="K34" i="2"/>
  <c r="H34" i="2"/>
  <c r="G34" i="2"/>
  <c r="Q17" i="2"/>
  <c r="P17" i="2"/>
  <c r="O17" i="2"/>
  <c r="N17" i="2"/>
  <c r="M17" i="2"/>
  <c r="K17" i="2"/>
  <c r="I17" i="2"/>
  <c r="H17" i="2"/>
  <c r="G17" i="2"/>
  <c r="Q16" i="2"/>
  <c r="O16" i="2"/>
  <c r="N16" i="2"/>
  <c r="M16" i="2"/>
  <c r="K16" i="2"/>
  <c r="H16" i="2"/>
  <c r="G16" i="2"/>
  <c r="L88" i="28"/>
  <c r="K88" i="28"/>
  <c r="J88" i="28"/>
  <c r="I88" i="28"/>
  <c r="H88" i="28"/>
  <c r="G88" i="28"/>
  <c r="F88" i="28"/>
  <c r="P77" i="28"/>
  <c r="O77" i="28"/>
  <c r="M77" i="28"/>
  <c r="L77" i="28"/>
  <c r="J77" i="28"/>
  <c r="I77" i="28"/>
  <c r="H77" i="28"/>
  <c r="G77" i="28"/>
  <c r="F77" i="28"/>
  <c r="P75" i="28"/>
  <c r="O75" i="28"/>
  <c r="P16" i="15" s="1"/>
  <c r="M75" i="28"/>
  <c r="L75" i="28"/>
  <c r="J75" i="28"/>
  <c r="G75" i="28"/>
  <c r="F75" i="28"/>
  <c r="O74" i="28"/>
  <c r="M74" i="28"/>
  <c r="L74" i="28"/>
  <c r="J74" i="28"/>
  <c r="I160" i="2"/>
  <c r="G74" i="28"/>
  <c r="F74" i="28"/>
  <c r="E71" i="28"/>
  <c r="E70" i="28"/>
  <c r="E69" i="28"/>
  <c r="E68" i="28"/>
  <c r="E65" i="28"/>
  <c r="E64" i="28"/>
  <c r="E63" i="28"/>
  <c r="E62" i="28"/>
  <c r="E59" i="28"/>
  <c r="E58" i="28"/>
  <c r="E57" i="28"/>
  <c r="E56" i="28"/>
  <c r="L36" i="28"/>
  <c r="K36" i="28"/>
  <c r="J36" i="28"/>
  <c r="I36" i="28"/>
  <c r="H36" i="28"/>
  <c r="G36" i="28"/>
  <c r="F36" i="28"/>
  <c r="P26" i="28"/>
  <c r="M26" i="28"/>
  <c r="L26" i="28"/>
  <c r="J26" i="28"/>
  <c r="I26" i="28"/>
  <c r="H26" i="28"/>
  <c r="G26" i="28"/>
  <c r="F26" i="28"/>
  <c r="E26" i="28"/>
  <c r="E25" i="28"/>
  <c r="P24" i="28"/>
  <c r="M24" i="28"/>
  <c r="L24" i="28"/>
  <c r="J24" i="28"/>
  <c r="G24" i="28"/>
  <c r="F24" i="28"/>
  <c r="E24" i="28"/>
  <c r="N23" i="28"/>
  <c r="M23" i="28"/>
  <c r="L23" i="28"/>
  <c r="J23" i="28"/>
  <c r="I143" i="2"/>
  <c r="G23" i="28"/>
  <c r="F23" i="28"/>
  <c r="E20" i="28"/>
  <c r="E19" i="28"/>
  <c r="E18" i="28"/>
  <c r="E17" i="28"/>
  <c r="E14" i="28"/>
  <c r="E13" i="28"/>
  <c r="E12" i="28"/>
  <c r="E11" i="28"/>
  <c r="I18" i="13" l="1"/>
  <c r="O23" i="13"/>
  <c r="I58" i="13"/>
  <c r="P30" i="13"/>
  <c r="I33" i="13"/>
  <c r="H38" i="13"/>
  <c r="O53" i="13"/>
  <c r="I38" i="13"/>
  <c r="O18" i="13"/>
  <c r="I28" i="13"/>
  <c r="Q53" i="13"/>
  <c r="R53" i="13"/>
  <c r="Q38" i="13"/>
  <c r="R38" i="13"/>
  <c r="Q43" i="13"/>
  <c r="R43" i="13"/>
  <c r="R28" i="13"/>
  <c r="Q48" i="13"/>
  <c r="R48" i="13"/>
  <c r="E67" i="32"/>
  <c r="J206" i="14"/>
  <c r="I197" i="32"/>
  <c r="E197" i="32" s="1"/>
  <c r="Q23" i="13"/>
  <c r="R23" i="13"/>
  <c r="R18" i="13"/>
  <c r="Q18" i="13"/>
  <c r="I221" i="14"/>
  <c r="I220" i="14"/>
  <c r="I219" i="14"/>
  <c r="I218" i="14"/>
  <c r="F204" i="14"/>
  <c r="F206" i="14"/>
  <c r="J204" i="14"/>
  <c r="I67" i="32"/>
  <c r="Q58" i="13"/>
  <c r="R58" i="13"/>
  <c r="Q33" i="13"/>
  <c r="R33" i="13"/>
  <c r="N38" i="13"/>
  <c r="N23" i="13"/>
  <c r="G19" i="16"/>
  <c r="G23" i="16" s="1"/>
  <c r="F19" i="16"/>
  <c r="F22" i="16" s="1"/>
  <c r="L7" i="36" s="1"/>
  <c r="N199" i="14"/>
  <c r="N201" i="14" s="1"/>
  <c r="G199" i="14"/>
  <c r="G201" i="14" s="1"/>
  <c r="G203" i="14"/>
  <c r="G202" i="14"/>
  <c r="M199" i="14"/>
  <c r="M201" i="14" s="1"/>
  <c r="M202" i="14"/>
  <c r="M203" i="14"/>
  <c r="H199" i="14"/>
  <c r="H201" i="14" s="1"/>
  <c r="I199" i="14"/>
  <c r="I201" i="14" s="1"/>
  <c r="I203" i="14"/>
  <c r="J203" i="14"/>
  <c r="J202" i="14"/>
  <c r="K199" i="14"/>
  <c r="K201" i="14" s="1"/>
  <c r="J148" i="14"/>
  <c r="I181" i="14"/>
  <c r="I183" i="14" s="1"/>
  <c r="M181" i="14"/>
  <c r="M183" i="14" s="1"/>
  <c r="J185" i="14"/>
  <c r="J184" i="14"/>
  <c r="G181" i="14"/>
  <c r="G183" i="14" s="1"/>
  <c r="G185" i="14"/>
  <c r="H181" i="14"/>
  <c r="H183" i="14" s="1"/>
  <c r="N163" i="14"/>
  <c r="N165" i="14" s="1"/>
  <c r="K163" i="14"/>
  <c r="K165" i="14" s="1"/>
  <c r="H163" i="14"/>
  <c r="H165" i="14" s="1"/>
  <c r="I163" i="14"/>
  <c r="I165" i="14" s="1"/>
  <c r="J149" i="14"/>
  <c r="G145" i="14"/>
  <c r="G147" i="14" s="1"/>
  <c r="M145" i="14"/>
  <c r="M147" i="14" s="1"/>
  <c r="H145" i="14"/>
  <c r="H147" i="14" s="1"/>
  <c r="G127" i="14"/>
  <c r="G129" i="14" s="1"/>
  <c r="I127" i="14"/>
  <c r="I129" i="14" s="1"/>
  <c r="H127" i="14"/>
  <c r="H129" i="14" s="1"/>
  <c r="K127" i="14"/>
  <c r="K129" i="14" s="1"/>
  <c r="M127" i="14"/>
  <c r="M129" i="14" s="1"/>
  <c r="N127" i="14"/>
  <c r="N129" i="14" s="1"/>
  <c r="N130" i="14"/>
  <c r="I109" i="14"/>
  <c r="I111" i="14" s="1"/>
  <c r="J112" i="14"/>
  <c r="J113" i="14"/>
  <c r="H109" i="14"/>
  <c r="H111" i="14" s="1"/>
  <c r="J127" i="14"/>
  <c r="J131" i="14" s="1"/>
  <c r="J94" i="14"/>
  <c r="K91" i="14"/>
  <c r="K93" i="14" s="1"/>
  <c r="G91" i="14"/>
  <c r="G93" i="14" s="1"/>
  <c r="N91" i="14"/>
  <c r="N93" i="14" s="1"/>
  <c r="I91" i="14"/>
  <c r="I92" i="14" s="1"/>
  <c r="I95" i="14"/>
  <c r="J95" i="14"/>
  <c r="G73" i="14"/>
  <c r="G75" i="14" s="1"/>
  <c r="J77" i="14"/>
  <c r="H73" i="14"/>
  <c r="H75" i="14" s="1"/>
  <c r="J76" i="14"/>
  <c r="I73" i="14"/>
  <c r="I75" i="14" s="1"/>
  <c r="G55" i="14"/>
  <c r="G57" i="14" s="1"/>
  <c r="Q73" i="14"/>
  <c r="Q75" i="14" s="1"/>
  <c r="I55" i="14"/>
  <c r="I57" i="14" s="1"/>
  <c r="Q127" i="14"/>
  <c r="Q129" i="14" s="1"/>
  <c r="K55" i="14"/>
  <c r="K57" i="14" s="1"/>
  <c r="K59" i="14"/>
  <c r="H55" i="14"/>
  <c r="H57" i="14" s="1"/>
  <c r="K145" i="14"/>
  <c r="K147" i="14" s="1"/>
  <c r="M55" i="14"/>
  <c r="M57" i="14" s="1"/>
  <c r="J22" i="14"/>
  <c r="J163" i="14"/>
  <c r="J164" i="14" s="1"/>
  <c r="N55" i="14"/>
  <c r="N57" i="14" s="1"/>
  <c r="K37" i="14"/>
  <c r="K39" i="14" s="1"/>
  <c r="N37" i="14"/>
  <c r="N39" i="14" s="1"/>
  <c r="N128" i="14"/>
  <c r="O40" i="13" s="1"/>
  <c r="Q199" i="14"/>
  <c r="Q201" i="14" s="1"/>
  <c r="J41" i="14"/>
  <c r="G200" i="14"/>
  <c r="J40" i="14"/>
  <c r="J55" i="14"/>
  <c r="J57" i="14" s="1"/>
  <c r="I145" i="14"/>
  <c r="I147" i="14" s="1"/>
  <c r="G163" i="14"/>
  <c r="G165" i="14" s="1"/>
  <c r="N164" i="14"/>
  <c r="O50" i="13" s="1"/>
  <c r="K19" i="14"/>
  <c r="K21" i="14" s="1"/>
  <c r="N73" i="14"/>
  <c r="N75" i="14" s="1"/>
  <c r="M19" i="14"/>
  <c r="M21" i="14" s="1"/>
  <c r="J23" i="14"/>
  <c r="N19" i="14"/>
  <c r="N21" i="14" s="1"/>
  <c r="Q145" i="14"/>
  <c r="Q147" i="14" s="1"/>
  <c r="I22" i="14"/>
  <c r="J10" i="13" s="1"/>
  <c r="K10" i="13" s="1"/>
  <c r="Q19" i="14"/>
  <c r="Q21" i="14" s="1"/>
  <c r="Q163" i="14"/>
  <c r="Q165" i="14" s="1"/>
  <c r="I23" i="14"/>
  <c r="N37" i="15"/>
  <c r="N39" i="15" s="1"/>
  <c r="N41" i="15"/>
  <c r="N40" i="15"/>
  <c r="H37" i="15"/>
  <c r="H39" i="15" s="1"/>
  <c r="K19" i="15"/>
  <c r="K21" i="15" s="1"/>
  <c r="Q37" i="15"/>
  <c r="Q39" i="15" s="1"/>
  <c r="H19" i="15"/>
  <c r="H21" i="15" s="1"/>
  <c r="M19" i="15"/>
  <c r="M21" i="15" s="1"/>
  <c r="N19" i="15"/>
  <c r="N21" i="15" s="1"/>
  <c r="Q19" i="15"/>
  <c r="Q21" i="15" s="1"/>
  <c r="G37" i="15"/>
  <c r="G39" i="15" s="1"/>
  <c r="K20" i="15"/>
  <c r="N38" i="15"/>
  <c r="O13" i="13" s="1"/>
  <c r="K37" i="15"/>
  <c r="K39" i="15" s="1"/>
  <c r="G19" i="15"/>
  <c r="G21" i="15" s="1"/>
  <c r="M37" i="15"/>
  <c r="M39" i="15" s="1"/>
  <c r="O203" i="2"/>
  <c r="Q181" i="2"/>
  <c r="Q183" i="2" s="1"/>
  <c r="Q184" i="2"/>
  <c r="Q145" i="2"/>
  <c r="Q147" i="2" s="1"/>
  <c r="Q148" i="2"/>
  <c r="Q127" i="2"/>
  <c r="Q129" i="2" s="1"/>
  <c r="Q131" i="2"/>
  <c r="Q199" i="2"/>
  <c r="Q201" i="2" s="1"/>
  <c r="Q163" i="2"/>
  <c r="Q165" i="2" s="1"/>
  <c r="Q109" i="2"/>
  <c r="Q111" i="2" s="1"/>
  <c r="Q113" i="2"/>
  <c r="Q91" i="2"/>
  <c r="Q93" i="2" s="1"/>
  <c r="Q55" i="2"/>
  <c r="Q57" i="2" s="1"/>
  <c r="Q37" i="2"/>
  <c r="Q41" i="2" s="1"/>
  <c r="L39" i="2"/>
  <c r="G109" i="2"/>
  <c r="G111" i="2" s="1"/>
  <c r="O199" i="2"/>
  <c r="O201" i="2" s="1"/>
  <c r="G73" i="2"/>
  <c r="G75" i="2" s="1"/>
  <c r="H91" i="2"/>
  <c r="H93" i="2" s="1"/>
  <c r="K109" i="2"/>
  <c r="K111" i="2" s="1"/>
  <c r="N145" i="2"/>
  <c r="N147" i="2" s="1"/>
  <c r="O163" i="2"/>
  <c r="O165" i="2" s="1"/>
  <c r="J38" i="2"/>
  <c r="N181" i="2"/>
  <c r="N183" i="2" s="1"/>
  <c r="N37" i="2"/>
  <c r="N41" i="2" s="1"/>
  <c r="M163" i="2"/>
  <c r="M165" i="2" s="1"/>
  <c r="G37" i="2"/>
  <c r="G41" i="2" s="1"/>
  <c r="H55" i="2"/>
  <c r="H57" i="2" s="1"/>
  <c r="K73" i="2"/>
  <c r="K76" i="2" s="1"/>
  <c r="M91" i="2"/>
  <c r="M93" i="2" s="1"/>
  <c r="N109" i="2"/>
  <c r="N111" i="2" s="1"/>
  <c r="H127" i="2"/>
  <c r="H129" i="2" s="1"/>
  <c r="Q128" i="2"/>
  <c r="O55" i="2"/>
  <c r="O57" i="2" s="1"/>
  <c r="K145" i="2"/>
  <c r="K147" i="2" s="1"/>
  <c r="L38" i="2"/>
  <c r="Q19" i="2"/>
  <c r="Q21" i="2" s="1"/>
  <c r="Q182" i="2"/>
  <c r="G55" i="2"/>
  <c r="G57" i="2" s="1"/>
  <c r="H73" i="2"/>
  <c r="H75" i="2" s="1"/>
  <c r="K91" i="2"/>
  <c r="K93" i="2" s="1"/>
  <c r="M109" i="2"/>
  <c r="M111" i="2" s="1"/>
  <c r="N127" i="2"/>
  <c r="N129" i="2" s="1"/>
  <c r="O145" i="2"/>
  <c r="O147" i="2" s="1"/>
  <c r="G199" i="2"/>
  <c r="G201" i="2" s="1"/>
  <c r="H37" i="2"/>
  <c r="H41" i="2" s="1"/>
  <c r="O109" i="2"/>
  <c r="O111" i="2" s="1"/>
  <c r="G163" i="2"/>
  <c r="G165" i="2" s="1"/>
  <c r="H181" i="2"/>
  <c r="H183" i="2" s="1"/>
  <c r="K199" i="2"/>
  <c r="K201" i="2" s="1"/>
  <c r="G74" i="2"/>
  <c r="H22" i="13" s="1"/>
  <c r="M127" i="2"/>
  <c r="M129" i="2" s="1"/>
  <c r="G19" i="2"/>
  <c r="G21" i="2" s="1"/>
  <c r="H19" i="2"/>
  <c r="H21" i="2" s="1"/>
  <c r="N91" i="2"/>
  <c r="N93" i="2" s="1"/>
  <c r="K37" i="2"/>
  <c r="K40" i="2" s="1"/>
  <c r="G145" i="2"/>
  <c r="G147" i="2" s="1"/>
  <c r="H163" i="2"/>
  <c r="H165" i="2" s="1"/>
  <c r="K181" i="2"/>
  <c r="K183" i="2" s="1"/>
  <c r="M199" i="2"/>
  <c r="M203" i="2" s="1"/>
  <c r="Q146" i="2"/>
  <c r="J39" i="2"/>
  <c r="G181" i="2"/>
  <c r="G183" i="2" s="1"/>
  <c r="K55" i="2"/>
  <c r="K57" i="2" s="1"/>
  <c r="M73" i="2"/>
  <c r="M75" i="2" s="1"/>
  <c r="K19" i="2"/>
  <c r="K22" i="2" s="1"/>
  <c r="L7" i="13" s="1"/>
  <c r="M55" i="2"/>
  <c r="M57" i="2" s="1"/>
  <c r="N73" i="2"/>
  <c r="N75" i="2" s="1"/>
  <c r="O91" i="2"/>
  <c r="O93" i="2" s="1"/>
  <c r="M19" i="2"/>
  <c r="M22" i="2" s="1"/>
  <c r="N7" i="13" s="1"/>
  <c r="M37" i="2"/>
  <c r="M40" i="2" s="1"/>
  <c r="N55" i="2"/>
  <c r="N57" i="2" s="1"/>
  <c r="O73" i="2"/>
  <c r="O77" i="2" s="1"/>
  <c r="G127" i="2"/>
  <c r="G129" i="2" s="1"/>
  <c r="H145" i="2"/>
  <c r="H148" i="2" s="1"/>
  <c r="K163" i="2"/>
  <c r="K167" i="2" s="1"/>
  <c r="M181" i="2"/>
  <c r="M183" i="2" s="1"/>
  <c r="N199" i="2"/>
  <c r="N201" i="2" s="1"/>
  <c r="K200" i="2"/>
  <c r="L57" i="13" s="1"/>
  <c r="Q110" i="2"/>
  <c r="Q200" i="2"/>
  <c r="N19" i="2"/>
  <c r="N21" i="2" s="1"/>
  <c r="Q73" i="2"/>
  <c r="Q75" i="2" s="1"/>
  <c r="G164" i="2"/>
  <c r="H47" i="13" s="1"/>
  <c r="M164" i="2"/>
  <c r="N47" i="13" s="1"/>
  <c r="O127" i="2"/>
  <c r="O129" i="2" s="1"/>
  <c r="H199" i="2"/>
  <c r="H201" i="2" s="1"/>
  <c r="O19" i="2"/>
  <c r="O21" i="2" s="1"/>
  <c r="O37" i="2"/>
  <c r="O41" i="2" s="1"/>
  <c r="G91" i="2"/>
  <c r="G95" i="2" s="1"/>
  <c r="H109" i="2"/>
  <c r="H111" i="2" s="1"/>
  <c r="K127" i="2"/>
  <c r="K130" i="2" s="1"/>
  <c r="M145" i="2"/>
  <c r="M147" i="2" s="1"/>
  <c r="N163" i="2"/>
  <c r="N165" i="2" s="1"/>
  <c r="O181" i="2"/>
  <c r="O185" i="2" s="1"/>
  <c r="O20" i="2"/>
  <c r="P178" i="14"/>
  <c r="P214" i="14"/>
  <c r="P196" i="2"/>
  <c r="P214" i="2"/>
  <c r="H91" i="14"/>
  <c r="H93" i="14" s="1"/>
  <c r="M163" i="14"/>
  <c r="M165" i="14" s="1"/>
  <c r="M37" i="14"/>
  <c r="M39" i="14" s="1"/>
  <c r="J147" i="14"/>
  <c r="J111" i="14"/>
  <c r="J20" i="14"/>
  <c r="H200" i="14"/>
  <c r="I60" i="13" s="1"/>
  <c r="G128" i="14"/>
  <c r="G182" i="14"/>
  <c r="H55" i="13" s="1"/>
  <c r="K73" i="14"/>
  <c r="K75" i="14" s="1"/>
  <c r="N181" i="14"/>
  <c r="N183" i="14" s="1"/>
  <c r="J146" i="14"/>
  <c r="J110" i="14"/>
  <c r="H182" i="14"/>
  <c r="I55" i="13" s="1"/>
  <c r="Q200" i="14"/>
  <c r="K92" i="14"/>
  <c r="L30" i="13" s="1"/>
  <c r="G19" i="14"/>
  <c r="G21" i="14" s="1"/>
  <c r="Q37" i="14"/>
  <c r="Q39" i="14" s="1"/>
  <c r="M73" i="14"/>
  <c r="M75" i="14" s="1"/>
  <c r="Q181" i="14"/>
  <c r="Q183" i="14" s="1"/>
  <c r="M200" i="14"/>
  <c r="G74" i="14"/>
  <c r="H25" i="13" s="1"/>
  <c r="N145" i="14"/>
  <c r="N147" i="14" s="1"/>
  <c r="K181" i="14"/>
  <c r="K183" i="14" s="1"/>
  <c r="H19" i="14"/>
  <c r="H21" i="14" s="1"/>
  <c r="G37" i="14"/>
  <c r="G39" i="14" s="1"/>
  <c r="Q55" i="14"/>
  <c r="Q57" i="14" s="1"/>
  <c r="M91" i="14"/>
  <c r="M93" i="14" s="1"/>
  <c r="K109" i="14"/>
  <c r="K111" i="14" s="1"/>
  <c r="J183" i="14"/>
  <c r="K128" i="14"/>
  <c r="L40" i="13" s="1"/>
  <c r="K56" i="14"/>
  <c r="L20" i="13" s="1"/>
  <c r="H37" i="14"/>
  <c r="H39" i="14" s="1"/>
  <c r="M109" i="14"/>
  <c r="M111" i="14" s="1"/>
  <c r="J39" i="14"/>
  <c r="J182" i="14"/>
  <c r="N200" i="14"/>
  <c r="O60" i="13" s="1"/>
  <c r="N74" i="14"/>
  <c r="I37" i="14"/>
  <c r="I39" i="14" s="1"/>
  <c r="Q91" i="14"/>
  <c r="Q95" i="14" s="1"/>
  <c r="N109" i="14"/>
  <c r="N111" i="14" s="1"/>
  <c r="J93" i="14"/>
  <c r="J38" i="14"/>
  <c r="J75" i="14"/>
  <c r="I200" i="14"/>
  <c r="J60" i="13" s="1"/>
  <c r="G109" i="14"/>
  <c r="G111" i="14" s="1"/>
  <c r="Q109" i="14"/>
  <c r="Q111" i="14" s="1"/>
  <c r="J92" i="14"/>
  <c r="J74" i="14"/>
  <c r="M56" i="14"/>
  <c r="I20" i="14"/>
  <c r="M146" i="14"/>
  <c r="M128" i="14"/>
  <c r="I21" i="14"/>
  <c r="J21" i="14"/>
  <c r="P19" i="15"/>
  <c r="P20" i="15" s="1"/>
  <c r="F8" i="14"/>
  <c r="J200" i="14"/>
  <c r="J201" i="14"/>
  <c r="F186" i="14"/>
  <c r="F145" i="16"/>
  <c r="F146" i="16" s="1"/>
  <c r="F37" i="16"/>
  <c r="F38" i="16" s="1"/>
  <c r="I16" i="2"/>
  <c r="I34" i="2"/>
  <c r="I70" i="2"/>
  <c r="I88" i="2"/>
  <c r="I106" i="2"/>
  <c r="I124" i="2"/>
  <c r="I178" i="2"/>
  <c r="I196" i="2"/>
  <c r="I142" i="2"/>
  <c r="I52" i="2"/>
  <c r="I89" i="2"/>
  <c r="I125" i="2"/>
  <c r="I161" i="2"/>
  <c r="I163" i="2" s="1"/>
  <c r="I165" i="2" s="1"/>
  <c r="I35" i="2"/>
  <c r="I179" i="2"/>
  <c r="I53" i="2"/>
  <c r="I197" i="2"/>
  <c r="E23" i="28"/>
  <c r="I71" i="2"/>
  <c r="I107" i="2"/>
  <c r="E75" i="28"/>
  <c r="P88" i="2"/>
  <c r="P70" i="14"/>
  <c r="E77" i="28"/>
  <c r="P16" i="2"/>
  <c r="P196" i="14"/>
  <c r="E74" i="28"/>
  <c r="P142" i="2"/>
  <c r="P124" i="14"/>
  <c r="P70" i="2"/>
  <c r="P160" i="2"/>
  <c r="P52" i="14"/>
  <c r="P142" i="14"/>
  <c r="E11" i="29"/>
  <c r="E12" i="29"/>
  <c r="P34" i="2"/>
  <c r="P106" i="2"/>
  <c r="P178" i="2"/>
  <c r="P34" i="15"/>
  <c r="P16" i="14"/>
  <c r="P88" i="14"/>
  <c r="P160" i="14"/>
  <c r="P52" i="2"/>
  <c r="P124" i="2"/>
  <c r="P34" i="14"/>
  <c r="P106" i="14"/>
  <c r="H40" i="13" l="1"/>
  <c r="O25" i="13"/>
  <c r="N40" i="13"/>
  <c r="N20" i="13"/>
  <c r="H60" i="13"/>
  <c r="J221" i="14"/>
  <c r="J219" i="14"/>
  <c r="J220" i="14"/>
  <c r="J218" i="14"/>
  <c r="N60" i="13"/>
  <c r="N45" i="13"/>
  <c r="F23" i="16"/>
  <c r="F149" i="16"/>
  <c r="F148" i="16"/>
  <c r="L14" i="36" s="1"/>
  <c r="F41" i="16"/>
  <c r="G22" i="16"/>
  <c r="M7" i="36" s="1"/>
  <c r="F40" i="16"/>
  <c r="L8" i="36" s="1"/>
  <c r="F39" i="16"/>
  <c r="F147" i="16"/>
  <c r="F20" i="16"/>
  <c r="F205" i="16"/>
  <c r="G20" i="16"/>
  <c r="G21" i="16" s="1"/>
  <c r="K20" i="14"/>
  <c r="H128" i="14"/>
  <c r="I40" i="13" s="1"/>
  <c r="G130" i="14"/>
  <c r="K200" i="14"/>
  <c r="L60" i="13" s="1"/>
  <c r="N56" i="14"/>
  <c r="O20" i="13" s="1"/>
  <c r="M148" i="14"/>
  <c r="H203" i="14"/>
  <c r="N202" i="14"/>
  <c r="M149" i="14"/>
  <c r="H185" i="14"/>
  <c r="N203" i="14"/>
  <c r="K203" i="14"/>
  <c r="Q184" i="14"/>
  <c r="I182" i="14"/>
  <c r="J55" i="13" s="1"/>
  <c r="K130" i="14"/>
  <c r="N167" i="14"/>
  <c r="K202" i="14"/>
  <c r="H202" i="14"/>
  <c r="Q202" i="14"/>
  <c r="Q203" i="14"/>
  <c r="I164" i="14"/>
  <c r="J50" i="13" s="1"/>
  <c r="I185" i="14"/>
  <c r="G131" i="14"/>
  <c r="G184" i="14"/>
  <c r="I184" i="14"/>
  <c r="I202" i="14"/>
  <c r="N92" i="14"/>
  <c r="O30" i="13" s="1"/>
  <c r="P181" i="14"/>
  <c r="P183" i="14" s="1"/>
  <c r="N59" i="14"/>
  <c r="Q185" i="14"/>
  <c r="M182" i="14"/>
  <c r="N55" i="13" s="1"/>
  <c r="I166" i="14"/>
  <c r="M130" i="14"/>
  <c r="I167" i="14"/>
  <c r="H184" i="14"/>
  <c r="N185" i="14"/>
  <c r="N184" i="14"/>
  <c r="K185" i="14"/>
  <c r="I146" i="14"/>
  <c r="J45" i="13" s="1"/>
  <c r="K184" i="14"/>
  <c r="M185" i="14"/>
  <c r="H59" i="14"/>
  <c r="N95" i="14"/>
  <c r="N166" i="14"/>
  <c r="M184" i="14"/>
  <c r="G167" i="14"/>
  <c r="K164" i="14"/>
  <c r="L50" i="13" s="1"/>
  <c r="G166" i="14"/>
  <c r="K131" i="14"/>
  <c r="Q166" i="14"/>
  <c r="M166" i="14"/>
  <c r="G164" i="14"/>
  <c r="H50" i="13" s="1"/>
  <c r="H164" i="14"/>
  <c r="I50" i="13" s="1"/>
  <c r="K23" i="14"/>
  <c r="G76" i="14"/>
  <c r="N131" i="14"/>
  <c r="H130" i="14"/>
  <c r="J167" i="14"/>
  <c r="Q167" i="14"/>
  <c r="M167" i="14"/>
  <c r="G56" i="14"/>
  <c r="H20" i="13" s="1"/>
  <c r="H131" i="14"/>
  <c r="H166" i="14"/>
  <c r="K167" i="14"/>
  <c r="J166" i="14"/>
  <c r="M131" i="14"/>
  <c r="H167" i="14"/>
  <c r="K166" i="14"/>
  <c r="K94" i="14"/>
  <c r="Q149" i="14"/>
  <c r="J165" i="14"/>
  <c r="Q148" i="14"/>
  <c r="I149" i="14"/>
  <c r="N149" i="14"/>
  <c r="G92" i="14"/>
  <c r="H30" i="13" s="1"/>
  <c r="I148" i="14"/>
  <c r="N148" i="14"/>
  <c r="G146" i="14"/>
  <c r="H45" i="13" s="1"/>
  <c r="I128" i="14"/>
  <c r="J40" i="13" s="1"/>
  <c r="I130" i="14"/>
  <c r="H148" i="14"/>
  <c r="G149" i="14"/>
  <c r="K148" i="14"/>
  <c r="H146" i="14"/>
  <c r="I45" i="13" s="1"/>
  <c r="G95" i="14"/>
  <c r="Q130" i="14"/>
  <c r="I131" i="14"/>
  <c r="H149" i="14"/>
  <c r="G148" i="14"/>
  <c r="K149" i="14"/>
  <c r="I93" i="14"/>
  <c r="J30" i="13" s="1"/>
  <c r="J129" i="14"/>
  <c r="M112" i="14"/>
  <c r="G77" i="14"/>
  <c r="N20" i="14"/>
  <c r="I110" i="14"/>
  <c r="J35" i="13" s="1"/>
  <c r="H56" i="14"/>
  <c r="I20" i="13" s="1"/>
  <c r="J128" i="14"/>
  <c r="Q113" i="14"/>
  <c r="I112" i="14"/>
  <c r="Q131" i="14"/>
  <c r="J130" i="14"/>
  <c r="H77" i="14"/>
  <c r="I113" i="14"/>
  <c r="H74" i="14"/>
  <c r="I25" i="13" s="1"/>
  <c r="N94" i="14"/>
  <c r="M113" i="14"/>
  <c r="N113" i="14"/>
  <c r="G58" i="14"/>
  <c r="N112" i="14"/>
  <c r="K113" i="14"/>
  <c r="G94" i="14"/>
  <c r="H113" i="14"/>
  <c r="K112" i="14"/>
  <c r="G112" i="14"/>
  <c r="M20" i="14"/>
  <c r="H110" i="14"/>
  <c r="I35" i="13" s="1"/>
  <c r="Q164" i="14"/>
  <c r="H112" i="14"/>
  <c r="Q112" i="14"/>
  <c r="G113" i="14"/>
  <c r="N77" i="14"/>
  <c r="H94" i="14"/>
  <c r="Q94" i="14"/>
  <c r="Q128" i="14"/>
  <c r="I38" i="14"/>
  <c r="J15" i="13" s="1"/>
  <c r="I56" i="14"/>
  <c r="J20" i="13" s="1"/>
  <c r="N58" i="14"/>
  <c r="H58" i="14"/>
  <c r="I59" i="14"/>
  <c r="I94" i="14"/>
  <c r="K95" i="14"/>
  <c r="I74" i="14"/>
  <c r="J25" i="13" s="1"/>
  <c r="Q59" i="14"/>
  <c r="M94" i="14"/>
  <c r="K146" i="14"/>
  <c r="L45" i="13" s="1"/>
  <c r="M59" i="14"/>
  <c r="K58" i="14"/>
  <c r="I76" i="14"/>
  <c r="M95" i="14"/>
  <c r="K110" i="14"/>
  <c r="L35" i="13" s="1"/>
  <c r="I77" i="14"/>
  <c r="H95" i="14"/>
  <c r="M58" i="14"/>
  <c r="G59" i="14"/>
  <c r="N76" i="14"/>
  <c r="M77" i="14"/>
  <c r="M76" i="14"/>
  <c r="K74" i="14"/>
  <c r="L25" i="13" s="1"/>
  <c r="Q22" i="14"/>
  <c r="Q76" i="14"/>
  <c r="K77" i="14"/>
  <c r="H76" i="14"/>
  <c r="Q77" i="14"/>
  <c r="K76" i="14"/>
  <c r="K38" i="14"/>
  <c r="L15" i="13" s="1"/>
  <c r="Q74" i="14"/>
  <c r="K40" i="14"/>
  <c r="Q58" i="14"/>
  <c r="J56" i="14"/>
  <c r="J58" i="14"/>
  <c r="N182" i="14"/>
  <c r="O55" i="13" s="1"/>
  <c r="G40" i="14"/>
  <c r="M22" i="14"/>
  <c r="N10" i="13" s="1"/>
  <c r="G41" i="14"/>
  <c r="J59" i="14"/>
  <c r="M92" i="14"/>
  <c r="N30" i="13" s="1"/>
  <c r="M74" i="14"/>
  <c r="N25" i="13" s="1"/>
  <c r="Q23" i="14"/>
  <c r="M23" i="14"/>
  <c r="I40" i="14"/>
  <c r="I58" i="14"/>
  <c r="N38" i="14"/>
  <c r="O15" i="13" s="1"/>
  <c r="Q146" i="14"/>
  <c r="N22" i="14"/>
  <c r="O10" i="13" s="1"/>
  <c r="Q41" i="14"/>
  <c r="K41" i="14"/>
  <c r="Q40" i="14"/>
  <c r="Q182" i="14"/>
  <c r="N110" i="14"/>
  <c r="O35" i="13" s="1"/>
  <c r="H40" i="14"/>
  <c r="M41" i="14"/>
  <c r="H22" i="14"/>
  <c r="I10" i="13" s="1"/>
  <c r="H41" i="14"/>
  <c r="N40" i="14"/>
  <c r="M40" i="14"/>
  <c r="I41" i="14"/>
  <c r="N41" i="14"/>
  <c r="M110" i="14"/>
  <c r="N35" i="13" s="1"/>
  <c r="M164" i="14"/>
  <c r="N50" i="13" s="1"/>
  <c r="H92" i="14"/>
  <c r="I30" i="13" s="1"/>
  <c r="Q20" i="14"/>
  <c r="H20" i="14"/>
  <c r="N23" i="14"/>
  <c r="K22" i="14"/>
  <c r="L10" i="13" s="1"/>
  <c r="H23" i="14"/>
  <c r="G110" i="14"/>
  <c r="H35" i="13" s="1"/>
  <c r="Q38" i="14"/>
  <c r="G22" i="14"/>
  <c r="H10" i="13" s="1"/>
  <c r="G23" i="14"/>
  <c r="Q38" i="15"/>
  <c r="M20" i="15"/>
  <c r="K23" i="15"/>
  <c r="K22" i="15"/>
  <c r="L8" i="13" s="1"/>
  <c r="H41" i="15"/>
  <c r="H38" i="15"/>
  <c r="I13" i="13" s="1"/>
  <c r="Q22" i="15"/>
  <c r="G40" i="15"/>
  <c r="Q40" i="15"/>
  <c r="M22" i="15"/>
  <c r="N8" i="13" s="1"/>
  <c r="K40" i="15"/>
  <c r="Q41" i="15"/>
  <c r="M23" i="15"/>
  <c r="K41" i="15"/>
  <c r="M40" i="15"/>
  <c r="M41" i="15"/>
  <c r="H40" i="15"/>
  <c r="K38" i="15"/>
  <c r="L13" i="13" s="1"/>
  <c r="Q23" i="15"/>
  <c r="G41" i="15"/>
  <c r="G23" i="15"/>
  <c r="H20" i="15"/>
  <c r="H22" i="15"/>
  <c r="I8" i="13" s="1"/>
  <c r="H23" i="15"/>
  <c r="P22" i="15"/>
  <c r="N22" i="15"/>
  <c r="O8" i="13" s="1"/>
  <c r="G22" i="15"/>
  <c r="H8" i="13" s="1"/>
  <c r="G20" i="15"/>
  <c r="P23" i="15"/>
  <c r="N23" i="15"/>
  <c r="G38" i="15"/>
  <c r="H13" i="13" s="1"/>
  <c r="Q20" i="15"/>
  <c r="M38" i="15"/>
  <c r="N13" i="13" s="1"/>
  <c r="N20" i="15"/>
  <c r="O202" i="2"/>
  <c r="H203" i="2"/>
  <c r="N203" i="2"/>
  <c r="Q149" i="2"/>
  <c r="H202" i="2"/>
  <c r="N202" i="2"/>
  <c r="P199" i="2"/>
  <c r="P200" i="2" s="1"/>
  <c r="P202" i="2"/>
  <c r="G202" i="2"/>
  <c r="M202" i="2"/>
  <c r="K166" i="2"/>
  <c r="G203" i="2"/>
  <c r="I202" i="2"/>
  <c r="H184" i="2"/>
  <c r="Q203" i="2"/>
  <c r="K203" i="2"/>
  <c r="Q185" i="2"/>
  <c r="Q202" i="2"/>
  <c r="K202" i="2"/>
  <c r="N184" i="2"/>
  <c r="G185" i="2"/>
  <c r="H131" i="2"/>
  <c r="N185" i="2"/>
  <c r="G184" i="2"/>
  <c r="M185" i="2"/>
  <c r="M184" i="2"/>
  <c r="K184" i="2"/>
  <c r="O167" i="2"/>
  <c r="K185" i="2"/>
  <c r="O184" i="2"/>
  <c r="G167" i="2"/>
  <c r="H185" i="2"/>
  <c r="I167" i="2"/>
  <c r="Q95" i="2"/>
  <c r="O166" i="2"/>
  <c r="I166" i="2"/>
  <c r="G166" i="2"/>
  <c r="N166" i="2"/>
  <c r="Q166" i="2"/>
  <c r="N167" i="2"/>
  <c r="Q167" i="2"/>
  <c r="M149" i="2"/>
  <c r="M167" i="2"/>
  <c r="H167" i="2"/>
  <c r="Q130" i="2"/>
  <c r="K149" i="2"/>
  <c r="M166" i="2"/>
  <c r="H166" i="2"/>
  <c r="M148" i="2"/>
  <c r="K148" i="2"/>
  <c r="O149" i="2"/>
  <c r="H149" i="2"/>
  <c r="O148" i="2"/>
  <c r="N149" i="2"/>
  <c r="G148" i="2"/>
  <c r="G112" i="2"/>
  <c r="M131" i="2"/>
  <c r="N148" i="2"/>
  <c r="G149" i="2"/>
  <c r="M130" i="2"/>
  <c r="M112" i="2"/>
  <c r="H130" i="2"/>
  <c r="O131" i="2"/>
  <c r="G130" i="2"/>
  <c r="K182" i="2"/>
  <c r="L52" i="13" s="1"/>
  <c r="Q40" i="2"/>
  <c r="O130" i="2"/>
  <c r="G131" i="2"/>
  <c r="N130" i="2"/>
  <c r="K131" i="2"/>
  <c r="N112" i="2"/>
  <c r="N131" i="2"/>
  <c r="Q20" i="2"/>
  <c r="M113" i="2"/>
  <c r="N113" i="2"/>
  <c r="Q164" i="2"/>
  <c r="G77" i="2"/>
  <c r="K112" i="2"/>
  <c r="H92" i="2"/>
  <c r="I27" i="13" s="1"/>
  <c r="H94" i="2"/>
  <c r="Q112" i="2"/>
  <c r="K113" i="2"/>
  <c r="O112" i="2"/>
  <c r="H113" i="2"/>
  <c r="G113" i="2"/>
  <c r="O113" i="2"/>
  <c r="H112" i="2"/>
  <c r="Q92" i="2"/>
  <c r="H95" i="2"/>
  <c r="O94" i="2"/>
  <c r="G94" i="2"/>
  <c r="O95" i="2"/>
  <c r="N95" i="2"/>
  <c r="K95" i="2"/>
  <c r="N94" i="2"/>
  <c r="O59" i="2"/>
  <c r="K94" i="2"/>
  <c r="M94" i="2"/>
  <c r="G76" i="2"/>
  <c r="Q94" i="2"/>
  <c r="M95" i="2"/>
  <c r="K77" i="2"/>
  <c r="O76" i="2"/>
  <c r="M76" i="2"/>
  <c r="Q77" i="2"/>
  <c r="O200" i="2"/>
  <c r="P57" i="13" s="1"/>
  <c r="M77" i="2"/>
  <c r="Q76" i="2"/>
  <c r="K23" i="2"/>
  <c r="H76" i="2"/>
  <c r="N77" i="2"/>
  <c r="Q59" i="2"/>
  <c r="H77" i="2"/>
  <c r="N76" i="2"/>
  <c r="Q56" i="2"/>
  <c r="O40" i="2"/>
  <c r="M59" i="2"/>
  <c r="O58" i="2"/>
  <c r="N59" i="2"/>
  <c r="M58" i="2"/>
  <c r="H59" i="2"/>
  <c r="N58" i="2"/>
  <c r="H164" i="2"/>
  <c r="I47" i="13" s="1"/>
  <c r="M41" i="2"/>
  <c r="K59" i="2"/>
  <c r="H58" i="2"/>
  <c r="K58" i="2"/>
  <c r="G58" i="2"/>
  <c r="K110" i="2"/>
  <c r="L32" i="13" s="1"/>
  <c r="Q58" i="2"/>
  <c r="G59" i="2"/>
  <c r="O22" i="2"/>
  <c r="P7" i="13" s="1"/>
  <c r="M23" i="2"/>
  <c r="G22" i="2"/>
  <c r="H7" i="13" s="1"/>
  <c r="H128" i="2"/>
  <c r="I37" i="13" s="1"/>
  <c r="O23" i="2"/>
  <c r="G23" i="2"/>
  <c r="N40" i="2"/>
  <c r="K41" i="2"/>
  <c r="H40" i="2"/>
  <c r="M56" i="2"/>
  <c r="N17" i="13" s="1"/>
  <c r="Q23" i="2"/>
  <c r="N22" i="2"/>
  <c r="O7" i="13" s="1"/>
  <c r="G40" i="2"/>
  <c r="H23" i="2"/>
  <c r="Q22" i="2"/>
  <c r="N23" i="2"/>
  <c r="H22" i="2"/>
  <c r="I7" i="13" s="1"/>
  <c r="H200" i="2"/>
  <c r="I57" i="13" s="1"/>
  <c r="I37" i="2"/>
  <c r="I41" i="2" s="1"/>
  <c r="M110" i="2"/>
  <c r="N32" i="13" s="1"/>
  <c r="M92" i="2"/>
  <c r="N27" i="13" s="1"/>
  <c r="G110" i="2"/>
  <c r="H32" i="13" s="1"/>
  <c r="N182" i="2"/>
  <c r="O52" i="13" s="1"/>
  <c r="N110" i="2"/>
  <c r="O32" i="13" s="1"/>
  <c r="H110" i="2"/>
  <c r="I32" i="13" s="1"/>
  <c r="G146" i="2"/>
  <c r="H42" i="13" s="1"/>
  <c r="G56" i="2"/>
  <c r="H17" i="13" s="1"/>
  <c r="H20" i="2"/>
  <c r="H38" i="2"/>
  <c r="N146" i="2"/>
  <c r="O42" i="13" s="1"/>
  <c r="K75" i="2"/>
  <c r="K74" i="2"/>
  <c r="L22" i="13" s="1"/>
  <c r="O164" i="2"/>
  <c r="P47" i="13" s="1"/>
  <c r="Q74" i="2"/>
  <c r="M128" i="2"/>
  <c r="N37" i="13" s="1"/>
  <c r="G20" i="2"/>
  <c r="K146" i="2"/>
  <c r="L42" i="13" s="1"/>
  <c r="M182" i="2"/>
  <c r="N52" i="13" s="1"/>
  <c r="N56" i="2"/>
  <c r="O17" i="13" s="1"/>
  <c r="H56" i="2"/>
  <c r="I17" i="13" s="1"/>
  <c r="G200" i="2"/>
  <c r="H57" i="13" s="1"/>
  <c r="O56" i="2"/>
  <c r="P17" i="13" s="1"/>
  <c r="I19" i="2"/>
  <c r="I21" i="2" s="1"/>
  <c r="M21" i="2"/>
  <c r="M20" i="2"/>
  <c r="I73" i="2"/>
  <c r="I75" i="2" s="1"/>
  <c r="K21" i="2"/>
  <c r="K20" i="2"/>
  <c r="G182" i="2"/>
  <c r="H52" i="13" s="1"/>
  <c r="Q38" i="2"/>
  <c r="N164" i="2"/>
  <c r="O47" i="13" s="1"/>
  <c r="I145" i="2"/>
  <c r="I147" i="2" s="1"/>
  <c r="I55" i="2"/>
  <c r="I57" i="2" s="1"/>
  <c r="O183" i="2"/>
  <c r="O182" i="2"/>
  <c r="O38" i="2"/>
  <c r="K38" i="2"/>
  <c r="M146" i="2"/>
  <c r="N42" i="13" s="1"/>
  <c r="H147" i="2"/>
  <c r="H146" i="2"/>
  <c r="N20" i="2"/>
  <c r="I181" i="2"/>
  <c r="I183" i="2" s="1"/>
  <c r="K129" i="2"/>
  <c r="K128" i="2"/>
  <c r="L37" i="13" s="1"/>
  <c r="G128" i="2"/>
  <c r="H37" i="13" s="1"/>
  <c r="M74" i="2"/>
  <c r="N22" i="13" s="1"/>
  <c r="N92" i="2"/>
  <c r="O27" i="13" s="1"/>
  <c r="I164" i="2"/>
  <c r="K165" i="2"/>
  <c r="K164" i="2"/>
  <c r="L47" i="13" s="1"/>
  <c r="M201" i="2"/>
  <c r="M200" i="2"/>
  <c r="I199" i="2"/>
  <c r="I201" i="2" s="1"/>
  <c r="N128" i="2"/>
  <c r="O37" i="13" s="1"/>
  <c r="O92" i="2"/>
  <c r="P27" i="13" s="1"/>
  <c r="I127" i="2"/>
  <c r="I129" i="2" s="1"/>
  <c r="I109" i="2"/>
  <c r="I111" i="2" s="1"/>
  <c r="K92" i="2"/>
  <c r="L27" i="13" s="1"/>
  <c r="G93" i="2"/>
  <c r="G92" i="2"/>
  <c r="H27" i="13" s="1"/>
  <c r="O128" i="2"/>
  <c r="P37" i="13" s="1"/>
  <c r="O75" i="2"/>
  <c r="O74" i="2"/>
  <c r="K56" i="2"/>
  <c r="L17" i="13" s="1"/>
  <c r="K39" i="2"/>
  <c r="O146" i="2"/>
  <c r="P42" i="13" s="1"/>
  <c r="O110" i="2"/>
  <c r="P32" i="13" s="1"/>
  <c r="N74" i="2"/>
  <c r="O22" i="13" s="1"/>
  <c r="I91" i="2"/>
  <c r="I93" i="2" s="1"/>
  <c r="O39" i="2"/>
  <c r="N200" i="2"/>
  <c r="O57" i="13" s="1"/>
  <c r="H74" i="2"/>
  <c r="I22" i="13" s="1"/>
  <c r="H182" i="2"/>
  <c r="I52" i="13" s="1"/>
  <c r="F214" i="2"/>
  <c r="P217" i="2"/>
  <c r="F217" i="2" s="1"/>
  <c r="F214" i="14"/>
  <c r="P217" i="14"/>
  <c r="P219" i="14" s="1"/>
  <c r="H38" i="14"/>
  <c r="I15" i="13" s="1"/>
  <c r="G38" i="14"/>
  <c r="H15" i="13" s="1"/>
  <c r="M38" i="14"/>
  <c r="N15" i="13" s="1"/>
  <c r="K182" i="14"/>
  <c r="L55" i="13" s="1"/>
  <c r="N146" i="14"/>
  <c r="O45" i="13" s="1"/>
  <c r="Q56" i="14"/>
  <c r="Q93" i="14"/>
  <c r="Q92" i="14"/>
  <c r="G20" i="14"/>
  <c r="Q110" i="14"/>
  <c r="P182" i="14"/>
  <c r="P21" i="15"/>
  <c r="P91" i="14"/>
  <c r="P93" i="14" s="1"/>
  <c r="P145" i="14"/>
  <c r="P147" i="14" s="1"/>
  <c r="P19" i="2"/>
  <c r="P20" i="2" s="1"/>
  <c r="P19" i="14"/>
  <c r="P21" i="14" s="1"/>
  <c r="P163" i="2"/>
  <c r="P165" i="2" s="1"/>
  <c r="P55" i="14"/>
  <c r="P57" i="14" s="1"/>
  <c r="P91" i="2"/>
  <c r="P93" i="2" s="1"/>
  <c r="P163" i="14"/>
  <c r="P164" i="14" s="1"/>
  <c r="P37" i="15"/>
  <c r="P39" i="15" s="1"/>
  <c r="P109" i="2"/>
  <c r="P110" i="2" s="1"/>
  <c r="P127" i="14"/>
  <c r="P129" i="14" s="1"/>
  <c r="P73" i="14"/>
  <c r="P75" i="14" s="1"/>
  <c r="P109" i="14"/>
  <c r="P110" i="14" s="1"/>
  <c r="P37" i="14"/>
  <c r="P39" i="14" s="1"/>
  <c r="P37" i="2"/>
  <c r="P41" i="2" s="1"/>
  <c r="P145" i="2"/>
  <c r="P147" i="2" s="1"/>
  <c r="P199" i="14"/>
  <c r="P201" i="14" s="1"/>
  <c r="P181" i="2"/>
  <c r="P182" i="2" s="1"/>
  <c r="P73" i="2"/>
  <c r="P75" i="2" s="1"/>
  <c r="P127" i="2"/>
  <c r="P129" i="2" s="1"/>
  <c r="P55" i="2"/>
  <c r="P56" i="2" s="1"/>
  <c r="P22" i="13" l="1"/>
  <c r="P12" i="13"/>
  <c r="P52" i="13"/>
  <c r="Q50" i="13"/>
  <c r="R50" i="13"/>
  <c r="Q55" i="13"/>
  <c r="R55" i="13"/>
  <c r="I42" i="13"/>
  <c r="Q8" i="13"/>
  <c r="R8" i="13"/>
  <c r="F221" i="16"/>
  <c r="F220" i="16"/>
  <c r="L18" i="36" s="1"/>
  <c r="L12" i="13"/>
  <c r="N57" i="13"/>
  <c r="F218" i="16"/>
  <c r="F219" i="16" s="1"/>
  <c r="L18" i="33" s="1"/>
  <c r="F21" i="16"/>
  <c r="P185" i="14"/>
  <c r="P221" i="14"/>
  <c r="P220" i="14"/>
  <c r="P184" i="14"/>
  <c r="P203" i="14"/>
  <c r="P202" i="14"/>
  <c r="P167" i="14"/>
  <c r="P166" i="14"/>
  <c r="P148" i="14"/>
  <c r="P149" i="14"/>
  <c r="P113" i="14"/>
  <c r="P131" i="14"/>
  <c r="P130" i="14"/>
  <c r="P112" i="14"/>
  <c r="P94" i="14"/>
  <c r="P95" i="14"/>
  <c r="P77" i="14"/>
  <c r="P76" i="14"/>
  <c r="P59" i="14"/>
  <c r="P58" i="14"/>
  <c r="P40" i="14"/>
  <c r="P41" i="14"/>
  <c r="P23" i="14"/>
  <c r="P22" i="14"/>
  <c r="P40" i="15"/>
  <c r="P41" i="15"/>
  <c r="I203" i="2"/>
  <c r="P201" i="2"/>
  <c r="R57" i="13" s="1"/>
  <c r="P203" i="2"/>
  <c r="P148" i="2"/>
  <c r="I184" i="2"/>
  <c r="I185" i="2"/>
  <c r="P185" i="2"/>
  <c r="P184" i="2"/>
  <c r="P166" i="2"/>
  <c r="P167" i="2"/>
  <c r="P149" i="2"/>
  <c r="P130" i="2"/>
  <c r="I148" i="2"/>
  <c r="I149" i="2"/>
  <c r="P131" i="2"/>
  <c r="I95" i="2"/>
  <c r="I131" i="2"/>
  <c r="I130" i="2"/>
  <c r="I113" i="2"/>
  <c r="P113" i="2"/>
  <c r="I112" i="2"/>
  <c r="P112" i="2"/>
  <c r="P95" i="2"/>
  <c r="I94" i="2"/>
  <c r="P94" i="2"/>
  <c r="I77" i="2"/>
  <c r="P22" i="2"/>
  <c r="I76" i="2"/>
  <c r="P76" i="2"/>
  <c r="I110" i="2"/>
  <c r="I182" i="2"/>
  <c r="P77" i="2"/>
  <c r="P59" i="2"/>
  <c r="I58" i="2"/>
  <c r="I59" i="2"/>
  <c r="P58" i="2"/>
  <c r="I40" i="2"/>
  <c r="I22" i="2"/>
  <c r="I23" i="2"/>
  <c r="P40" i="2"/>
  <c r="P23" i="2"/>
  <c r="P218" i="2"/>
  <c r="H39" i="2"/>
  <c r="I12" i="13" s="1"/>
  <c r="I20" i="2"/>
  <c r="P219" i="2"/>
  <c r="I92" i="2"/>
  <c r="I128" i="2"/>
  <c r="I56" i="2"/>
  <c r="I74" i="2"/>
  <c r="Q39" i="2"/>
  <c r="I200" i="2"/>
  <c r="M38" i="2"/>
  <c r="N38" i="2"/>
  <c r="N39" i="2"/>
  <c r="M39" i="2"/>
  <c r="G38" i="2"/>
  <c r="G39" i="2"/>
  <c r="I146" i="2"/>
  <c r="P218" i="14"/>
  <c r="F217" i="14"/>
  <c r="F219" i="14" s="1"/>
  <c r="F218" i="2"/>
  <c r="F219" i="2"/>
  <c r="P146" i="2"/>
  <c r="P128" i="14"/>
  <c r="P146" i="14"/>
  <c r="P57" i="2"/>
  <c r="Q17" i="13" s="1"/>
  <c r="P74" i="14"/>
  <c r="P74" i="2"/>
  <c r="P56" i="14"/>
  <c r="P21" i="2"/>
  <c r="P200" i="14"/>
  <c r="P164" i="2"/>
  <c r="P165" i="14"/>
  <c r="P20" i="14"/>
  <c r="P128" i="2"/>
  <c r="P183" i="2"/>
  <c r="R52" i="13" s="1"/>
  <c r="P111" i="2"/>
  <c r="Q32" i="13" s="1"/>
  <c r="P92" i="2"/>
  <c r="P111" i="14"/>
  <c r="Q35" i="13" s="1"/>
  <c r="P38" i="14"/>
  <c r="P38" i="15"/>
  <c r="P92" i="14"/>
  <c r="C31" i="25"/>
  <c r="C50" i="25"/>
  <c r="Y31" i="25"/>
  <c r="Y32" i="25"/>
  <c r="Y30" i="25"/>
  <c r="I31" i="25"/>
  <c r="I32" i="25"/>
  <c r="I30" i="25"/>
  <c r="G31" i="25"/>
  <c r="G32" i="25"/>
  <c r="G30" i="25"/>
  <c r="S32" i="25"/>
  <c r="S31" i="25"/>
  <c r="S30" i="25"/>
  <c r="U31" i="25"/>
  <c r="U32" i="25"/>
  <c r="U30" i="25"/>
  <c r="Q30" i="25"/>
  <c r="Q31" i="25"/>
  <c r="Q32" i="25"/>
  <c r="M31" i="25"/>
  <c r="M32" i="25"/>
  <c r="M30" i="25"/>
  <c r="K32" i="25"/>
  <c r="K30" i="25"/>
  <c r="K31" i="25"/>
  <c r="C32" i="25"/>
  <c r="C30" i="25"/>
  <c r="E31" i="25"/>
  <c r="E32" i="25"/>
  <c r="E30" i="25"/>
  <c r="O31" i="25"/>
  <c r="O30" i="25"/>
  <c r="O32" i="25"/>
  <c r="F10" i="2"/>
  <c r="F102" i="14"/>
  <c r="F103" i="14"/>
  <c r="F101" i="2"/>
  <c r="F102" i="2"/>
  <c r="F33" i="2"/>
  <c r="F27" i="2"/>
  <c r="O12" i="13" l="1"/>
  <c r="R32" i="13"/>
  <c r="R37" i="13"/>
  <c r="Q37" i="13"/>
  <c r="Q25" i="13"/>
  <c r="R25" i="13"/>
  <c r="Q7" i="13"/>
  <c r="R7" i="13"/>
  <c r="Q52" i="13"/>
  <c r="Q45" i="13"/>
  <c r="R45" i="13"/>
  <c r="R35" i="13"/>
  <c r="Q22" i="13"/>
  <c r="R22" i="13"/>
  <c r="Q30" i="13"/>
  <c r="R30" i="13"/>
  <c r="R15" i="13"/>
  <c r="Q15" i="13"/>
  <c r="Q40" i="13"/>
  <c r="R40" i="13"/>
  <c r="H12" i="13"/>
  <c r="R13" i="13"/>
  <c r="Q13" i="13"/>
  <c r="R47" i="13"/>
  <c r="Q47" i="13"/>
  <c r="Q60" i="13"/>
  <c r="R60" i="13"/>
  <c r="R42" i="13"/>
  <c r="Q42" i="13"/>
  <c r="R20" i="13"/>
  <c r="Q20" i="13"/>
  <c r="R27" i="13"/>
  <c r="Q27" i="13"/>
  <c r="Q10" i="13"/>
  <c r="R10" i="13"/>
  <c r="Q57" i="13"/>
  <c r="R17" i="13"/>
  <c r="N12" i="13"/>
  <c r="F220" i="14"/>
  <c r="F221" i="14"/>
  <c r="P38" i="2"/>
  <c r="P39" i="2"/>
  <c r="I38" i="2"/>
  <c r="I39" i="2"/>
  <c r="F218" i="14"/>
  <c r="I34" i="25"/>
  <c r="C56" i="25"/>
  <c r="C34" i="25"/>
  <c r="C51" i="25"/>
  <c r="C52" i="25"/>
  <c r="C130" i="25" s="1"/>
  <c r="C49" i="25"/>
  <c r="H12" i="23"/>
  <c r="F12" i="23"/>
  <c r="K12" i="23"/>
  <c r="I12" i="23"/>
  <c r="J12" i="23"/>
  <c r="G12" i="23"/>
  <c r="C12" i="23"/>
  <c r="D12" i="23"/>
  <c r="L12" i="23"/>
  <c r="E12" i="23"/>
  <c r="Q12" i="13" l="1"/>
  <c r="R12" i="13"/>
  <c r="R66" i="13"/>
  <c r="G62" i="13"/>
  <c r="Q66" i="13"/>
  <c r="J15" i="23"/>
  <c r="K15" i="23"/>
  <c r="C15" i="23"/>
  <c r="I15" i="23"/>
  <c r="E15" i="23"/>
  <c r="F15" i="23"/>
  <c r="H15" i="23"/>
  <c r="G15" i="23"/>
  <c r="C55" i="25"/>
  <c r="C67" i="25" s="1"/>
  <c r="C72" i="25" s="1"/>
  <c r="C68" i="25"/>
  <c r="C73" i="25" s="1"/>
  <c r="C57" i="25"/>
  <c r="C69" i="25" s="1"/>
  <c r="C74" i="25" s="1"/>
  <c r="C138" i="25"/>
  <c r="C131" i="25"/>
  <c r="L15" i="23"/>
  <c r="D15" i="23"/>
  <c r="Z66" i="13" l="1"/>
  <c r="S66" i="13"/>
  <c r="G64" i="13"/>
  <c r="C58" i="25"/>
  <c r="C90" i="25"/>
  <c r="C80" i="25"/>
  <c r="C100" i="25"/>
  <c r="C89" i="25"/>
  <c r="C99" i="25"/>
  <c r="C79" i="25"/>
  <c r="C149" i="25"/>
  <c r="C143" i="25"/>
  <c r="C81" i="25"/>
  <c r="C101" i="25"/>
  <c r="C91" i="25"/>
  <c r="I65" i="4"/>
  <c r="C111" i="25" l="1"/>
  <c r="C116" i="25" s="1"/>
  <c r="C137" i="25" s="1"/>
  <c r="C109" i="25"/>
  <c r="C114" i="25" s="1"/>
  <c r="C135" i="25" s="1"/>
  <c r="C110" i="25"/>
  <c r="C142" i="25" l="1"/>
  <c r="C148" i="25"/>
  <c r="C127" i="25"/>
  <c r="C115" i="25"/>
  <c r="C136" i="25" s="1"/>
  <c r="C125" i="25"/>
  <c r="C146" i="25"/>
  <c r="C140" i="25"/>
  <c r="I80" i="4"/>
  <c r="C10" i="4"/>
  <c r="C19" i="23" s="1"/>
  <c r="D10" i="4"/>
  <c r="E10" i="4"/>
  <c r="F10" i="4"/>
  <c r="G10" i="4"/>
  <c r="H10" i="4"/>
  <c r="I10" i="4"/>
  <c r="J10" i="4"/>
  <c r="K10" i="4"/>
  <c r="K19" i="23" s="1"/>
  <c r="B10" i="4"/>
  <c r="I18" i="23" l="1"/>
  <c r="I19" i="23"/>
  <c r="H18" i="23"/>
  <c r="H19" i="23"/>
  <c r="J18" i="23"/>
  <c r="J19" i="23"/>
  <c r="E18" i="23"/>
  <c r="E19" i="23"/>
  <c r="G18" i="23"/>
  <c r="G19" i="23"/>
  <c r="F18" i="23"/>
  <c r="F19" i="23"/>
  <c r="B18" i="23"/>
  <c r="B19" i="23"/>
  <c r="D18" i="23"/>
  <c r="D19" i="23"/>
  <c r="C126" i="25"/>
  <c r="C141" i="25"/>
  <c r="C147" i="25"/>
  <c r="K18" i="23"/>
  <c r="K21" i="23" s="1"/>
  <c r="C18" i="23"/>
  <c r="C21" i="23" s="1"/>
  <c r="R56" i="25"/>
  <c r="R68" i="25" s="1"/>
  <c r="R73" i="25" s="1"/>
  <c r="P56" i="25"/>
  <c r="D55" i="25"/>
  <c r="N56" i="25"/>
  <c r="N68" i="25" s="1"/>
  <c r="N73" i="25" s="1"/>
  <c r="T56" i="25"/>
  <c r="J55" i="25"/>
  <c r="H55" i="25"/>
  <c r="F55" i="25"/>
  <c r="S16" i="13" l="1"/>
  <c r="L8" i="33"/>
  <c r="X16" i="13"/>
  <c r="W56" i="13"/>
  <c r="S56" i="13"/>
  <c r="J21" i="23"/>
  <c r="B21" i="23"/>
  <c r="E21" i="23"/>
  <c r="H21" i="23"/>
  <c r="D21" i="23"/>
  <c r="F21" i="23"/>
  <c r="G21" i="23"/>
  <c r="I21" i="23"/>
  <c r="O34" i="25"/>
  <c r="M34" i="25"/>
  <c r="E34" i="25"/>
  <c r="F67" i="25"/>
  <c r="F72" i="25" s="1"/>
  <c r="F99" i="25" s="1"/>
  <c r="H67" i="25"/>
  <c r="H72" i="25" s="1"/>
  <c r="H89" i="25" s="1"/>
  <c r="G34" i="25"/>
  <c r="U34" i="25"/>
  <c r="K34" i="25"/>
  <c r="S34" i="25"/>
  <c r="Q34" i="25"/>
  <c r="T57" i="25"/>
  <c r="T69" i="25" s="1"/>
  <c r="T74" i="25" s="1"/>
  <c r="J56" i="25"/>
  <c r="L55" i="25"/>
  <c r="D56" i="25"/>
  <c r="F56" i="25"/>
  <c r="J57" i="25"/>
  <c r="J69" i="25" s="1"/>
  <c r="J74" i="25" s="1"/>
  <c r="J81" i="25" s="1"/>
  <c r="P57" i="25"/>
  <c r="N57" i="25"/>
  <c r="N69" i="25" s="1"/>
  <c r="N74" i="25" s="1"/>
  <c r="N101" i="25" s="1"/>
  <c r="R57" i="25"/>
  <c r="D57" i="25"/>
  <c r="D69" i="25" s="1"/>
  <c r="D74" i="25" s="1"/>
  <c r="D91" i="25" s="1"/>
  <c r="R55" i="25"/>
  <c r="H56" i="25"/>
  <c r="N55" i="25"/>
  <c r="H57" i="25"/>
  <c r="H69" i="25" s="1"/>
  <c r="H74" i="25" s="1"/>
  <c r="F57" i="25"/>
  <c r="T55" i="25"/>
  <c r="P55" i="25"/>
  <c r="P68" i="25"/>
  <c r="P73" i="25" s="1"/>
  <c r="T68" i="25"/>
  <c r="T73" i="25" s="1"/>
  <c r="R80" i="25"/>
  <c r="R90" i="25"/>
  <c r="R100" i="25"/>
  <c r="N80" i="25"/>
  <c r="N100" i="25"/>
  <c r="N90" i="25"/>
  <c r="L56" i="25"/>
  <c r="J67" i="25"/>
  <c r="J72" i="25" s="1"/>
  <c r="D67" i="25"/>
  <c r="D72" i="25" s="1"/>
  <c r="W16" i="13" l="1"/>
  <c r="R56" i="13"/>
  <c r="S46" i="13"/>
  <c r="L14" i="33"/>
  <c r="X46" i="13"/>
  <c r="S51" i="13"/>
  <c r="S36" i="13"/>
  <c r="X56" i="13"/>
  <c r="Q56" i="13"/>
  <c r="S31" i="13"/>
  <c r="Q16" i="13"/>
  <c r="S21" i="13"/>
  <c r="X21" i="13"/>
  <c r="R16" i="13"/>
  <c r="S41" i="13"/>
  <c r="S26" i="13"/>
  <c r="T24" i="13"/>
  <c r="T34" i="13"/>
  <c r="S11" i="13"/>
  <c r="T9" i="13"/>
  <c r="P56" i="13"/>
  <c r="P16" i="13"/>
  <c r="L7" i="33"/>
  <c r="T44" i="13"/>
  <c r="T49" i="13"/>
  <c r="T39" i="13"/>
  <c r="T29" i="13"/>
  <c r="T54" i="13"/>
  <c r="T19" i="13"/>
  <c r="T14" i="13"/>
  <c r="P90" i="25"/>
  <c r="P100" i="25"/>
  <c r="B91" i="25"/>
  <c r="B81" i="25"/>
  <c r="B101" i="25"/>
  <c r="H79" i="25"/>
  <c r="F89" i="25"/>
  <c r="F79" i="25"/>
  <c r="H99" i="25"/>
  <c r="R67" i="25"/>
  <c r="R72" i="25" s="1"/>
  <c r="R89" i="25" s="1"/>
  <c r="L67" i="25"/>
  <c r="L72" i="25" s="1"/>
  <c r="L79" i="25" s="1"/>
  <c r="B72" i="25"/>
  <c r="B89" i="25" s="1"/>
  <c r="N67" i="25"/>
  <c r="N72" i="25" s="1"/>
  <c r="N79" i="25" s="1"/>
  <c r="F68" i="25"/>
  <c r="F73" i="25" s="1"/>
  <c r="F90" i="25" s="1"/>
  <c r="D68" i="25"/>
  <c r="D73" i="25" s="1"/>
  <c r="D80" i="25" s="1"/>
  <c r="F69" i="25"/>
  <c r="F74" i="25" s="1"/>
  <c r="F91" i="25" s="1"/>
  <c r="J101" i="25"/>
  <c r="N81" i="25"/>
  <c r="H68" i="25"/>
  <c r="H73" i="25" s="1"/>
  <c r="H100" i="25" s="1"/>
  <c r="N91" i="25"/>
  <c r="P67" i="25"/>
  <c r="P72" i="25" s="1"/>
  <c r="P79" i="25" s="1"/>
  <c r="J91" i="25"/>
  <c r="L68" i="25"/>
  <c r="L73" i="25" s="1"/>
  <c r="L90" i="25" s="1"/>
  <c r="J68" i="25"/>
  <c r="J73" i="25" s="1"/>
  <c r="J100" i="25" s="1"/>
  <c r="T67" i="25"/>
  <c r="T72" i="25" s="1"/>
  <c r="T99" i="25" s="1"/>
  <c r="P69" i="25"/>
  <c r="P74" i="25" s="1"/>
  <c r="P101" i="25" s="1"/>
  <c r="P80" i="25"/>
  <c r="H81" i="25"/>
  <c r="H91" i="25"/>
  <c r="H101" i="25"/>
  <c r="R110" i="25"/>
  <c r="R115" i="25" s="1"/>
  <c r="R136" i="25" s="1"/>
  <c r="N110" i="25"/>
  <c r="N115" i="25" s="1"/>
  <c r="N136" i="25" s="1"/>
  <c r="T80" i="25"/>
  <c r="T90" i="25"/>
  <c r="T100" i="25"/>
  <c r="T101" i="25"/>
  <c r="T91" i="25"/>
  <c r="T81" i="25"/>
  <c r="R69" i="25"/>
  <c r="R74" i="25" s="1"/>
  <c r="L57" i="25"/>
  <c r="J79" i="25"/>
  <c r="J89" i="25"/>
  <c r="J99" i="25"/>
  <c r="D79" i="25"/>
  <c r="D89" i="25"/>
  <c r="D99" i="25"/>
  <c r="D81" i="25"/>
  <c r="D101" i="25"/>
  <c r="W51" i="13" l="1"/>
  <c r="X31" i="13"/>
  <c r="W31" i="13"/>
  <c r="X41" i="13"/>
  <c r="L12" i="27" s="1"/>
  <c r="W41" i="13"/>
  <c r="Q46" i="13"/>
  <c r="R11" i="13"/>
  <c r="Q11" i="13"/>
  <c r="W26" i="13"/>
  <c r="W21" i="13"/>
  <c r="Q51" i="13"/>
  <c r="Q31" i="13"/>
  <c r="X51" i="13"/>
  <c r="W11" i="13"/>
  <c r="X36" i="13"/>
  <c r="P11" i="13"/>
  <c r="Q21" i="13"/>
  <c r="W46" i="13"/>
  <c r="X11" i="13"/>
  <c r="X26" i="13"/>
  <c r="Q41" i="13"/>
  <c r="Q36" i="13"/>
  <c r="W36" i="13"/>
  <c r="Q26" i="13"/>
  <c r="R141" i="25"/>
  <c r="R147" i="25"/>
  <c r="N141" i="25"/>
  <c r="N147" i="25"/>
  <c r="B111" i="25"/>
  <c r="B116" i="25" s="1"/>
  <c r="B137" i="25" s="1"/>
  <c r="B148" i="25" s="1"/>
  <c r="B99" i="25"/>
  <c r="B79" i="25"/>
  <c r="F109" i="25"/>
  <c r="F114" i="25" s="1"/>
  <c r="B100" i="25"/>
  <c r="H109" i="25"/>
  <c r="H114" i="25" s="1"/>
  <c r="R79" i="25"/>
  <c r="L89" i="25"/>
  <c r="L99" i="25"/>
  <c r="R99" i="25"/>
  <c r="N89" i="25"/>
  <c r="N99" i="25"/>
  <c r="F80" i="25"/>
  <c r="F100" i="25"/>
  <c r="D100" i="25"/>
  <c r="N111" i="25"/>
  <c r="N116" i="25" s="1"/>
  <c r="N137" i="25" s="1"/>
  <c r="N148" i="25" s="1"/>
  <c r="F101" i="25"/>
  <c r="F81" i="25"/>
  <c r="J111" i="25"/>
  <c r="J116" i="25" s="1"/>
  <c r="J137" i="25" s="1"/>
  <c r="D90" i="25"/>
  <c r="H80" i="25"/>
  <c r="H90" i="25"/>
  <c r="T79" i="25"/>
  <c r="P99" i="25"/>
  <c r="P89" i="25"/>
  <c r="P91" i="25"/>
  <c r="L80" i="25"/>
  <c r="P81" i="25"/>
  <c r="L100" i="25"/>
  <c r="T89" i="25"/>
  <c r="J90" i="25"/>
  <c r="J80" i="25"/>
  <c r="P110" i="25"/>
  <c r="P115" i="25" s="1"/>
  <c r="P136" i="25" s="1"/>
  <c r="H111" i="25"/>
  <c r="H116" i="25" s="1"/>
  <c r="H127" i="25" s="1"/>
  <c r="D111" i="25"/>
  <c r="D116" i="25" s="1"/>
  <c r="D137" i="25" s="1"/>
  <c r="N126" i="25"/>
  <c r="R126" i="25"/>
  <c r="T111" i="25"/>
  <c r="T110" i="25"/>
  <c r="R101" i="25"/>
  <c r="R91" i="25"/>
  <c r="R81" i="25"/>
  <c r="L69" i="25"/>
  <c r="L74" i="25" s="1"/>
  <c r="J109" i="25"/>
  <c r="D109" i="25"/>
  <c r="B109" i="25" l="1"/>
  <c r="D142" i="25"/>
  <c r="D148" i="25"/>
  <c r="P141" i="25"/>
  <c r="P147" i="25"/>
  <c r="J142" i="25"/>
  <c r="J148" i="25"/>
  <c r="B80" i="25"/>
  <c r="C82" i="25" s="1"/>
  <c r="C92" i="25"/>
  <c r="F135" i="25"/>
  <c r="F125" i="25"/>
  <c r="R109" i="25"/>
  <c r="R114" i="25" s="1"/>
  <c r="L109" i="25"/>
  <c r="L114" i="25" s="1"/>
  <c r="N109" i="25"/>
  <c r="N114" i="25" s="1"/>
  <c r="B127" i="25"/>
  <c r="F111" i="25"/>
  <c r="F116" i="25" s="1"/>
  <c r="F127" i="25" s="1"/>
  <c r="F110" i="25"/>
  <c r="F115" i="25" s="1"/>
  <c r="F136" i="25" s="1"/>
  <c r="D110" i="25"/>
  <c r="D115" i="25" s="1"/>
  <c r="D136" i="25" s="1"/>
  <c r="N127" i="25"/>
  <c r="J127" i="25"/>
  <c r="H110" i="25"/>
  <c r="H115" i="25" s="1"/>
  <c r="H136" i="25" s="1"/>
  <c r="P109" i="25"/>
  <c r="P114" i="25" s="1"/>
  <c r="T109" i="25"/>
  <c r="T114" i="25" s="1"/>
  <c r="P111" i="25"/>
  <c r="P116" i="25" s="1"/>
  <c r="P137" i="25" s="1"/>
  <c r="L110" i="25"/>
  <c r="L115" i="25" s="1"/>
  <c r="L136" i="25" s="1"/>
  <c r="L147" i="25" s="1"/>
  <c r="J110" i="25"/>
  <c r="J115" i="25" s="1"/>
  <c r="J126" i="25" s="1"/>
  <c r="I10" i="27"/>
  <c r="H137" i="25"/>
  <c r="H148" i="25" s="1"/>
  <c r="D127" i="25"/>
  <c r="P126" i="25"/>
  <c r="T115" i="25"/>
  <c r="T136" i="25" s="1"/>
  <c r="T116" i="25"/>
  <c r="T137" i="25" s="1"/>
  <c r="R111" i="25"/>
  <c r="L81" i="25"/>
  <c r="L101" i="25"/>
  <c r="L91" i="25"/>
  <c r="J114" i="25"/>
  <c r="H135" i="25"/>
  <c r="H125" i="25"/>
  <c r="D114" i="25"/>
  <c r="L111" i="25" l="1"/>
  <c r="L116" i="25" s="1"/>
  <c r="L127" i="25" s="1"/>
  <c r="H141" i="25"/>
  <c r="H147" i="25"/>
  <c r="B142" i="25"/>
  <c r="D141" i="25"/>
  <c r="D147" i="25"/>
  <c r="T142" i="25"/>
  <c r="T148" i="25"/>
  <c r="F141" i="25"/>
  <c r="F147" i="25"/>
  <c r="P142" i="25"/>
  <c r="P148" i="25"/>
  <c r="T141" i="25"/>
  <c r="T147" i="25"/>
  <c r="F140" i="25"/>
  <c r="F146" i="25"/>
  <c r="H140" i="25"/>
  <c r="H146" i="25"/>
  <c r="B110" i="25"/>
  <c r="R125" i="25"/>
  <c r="L135" i="25"/>
  <c r="L146" i="25" s="1"/>
  <c r="B114" i="25"/>
  <c r="B135" i="25" s="1"/>
  <c r="R135" i="25"/>
  <c r="L125" i="25"/>
  <c r="T125" i="25"/>
  <c r="P125" i="25"/>
  <c r="J125" i="25"/>
  <c r="N125" i="25"/>
  <c r="F126" i="25"/>
  <c r="F137" i="25"/>
  <c r="H126" i="25"/>
  <c r="T135" i="25"/>
  <c r="I13" i="27"/>
  <c r="J136" i="25"/>
  <c r="I8" i="27"/>
  <c r="I16" i="27"/>
  <c r="I15" i="27"/>
  <c r="I14" i="27"/>
  <c r="P127" i="25"/>
  <c r="T126" i="25"/>
  <c r="T127" i="25"/>
  <c r="R116" i="25"/>
  <c r="P135" i="25"/>
  <c r="N135" i="25"/>
  <c r="L126" i="25"/>
  <c r="J135" i="25"/>
  <c r="D135" i="25"/>
  <c r="D126" i="25"/>
  <c r="D125" i="25"/>
  <c r="B146" i="25" l="1"/>
  <c r="B140" i="25"/>
  <c r="B125" i="25"/>
  <c r="B115" i="25"/>
  <c r="B136" i="25" s="1"/>
  <c r="B141" i="25" s="1"/>
  <c r="P140" i="25"/>
  <c r="P146" i="25"/>
  <c r="F142" i="25"/>
  <c r="F148" i="25"/>
  <c r="N140" i="25"/>
  <c r="N146" i="25"/>
  <c r="J141" i="25"/>
  <c r="J147" i="25"/>
  <c r="D140" i="25"/>
  <c r="D146" i="25"/>
  <c r="T140" i="25"/>
  <c r="T146" i="25"/>
  <c r="J140" i="25"/>
  <c r="J146" i="25"/>
  <c r="R140" i="25"/>
  <c r="R146" i="25"/>
  <c r="I7" i="27"/>
  <c r="I9" i="27"/>
  <c r="I12" i="27"/>
  <c r="I11" i="27"/>
  <c r="K12" i="27"/>
  <c r="L137" i="25"/>
  <c r="R137" i="25"/>
  <c r="R148" i="25" s="1"/>
  <c r="R127" i="25"/>
  <c r="C117" i="25" l="1"/>
  <c r="B126" i="25"/>
  <c r="B147" i="25"/>
  <c r="C150" i="25" s="1"/>
  <c r="L142" i="25"/>
  <c r="L148" i="25"/>
  <c r="C159" i="25" l="1"/>
  <c r="B153" i="25"/>
  <c r="T10" i="13" l="1"/>
  <c r="T11" i="13" s="1"/>
  <c r="M7" i="33"/>
  <c r="C156" i="25"/>
  <c r="L10" i="4"/>
  <c r="L18" i="23" l="1"/>
  <c r="L19" i="23"/>
  <c r="Y34" i="25"/>
  <c r="X55" i="25"/>
  <c r="M57" i="25"/>
  <c r="M69" i="25" s="1"/>
  <c r="M74" i="25" s="1"/>
  <c r="M55" i="25"/>
  <c r="K56" i="25"/>
  <c r="K68" i="25" s="1"/>
  <c r="K73" i="25" s="1"/>
  <c r="I55" i="25"/>
  <c r="E57" i="25"/>
  <c r="E69" i="25" s="1"/>
  <c r="E74" i="25" s="1"/>
  <c r="O57" i="25"/>
  <c r="O69" i="25" s="1"/>
  <c r="O74" i="25" s="1"/>
  <c r="E55" i="25"/>
  <c r="S55" i="25"/>
  <c r="I57" i="25"/>
  <c r="I69" i="25" s="1"/>
  <c r="I74" i="25" s="1"/>
  <c r="S57" i="25"/>
  <c r="S69" i="25" s="1"/>
  <c r="S74" i="25" s="1"/>
  <c r="G56" i="25"/>
  <c r="G68" i="25" s="1"/>
  <c r="G73" i="25" s="1"/>
  <c r="G55" i="25"/>
  <c r="X57" i="25"/>
  <c r="X69" i="25" s="1"/>
  <c r="X74" i="25" s="1"/>
  <c r="X91" i="25" s="1"/>
  <c r="X56" i="25"/>
  <c r="L21" i="23" l="1"/>
  <c r="Y58" i="25"/>
  <c r="G67" i="25"/>
  <c r="G72" i="25" s="1"/>
  <c r="G99" i="25" s="1"/>
  <c r="S101" i="25"/>
  <c r="S81" i="25"/>
  <c r="S91" i="25"/>
  <c r="I81" i="25"/>
  <c r="I101" i="25"/>
  <c r="I91" i="25"/>
  <c r="K55" i="25"/>
  <c r="K100" i="25"/>
  <c r="K90" i="25"/>
  <c r="K80" i="25"/>
  <c r="M56" i="25"/>
  <c r="M68" i="25" s="1"/>
  <c r="M73" i="25" s="1"/>
  <c r="Q56" i="25"/>
  <c r="Q68" i="25" s="1"/>
  <c r="Q73" i="25" s="1"/>
  <c r="Q90" i="25" s="1"/>
  <c r="O81" i="25"/>
  <c r="O101" i="25"/>
  <c r="O91" i="25"/>
  <c r="I67" i="25"/>
  <c r="I72" i="25" s="1"/>
  <c r="E91" i="25"/>
  <c r="E101" i="25"/>
  <c r="E81" i="25"/>
  <c r="O56" i="25"/>
  <c r="O68" i="25" s="1"/>
  <c r="O73" i="25" s="1"/>
  <c r="Q57" i="25"/>
  <c r="Q69" i="25" s="1"/>
  <c r="Q74" i="25" s="1"/>
  <c r="U57" i="25"/>
  <c r="U69" i="25" s="1"/>
  <c r="U74" i="25" s="1"/>
  <c r="Q55" i="25"/>
  <c r="G100" i="25"/>
  <c r="G80" i="25"/>
  <c r="G90" i="25"/>
  <c r="G57" i="25"/>
  <c r="G69" i="25" s="1"/>
  <c r="G74" i="25" s="1"/>
  <c r="U56" i="25"/>
  <c r="E67" i="25"/>
  <c r="E72" i="25" s="1"/>
  <c r="O55" i="25"/>
  <c r="E56" i="25"/>
  <c r="E68" i="25" s="1"/>
  <c r="E73" i="25" s="1"/>
  <c r="M67" i="25"/>
  <c r="M72" i="25" s="1"/>
  <c r="S56" i="25"/>
  <c r="S68" i="25" s="1"/>
  <c r="S73" i="25" s="1"/>
  <c r="M81" i="25"/>
  <c r="M91" i="25"/>
  <c r="M101" i="25"/>
  <c r="K57" i="25"/>
  <c r="K69" i="25" s="1"/>
  <c r="K74" i="25" s="1"/>
  <c r="I56" i="25"/>
  <c r="I68" i="25" s="1"/>
  <c r="I73" i="25" s="1"/>
  <c r="S67" i="25"/>
  <c r="S72" i="25" s="1"/>
  <c r="X101" i="25"/>
  <c r="X81" i="25"/>
  <c r="Y68" i="25"/>
  <c r="Y73" i="25" s="1"/>
  <c r="Y90" i="25" s="1"/>
  <c r="X67" i="25"/>
  <c r="X72" i="25" s="1"/>
  <c r="X89" i="25" s="1"/>
  <c r="Y67" i="25"/>
  <c r="Y72" i="25" s="1"/>
  <c r="X68" i="25"/>
  <c r="X73" i="25" s="1"/>
  <c r="Y69" i="25"/>
  <c r="Y74" i="25" s="1"/>
  <c r="S61" i="13" l="1"/>
  <c r="I17" i="27" s="1"/>
  <c r="D27" i="27" s="1"/>
  <c r="E58" i="25"/>
  <c r="U68" i="25"/>
  <c r="U73" i="25" s="1"/>
  <c r="Q58" i="25"/>
  <c r="M58" i="25"/>
  <c r="O58" i="25"/>
  <c r="U58" i="25"/>
  <c r="K58" i="25"/>
  <c r="I58" i="25"/>
  <c r="G58" i="25"/>
  <c r="S58" i="25"/>
  <c r="G89" i="25"/>
  <c r="G79" i="25"/>
  <c r="O67" i="25"/>
  <c r="O72" i="25" s="1"/>
  <c r="O89" i="25" s="1"/>
  <c r="K67" i="25"/>
  <c r="K72" i="25" s="1"/>
  <c r="K79" i="25" s="1"/>
  <c r="U67" i="25"/>
  <c r="U72" i="25" s="1"/>
  <c r="U99" i="25" s="1"/>
  <c r="Q67" i="25"/>
  <c r="Q72" i="25" s="1"/>
  <c r="Q89" i="25" s="1"/>
  <c r="G110" i="25"/>
  <c r="G115" i="25" s="1"/>
  <c r="G136" i="25" s="1"/>
  <c r="M111" i="25"/>
  <c r="M116" i="25" s="1"/>
  <c r="M127" i="25" s="1"/>
  <c r="O111" i="25"/>
  <c r="O116" i="25" s="1"/>
  <c r="O137" i="25" s="1"/>
  <c r="O148" i="25" s="1"/>
  <c r="E111" i="25"/>
  <c r="E116" i="25" s="1"/>
  <c r="E137" i="25" s="1"/>
  <c r="K110" i="25"/>
  <c r="I111" i="25"/>
  <c r="I116" i="25" s="1"/>
  <c r="I137" i="25" s="1"/>
  <c r="I148" i="25" s="1"/>
  <c r="S111" i="25"/>
  <c r="S116" i="25" s="1"/>
  <c r="I80" i="25"/>
  <c r="I90" i="25"/>
  <c r="I100" i="25"/>
  <c r="K91" i="25"/>
  <c r="K81" i="25"/>
  <c r="K101" i="25"/>
  <c r="G81" i="25"/>
  <c r="G91" i="25"/>
  <c r="G101" i="25"/>
  <c r="Q100" i="25"/>
  <c r="Q80" i="25"/>
  <c r="S90" i="25"/>
  <c r="S80" i="25"/>
  <c r="S100" i="25"/>
  <c r="E79" i="25"/>
  <c r="E89" i="25"/>
  <c r="E99" i="25"/>
  <c r="S89" i="25"/>
  <c r="S99" i="25"/>
  <c r="S79" i="25"/>
  <c r="M99" i="25"/>
  <c r="M89" i="25"/>
  <c r="M79" i="25"/>
  <c r="U91" i="25"/>
  <c r="U101" i="25"/>
  <c r="U81" i="25"/>
  <c r="M100" i="25"/>
  <c r="M90" i="25"/>
  <c r="M80" i="25"/>
  <c r="E100" i="25"/>
  <c r="E80" i="25"/>
  <c r="E90" i="25"/>
  <c r="Q81" i="25"/>
  <c r="Q101" i="25"/>
  <c r="Q91" i="25"/>
  <c r="I99" i="25"/>
  <c r="I79" i="25"/>
  <c r="I89" i="25"/>
  <c r="O90" i="25"/>
  <c r="O80" i="25"/>
  <c r="O100" i="25"/>
  <c r="X79" i="25"/>
  <c r="X111" i="25"/>
  <c r="X116" i="25" s="1"/>
  <c r="X137" i="25" s="1"/>
  <c r="Y81" i="25"/>
  <c r="Y101" i="25"/>
  <c r="Y91" i="25"/>
  <c r="X90" i="25"/>
  <c r="X80" i="25"/>
  <c r="X100" i="25"/>
  <c r="Y89" i="25"/>
  <c r="Y79" i="25"/>
  <c r="Y99" i="25"/>
  <c r="X99" i="25"/>
  <c r="Y80" i="25"/>
  <c r="Y100" i="25"/>
  <c r="Q61" i="13" l="1"/>
  <c r="X61" i="13"/>
  <c r="L17" i="27" s="1"/>
  <c r="W61" i="13"/>
  <c r="K17" i="27" s="1"/>
  <c r="I92" i="25"/>
  <c r="O92" i="25"/>
  <c r="Y92" i="25"/>
  <c r="M92" i="25"/>
  <c r="S92" i="25"/>
  <c r="G92" i="25"/>
  <c r="E92" i="25"/>
  <c r="Q92" i="25"/>
  <c r="S82" i="25"/>
  <c r="U80" i="25"/>
  <c r="U100" i="25"/>
  <c r="U90" i="25"/>
  <c r="I82" i="25"/>
  <c r="E142" i="25"/>
  <c r="E148" i="25"/>
  <c r="G141" i="25"/>
  <c r="G147" i="25"/>
  <c r="X142" i="25"/>
  <c r="X148" i="25"/>
  <c r="E82" i="25"/>
  <c r="M82" i="25"/>
  <c r="K82" i="25"/>
  <c r="Y82" i="25"/>
  <c r="G82" i="25"/>
  <c r="Q79" i="25"/>
  <c r="Q82" i="25" s="1"/>
  <c r="G109" i="25"/>
  <c r="G114" i="25" s="1"/>
  <c r="K89" i="25"/>
  <c r="K92" i="25" s="1"/>
  <c r="K99" i="25"/>
  <c r="O79" i="25"/>
  <c r="O82" i="25" s="1"/>
  <c r="O99" i="25"/>
  <c r="U89" i="25"/>
  <c r="U79" i="25"/>
  <c r="Q99" i="25"/>
  <c r="M137" i="25"/>
  <c r="G14" i="13"/>
  <c r="I8" i="36" s="1"/>
  <c r="M109" i="25"/>
  <c r="M114" i="25" s="1"/>
  <c r="M135" i="25" s="1"/>
  <c r="K115" i="25"/>
  <c r="K136" i="25" s="1"/>
  <c r="Q110" i="25"/>
  <c r="Q115" i="25" s="1"/>
  <c r="Q136" i="25" s="1"/>
  <c r="E109" i="25"/>
  <c r="E114" i="25" s="1"/>
  <c r="O110" i="25"/>
  <c r="O115" i="25" s="1"/>
  <c r="O136" i="25" s="1"/>
  <c r="M110" i="25"/>
  <c r="S110" i="25"/>
  <c r="S115" i="25" s="1"/>
  <c r="S126" i="25" s="1"/>
  <c r="S137" i="25"/>
  <c r="S148" i="25" s="1"/>
  <c r="S127" i="25"/>
  <c r="Q111" i="25"/>
  <c r="Q116" i="25" s="1"/>
  <c r="Q137" i="25" s="1"/>
  <c r="Q148" i="25" s="1"/>
  <c r="E110" i="25"/>
  <c r="E115" i="25" s="1"/>
  <c r="E136" i="25" s="1"/>
  <c r="I110" i="25"/>
  <c r="I115" i="25" s="1"/>
  <c r="I136" i="25" s="1"/>
  <c r="U111" i="25"/>
  <c r="U116" i="25" s="1"/>
  <c r="U137" i="25" s="1"/>
  <c r="S109" i="25"/>
  <c r="S114" i="25" s="1"/>
  <c r="O127" i="25"/>
  <c r="G111" i="25"/>
  <c r="K111" i="25"/>
  <c r="E127" i="25"/>
  <c r="I109" i="25"/>
  <c r="G126" i="25"/>
  <c r="I127" i="25"/>
  <c r="X127" i="25"/>
  <c r="T65" i="13" s="1"/>
  <c r="X110" i="25"/>
  <c r="Y110" i="25"/>
  <c r="Y111" i="25"/>
  <c r="Y109" i="25"/>
  <c r="X109" i="25"/>
  <c r="T66" i="13" l="1"/>
  <c r="G66" i="13" s="1"/>
  <c r="G65" i="13"/>
  <c r="U92" i="25"/>
  <c r="I8" i="33"/>
  <c r="G29" i="13"/>
  <c r="I11" i="36" s="1"/>
  <c r="Q109" i="25"/>
  <c r="Q114" i="25" s="1"/>
  <c r="Q117" i="25" s="1"/>
  <c r="Q159" i="25" s="1"/>
  <c r="U110" i="25"/>
  <c r="U115" i="25" s="1"/>
  <c r="U126" i="25" s="1"/>
  <c r="U82" i="25"/>
  <c r="M115" i="25"/>
  <c r="M126" i="25" s="1"/>
  <c r="Q141" i="25"/>
  <c r="Q147" i="25"/>
  <c r="K141" i="25"/>
  <c r="K147" i="25"/>
  <c r="M142" i="25"/>
  <c r="M148" i="25"/>
  <c r="E141" i="25"/>
  <c r="E147" i="25"/>
  <c r="U142" i="25"/>
  <c r="U148" i="25"/>
  <c r="I141" i="25"/>
  <c r="I147" i="25"/>
  <c r="O141" i="25"/>
  <c r="O147" i="25"/>
  <c r="E117" i="25"/>
  <c r="E159" i="25" s="1"/>
  <c r="S117" i="25"/>
  <c r="S159" i="25" s="1"/>
  <c r="K109" i="25"/>
  <c r="K114" i="25" s="1"/>
  <c r="U109" i="25"/>
  <c r="U114" i="25" s="1"/>
  <c r="O109" i="25"/>
  <c r="O114" i="25" s="1"/>
  <c r="O117" i="25" s="1"/>
  <c r="O159" i="25" s="1"/>
  <c r="M125" i="25"/>
  <c r="E125" i="25"/>
  <c r="G125" i="25"/>
  <c r="S136" i="25"/>
  <c r="O126" i="25"/>
  <c r="Q127" i="25"/>
  <c r="K126" i="25"/>
  <c r="S125" i="25"/>
  <c r="Q126" i="25"/>
  <c r="S135" i="25"/>
  <c r="E135" i="25"/>
  <c r="M146" i="25"/>
  <c r="I114" i="25"/>
  <c r="I117" i="25" s="1"/>
  <c r="I159" i="25" s="1"/>
  <c r="K116" i="25"/>
  <c r="K137" i="25" s="1"/>
  <c r="U127" i="25"/>
  <c r="G135" i="25"/>
  <c r="G116" i="25"/>
  <c r="G137" i="25" s="1"/>
  <c r="I126" i="25"/>
  <c r="E126" i="25"/>
  <c r="Y114" i="25"/>
  <c r="Y135" i="25" s="1"/>
  <c r="Y115" i="25"/>
  <c r="Y136" i="25" s="1"/>
  <c r="X114" i="25"/>
  <c r="Y116" i="25"/>
  <c r="Y137" i="25" s="1"/>
  <c r="X115" i="25"/>
  <c r="X136" i="25" s="1"/>
  <c r="F18" i="33" l="1"/>
  <c r="F18" i="36"/>
  <c r="T45" i="13"/>
  <c r="T46" i="13" s="1"/>
  <c r="T40" i="13"/>
  <c r="T41" i="13" s="1"/>
  <c r="T50" i="13"/>
  <c r="T51" i="13" s="1"/>
  <c r="T25" i="13"/>
  <c r="T26" i="13" s="1"/>
  <c r="T15" i="13"/>
  <c r="T16" i="13" s="1"/>
  <c r="I11" i="33"/>
  <c r="U136" i="25"/>
  <c r="U147" i="25" s="1"/>
  <c r="U117" i="25"/>
  <c r="U159" i="25" s="1"/>
  <c r="Q125" i="25"/>
  <c r="Q135" i="25"/>
  <c r="Q140" i="25" s="1"/>
  <c r="M136" i="25"/>
  <c r="M147" i="25" s="1"/>
  <c r="M150" i="25" s="1"/>
  <c r="M117" i="25"/>
  <c r="M159" i="25" s="1"/>
  <c r="Y142" i="25"/>
  <c r="Y148" i="25"/>
  <c r="E140" i="25"/>
  <c r="E146" i="25"/>
  <c r="E150" i="25" s="1"/>
  <c r="D153" i="25" s="1"/>
  <c r="G140" i="25"/>
  <c r="G146" i="25"/>
  <c r="Y141" i="25"/>
  <c r="Y147" i="25"/>
  <c r="S140" i="25"/>
  <c r="S146" i="25"/>
  <c r="Y140" i="25"/>
  <c r="Y146" i="25"/>
  <c r="X141" i="25"/>
  <c r="X147" i="25"/>
  <c r="G142" i="25"/>
  <c r="G148" i="25"/>
  <c r="K142" i="25"/>
  <c r="K148" i="25"/>
  <c r="S141" i="25"/>
  <c r="S147" i="25"/>
  <c r="K117" i="25"/>
  <c r="K159" i="25" s="1"/>
  <c r="G117" i="25"/>
  <c r="G159" i="25" s="1"/>
  <c r="K135" i="25"/>
  <c r="Y117" i="25"/>
  <c r="Y159" i="25" s="1"/>
  <c r="K125" i="25"/>
  <c r="U125" i="25"/>
  <c r="O125" i="25"/>
  <c r="I125" i="25"/>
  <c r="G127" i="25"/>
  <c r="K127" i="25"/>
  <c r="U135" i="25"/>
  <c r="O135" i="25"/>
  <c r="I135" i="25"/>
  <c r="X135" i="25"/>
  <c r="X125" i="25"/>
  <c r="Y126" i="25"/>
  <c r="Y125" i="25"/>
  <c r="Y127" i="25"/>
  <c r="X126" i="25"/>
  <c r="T35" i="13" l="1"/>
  <c r="T36" i="13" s="1"/>
  <c r="E156" i="25"/>
  <c r="T55" i="13"/>
  <c r="T56" i="13" s="1"/>
  <c r="T30" i="13"/>
  <c r="T31" i="13" s="1"/>
  <c r="T20" i="13"/>
  <c r="T21" i="13" s="1"/>
  <c r="U141" i="25"/>
  <c r="Q146" i="25"/>
  <c r="Q150" i="25" s="1"/>
  <c r="P153" i="25" s="1"/>
  <c r="X140" i="25"/>
  <c r="X146" i="25"/>
  <c r="Y150" i="25" s="1"/>
  <c r="X153" i="25" s="1"/>
  <c r="W156" i="25" s="1"/>
  <c r="G150" i="25"/>
  <c r="F153" i="25" s="1"/>
  <c r="I140" i="25"/>
  <c r="I146" i="25"/>
  <c r="I150" i="25" s="1"/>
  <c r="H153" i="25" s="1"/>
  <c r="S150" i="25"/>
  <c r="R153" i="25" s="1"/>
  <c r="U140" i="25"/>
  <c r="U146" i="25"/>
  <c r="U150" i="25" s="1"/>
  <c r="T153" i="25" s="1"/>
  <c r="K140" i="25"/>
  <c r="K146" i="25"/>
  <c r="K150" i="25" s="1"/>
  <c r="J153" i="25" s="1"/>
  <c r="O140" i="25"/>
  <c r="O146" i="25"/>
  <c r="O150" i="25" s="1"/>
  <c r="N153" i="25" s="1"/>
  <c r="L153" i="25"/>
  <c r="S156" i="25" l="1"/>
  <c r="K156" i="25"/>
  <c r="M156" i="25"/>
  <c r="O156" i="25"/>
  <c r="G156" i="25"/>
  <c r="I156" i="25"/>
  <c r="Q156" i="25"/>
  <c r="U156" i="25"/>
  <c r="J13" i="27"/>
  <c r="T59" i="13" l="1"/>
  <c r="T60" i="13" l="1"/>
  <c r="T61" i="13" s="1"/>
  <c r="J17" i="27" s="1"/>
  <c r="E27" i="27" s="1"/>
  <c r="L181" i="16"/>
  <c r="K181" i="16"/>
  <c r="J181" i="16"/>
  <c r="I181" i="16"/>
  <c r="H181" i="16"/>
  <c r="G181" i="16"/>
  <c r="F181" i="16"/>
  <c r="L163" i="16"/>
  <c r="K163" i="16"/>
  <c r="J163" i="16"/>
  <c r="I163" i="16"/>
  <c r="H163" i="16"/>
  <c r="G163" i="16"/>
  <c r="F163" i="16"/>
  <c r="L145" i="16"/>
  <c r="K145" i="16"/>
  <c r="J145" i="16"/>
  <c r="I145" i="16"/>
  <c r="H145" i="16"/>
  <c r="G145" i="16"/>
  <c r="L127" i="16"/>
  <c r="K127" i="16"/>
  <c r="J127" i="16"/>
  <c r="I127" i="16"/>
  <c r="H127" i="16"/>
  <c r="G127" i="16"/>
  <c r="F127" i="16"/>
  <c r="L109" i="16"/>
  <c r="K109" i="16"/>
  <c r="J109" i="16"/>
  <c r="I109" i="16"/>
  <c r="H109" i="16"/>
  <c r="G109" i="16"/>
  <c r="F109" i="16"/>
  <c r="L91" i="16"/>
  <c r="K91" i="16"/>
  <c r="J91" i="16"/>
  <c r="I91" i="16"/>
  <c r="H91" i="16"/>
  <c r="G91" i="16"/>
  <c r="F91" i="16"/>
  <c r="L73" i="16"/>
  <c r="K73" i="16"/>
  <c r="J73" i="16"/>
  <c r="I73" i="16"/>
  <c r="H73" i="16"/>
  <c r="G73" i="16"/>
  <c r="F73" i="16"/>
  <c r="L55" i="16"/>
  <c r="K55" i="16"/>
  <c r="J55" i="16"/>
  <c r="I55" i="16"/>
  <c r="H55" i="16"/>
  <c r="G55" i="16"/>
  <c r="F55" i="16"/>
  <c r="L37" i="16"/>
  <c r="K37" i="16"/>
  <c r="J37" i="16"/>
  <c r="I37" i="16"/>
  <c r="H37" i="16"/>
  <c r="G37" i="16"/>
  <c r="L19" i="16"/>
  <c r="K19" i="16"/>
  <c r="J19" i="16"/>
  <c r="I19" i="16"/>
  <c r="H19" i="16"/>
  <c r="L199" i="16"/>
  <c r="K199" i="16"/>
  <c r="J199" i="16"/>
  <c r="I199" i="16"/>
  <c r="H199" i="16"/>
  <c r="G199" i="16"/>
  <c r="F199" i="16"/>
  <c r="J203" i="16" l="1"/>
  <c r="J202" i="16"/>
  <c r="K203" i="16"/>
  <c r="K202" i="16"/>
  <c r="H203" i="16"/>
  <c r="H202" i="16"/>
  <c r="I203" i="16"/>
  <c r="I202" i="16"/>
  <c r="L203" i="16"/>
  <c r="L202" i="16"/>
  <c r="F202" i="16"/>
  <c r="L17" i="36" s="1"/>
  <c r="F203" i="16"/>
  <c r="G203" i="16"/>
  <c r="G202" i="16"/>
  <c r="M17" i="36" s="1"/>
  <c r="G184" i="16"/>
  <c r="M16" i="36" s="1"/>
  <c r="G185" i="16"/>
  <c r="H185" i="16"/>
  <c r="H184" i="16"/>
  <c r="I184" i="16"/>
  <c r="I185" i="16"/>
  <c r="F182" i="16"/>
  <c r="F185" i="16"/>
  <c r="F184" i="16"/>
  <c r="L16" i="36" s="1"/>
  <c r="J184" i="16"/>
  <c r="J185" i="16"/>
  <c r="K184" i="16"/>
  <c r="K185" i="16"/>
  <c r="L185" i="16"/>
  <c r="L184" i="16"/>
  <c r="F167" i="16"/>
  <c r="F166" i="16"/>
  <c r="L15" i="36" s="1"/>
  <c r="H166" i="16"/>
  <c r="H167" i="16"/>
  <c r="I166" i="16"/>
  <c r="I167" i="16"/>
  <c r="G166" i="16"/>
  <c r="M15" i="36" s="1"/>
  <c r="G167" i="16"/>
  <c r="J164" i="16"/>
  <c r="J166" i="16"/>
  <c r="J167" i="16"/>
  <c r="K166" i="16"/>
  <c r="K167" i="16"/>
  <c r="L167" i="16"/>
  <c r="L166" i="16"/>
  <c r="G149" i="16"/>
  <c r="G148" i="16"/>
  <c r="M14" i="36" s="1"/>
  <c r="L149" i="16"/>
  <c r="L148" i="16"/>
  <c r="H148" i="16"/>
  <c r="H149" i="16"/>
  <c r="I149" i="16"/>
  <c r="I148" i="16"/>
  <c r="J148" i="16"/>
  <c r="J149" i="16"/>
  <c r="K148" i="16"/>
  <c r="K149" i="16"/>
  <c r="L130" i="16"/>
  <c r="L131" i="16"/>
  <c r="K130" i="16"/>
  <c r="K131" i="16"/>
  <c r="J130" i="16"/>
  <c r="J131" i="16"/>
  <c r="F130" i="16"/>
  <c r="L13" i="36" s="1"/>
  <c r="F131" i="16"/>
  <c r="G131" i="16"/>
  <c r="G130" i="16"/>
  <c r="M13" i="36" s="1"/>
  <c r="H131" i="16"/>
  <c r="H130" i="16"/>
  <c r="I131" i="16"/>
  <c r="I130" i="16"/>
  <c r="K113" i="16"/>
  <c r="K112" i="16"/>
  <c r="I112" i="16"/>
  <c r="I113" i="16"/>
  <c r="L112" i="16"/>
  <c r="L113" i="16"/>
  <c r="F113" i="16"/>
  <c r="F112" i="16"/>
  <c r="L12" i="36" s="1"/>
  <c r="J112" i="16"/>
  <c r="J113" i="16"/>
  <c r="G110" i="16"/>
  <c r="G113" i="16"/>
  <c r="G112" i="16"/>
  <c r="M12" i="36" s="1"/>
  <c r="H112" i="16"/>
  <c r="H113" i="16"/>
  <c r="J94" i="16"/>
  <c r="J95" i="16"/>
  <c r="H94" i="16"/>
  <c r="H95" i="16"/>
  <c r="K94" i="16"/>
  <c r="K95" i="16"/>
  <c r="L95" i="16"/>
  <c r="L94" i="16"/>
  <c r="F94" i="16"/>
  <c r="L11" i="36" s="1"/>
  <c r="F95" i="16"/>
  <c r="I94" i="16"/>
  <c r="I95" i="16"/>
  <c r="G94" i="16"/>
  <c r="M11" i="36" s="1"/>
  <c r="G95" i="16"/>
  <c r="H76" i="16"/>
  <c r="H77" i="16"/>
  <c r="G77" i="16"/>
  <c r="G76" i="16"/>
  <c r="M10" i="36" s="1"/>
  <c r="J76" i="16"/>
  <c r="J77" i="16"/>
  <c r="I77" i="16"/>
  <c r="I76" i="16"/>
  <c r="K76" i="16"/>
  <c r="K77" i="16"/>
  <c r="L77" i="16"/>
  <c r="L76" i="16"/>
  <c r="F77" i="16"/>
  <c r="F76" i="16"/>
  <c r="L10" i="36" s="1"/>
  <c r="G41" i="16"/>
  <c r="G40" i="16"/>
  <c r="M8" i="36" s="1"/>
  <c r="H58" i="16"/>
  <c r="H59" i="16"/>
  <c r="H41" i="16"/>
  <c r="H40" i="16"/>
  <c r="I59" i="16"/>
  <c r="I58" i="16"/>
  <c r="I40" i="16"/>
  <c r="I41" i="16"/>
  <c r="J58" i="16"/>
  <c r="J59" i="16"/>
  <c r="K23" i="16"/>
  <c r="K22" i="16"/>
  <c r="G58" i="16"/>
  <c r="M9" i="36" s="1"/>
  <c r="G59" i="16"/>
  <c r="H23" i="16"/>
  <c r="H22" i="16"/>
  <c r="J40" i="16"/>
  <c r="J41" i="16"/>
  <c r="K59" i="16"/>
  <c r="K58" i="16"/>
  <c r="F58" i="16"/>
  <c r="L9" i="36" s="1"/>
  <c r="F59" i="16"/>
  <c r="L23" i="16"/>
  <c r="L22" i="16"/>
  <c r="I22" i="16"/>
  <c r="I23" i="16"/>
  <c r="K41" i="16"/>
  <c r="K40" i="16"/>
  <c r="L58" i="16"/>
  <c r="L59" i="16"/>
  <c r="J23" i="16"/>
  <c r="J22" i="16"/>
  <c r="L40" i="16"/>
  <c r="L41" i="16"/>
  <c r="J200" i="16"/>
  <c r="K20" i="16"/>
  <c r="Q7" i="36" s="1"/>
  <c r="G74" i="16"/>
  <c r="H92" i="16"/>
  <c r="J128" i="16"/>
  <c r="L146" i="16"/>
  <c r="F183" i="16"/>
  <c r="L16" i="33" s="1"/>
  <c r="H200" i="16"/>
  <c r="F56" i="16"/>
  <c r="I200" i="16"/>
  <c r="L20" i="16"/>
  <c r="G56" i="16"/>
  <c r="G57" i="16" s="1"/>
  <c r="H74" i="16"/>
  <c r="I92" i="16"/>
  <c r="K128" i="16"/>
  <c r="F164" i="16"/>
  <c r="F165" i="16" s="1"/>
  <c r="G182" i="16"/>
  <c r="G183" i="16" s="1"/>
  <c r="J92" i="16"/>
  <c r="G164" i="16"/>
  <c r="H38" i="16"/>
  <c r="I56" i="16"/>
  <c r="J74" i="16"/>
  <c r="K92" i="16"/>
  <c r="G146" i="16"/>
  <c r="H164" i="16"/>
  <c r="I182" i="16"/>
  <c r="G38" i="16"/>
  <c r="H182" i="16"/>
  <c r="K200" i="16"/>
  <c r="L200" i="16"/>
  <c r="I38" i="16"/>
  <c r="J56" i="16"/>
  <c r="K74" i="16"/>
  <c r="L92" i="16"/>
  <c r="F128" i="16"/>
  <c r="F129" i="16" s="1"/>
  <c r="H146" i="16"/>
  <c r="I164" i="16"/>
  <c r="J182" i="16"/>
  <c r="I74" i="16"/>
  <c r="H20" i="16"/>
  <c r="J38" i="16"/>
  <c r="K56" i="16"/>
  <c r="L74" i="16"/>
  <c r="G128" i="16"/>
  <c r="G129" i="16" s="1"/>
  <c r="I146" i="16"/>
  <c r="K182" i="16"/>
  <c r="H128" i="16"/>
  <c r="J146" i="16"/>
  <c r="K164" i="16"/>
  <c r="L182" i="16"/>
  <c r="H56" i="16"/>
  <c r="L128" i="16"/>
  <c r="F200" i="16"/>
  <c r="I20" i="16"/>
  <c r="O7" i="36" s="1"/>
  <c r="K38" i="16"/>
  <c r="L56" i="16"/>
  <c r="F92" i="16"/>
  <c r="F93" i="16" s="1"/>
  <c r="G200" i="16"/>
  <c r="J20" i="16"/>
  <c r="P7" i="36" s="1"/>
  <c r="L38" i="16"/>
  <c r="F74" i="16"/>
  <c r="F75" i="16" s="1"/>
  <c r="G92" i="16"/>
  <c r="G93" i="16" s="1"/>
  <c r="I128" i="16"/>
  <c r="K146" i="16"/>
  <c r="L164" i="16"/>
  <c r="J110" i="16"/>
  <c r="K110" i="16"/>
  <c r="L110" i="16"/>
  <c r="G111" i="16"/>
  <c r="M12" i="33" s="1"/>
  <c r="I110" i="16"/>
  <c r="H110" i="16"/>
  <c r="F110" i="16"/>
  <c r="K8" i="27"/>
  <c r="L8" i="27"/>
  <c r="K7" i="27"/>
  <c r="L7" i="27"/>
  <c r="K16" i="27"/>
  <c r="L16" i="27"/>
  <c r="L75" i="16" l="1"/>
  <c r="R10" i="36" s="1"/>
  <c r="L183" i="16"/>
  <c r="R16" i="36" s="1"/>
  <c r="K57" i="16"/>
  <c r="Q9" i="36" s="1"/>
  <c r="J93" i="16"/>
  <c r="P11" i="36" s="1"/>
  <c r="K165" i="16"/>
  <c r="Q15" i="36"/>
  <c r="K75" i="16"/>
  <c r="Q10" i="36" s="1"/>
  <c r="H165" i="16"/>
  <c r="N15" i="36" s="1"/>
  <c r="J165" i="16"/>
  <c r="P15" i="36" s="1"/>
  <c r="L21" i="16"/>
  <c r="R7" i="36"/>
  <c r="K147" i="16"/>
  <c r="Q14" i="36"/>
  <c r="H21" i="16"/>
  <c r="N7" i="33" s="1"/>
  <c r="N7" i="36"/>
  <c r="K183" i="16"/>
  <c r="Q16" i="36" s="1"/>
  <c r="L201" i="16"/>
  <c r="R17" i="33" s="1"/>
  <c r="C31" i="27" s="1"/>
  <c r="J75" i="16"/>
  <c r="P10" i="36" s="1"/>
  <c r="L147" i="16"/>
  <c r="R14" i="36"/>
  <c r="K201" i="16"/>
  <c r="Q17" i="33" s="1"/>
  <c r="D59" i="27" s="1"/>
  <c r="Q17" i="36"/>
  <c r="H75" i="16"/>
  <c r="N10" i="36" s="1"/>
  <c r="J129" i="16"/>
  <c r="P13" i="36" s="1"/>
  <c r="L39" i="16"/>
  <c r="R8" i="36"/>
  <c r="I201" i="16"/>
  <c r="O17" i="36" s="1"/>
  <c r="I183" i="16"/>
  <c r="O16" i="33" s="1"/>
  <c r="I165" i="16"/>
  <c r="O15" i="36" s="1"/>
  <c r="I147" i="16"/>
  <c r="O14" i="36" s="1"/>
  <c r="I93" i="16"/>
  <c r="O11" i="33" s="1"/>
  <c r="I57" i="16"/>
  <c r="O9" i="33" s="1"/>
  <c r="J57" i="16"/>
  <c r="P9" i="36" s="1"/>
  <c r="J39" i="16"/>
  <c r="P8" i="36" s="1"/>
  <c r="P15" i="33"/>
  <c r="D61" i="27"/>
  <c r="L205" i="16"/>
  <c r="R8" i="33"/>
  <c r="L11" i="33"/>
  <c r="I21" i="16"/>
  <c r="G75" i="16"/>
  <c r="R16" i="33"/>
  <c r="M16" i="33"/>
  <c r="Q16" i="33"/>
  <c r="H205" i="16"/>
  <c r="R14" i="33"/>
  <c r="Q14" i="33"/>
  <c r="I129" i="16"/>
  <c r="O13" i="36" s="1"/>
  <c r="L57" i="16"/>
  <c r="R9" i="36" s="1"/>
  <c r="F201" i="16"/>
  <c r="Q15" i="33"/>
  <c r="R10" i="33"/>
  <c r="H147" i="16"/>
  <c r="N14" i="36" s="1"/>
  <c r="H183" i="16"/>
  <c r="N16" i="36" s="1"/>
  <c r="G147" i="16"/>
  <c r="H39" i="16"/>
  <c r="N8" i="36" s="1"/>
  <c r="L15" i="33"/>
  <c r="M9" i="33"/>
  <c r="F57" i="16"/>
  <c r="J21" i="16"/>
  <c r="K205" i="16"/>
  <c r="I205" i="16"/>
  <c r="G205" i="16"/>
  <c r="P13" i="33"/>
  <c r="K21" i="16"/>
  <c r="Q7" i="33" s="1"/>
  <c r="M13" i="33"/>
  <c r="N15" i="33"/>
  <c r="M11" i="33"/>
  <c r="K39" i="16"/>
  <c r="Q8" i="36" s="1"/>
  <c r="L129" i="16"/>
  <c r="R13" i="36" s="1"/>
  <c r="J147" i="16"/>
  <c r="P14" i="36" s="1"/>
  <c r="Q9" i="33"/>
  <c r="I75" i="16"/>
  <c r="O10" i="33" s="1"/>
  <c r="L13" i="33"/>
  <c r="I39" i="16"/>
  <c r="O8" i="36" s="1"/>
  <c r="G39" i="16"/>
  <c r="M8" i="33" s="1"/>
  <c r="K93" i="16"/>
  <c r="Q11" i="33" s="1"/>
  <c r="G165" i="16"/>
  <c r="K129" i="16"/>
  <c r="Q13" i="36" s="1"/>
  <c r="H201" i="16"/>
  <c r="N17" i="36" s="1"/>
  <c r="L165" i="16"/>
  <c r="R15" i="36" s="1"/>
  <c r="L10" i="33"/>
  <c r="G201" i="16"/>
  <c r="H57" i="16"/>
  <c r="N9" i="33" s="1"/>
  <c r="H129" i="16"/>
  <c r="N13" i="36" s="1"/>
  <c r="J205" i="16"/>
  <c r="J183" i="16"/>
  <c r="P16" i="36" s="1"/>
  <c r="L93" i="16"/>
  <c r="R11" i="36" s="1"/>
  <c r="P11" i="33"/>
  <c r="R7" i="33"/>
  <c r="H93" i="16"/>
  <c r="N11" i="33" s="1"/>
  <c r="J201" i="16"/>
  <c r="P17" i="36" s="1"/>
  <c r="H111" i="16"/>
  <c r="N12" i="33" s="1"/>
  <c r="I111" i="16"/>
  <c r="O12" i="33" s="1"/>
  <c r="F111" i="16"/>
  <c r="L12" i="33" s="1"/>
  <c r="K111" i="16"/>
  <c r="Q12" i="33" s="1"/>
  <c r="J111" i="16"/>
  <c r="P12" i="33" s="1"/>
  <c r="L111" i="16"/>
  <c r="R12" i="33" s="1"/>
  <c r="K15" i="27"/>
  <c r="L15" i="27"/>
  <c r="K9" i="27"/>
  <c r="L9" i="27"/>
  <c r="K10" i="27"/>
  <c r="L10" i="27"/>
  <c r="K13" i="27"/>
  <c r="L13" i="27"/>
  <c r="K14" i="27"/>
  <c r="L14" i="27"/>
  <c r="K11" i="27"/>
  <c r="N10" i="33" l="1"/>
  <c r="Q10" i="33"/>
  <c r="O14" i="33"/>
  <c r="P10" i="33"/>
  <c r="R17" i="36"/>
  <c r="L221" i="16"/>
  <c r="L220" i="16"/>
  <c r="Q11" i="36"/>
  <c r="Q12" i="36"/>
  <c r="G218" i="16"/>
  <c r="G221" i="16"/>
  <c r="G220" i="16"/>
  <c r="M18" i="36" s="1"/>
  <c r="R12" i="36"/>
  <c r="K221" i="16"/>
  <c r="K220" i="16"/>
  <c r="H221" i="16"/>
  <c r="H220" i="16"/>
  <c r="N11" i="36"/>
  <c r="N12" i="36"/>
  <c r="N9" i="36"/>
  <c r="O9" i="36"/>
  <c r="O17" i="33"/>
  <c r="D58" i="27" s="1"/>
  <c r="O16" i="36"/>
  <c r="O15" i="33"/>
  <c r="O11" i="36"/>
  <c r="O10" i="36"/>
  <c r="O12" i="36"/>
  <c r="I221" i="16"/>
  <c r="I220" i="16"/>
  <c r="P8" i="33"/>
  <c r="P9" i="33"/>
  <c r="P12" i="36"/>
  <c r="J218" i="16"/>
  <c r="J219" i="16" s="1"/>
  <c r="P18" i="33" s="1"/>
  <c r="J221" i="16"/>
  <c r="J220" i="16"/>
  <c r="L17" i="33"/>
  <c r="C35" i="27" s="1"/>
  <c r="R13" i="33"/>
  <c r="M14" i="33"/>
  <c r="N14" i="33"/>
  <c r="N17" i="33"/>
  <c r="D57" i="27" s="1"/>
  <c r="P14" i="33"/>
  <c r="G219" i="16"/>
  <c r="N16" i="33"/>
  <c r="R9" i="33"/>
  <c r="R11" i="33"/>
  <c r="O7" i="33"/>
  <c r="Q13" i="33"/>
  <c r="L9" i="33"/>
  <c r="O8" i="33"/>
  <c r="P7" i="33"/>
  <c r="P16" i="33"/>
  <c r="M17" i="33"/>
  <c r="D56" i="27" s="1"/>
  <c r="L218" i="16"/>
  <c r="P17" i="33"/>
  <c r="M15" i="33"/>
  <c r="I218" i="16"/>
  <c r="I219" i="16" s="1"/>
  <c r="Q8" i="33"/>
  <c r="N8" i="33"/>
  <c r="M10" i="33"/>
  <c r="K218" i="16"/>
  <c r="K219" i="16" s="1"/>
  <c r="H218" i="16"/>
  <c r="H219" i="16" s="1"/>
  <c r="O13" i="33"/>
  <c r="N13" i="33"/>
  <c r="R15" i="33"/>
  <c r="L11" i="27"/>
  <c r="F195" i="14"/>
  <c r="F194" i="14"/>
  <c r="F193" i="14"/>
  <c r="F192" i="14"/>
  <c r="F191" i="14"/>
  <c r="F190" i="14"/>
  <c r="F189" i="14"/>
  <c r="F177" i="14"/>
  <c r="F176" i="14"/>
  <c r="F175" i="14"/>
  <c r="F174" i="14"/>
  <c r="F173" i="14"/>
  <c r="F172" i="14"/>
  <c r="F171" i="14"/>
  <c r="F159" i="14"/>
  <c r="F158" i="14"/>
  <c r="F157" i="14"/>
  <c r="F156" i="14"/>
  <c r="F155" i="14"/>
  <c r="F154" i="14"/>
  <c r="F153" i="14"/>
  <c r="F141" i="14"/>
  <c r="F140" i="14"/>
  <c r="F139" i="14"/>
  <c r="F138" i="14"/>
  <c r="F137" i="14"/>
  <c r="F136" i="14"/>
  <c r="F135" i="14"/>
  <c r="F123" i="14"/>
  <c r="F122" i="14"/>
  <c r="F121" i="14"/>
  <c r="F120" i="14"/>
  <c r="F119" i="14"/>
  <c r="F118" i="14"/>
  <c r="F117" i="14"/>
  <c r="F105" i="14"/>
  <c r="F104" i="14"/>
  <c r="F101" i="14"/>
  <c r="F99" i="14"/>
  <c r="F87" i="14"/>
  <c r="F86" i="14"/>
  <c r="F85" i="14"/>
  <c r="F84" i="14"/>
  <c r="F83" i="14"/>
  <c r="F82" i="14"/>
  <c r="F81" i="14"/>
  <c r="F69" i="14"/>
  <c r="F68" i="14"/>
  <c r="F67" i="14"/>
  <c r="F66" i="14"/>
  <c r="F65" i="14"/>
  <c r="F64" i="14"/>
  <c r="F63" i="14"/>
  <c r="F51" i="14"/>
  <c r="F50" i="14"/>
  <c r="F49" i="14"/>
  <c r="F48" i="14"/>
  <c r="F47" i="14"/>
  <c r="F46" i="14"/>
  <c r="F45" i="14"/>
  <c r="F33" i="14"/>
  <c r="F32" i="14"/>
  <c r="F31" i="14"/>
  <c r="F30" i="14"/>
  <c r="F29" i="14"/>
  <c r="F28" i="14"/>
  <c r="F27" i="14"/>
  <c r="F15" i="14"/>
  <c r="F14" i="14"/>
  <c r="F13" i="14"/>
  <c r="F12" i="14"/>
  <c r="F11" i="14"/>
  <c r="F10" i="14"/>
  <c r="F9" i="14"/>
  <c r="F177" i="15"/>
  <c r="F176" i="15"/>
  <c r="F175" i="15"/>
  <c r="F174" i="15"/>
  <c r="F173" i="15"/>
  <c r="F172" i="15"/>
  <c r="F171" i="15"/>
  <c r="F159" i="15"/>
  <c r="F158" i="15"/>
  <c r="F157" i="15"/>
  <c r="F156" i="15"/>
  <c r="F155" i="15"/>
  <c r="F154" i="15"/>
  <c r="F153" i="15"/>
  <c r="F141" i="15"/>
  <c r="F140" i="15"/>
  <c r="F139" i="15"/>
  <c r="F138" i="15"/>
  <c r="F137" i="15"/>
  <c r="F136" i="15"/>
  <c r="F135" i="15"/>
  <c r="F123" i="15"/>
  <c r="F122" i="15"/>
  <c r="F121" i="15"/>
  <c r="F120" i="15"/>
  <c r="F119" i="15"/>
  <c r="F118" i="15"/>
  <c r="F117" i="15"/>
  <c r="F105" i="15"/>
  <c r="F104" i="15"/>
  <c r="F103" i="15"/>
  <c r="F102" i="15"/>
  <c r="F101" i="15"/>
  <c r="F100" i="15"/>
  <c r="F99" i="15"/>
  <c r="F87" i="15"/>
  <c r="F86" i="15"/>
  <c r="F85" i="15"/>
  <c r="F84" i="15"/>
  <c r="F83" i="15"/>
  <c r="F82" i="15"/>
  <c r="F81" i="15"/>
  <c r="F69" i="15"/>
  <c r="F68" i="15"/>
  <c r="F67" i="15"/>
  <c r="F66" i="15"/>
  <c r="F65" i="15"/>
  <c r="F64" i="15"/>
  <c r="F63" i="15"/>
  <c r="F51" i="15"/>
  <c r="F50" i="15"/>
  <c r="F49" i="15"/>
  <c r="F48" i="15"/>
  <c r="F47" i="15"/>
  <c r="F46" i="15"/>
  <c r="F45" i="15"/>
  <c r="F33" i="15"/>
  <c r="F32" i="15"/>
  <c r="F31" i="15"/>
  <c r="F30" i="15"/>
  <c r="F29" i="15"/>
  <c r="F28" i="15"/>
  <c r="F27" i="15"/>
  <c r="F15" i="15"/>
  <c r="F14" i="15"/>
  <c r="F13" i="15"/>
  <c r="F12" i="15"/>
  <c r="F11" i="15"/>
  <c r="F10" i="15"/>
  <c r="F9" i="15"/>
  <c r="F177" i="2"/>
  <c r="F176" i="2"/>
  <c r="F175" i="2"/>
  <c r="F174" i="2"/>
  <c r="F173" i="2"/>
  <c r="F172" i="2"/>
  <c r="F171" i="2"/>
  <c r="F159" i="2"/>
  <c r="F158" i="2"/>
  <c r="F157" i="2"/>
  <c r="F156" i="2"/>
  <c r="F155" i="2"/>
  <c r="F154" i="2"/>
  <c r="F153" i="2"/>
  <c r="F141" i="2"/>
  <c r="F140" i="2"/>
  <c r="F139" i="2"/>
  <c r="F138" i="2"/>
  <c r="F137" i="2"/>
  <c r="F136" i="2"/>
  <c r="F135" i="2"/>
  <c r="F123" i="2"/>
  <c r="F122" i="2"/>
  <c r="F121" i="2"/>
  <c r="F120" i="2"/>
  <c r="F119" i="2"/>
  <c r="F118" i="2"/>
  <c r="F117" i="2"/>
  <c r="F105" i="2"/>
  <c r="F104" i="2"/>
  <c r="F103" i="2"/>
  <c r="F99" i="2"/>
  <c r="F87" i="2"/>
  <c r="F86" i="2"/>
  <c r="F85" i="2"/>
  <c r="F84" i="2"/>
  <c r="F83" i="2"/>
  <c r="F82" i="2"/>
  <c r="F81" i="2"/>
  <c r="F69" i="2"/>
  <c r="F68" i="2"/>
  <c r="F67" i="2"/>
  <c r="F66" i="2"/>
  <c r="F65" i="2"/>
  <c r="F64" i="2"/>
  <c r="F63" i="2"/>
  <c r="F51" i="2"/>
  <c r="F50" i="2"/>
  <c r="F49" i="2"/>
  <c r="F48" i="2"/>
  <c r="F47" i="2"/>
  <c r="F46" i="2"/>
  <c r="F45" i="2"/>
  <c r="F32" i="2"/>
  <c r="F31" i="2"/>
  <c r="F30" i="2"/>
  <c r="F29" i="2"/>
  <c r="F28" i="2"/>
  <c r="F15" i="2"/>
  <c r="F14" i="2"/>
  <c r="F13" i="2"/>
  <c r="F12" i="2"/>
  <c r="F11" i="2"/>
  <c r="F9" i="2"/>
  <c r="F195" i="15"/>
  <c r="F194" i="15"/>
  <c r="F193" i="15"/>
  <c r="F192" i="15"/>
  <c r="F191" i="15"/>
  <c r="F190" i="15"/>
  <c r="F189" i="15"/>
  <c r="F190" i="2"/>
  <c r="F191" i="2"/>
  <c r="F192" i="2"/>
  <c r="F193" i="2"/>
  <c r="F194" i="2"/>
  <c r="F195" i="2"/>
  <c r="F189" i="2"/>
  <c r="D60" i="27" l="1"/>
  <c r="D55" i="27"/>
  <c r="M18" i="33" a="1"/>
  <c r="M18" i="33" s="1"/>
  <c r="Q18" i="33"/>
  <c r="O18" i="33"/>
  <c r="N18" i="33"/>
  <c r="L219" i="16"/>
  <c r="R18" i="33" s="1"/>
  <c r="R41" i="13"/>
  <c r="P41" i="13"/>
  <c r="B65" i="4"/>
  <c r="C65" i="4"/>
  <c r="D65" i="4"/>
  <c r="E65" i="4"/>
  <c r="F65" i="4"/>
  <c r="G65" i="4"/>
  <c r="H65" i="4"/>
  <c r="J65" i="4"/>
  <c r="K65" i="4"/>
  <c r="L65" i="4"/>
  <c r="G12" i="27" l="1"/>
  <c r="H12" i="27"/>
  <c r="F17" i="14" l="1"/>
  <c r="F107" i="14"/>
  <c r="F161" i="14"/>
  <c r="F143" i="14"/>
  <c r="F179" i="14"/>
  <c r="F125" i="14"/>
  <c r="F197" i="14"/>
  <c r="F71" i="14"/>
  <c r="F89" i="14"/>
  <c r="F53" i="14"/>
  <c r="F35" i="14"/>
  <c r="B80" i="4"/>
  <c r="C80" i="4"/>
  <c r="D80" i="4"/>
  <c r="E80" i="4"/>
  <c r="F80" i="4"/>
  <c r="G80" i="4"/>
  <c r="H80" i="4"/>
  <c r="J80" i="4"/>
  <c r="K80" i="4"/>
  <c r="L80" i="4"/>
  <c r="F16" i="2" l="1"/>
  <c r="F124" i="2"/>
  <c r="F160" i="2"/>
  <c r="F196" i="2"/>
  <c r="F178" i="2"/>
  <c r="F142" i="2"/>
  <c r="F106" i="2"/>
  <c r="F52" i="2"/>
  <c r="F70" i="2"/>
  <c r="F125" i="15"/>
  <c r="F197" i="2"/>
  <c r="F34" i="2"/>
  <c r="F88" i="2"/>
  <c r="F16" i="14"/>
  <c r="F52" i="15"/>
  <c r="F35" i="15"/>
  <c r="F143" i="15"/>
  <c r="F197" i="15"/>
  <c r="F52" i="14"/>
  <c r="F34" i="14"/>
  <c r="F124" i="15"/>
  <c r="F178" i="15"/>
  <c r="F107" i="15"/>
  <c r="F196" i="14"/>
  <c r="F70" i="14"/>
  <c r="F106" i="14"/>
  <c r="F142" i="15"/>
  <c r="F71" i="15"/>
  <c r="F160" i="14"/>
  <c r="F142" i="14"/>
  <c r="F70" i="15"/>
  <c r="F178" i="14"/>
  <c r="F196" i="15"/>
  <c r="F17" i="2"/>
  <c r="F88" i="14"/>
  <c r="F124" i="14"/>
  <c r="F88" i="15"/>
  <c r="F34" i="15"/>
  <c r="F17" i="15"/>
  <c r="F179" i="15"/>
  <c r="F106" i="15"/>
  <c r="F143" i="2"/>
  <c r="F89" i="15"/>
  <c r="F53" i="15"/>
  <c r="F161" i="15"/>
  <c r="F160" i="15"/>
  <c r="F16" i="15"/>
  <c r="F53" i="2"/>
  <c r="F107" i="2"/>
  <c r="F161" i="2"/>
  <c r="F125" i="2"/>
  <c r="F71" i="2"/>
  <c r="F179" i="2"/>
  <c r="F35" i="2"/>
  <c r="F89" i="2"/>
  <c r="K50" i="13" l="1"/>
  <c r="K40" i="13"/>
  <c r="K41" i="13" s="1"/>
  <c r="K35" i="13"/>
  <c r="K20" i="13"/>
  <c r="F199" i="2"/>
  <c r="F201" i="2" s="1"/>
  <c r="F145" i="2"/>
  <c r="F147" i="2" s="1"/>
  <c r="F181" i="2"/>
  <c r="F183" i="2" s="1"/>
  <c r="F37" i="14"/>
  <c r="F39" i="14" s="1"/>
  <c r="F73" i="2"/>
  <c r="F75" i="2" s="1"/>
  <c r="F109" i="2"/>
  <c r="F110" i="2" s="1"/>
  <c r="F55" i="2"/>
  <c r="F56" i="2" s="1"/>
  <c r="F37" i="2"/>
  <c r="F40" i="2" s="1"/>
  <c r="F127" i="2"/>
  <c r="F129" i="2" s="1"/>
  <c r="F199" i="15"/>
  <c r="F201" i="15" s="1"/>
  <c r="F145" i="15"/>
  <c r="F146" i="15" s="1"/>
  <c r="F37" i="15"/>
  <c r="F39" i="15" s="1"/>
  <c r="F109" i="14"/>
  <c r="F111" i="14" s="1"/>
  <c r="F91" i="14"/>
  <c r="F93" i="14" s="1"/>
  <c r="F181" i="15"/>
  <c r="F182" i="15" s="1"/>
  <c r="F55" i="15"/>
  <c r="F57" i="15" s="1"/>
  <c r="F91" i="15"/>
  <c r="F93" i="15" s="1"/>
  <c r="F73" i="14"/>
  <c r="F74" i="14" s="1"/>
  <c r="F19" i="14"/>
  <c r="F20" i="14" s="1"/>
  <c r="F73" i="15"/>
  <c r="F75" i="15" s="1"/>
  <c r="F163" i="2"/>
  <c r="F165" i="2" s="1"/>
  <c r="F199" i="14"/>
  <c r="F201" i="14" s="1"/>
  <c r="F127" i="14"/>
  <c r="F128" i="14" s="1"/>
  <c r="F55" i="14"/>
  <c r="F57" i="14" s="1"/>
  <c r="F109" i="15"/>
  <c r="F111" i="15" s="1"/>
  <c r="F91" i="2"/>
  <c r="F92" i="2" s="1"/>
  <c r="F145" i="14"/>
  <c r="F147" i="14" s="1"/>
  <c r="F127" i="15"/>
  <c r="F129" i="15" s="1"/>
  <c r="F19" i="15"/>
  <c r="F163" i="14"/>
  <c r="F165" i="14" s="1"/>
  <c r="F163" i="15"/>
  <c r="F165" i="15" s="1"/>
  <c r="F181" i="14"/>
  <c r="F182" i="14" s="1"/>
  <c r="F202" i="14" l="1"/>
  <c r="F203" i="14"/>
  <c r="F185" i="14"/>
  <c r="F184" i="14"/>
  <c r="F167" i="14"/>
  <c r="F166" i="14"/>
  <c r="F148" i="14"/>
  <c r="F149" i="14"/>
  <c r="F131" i="14"/>
  <c r="F130" i="14"/>
  <c r="F113" i="14"/>
  <c r="F112" i="14"/>
  <c r="F94" i="14"/>
  <c r="F95" i="14"/>
  <c r="F76" i="14"/>
  <c r="F77" i="14"/>
  <c r="F58" i="14"/>
  <c r="F59" i="14"/>
  <c r="F40" i="14"/>
  <c r="F41" i="14"/>
  <c r="F23" i="14"/>
  <c r="F22" i="14"/>
  <c r="F202" i="15"/>
  <c r="F203" i="15"/>
  <c r="F184" i="15"/>
  <c r="F185" i="15"/>
  <c r="F166" i="15"/>
  <c r="F167" i="15"/>
  <c r="F149" i="15"/>
  <c r="F148" i="15"/>
  <c r="F112" i="15"/>
  <c r="F113" i="15"/>
  <c r="F131" i="15"/>
  <c r="F130" i="15"/>
  <c r="F95" i="15"/>
  <c r="F94" i="15"/>
  <c r="F76" i="15"/>
  <c r="F77" i="15"/>
  <c r="F58" i="15"/>
  <c r="F59" i="15"/>
  <c r="F20" i="15"/>
  <c r="F22" i="15"/>
  <c r="F41" i="15"/>
  <c r="F40" i="15"/>
  <c r="F23" i="15"/>
  <c r="F202" i="2"/>
  <c r="F203" i="2"/>
  <c r="F185" i="2"/>
  <c r="F184" i="2"/>
  <c r="F166" i="2"/>
  <c r="F167" i="2"/>
  <c r="F148" i="2"/>
  <c r="F149" i="2"/>
  <c r="F76" i="2"/>
  <c r="F130" i="2"/>
  <c r="F131" i="2"/>
  <c r="F94" i="2"/>
  <c r="F112" i="2"/>
  <c r="F113" i="2"/>
  <c r="F95" i="2"/>
  <c r="F77" i="2"/>
  <c r="F59" i="2"/>
  <c r="F58" i="2"/>
  <c r="F41" i="2"/>
  <c r="F75" i="14"/>
  <c r="F74" i="2"/>
  <c r="F93" i="2"/>
  <c r="F129" i="14"/>
  <c r="F200" i="2"/>
  <c r="F146" i="2"/>
  <c r="F92" i="14"/>
  <c r="F164" i="14"/>
  <c r="F183" i="14"/>
  <c r="F111" i="2"/>
  <c r="F57" i="2"/>
  <c r="F182" i="2"/>
  <c r="F128" i="2"/>
  <c r="F164" i="2"/>
  <c r="F21" i="14"/>
  <c r="F200" i="14"/>
  <c r="F110" i="14"/>
  <c r="F56" i="14"/>
  <c r="F38" i="14"/>
  <c r="F146" i="14"/>
  <c r="F183" i="15"/>
  <c r="F38" i="15"/>
  <c r="F200" i="15"/>
  <c r="F74" i="15"/>
  <c r="F21" i="15"/>
  <c r="F147" i="15"/>
  <c r="F110" i="15"/>
  <c r="F164" i="15"/>
  <c r="F128" i="15"/>
  <c r="F92" i="15"/>
  <c r="F56" i="15"/>
  <c r="J41" i="13"/>
  <c r="D12" i="27" s="1"/>
  <c r="K11" i="13"/>
  <c r="K45" i="13"/>
  <c r="K30" i="13"/>
  <c r="L56" i="13"/>
  <c r="I41" i="13"/>
  <c r="C12" i="27" s="1"/>
  <c r="H51" i="13"/>
  <c r="H56" i="13"/>
  <c r="L41" i="13"/>
  <c r="K25" i="13"/>
  <c r="J56" i="13"/>
  <c r="K55" i="13"/>
  <c r="K56" i="13" s="1"/>
  <c r="J16" i="13"/>
  <c r="H61" i="13"/>
  <c r="B17" i="27" s="1"/>
  <c r="J61" i="13"/>
  <c r="F19" i="2"/>
  <c r="F23" i="2" l="1"/>
  <c r="F22" i="2"/>
  <c r="F21" i="2"/>
  <c r="AA46" i="13"/>
  <c r="AA61" i="13"/>
  <c r="F20" i="2"/>
  <c r="H41" i="13"/>
  <c r="B12" i="27" s="1"/>
  <c r="J11" i="13"/>
  <c r="H11" i="13"/>
  <c r="O16" i="13"/>
  <c r="F14" i="27" s="1"/>
  <c r="H31" i="13"/>
  <c r="N56" i="13"/>
  <c r="E16" i="27" s="1"/>
  <c r="N41" i="13"/>
  <c r="E12" i="27" s="1"/>
  <c r="H46" i="13"/>
  <c r="O41" i="13"/>
  <c r="F12" i="27" s="1"/>
  <c r="AA26" i="13"/>
  <c r="G37" i="13"/>
  <c r="H36" i="13"/>
  <c r="I56" i="13"/>
  <c r="H26" i="13"/>
  <c r="H21" i="13"/>
  <c r="AA56" i="13"/>
  <c r="AA51" i="13"/>
  <c r="O11" i="13"/>
  <c r="F11" i="27" s="1"/>
  <c r="O56" i="13"/>
  <c r="F16" i="27" s="1"/>
  <c r="AA41" i="13"/>
  <c r="AA36" i="13"/>
  <c r="AA31" i="13"/>
  <c r="AA21" i="13"/>
  <c r="K15" i="13"/>
  <c r="K16" i="13" s="1"/>
  <c r="I11" i="13"/>
  <c r="I61" i="13"/>
  <c r="C17" i="27" s="1"/>
  <c r="N16" i="13"/>
  <c r="L16" i="13"/>
  <c r="N11" i="13"/>
  <c r="I16" i="13"/>
  <c r="L11" i="13"/>
  <c r="H16" i="13"/>
  <c r="G19" i="13"/>
  <c r="I9" i="36" s="1"/>
  <c r="F38" i="2" l="1"/>
  <c r="AA16" i="13" s="1"/>
  <c r="F39" i="2"/>
  <c r="G13" i="33"/>
  <c r="G13" i="36"/>
  <c r="AA11" i="13"/>
  <c r="I9" i="33"/>
  <c r="E11" i="27"/>
  <c r="G11" i="13"/>
  <c r="E14" i="27"/>
  <c r="Z56" i="13"/>
  <c r="G56" i="13"/>
  <c r="G7" i="13"/>
  <c r="J16" i="27"/>
  <c r="G54" i="13"/>
  <c r="I16" i="36" s="1"/>
  <c r="J8" i="27"/>
  <c r="G44" i="13"/>
  <c r="I14" i="36" s="1"/>
  <c r="G38" i="13"/>
  <c r="H13" i="36" s="1"/>
  <c r="J12" i="27"/>
  <c r="M12" i="27" s="1"/>
  <c r="G39" i="13"/>
  <c r="I13" i="36" s="1"/>
  <c r="J11" i="27"/>
  <c r="G9" i="13"/>
  <c r="I7" i="36" s="1"/>
  <c r="F7" i="33" l="1"/>
  <c r="F7" i="36"/>
  <c r="G7" i="33"/>
  <c r="G7" i="36"/>
  <c r="F16" i="33"/>
  <c r="F16" i="36"/>
  <c r="I13" i="33"/>
  <c r="I14" i="33"/>
  <c r="I16" i="33"/>
  <c r="H13" i="33"/>
  <c r="I7" i="33"/>
  <c r="G49" i="13"/>
  <c r="I15" i="36" s="1"/>
  <c r="J7" i="27"/>
  <c r="J15" i="27"/>
  <c r="G34" i="13"/>
  <c r="I12" i="36" s="1"/>
  <c r="J9" i="27"/>
  <c r="G24" i="13"/>
  <c r="I10" i="36" s="1"/>
  <c r="J10" i="27"/>
  <c r="J14" i="27"/>
  <c r="I12" i="33" l="1"/>
  <c r="I10" i="33"/>
  <c r="I15" i="33"/>
  <c r="P21" i="13"/>
  <c r="R21" i="13"/>
  <c r="L21" i="13"/>
  <c r="I21" i="13"/>
  <c r="J21" i="13"/>
  <c r="N21" i="13"/>
  <c r="O21" i="13"/>
  <c r="F13" i="27" s="1"/>
  <c r="E13" i="27" l="1"/>
  <c r="C11" i="27"/>
  <c r="H11" i="27"/>
  <c r="C13" i="27"/>
  <c r="H13" i="27"/>
  <c r="G13" i="27"/>
  <c r="G11" i="27"/>
  <c r="J46" i="13"/>
  <c r="O46" i="13"/>
  <c r="F8" i="27" s="1"/>
  <c r="N46" i="13"/>
  <c r="I46" i="13"/>
  <c r="P46" i="13"/>
  <c r="L46" i="13"/>
  <c r="R46" i="13"/>
  <c r="K21" i="13"/>
  <c r="G18" i="13"/>
  <c r="H9" i="36" s="1"/>
  <c r="E8" i="27" l="1"/>
  <c r="H9" i="33"/>
  <c r="C8" i="27"/>
  <c r="H16" i="27"/>
  <c r="C16" i="27"/>
  <c r="G16" i="27"/>
  <c r="G8" i="27"/>
  <c r="H8" i="27"/>
  <c r="D13" i="27"/>
  <c r="B13" i="27"/>
  <c r="D11" i="27"/>
  <c r="G42" i="13"/>
  <c r="G14" i="36" s="1"/>
  <c r="G10" i="13"/>
  <c r="J7" i="36" s="1"/>
  <c r="G8" i="13"/>
  <c r="H7" i="36" s="1"/>
  <c r="G20" i="13"/>
  <c r="J9" i="36" s="1"/>
  <c r="G17" i="13"/>
  <c r="G9" i="36" s="1"/>
  <c r="L26" i="13"/>
  <c r="N26" i="13"/>
  <c r="I26" i="13"/>
  <c r="O26" i="13"/>
  <c r="F10" i="27" s="1"/>
  <c r="R26" i="13"/>
  <c r="J26" i="13"/>
  <c r="P26" i="13"/>
  <c r="P36" i="13"/>
  <c r="R36" i="13"/>
  <c r="N36" i="13"/>
  <c r="I36" i="13"/>
  <c r="O36" i="13"/>
  <c r="F15" i="27" s="1"/>
  <c r="L36" i="13"/>
  <c r="J36" i="13"/>
  <c r="P31" i="13"/>
  <c r="N31" i="13"/>
  <c r="L31" i="13"/>
  <c r="J31" i="13"/>
  <c r="O31" i="13"/>
  <c r="F9" i="27" s="1"/>
  <c r="R31" i="13"/>
  <c r="I31" i="13"/>
  <c r="P51" i="13"/>
  <c r="I51" i="13"/>
  <c r="J51" i="13"/>
  <c r="N51" i="13"/>
  <c r="L51" i="13"/>
  <c r="O51" i="13"/>
  <c r="F7" i="27" s="1"/>
  <c r="R51" i="13"/>
  <c r="K46" i="13"/>
  <c r="H7" i="33" l="1"/>
  <c r="J9" i="33"/>
  <c r="J7" i="33"/>
  <c r="G14" i="33"/>
  <c r="G9" i="33"/>
  <c r="E9" i="27"/>
  <c r="E10" i="27"/>
  <c r="E15" i="27"/>
  <c r="E7" i="27"/>
  <c r="D16" i="27"/>
  <c r="Z11" i="13"/>
  <c r="H7" i="27"/>
  <c r="M13" i="27"/>
  <c r="B11" i="27"/>
  <c r="M11" i="27" s="1"/>
  <c r="B16" i="27"/>
  <c r="H9" i="27"/>
  <c r="D8" i="27"/>
  <c r="C7" i="27"/>
  <c r="G7" i="27"/>
  <c r="B8" i="27"/>
  <c r="H15" i="27"/>
  <c r="G15" i="27"/>
  <c r="H10" i="27"/>
  <c r="C15" i="27"/>
  <c r="G9" i="27"/>
  <c r="C9" i="27"/>
  <c r="C10" i="27"/>
  <c r="G10" i="27"/>
  <c r="D14" i="27"/>
  <c r="C14" i="27"/>
  <c r="G14" i="27"/>
  <c r="G55" i="13"/>
  <c r="J16" i="36" s="1"/>
  <c r="H14" i="27"/>
  <c r="G45" i="13"/>
  <c r="J14" i="36" s="1"/>
  <c r="G43" i="13"/>
  <c r="H14" i="36" s="1"/>
  <c r="G12" i="13"/>
  <c r="G8" i="36" s="1"/>
  <c r="G53" i="13"/>
  <c r="H16" i="36" s="1"/>
  <c r="G52" i="13"/>
  <c r="G16" i="36" s="1"/>
  <c r="K51" i="13"/>
  <c r="K31" i="13"/>
  <c r="K36" i="13"/>
  <c r="K26" i="13"/>
  <c r="Z26" i="13" s="1"/>
  <c r="H14" i="33" l="1"/>
  <c r="G16" i="33"/>
  <c r="J14" i="33"/>
  <c r="H16" i="33"/>
  <c r="J16" i="33"/>
  <c r="G8" i="33"/>
  <c r="M16" i="27"/>
  <c r="M8" i="27"/>
  <c r="G59" i="13"/>
  <c r="D7" i="27"/>
  <c r="B7" i="27"/>
  <c r="B15" i="27"/>
  <c r="D15" i="27"/>
  <c r="B9" i="27"/>
  <c r="D9" i="27"/>
  <c r="D10" i="27"/>
  <c r="B10" i="27"/>
  <c r="G50" i="13"/>
  <c r="J15" i="36" s="1"/>
  <c r="G35" i="13"/>
  <c r="J12" i="36" s="1"/>
  <c r="G22" i="13"/>
  <c r="G10" i="36" s="1"/>
  <c r="G13" i="13"/>
  <c r="H8" i="36" s="1"/>
  <c r="G25" i="13"/>
  <c r="J10" i="36" s="1"/>
  <c r="G30" i="13"/>
  <c r="J11" i="36" s="1"/>
  <c r="G40" i="13"/>
  <c r="G23" i="13"/>
  <c r="H10" i="36" s="1"/>
  <c r="G28" i="13"/>
  <c r="H11" i="36" s="1"/>
  <c r="G33" i="13"/>
  <c r="H12" i="36" s="1"/>
  <c r="G27" i="13"/>
  <c r="G11" i="36" s="1"/>
  <c r="G47" i="13"/>
  <c r="G15" i="36" s="1"/>
  <c r="G15" i="13"/>
  <c r="J8" i="36" s="1"/>
  <c r="G48" i="13"/>
  <c r="H15" i="36" s="1"/>
  <c r="G32" i="13"/>
  <c r="G12" i="36" s="1"/>
  <c r="J13" i="33" l="1"/>
  <c r="J13" i="36"/>
  <c r="H18" i="33"/>
  <c r="H18" i="36"/>
  <c r="I17" i="36"/>
  <c r="G12" i="33"/>
  <c r="J15" i="33"/>
  <c r="H10" i="33"/>
  <c r="J11" i="33"/>
  <c r="J8" i="33"/>
  <c r="J10" i="33"/>
  <c r="H8" i="33"/>
  <c r="H15" i="33"/>
  <c r="G10" i="33"/>
  <c r="H11" i="33"/>
  <c r="I17" i="33"/>
  <c r="G15" i="33"/>
  <c r="G11" i="33"/>
  <c r="H12" i="33"/>
  <c r="J12" i="33"/>
  <c r="M7" i="27"/>
  <c r="M9" i="27"/>
  <c r="M15" i="27"/>
  <c r="Z16" i="13"/>
  <c r="B14" i="27"/>
  <c r="M14" i="27" s="1"/>
  <c r="M10" i="27"/>
  <c r="R61" i="13" l="1"/>
  <c r="H17" i="27" s="1"/>
  <c r="H27" i="27" s="1"/>
  <c r="N61" i="13"/>
  <c r="P61" i="13"/>
  <c r="G17" i="27" s="1"/>
  <c r="L61" i="13"/>
  <c r="O61" i="13"/>
  <c r="F17" i="27" s="1"/>
  <c r="E17" i="27" l="1"/>
  <c r="G27" i="27" s="1"/>
  <c r="G58" i="13"/>
  <c r="K60" i="13"/>
  <c r="K61" i="13" s="1"/>
  <c r="G18" i="33" l="1"/>
  <c r="G18" i="36"/>
  <c r="H17" i="36"/>
  <c r="H17" i="33"/>
  <c r="Z61" i="13"/>
  <c r="D17" i="27"/>
  <c r="F27" i="27" s="1"/>
  <c r="G60" i="13"/>
  <c r="G57" i="13"/>
  <c r="G17" i="36" s="1"/>
  <c r="I18" i="33" l="1"/>
  <c r="I18" i="36"/>
  <c r="J17" i="36"/>
  <c r="M17" i="27"/>
  <c r="I27" i="27"/>
  <c r="J17" i="33"/>
  <c r="G17" i="33"/>
  <c r="G61" i="13"/>
  <c r="G46" i="13"/>
  <c r="F14" i="36" s="1"/>
  <c r="G26" i="13"/>
  <c r="F10" i="36" s="1"/>
  <c r="G41" i="13"/>
  <c r="F13" i="36" s="1"/>
  <c r="G36" i="13"/>
  <c r="F12" i="36" s="1"/>
  <c r="Z31" i="13"/>
  <c r="Z21" i="13"/>
  <c r="Z46" i="13"/>
  <c r="Z41" i="13"/>
  <c r="Z51" i="13"/>
  <c r="Z36" i="13"/>
  <c r="G31" i="13"/>
  <c r="F11" i="36" s="1"/>
  <c r="G21" i="13"/>
  <c r="F9" i="36" s="1"/>
  <c r="G51" i="13"/>
  <c r="F15" i="36" s="1"/>
  <c r="G16" i="13"/>
  <c r="F8" i="36" s="1"/>
  <c r="J18" i="33" l="1"/>
  <c r="J18" i="36"/>
  <c r="F17" i="36"/>
  <c r="F17" i="33"/>
  <c r="F8" i="33"/>
  <c r="F14" i="33"/>
  <c r="F15" i="33"/>
  <c r="F13" i="33"/>
  <c r="F9" i="33"/>
  <c r="F12" i="33"/>
  <c r="F11" i="33"/>
  <c r="F10" i="3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Elin Röös</author>
  </authors>
  <commentList>
    <comment ref="V13" authorId="0" shapeId="0" xr:uid="{6487D49D-A42F-48C8-B809-D4BFFDEFBAEE}">
      <text>
        <r>
          <rPr>
            <b/>
            <sz val="9"/>
            <color indexed="81"/>
            <rFont val="Tahoma"/>
            <family val="2"/>
          </rPr>
          <t>Elin Röös:</t>
        </r>
        <r>
          <rPr>
            <sz val="9"/>
            <color indexed="81"/>
            <rFont val="Tahoma"/>
            <family val="2"/>
          </rPr>
          <t xml:space="preserve">
Ahlgren har betydligtt högre faktorer här 13-15%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<sst xmlns="http://schemas.openxmlformats.org/spreadsheetml/2006/main" count="7264" uniqueCount="648">
  <si>
    <t>Read me</t>
  </si>
  <si>
    <t>This is a file that contains…</t>
  </si>
  <si>
    <t>Color codes:</t>
  </si>
  <si>
    <t>Results</t>
  </si>
  <si>
    <t>Sheets for input</t>
  </si>
  <si>
    <t>Intermediate calculations</t>
  </si>
  <si>
    <t>Att göra:</t>
  </si>
  <si>
    <t>Se om det går att få ut en foderstat för denna från Frankrike https://productions-animales.org/article/view/5396</t>
  </si>
  <si>
    <t xml:space="preserve">Justera till landsspecifik energianvändning https://www.mdpi.com/2076-3417/12/4/2142 </t>
  </si>
  <si>
    <t>Vattenanvändning per land - OBS att detta är för anv i stallar, inte foderodlingen</t>
  </si>
  <si>
    <t>Animal products</t>
  </si>
  <si>
    <t>Climate</t>
  </si>
  <si>
    <t>Land</t>
  </si>
  <si>
    <t>Phosphorus</t>
  </si>
  <si>
    <t>Water</t>
  </si>
  <si>
    <t>Pesticides</t>
  </si>
  <si>
    <t>Biodiversity</t>
  </si>
  <si>
    <t>Ammonia</t>
  </si>
  <si>
    <t>Labour</t>
  </si>
  <si>
    <t>Code</t>
  </si>
  <si>
    <t>Name</t>
  </si>
  <si>
    <t>Category</t>
  </si>
  <si>
    <t>Country</t>
  </si>
  <si>
    <t>Country code</t>
  </si>
  <si>
    <t>Carbon footprint, kg CO2e/kg</t>
  </si>
  <si>
    <t>Carbon dioxide, kg CO2/kg</t>
  </si>
  <si>
    <t>Methane, fossil, kg CH4/kg</t>
  </si>
  <si>
    <t>Methane, biogenic, kg CH4/kg</t>
  </si>
  <si>
    <t>Nitrous oxide, kg N2O/kg</t>
  </si>
  <si>
    <t>HFCs, kg HFCs/kg</t>
  </si>
  <si>
    <t>Cropland use, m2/kg</t>
  </si>
  <si>
    <t>New N input, kg N/kg</t>
  </si>
  <si>
    <t>New P input, kg P/kg</t>
  </si>
  <si>
    <t>Blue freshwater use, m3/kg</t>
  </si>
  <si>
    <t>Pesticide use,             g a.i./kg</t>
  </si>
  <si>
    <t>Extinction rate, E/MSY/kg</t>
  </si>
  <si>
    <t>Ammonia emission, kg NH3/kg</t>
  </si>
  <si>
    <t>Labour requirements, h/kg</t>
  </si>
  <si>
    <t>Animal welfare index per kg of bonefree meat</t>
  </si>
  <si>
    <t xml:space="preserve">Denmark </t>
  </si>
  <si>
    <t>DK</t>
  </si>
  <si>
    <t>France</t>
  </si>
  <si>
    <t>FR</t>
  </si>
  <si>
    <t>Germany</t>
  </si>
  <si>
    <t>DE</t>
  </si>
  <si>
    <t>Greece</t>
  </si>
  <si>
    <t>GR</t>
  </si>
  <si>
    <t xml:space="preserve">Hungary </t>
  </si>
  <si>
    <t>HU</t>
  </si>
  <si>
    <t>Ireland</t>
  </si>
  <si>
    <t>IE</t>
  </si>
  <si>
    <t>Italy</t>
  </si>
  <si>
    <t>IT</t>
  </si>
  <si>
    <t>Netherlands</t>
  </si>
  <si>
    <t>NL</t>
  </si>
  <si>
    <t>Poland</t>
  </si>
  <si>
    <t>PL</t>
  </si>
  <si>
    <t>Spain</t>
  </si>
  <si>
    <t>ES</t>
  </si>
  <si>
    <t>Sweden</t>
  </si>
  <si>
    <t>SE</t>
  </si>
  <si>
    <t>Animals</t>
  </si>
  <si>
    <t>Stables</t>
  </si>
  <si>
    <t>Slaughter</t>
  </si>
  <si>
    <t>Control</t>
  </si>
  <si>
    <t>Sum</t>
  </si>
  <si>
    <t>Inputs</t>
  </si>
  <si>
    <t>Soil emissions</t>
  </si>
  <si>
    <t>Energy use</t>
  </si>
  <si>
    <t>Land use change</t>
  </si>
  <si>
    <t>Transports</t>
  </si>
  <si>
    <t>FoodEx code</t>
  </si>
  <si>
    <t>FoodEx name</t>
  </si>
  <si>
    <t>Food Ex category (L1)</t>
  </si>
  <si>
    <t>Gas</t>
  </si>
  <si>
    <t>GHG</t>
  </si>
  <si>
    <t xml:space="preserve">Production of capital goods </t>
  </si>
  <si>
    <t>Diesel use field mach</t>
  </si>
  <si>
    <t>Energy use in greenhouses</t>
  </si>
  <si>
    <t>Energy use for irrigation</t>
  </si>
  <si>
    <t>Energy use for post-harvest proc</t>
  </si>
  <si>
    <t>LUC emissions</t>
  </si>
  <si>
    <t>Feed transports</t>
  </si>
  <si>
    <t>Enteric fermentation*</t>
  </si>
  <si>
    <t>Manure management - tot</t>
  </si>
  <si>
    <t>Manure management - direct</t>
  </si>
  <si>
    <t>Manure management - indirect</t>
  </si>
  <si>
    <t>Energy use in stables</t>
  </si>
  <si>
    <t>Energy use for slaughter</t>
  </si>
  <si>
    <t>Total feed, excl LUC</t>
  </si>
  <si>
    <t>Denmark</t>
  </si>
  <si>
    <t>CO2</t>
  </si>
  <si>
    <t>CH4, fossil</t>
  </si>
  <si>
    <t>CH4, biogenic</t>
  </si>
  <si>
    <t>N2O</t>
  </si>
  <si>
    <t>CO2e</t>
  </si>
  <si>
    <t>Hungary</t>
  </si>
  <si>
    <t xml:space="preserve">Ireland </t>
  </si>
  <si>
    <t>Netherland</t>
  </si>
  <si>
    <t>Production system</t>
  </si>
  <si>
    <t>Animals in production per year (no)</t>
  </si>
  <si>
    <t>Animals slaughtered per year (no)</t>
  </si>
  <si>
    <t>Meat produced (kg CW)</t>
  </si>
  <si>
    <t>Meat produced (kg bonefree)</t>
  </si>
  <si>
    <t>Offal produced (kg edible)</t>
  </si>
  <si>
    <t>Meat and offal produced (kg bonefree)</t>
  </si>
  <si>
    <t>Production parameters and emission factors, country specific</t>
  </si>
  <si>
    <t>Production parameters</t>
  </si>
  <si>
    <t xml:space="preserve">Sources: </t>
  </si>
  <si>
    <t>Meat yield, kg bonefree meat per CW</t>
  </si>
  <si>
    <t>Offal yield, kg edible per animal</t>
  </si>
  <si>
    <t>Kolla Ingrids rapport</t>
  </si>
  <si>
    <t>Recruitment rate, %</t>
  </si>
  <si>
    <t>Barley, average</t>
  </si>
  <si>
    <t>Maize (corn)</t>
  </si>
  <si>
    <t>Oats</t>
  </si>
  <si>
    <t>Rye</t>
  </si>
  <si>
    <t>Wheat, average</t>
  </si>
  <si>
    <t>Peas, dry</t>
  </si>
  <si>
    <t>Broad beans and horse beans, dry</t>
  </si>
  <si>
    <t>Rape seed cake</t>
  </si>
  <si>
    <t>Soy cake</t>
  </si>
  <si>
    <t>By-products</t>
  </si>
  <si>
    <t>Other</t>
  </si>
  <si>
    <t>Feed requirement</t>
  </si>
  <si>
    <t>Source:</t>
  </si>
  <si>
    <t>Comment:</t>
  </si>
  <si>
    <t>Enteric fermentation</t>
  </si>
  <si>
    <t xml:space="preserve">Energy use in stables </t>
  </si>
  <si>
    <t>Energy use at slaughter</t>
  </si>
  <si>
    <t>Edström et al. 2005, retrieved from Moberg et al. 2019</t>
  </si>
  <si>
    <t>Emission factors electricity</t>
  </si>
  <si>
    <t>Electricity, kg CO2e/kWh</t>
  </si>
  <si>
    <t>ecoinvent; market for electricity, low voltage</t>
  </si>
  <si>
    <t>Electricity, kg CO2/kWh</t>
  </si>
  <si>
    <t>Electricity, kg CH4/kWh</t>
  </si>
  <si>
    <t>Electricity, kg N2O/kWh</t>
  </si>
  <si>
    <t>Emission factors changes in SOC and LUC</t>
  </si>
  <si>
    <t>Soil carbon loss, kg CO2e/feed</t>
  </si>
  <si>
    <t>Moberg et al. 2019</t>
  </si>
  <si>
    <t>Emission from the production of mineral fertilisers (kg)</t>
  </si>
  <si>
    <t>Fraction BAT</t>
  </si>
  <si>
    <t>Fraction AN</t>
  </si>
  <si>
    <t>Emission factors N2O from soil</t>
  </si>
  <si>
    <t>Direct emissions from mineral fertiliser</t>
  </si>
  <si>
    <t>Difference in emission factor min. fert - manure</t>
  </si>
  <si>
    <t>Indirect emissions, share of direct emissions</t>
  </si>
  <si>
    <t>Manure replacement factor</t>
  </si>
  <si>
    <t>Water use</t>
  </si>
  <si>
    <t>Mekonnen and Hoekstra (2012), collected from Moberg et al. 2019</t>
  </si>
  <si>
    <t>Labour requirements</t>
  </si>
  <si>
    <t>Labour requirements, h tot in production</t>
  </si>
  <si>
    <t>Manure emissions</t>
  </si>
  <si>
    <t>Sources:</t>
  </si>
  <si>
    <t>Share solid</t>
  </si>
  <si>
    <t>Share liquid</t>
  </si>
  <si>
    <t>Share deep litter</t>
  </si>
  <si>
    <t>METHANE EMISSIONS</t>
  </si>
  <si>
    <t>Emission factors methane emissions</t>
  </si>
  <si>
    <t>MCF solid manure</t>
  </si>
  <si>
    <t>NIR 2022, Table 5.18</t>
  </si>
  <si>
    <t>MCF liquid manure</t>
  </si>
  <si>
    <t>Volatile solids (VS), fraction of manure</t>
  </si>
  <si>
    <t>Bo, m3 CH4/kg VS</t>
  </si>
  <si>
    <t>Manure production, kg DM VS per day</t>
  </si>
  <si>
    <t>Total amount of DM VS produced, kg per year</t>
  </si>
  <si>
    <t>Solid</t>
  </si>
  <si>
    <t>Liquid</t>
  </si>
  <si>
    <t xml:space="preserve">Deep litter </t>
  </si>
  <si>
    <t>Methane emissions, kg CH4 per year</t>
  </si>
  <si>
    <t>Deep litter</t>
  </si>
  <si>
    <t>Total</t>
  </si>
  <si>
    <t>Per kg meat&amp;offal</t>
  </si>
  <si>
    <t>NITROGEN  EMISSIONS</t>
  </si>
  <si>
    <t>N excreted per animal</t>
  </si>
  <si>
    <t>N excreted, kg per head per year</t>
  </si>
  <si>
    <t>Proportion of TAN</t>
  </si>
  <si>
    <t>EMEP/EEA 2019. Table 3.9</t>
  </si>
  <si>
    <t>N excreted in different systems, kg per year</t>
  </si>
  <si>
    <t>TAN excreted in different systems, kg per year, m_house, TAN</t>
  </si>
  <si>
    <t>Emissions from housing, kg NH3-N per year, E_house</t>
  </si>
  <si>
    <t>Step 6</t>
  </si>
  <si>
    <t xml:space="preserve">Using EF for solid manure </t>
  </si>
  <si>
    <t>EF NH3-N housing solid</t>
  </si>
  <si>
    <t>EF NH3-N housing slurry</t>
  </si>
  <si>
    <t>Add bedding</t>
  </si>
  <si>
    <t>Step 7</t>
  </si>
  <si>
    <t>Remaining TAN after housing losses, kg per year, m_storage, TAN</t>
  </si>
  <si>
    <t>Modified TAN to account for org N mineralisation (only applies to liquid)</t>
  </si>
  <si>
    <t>Step 9</t>
  </si>
  <si>
    <t>f min</t>
  </si>
  <si>
    <t>EMEP/EEA 2019, just below equ. 32</t>
  </si>
  <si>
    <t>Emission of NH3-N from storage, kg per year, E_storage_ammonia</t>
  </si>
  <si>
    <t>Step 10</t>
  </si>
  <si>
    <t>Step 10 is emissions of NH3-N, N2O-N, NO-N and N2 but here they are split</t>
  </si>
  <si>
    <t>EF NH3-N storage solid</t>
  </si>
  <si>
    <t>EF NH3-N storage slurry</t>
  </si>
  <si>
    <t>Emission of N2O-N from storage, kg per year, E_storage_N2O</t>
  </si>
  <si>
    <t>EF N2O-N storage solid</t>
  </si>
  <si>
    <t>EMEP/EEA 2019. Table 3.8, Pig manure heaps, solid</t>
  </si>
  <si>
    <t>Här verkar alla använda litet olika och det slår ganska mycket</t>
  </si>
  <si>
    <t>EF N2O-N storage slurry</t>
  </si>
  <si>
    <t>EMEP/EEA 2019. Table 3.8, Cattle slurry with natural crust</t>
  </si>
  <si>
    <t>Emission of NO and N2 from storage, kg per year, E_storage_NO and N2</t>
  </si>
  <si>
    <t>EF NO storage solid</t>
  </si>
  <si>
    <t>EMEP/EEA 2019. Table 3.10</t>
  </si>
  <si>
    <t>EF NO storage slurry</t>
  </si>
  <si>
    <t>EF N2 storage solid</t>
  </si>
  <si>
    <t>EF N2 storage slurry</t>
  </si>
  <si>
    <t>Remaining TAN after storage losses, kg per year, m_applic, TAN</t>
  </si>
  <si>
    <t>Emission of NH3-N from application, kg per year, E_application_ammonia</t>
  </si>
  <si>
    <t>Step 12</t>
  </si>
  <si>
    <t>EF NH3-N application solid</t>
  </si>
  <si>
    <t>EF NH3-N application slurry</t>
  </si>
  <si>
    <t>EF N2O volatilization</t>
  </si>
  <si>
    <t>IPCC, 2019</t>
  </si>
  <si>
    <t>Remaining TAN after application losses, kg per year, m_returned, TAN</t>
  </si>
  <si>
    <t>Total losses, kg N per year</t>
  </si>
  <si>
    <t>Fraction of applied that is lost:</t>
  </si>
  <si>
    <t>Remaining total-N after losses, kg per year</t>
  </si>
  <si>
    <t>Total returned to soils:</t>
  </si>
  <si>
    <t>Ammonia emissions</t>
  </si>
  <si>
    <t>Emissions of CO2 from feed crops (per kg of crop)</t>
  </si>
  <si>
    <t xml:space="preserve">Shares from Karlsson et al. </t>
  </si>
  <si>
    <t>Crops</t>
  </si>
  <si>
    <t>Share</t>
  </si>
  <si>
    <t xml:space="preserve">Categories </t>
  </si>
  <si>
    <t>Production of mineral fertilizer</t>
  </si>
  <si>
    <t>Direct emissions</t>
  </si>
  <si>
    <t>Indirect emissions</t>
  </si>
  <si>
    <t>Transports of feed</t>
  </si>
  <si>
    <t>0115</t>
  </si>
  <si>
    <t>Cereals, incl feed</t>
  </si>
  <si>
    <t>0112</t>
  </si>
  <si>
    <t>0117</t>
  </si>
  <si>
    <t>0116</t>
  </si>
  <si>
    <t>0111</t>
  </si>
  <si>
    <t>01705</t>
  </si>
  <si>
    <t>Pulses, incl feed</t>
  </si>
  <si>
    <t>01702</t>
  </si>
  <si>
    <t>Protein feed</t>
  </si>
  <si>
    <t>Soy bean meal</t>
  </si>
  <si>
    <t>By-product</t>
  </si>
  <si>
    <t>Other, feed</t>
  </si>
  <si>
    <t>Feed, other</t>
  </si>
  <si>
    <t>Emissions of CH4 from feed crops (per kg of crop)</t>
  </si>
  <si>
    <t>Emissions of N2O from feed crops (per kg of crop)</t>
  </si>
  <si>
    <t>Nitrogen</t>
  </si>
  <si>
    <t>N application, kg N/kg</t>
  </si>
  <si>
    <t>P application, kg P/kg</t>
  </si>
  <si>
    <t>Emission factors energy carriers</t>
  </si>
  <si>
    <t>kg CO2 per kWh</t>
  </si>
  <si>
    <t>kg CH4 per kWh</t>
  </si>
  <si>
    <t>kg N2O per kWh</t>
  </si>
  <si>
    <t>Gode et al 2011</t>
  </si>
  <si>
    <t>Gode et al 2011, average of bark and chips, pellets and briquettes</t>
  </si>
  <si>
    <t>kg CO2 per kg N</t>
  </si>
  <si>
    <t>kg CH4 per kg N</t>
  </si>
  <si>
    <t>kg N2O per kg N</t>
  </si>
  <si>
    <t>Best Available Technology (BAT)</t>
  </si>
  <si>
    <t>BAT: Yara International (2010)</t>
  </si>
  <si>
    <t>Ammonium nitrate</t>
  </si>
  <si>
    <t>Ammonium nitrate: Ecoinvent Centre (2021). Activity name: “Ammonium nitrate production", Rest of the world, adjusted to N content in fertilizer (33.5%)</t>
  </si>
  <si>
    <t>Characterisations factors</t>
  </si>
  <si>
    <t>Source LUC:</t>
  </si>
  <si>
    <t>Flysjö et al. 2008, Figur 6.35</t>
  </si>
  <si>
    <t>Flysjö et al. 2008, Figur 6.35, divided by GWP-factor used in report, Tabell 5.1</t>
  </si>
  <si>
    <t>References</t>
  </si>
  <si>
    <t>Bava et al. 2017. Environmental impact of the typical heavy pig production in Italy. https://doi.org/10.1016/j.jclepro.2015.11.029</t>
  </si>
  <si>
    <t xml:space="preserve">Gård&amp;Djurhälsan. 2022. Internationella rapporten 2022. https://www.gardochdjurhalsan.se/wp-content/uploads/2022/12/internationella-rapporten-2022.pdf </t>
  </si>
  <si>
    <t xml:space="preserve">Landquist et al. 2020. Uppdaterad och utökad livscykelanalys av svensk grisproduktion. RISE Rapport 2020:59. https://www.diva-portal.org/smash/get/diva2:1516404/FULLTEXT03.pdf </t>
  </si>
  <si>
    <t>Zira S et al. 2023. Environmental consequences of pig production scenarios using biomass from rotational grass-clover leys as feed. https://doi.org/10.1016/j.eti.2023.103068</t>
  </si>
  <si>
    <t>NIR 2023, p. 427</t>
  </si>
  <si>
    <t>Manure management</t>
  </si>
  <si>
    <t>Tot</t>
  </si>
  <si>
    <t>Energy use for feed processing</t>
  </si>
  <si>
    <t>Land use change emissions</t>
  </si>
  <si>
    <t xml:space="preserve">Emissions from soil </t>
  </si>
  <si>
    <t>Electricity, kWh/kg CW</t>
  </si>
  <si>
    <t>Heating oil, kWh/kg CW</t>
  </si>
  <si>
    <t>Figures</t>
  </si>
  <si>
    <t>approx sweden</t>
  </si>
  <si>
    <t xml:space="preserve">CRF 2023, Table 3B(a)s1 </t>
  </si>
  <si>
    <t>CRF 2023, Table 3B(a)s1 . White swine</t>
  </si>
  <si>
    <t xml:space="preserve"> </t>
  </si>
  <si>
    <t xml:space="preserve">  </t>
  </si>
  <si>
    <t>Antibiotics use indicator/kg</t>
  </si>
  <si>
    <t>Animal welfare**</t>
  </si>
  <si>
    <t>Use of antibiotics**</t>
  </si>
  <si>
    <t>**Values inserted directly here, no formula in this excel sheet</t>
  </si>
  <si>
    <t>Cows</t>
  </si>
  <si>
    <t>Recruitment heifers</t>
  </si>
  <si>
    <t>Fertility rate, %</t>
  </si>
  <si>
    <t>Clune et al. 2017, Table 1</t>
  </si>
  <si>
    <t>Mortality calves, % of born</t>
  </si>
  <si>
    <t xml:space="preserve">Mortality cows, % </t>
  </si>
  <si>
    <t>Calves</t>
  </si>
  <si>
    <t>Dairy cows</t>
  </si>
  <si>
    <t>Number of slaughered dairy cows * slaughtering weight dairy cows</t>
  </si>
  <si>
    <t>Pasture</t>
  </si>
  <si>
    <t>Maize (fodder)</t>
  </si>
  <si>
    <t>Other forage crops</t>
  </si>
  <si>
    <t>Feed, forage</t>
  </si>
  <si>
    <t>Off-farm feed</t>
  </si>
  <si>
    <t>Greenhouse gas emissons:</t>
  </si>
  <si>
    <t>Feed processing</t>
  </si>
  <si>
    <t>Cultivated in country</t>
  </si>
  <si>
    <t>0141</t>
  </si>
  <si>
    <t>Soya beans</t>
  </si>
  <si>
    <t>Brazil</t>
  </si>
  <si>
    <t>Pendrill et al. 2022</t>
  </si>
  <si>
    <t>CH4, bio</t>
  </si>
  <si>
    <t>Argentina</t>
  </si>
  <si>
    <t>0141_m</t>
  </si>
  <si>
    <t>Brazil, Argentina</t>
  </si>
  <si>
    <t>Other footprints:</t>
  </si>
  <si>
    <t>Pulses</t>
  </si>
  <si>
    <t>BR</t>
  </si>
  <si>
    <t>AR</t>
  </si>
  <si>
    <t>Feed</t>
  </si>
  <si>
    <t>Parameters for soy</t>
  </si>
  <si>
    <t>Soy meal in 1 kg soy bean</t>
  </si>
  <si>
    <t>Flysjö et al. 2008, Tabell 4.24</t>
  </si>
  <si>
    <t>Economic allocation factor meal</t>
  </si>
  <si>
    <t>Energy use processing:</t>
  </si>
  <si>
    <t>Electricity</t>
  </si>
  <si>
    <t>MJ per kg soy beans processed</t>
  </si>
  <si>
    <t>Flysjö et al. 2008</t>
  </si>
  <si>
    <t>Biomass</t>
  </si>
  <si>
    <t>Assuming half of soy from Brazil and the other half from Argentina.</t>
  </si>
  <si>
    <t xml:space="preserve">https://www.fediol.eu/data/Where%20does%20soy%20come%20from.pdf </t>
  </si>
  <si>
    <t>Rape seed meal</t>
  </si>
  <si>
    <t>01443</t>
  </si>
  <si>
    <t>Rape or colza seed, average</t>
  </si>
  <si>
    <t>01443_m</t>
  </si>
  <si>
    <t>France, Germany, Poland</t>
  </si>
  <si>
    <t>Flysjö et al. 2008, Figur 6.37</t>
  </si>
  <si>
    <t>Flysjö et al. 2008, Figur 6.37, divided by GWP-factor used in report, Tabell 5.1</t>
  </si>
  <si>
    <t>Parameters for rape seed</t>
  </si>
  <si>
    <t>Rape meal in 1 kg rape seed</t>
  </si>
  <si>
    <t>Flysjö et al. 2008, using the same as for soy because ratio between electricity and gas/biofuels not stated</t>
  </si>
  <si>
    <t>Using the three largest rapeseed countries and taking an average of these.</t>
  </si>
  <si>
    <t>https://projects.luke.fi/ruokafakta/en/field-crops/rapeseed-production-volumes/#:~:text=The%20largest%20producers%20are%20France,Germany%2C%20with%203.7%20billion%20kilos.</t>
  </si>
  <si>
    <t>Maize (forage)</t>
  </si>
  <si>
    <t>Any</t>
  </si>
  <si>
    <t>Parameters for maize (forage)</t>
  </si>
  <si>
    <t>approx.</t>
  </si>
  <si>
    <t>Emmas data</t>
  </si>
  <si>
    <t>Yield, maize (forage), kg/ha</t>
  </si>
  <si>
    <t>Mineral N application, kg/ha</t>
  </si>
  <si>
    <t>Fyll i för de andra länderna och kolla formeln - blev det rätt m2 och ha?</t>
  </si>
  <si>
    <t>MJ per kg processed</t>
  </si>
  <si>
    <t>Other forage feed (grass-clover leys)</t>
  </si>
  <si>
    <t>Other forage feed</t>
  </si>
  <si>
    <t>Parameters for other forage crops (forage)</t>
  </si>
  <si>
    <t xml:space="preserve">Mycket att göra klart här - har bara approximerat grovt med Emmas data etc. Behöver kollas om det finns skördestatistik i Eurostat etc. </t>
  </si>
  <si>
    <t>Share forage crops</t>
  </si>
  <si>
    <t>Other forage crops (including ley)</t>
  </si>
  <si>
    <t>From Cederberg et al (2009):</t>
  </si>
  <si>
    <t>Cederberg et al (2009)</t>
  </si>
  <si>
    <t>Water use for housing and drinking in stables, m3 per kg head and year</t>
  </si>
  <si>
    <t>Water use during grazing, m3 per kg head and year</t>
  </si>
  <si>
    <t>Maize</t>
  </si>
  <si>
    <t xml:space="preserve">Yield </t>
  </si>
  <si>
    <t>Nutrient inputs</t>
  </si>
  <si>
    <t xml:space="preserve">Energy </t>
  </si>
  <si>
    <t>Crop residues</t>
  </si>
  <si>
    <t>Biodiversity, potential species loss/m2</t>
  </si>
  <si>
    <t>Yield,
kg/ha</t>
  </si>
  <si>
    <t>N appl fertilisers,            kg N/ha</t>
  </si>
  <si>
    <t>N fixation, kg N/ha</t>
  </si>
  <si>
    <t>N crop residues, kg N/ha</t>
  </si>
  <si>
    <t>P appl,    kg P/ha</t>
  </si>
  <si>
    <t>Diesel use, l/ha</t>
  </si>
  <si>
    <t>Blue freshwater use, m3/ha</t>
  </si>
  <si>
    <t>Pesticide use,          kg a.i./ha</t>
  </si>
  <si>
    <t>Frac
removed</t>
  </si>
  <si>
    <t>N above ground</t>
  </si>
  <si>
    <t>Above ground / below ground</t>
  </si>
  <si>
    <t>Below ground/
above ground</t>
  </si>
  <si>
    <t>N below ground</t>
  </si>
  <si>
    <t>DM fraction harvested product</t>
  </si>
  <si>
    <t>Frac renew</t>
  </si>
  <si>
    <t>CF mammals</t>
  </si>
  <si>
    <t>CF              birds</t>
  </si>
  <si>
    <t>CF amphibians</t>
  </si>
  <si>
    <t>CF reptiles</t>
  </si>
  <si>
    <t>CF plants</t>
  </si>
  <si>
    <t>Labour requirements, h/ha</t>
  </si>
  <si>
    <t>Mineral N appl,            kg N/ha</t>
  </si>
  <si>
    <t>Above ground/
yield</t>
  </si>
  <si>
    <t>Source</t>
  </si>
  <si>
    <t>Land use classification</t>
  </si>
  <si>
    <t xml:space="preserve">Crop </t>
  </si>
  <si>
    <t>Maize, fodder</t>
  </si>
  <si>
    <t>Ley</t>
  </si>
  <si>
    <t>Maize, green for forage</t>
  </si>
  <si>
    <t>Feed crop</t>
  </si>
  <si>
    <t>Chaudhary &amp; Brooks, 2018, Table S5</t>
  </si>
  <si>
    <t>Chaudhary &amp; Brooks, 2018, Table S6</t>
  </si>
  <si>
    <t>Chaudhary &amp; Brooks, 2018, Table S7</t>
  </si>
  <si>
    <t>Chaudhary &amp; Brooks, 2018, Table S8</t>
  </si>
  <si>
    <t>Chaudhary &amp; Brooks, 2018, Table S9</t>
  </si>
  <si>
    <t>Chaudhary &amp; Brooks, 2018, Table S10</t>
  </si>
  <si>
    <t>Chaudhary &amp; Brooks, 2018, Table S11</t>
  </si>
  <si>
    <t>Chaudhary &amp; Brooks, 2018, Table S12</t>
  </si>
  <si>
    <t>Chaudhary &amp; Brooks, 2018, Table S13</t>
  </si>
  <si>
    <t>Chaudhary &amp; Brooks, 2018, Table S14</t>
  </si>
  <si>
    <t>Chaudhary &amp; Brooks, 2018, Table S15</t>
  </si>
  <si>
    <t>PCS, 2017</t>
  </si>
  <si>
    <t>SS, 2022</t>
  </si>
  <si>
    <t>Eurostat, 2023</t>
  </si>
  <si>
    <t>Baky et al. 2010. Grönfoder</t>
  </si>
  <si>
    <t>Swedish NIR 2022</t>
  </si>
  <si>
    <t>Above ground residues / DM</t>
  </si>
  <si>
    <t>Swedish NIR 2023</t>
  </si>
  <si>
    <t>Swedish NIR 2024</t>
  </si>
  <si>
    <t>Swedish NIR 2025</t>
  </si>
  <si>
    <t>Swedish NIR 2026</t>
  </si>
  <si>
    <t>Swedish NIR 2027</t>
  </si>
  <si>
    <t>Swedish NIR 2028</t>
  </si>
  <si>
    <t>Swedish NIR 2029</t>
  </si>
  <si>
    <t>Swedish NIR 2030</t>
  </si>
  <si>
    <t>Swedish NIR 2031</t>
  </si>
  <si>
    <t>Swedish NIR 2032</t>
  </si>
  <si>
    <t>IPCC, 2019.</t>
  </si>
  <si>
    <t>Frac
removed, Frac Renew</t>
  </si>
  <si>
    <t>Swedish NIR, 2022</t>
  </si>
  <si>
    <t>Swedish NIR, 2022. Green Fodder (Other)</t>
  </si>
  <si>
    <t>Baky et al. 2010. Viktat medelvärde: Betes, slåtter och frövall</t>
  </si>
  <si>
    <t>SS, 2022. Vall och grönfoder</t>
  </si>
  <si>
    <t>approx germany</t>
  </si>
  <si>
    <t>Einarsson, Plan'Eat Fodder v1</t>
  </si>
  <si>
    <t>approx ley</t>
  </si>
  <si>
    <t>Temporary meadows and pasture. Swiss "Deckungsbeitragskatalog" (DBK), processed to be used in SOLm (Muller et al. 2017)</t>
  </si>
  <si>
    <t>Maize For Forage+Silage. Swiss "Deckungsbeitragskatalog" (DBK), processed to be used in SOLm (Muller et al. 2017)</t>
  </si>
  <si>
    <t>Einarsson et al, 2021</t>
  </si>
  <si>
    <t>Mekonnen &amp; Hoekstra, 2011</t>
  </si>
  <si>
    <t>approx maize</t>
  </si>
  <si>
    <t>approx france</t>
  </si>
  <si>
    <t>PCS, 2017. Grasses</t>
  </si>
  <si>
    <t>Lucerne</t>
  </si>
  <si>
    <t>Forage crops, footprints per kg of feed</t>
  </si>
  <si>
    <t>Forage crops, input data per hectare</t>
  </si>
  <si>
    <t>Number of species in baseline</t>
  </si>
  <si>
    <t>Number of recognised species</t>
  </si>
  <si>
    <t>Ammonia emissions (Hutchings 2019)</t>
  </si>
  <si>
    <t>Nitrogen in inorganic fertilizer that volatiles*</t>
  </si>
  <si>
    <t>Conversion from N to NH3</t>
  </si>
  <si>
    <t>* Generic value for N inorganic fertilisers, Table 3.1</t>
  </si>
  <si>
    <t>Other forage crops (Ley)</t>
  </si>
  <si>
    <t>Shares ley/lucerne</t>
  </si>
  <si>
    <t>Lucerne, ha</t>
  </si>
  <si>
    <t>Ley, ha</t>
  </si>
  <si>
    <t>Share ley</t>
  </si>
  <si>
    <t>Share lucerne</t>
  </si>
  <si>
    <t>Columns F-L copied straight from RPC filerna except for forage crops that are calculated here</t>
  </si>
  <si>
    <t>Total for the feed mix, heifers:</t>
  </si>
  <si>
    <t>Environmental footprints per kg of feed (kg DM for forage crops)</t>
  </si>
  <si>
    <t>Emission, characterisation and allocation factors, general</t>
  </si>
  <si>
    <t>Allocation factors</t>
  </si>
  <si>
    <t>Meat</t>
  </si>
  <si>
    <t>Milk</t>
  </si>
  <si>
    <t>kg CO2 per kg product</t>
  </si>
  <si>
    <t>kg CH4 per kg product</t>
  </si>
  <si>
    <t>kg N2O per kg product</t>
  </si>
  <si>
    <t xml:space="preserve">Emissions from the production of capital goods </t>
  </si>
  <si>
    <t>Frischknecht et al. 2007</t>
  </si>
  <si>
    <t>Direct emissions from manure and crop residues</t>
  </si>
  <si>
    <t>Indirect emissions (10% of direct emissions)</t>
  </si>
  <si>
    <t>Heating value, kWh/l</t>
  </si>
  <si>
    <t>Heating oil</t>
  </si>
  <si>
    <t>Biofuels</t>
  </si>
  <si>
    <t>Diesel</t>
  </si>
  <si>
    <t>approx Germany</t>
  </si>
  <si>
    <t>Approx Sweden</t>
  </si>
  <si>
    <t>Explanation of high N fixing in lucerne:</t>
  </si>
  <si>
    <t>MCF deep litter cows</t>
  </si>
  <si>
    <t>(Cow = Dairy Cow, Heifer = Non-dairy Cattle in CRF tables)</t>
  </si>
  <si>
    <t>kg CO2 per m3</t>
  </si>
  <si>
    <t>kg CH4 per m3</t>
  </si>
  <si>
    <t>kg N2O per m3</t>
  </si>
  <si>
    <t>Emissions from irrigation</t>
  </si>
  <si>
    <t>ecoinvent version 3.9.1, Allocation cut-of by classification</t>
  </si>
  <si>
    <t>Emissions from forage handling</t>
  </si>
  <si>
    <t>kg CH4 per kg DM</t>
  </si>
  <si>
    <t>kg CO2 per kg DM</t>
  </si>
  <si>
    <t>kg N2O per kg DM</t>
  </si>
  <si>
    <t>Silaging</t>
  </si>
  <si>
    <t>ecoinvent version 3.9.1, Allocation cut-of by classification, *ecoinvent process used: "market for irrigation, FR"</t>
  </si>
  <si>
    <t>Irrigation</t>
  </si>
  <si>
    <t>Forage crops, carbon footprint per kg of feed (DM)</t>
  </si>
  <si>
    <t>Share pasture</t>
  </si>
  <si>
    <t>MCF pasture</t>
  </si>
  <si>
    <t>MCF deep litter heifers</t>
  </si>
  <si>
    <t>CRF 2023, Table 3B(a)s2 MCF.   Only shares for liquid, solid, pasture and other (deep litter) were considered and adjusted to 100%. Weighted average between cool / temperate per type of manure</t>
  </si>
  <si>
    <t>CRF 2023, Table 3B(a)s2 Allocation.  Only shares for liquid, solid, pasture and other (deep litter) were considered and adjusted to 100%</t>
  </si>
  <si>
    <t>National CRF reports, 2023</t>
  </si>
  <si>
    <t xml:space="preserve">Remaining total-N </t>
  </si>
  <si>
    <t xml:space="preserve">Excreted N after losses, kg N </t>
  </si>
  <si>
    <t>Ammonia emissions, kg NH3</t>
  </si>
  <si>
    <t>EMEP/EEA 2019. Table 3.9, dairy cattle and non-dairy cattle</t>
  </si>
  <si>
    <t>Step 14</t>
  </si>
  <si>
    <t>Step 13</t>
  </si>
  <si>
    <t>Emissions of NH3-N from grazing, kg per year, E_graz</t>
  </si>
  <si>
    <t>Grazing</t>
  </si>
  <si>
    <t>EF NH3-N grazing</t>
  </si>
  <si>
    <t>Calculated, based on prices from:</t>
  </si>
  <si>
    <t>Eurostat, Selling prices of animal products (absolute prices) apri_ap_anouta 2018-2022 for LL countries</t>
  </si>
  <si>
    <t>European Comission, Agridata. Beef statistics, Beef prices (carcasses)</t>
  </si>
  <si>
    <t xml:space="preserve">See file Allocation factors Milk Beef </t>
  </si>
  <si>
    <t>Ranking here:</t>
  </si>
  <si>
    <t>Ranking Lesshen:</t>
  </si>
  <si>
    <t xml:space="preserve">Sweden </t>
  </si>
  <si>
    <t>Denmakr</t>
  </si>
  <si>
    <t>https://www.arla.se/4a9c19/globalassets/om-arla/hallbarhet/klimatberakningar/climate-check-report-2022.pdf</t>
  </si>
  <si>
    <t>Gödsel</t>
  </si>
  <si>
    <t>Energi</t>
  </si>
  <si>
    <t>Så detta behöver tittas på igen.</t>
  </si>
  <si>
    <t>Har räknat enligt vår metod men sen justerat foderåtgången och energianv för att siffrorna ska stämma ungefär med Arlas. Har också använt Emmas gamla allokeringsfaktor (0.93 istället för 0.87 som är den nya som Ludvig letat underlag till)</t>
  </si>
  <si>
    <t>Har heller inte justerat för N i foderodlingen, men kanske ska det inte göras här där vi har mycket vall för vallens fixering beräknas med hänsyn tagen till gödsling - behöver tänka litet mer på detta!!!</t>
  </si>
  <si>
    <t>NIR 2023, Table 5.11</t>
  </si>
  <si>
    <t>NIR 2023, Annex 3D Chapter 3D-1</t>
  </si>
  <si>
    <t>NIR 2023, Annex 3D Chapter 3D-1. Table 15</t>
  </si>
  <si>
    <t>CAPRI-data from Karlsson et al for Other cattle</t>
  </si>
  <si>
    <t xml:space="preserve">Putting Pasture impact = Ley impact, most pastures fertilised etc. </t>
  </si>
  <si>
    <t>Electricity use per dairy cow incl replacement, kWh per kg  milk</t>
  </si>
  <si>
    <t>Feed mix emissions, kg CO2E per kg feed, excl. adjustement manure</t>
  </si>
  <si>
    <t>Einarsson, Plan'Eat Fodder v2</t>
  </si>
  <si>
    <t>N2O from grazing missing???</t>
  </si>
  <si>
    <t>Forage, kg TS</t>
  </si>
  <si>
    <t>Pasture, kg TS</t>
  </si>
  <si>
    <t xml:space="preserve">Grains, kg </t>
  </si>
  <si>
    <t>Protein concentrate, kg</t>
  </si>
  <si>
    <t>Replacement heifers</t>
  </si>
  <si>
    <t>Verification</t>
  </si>
  <si>
    <t>From Moberg et al (2019)</t>
  </si>
  <si>
    <t>Sweden: Based on Cederberg et al. (2009a) and updated and adjusted to slaughter age, slaughter weight and grazing period of animals with input from Danielsson, R., pers. comm. (2018), Hessle, A., pers. comm. (2018) and Lindberg, H., pers. comm. (2018)</t>
  </si>
  <si>
    <t>Sum:</t>
  </si>
  <si>
    <t xml:space="preserve">*Cows are assessed per year, others per head for whole lifetime. </t>
  </si>
  <si>
    <t>Heifer per year</t>
  </si>
  <si>
    <t>Milk yield</t>
  </si>
  <si>
    <t>kg per cow per year</t>
  </si>
  <si>
    <t>Energy use cropping</t>
  </si>
  <si>
    <t>https://www2.jordbruksverket.se/download/18.23e68dd418d7c649d1721e97/1707728297575/jo23_17v3.pdf</t>
  </si>
  <si>
    <t>Approximated with half of ley for yield and all inputs, but for biodiversity values for pasture are used, and assuming no pesticides are used on pastures</t>
  </si>
  <si>
    <t xml:space="preserve">Pasture </t>
  </si>
  <si>
    <t>Spörnly &amp; Glimskär, 2018</t>
  </si>
  <si>
    <t>Approx with half ley for everything</t>
  </si>
  <si>
    <t>ASK RASMUS FOR YIELD AND FERTILISER DATA</t>
  </si>
  <si>
    <t>Chaudhary &amp; Brooks, 2018, Table S5, CF_Int pasture</t>
  </si>
  <si>
    <t>https://www.diva-portal.org/smash/get/diva2:1812068/FULLTEXT01.pdf</t>
  </si>
  <si>
    <t>Assuming all pasture on HNV-land with assumed positive contribution</t>
  </si>
  <si>
    <t>PSL/m2</t>
  </si>
  <si>
    <t>fPBL/m2</t>
  </si>
  <si>
    <t>HAR RISE GJORT RÄTT HÄR??</t>
  </si>
  <si>
    <t>UK</t>
  </si>
  <si>
    <t>Pasture use, m2/kg</t>
  </si>
  <si>
    <t>Approx France</t>
  </si>
  <si>
    <t>Footprints (per kg of meat)</t>
  </si>
  <si>
    <t>GB</t>
  </si>
  <si>
    <t>Meat yield, kg CW per suckler cow</t>
  </si>
  <si>
    <t>Ahlgren et al 2022, Tabell 10</t>
  </si>
  <si>
    <t>Share of feed ingredients for suckler cows (% based on DM)</t>
  </si>
  <si>
    <t>For Sweden, from Ahlgren et al 2022, Tabell 10</t>
  </si>
  <si>
    <t>Totalt:</t>
  </si>
  <si>
    <t>Vall (och halm), kg ts/år</t>
  </si>
  <si>
    <t>Bete, kg ts/år</t>
  </si>
  <si>
    <t>%</t>
  </si>
  <si>
    <t>Gns</t>
  </si>
  <si>
    <t>Meat yield, kg CW per heifer/bull/steer</t>
  </si>
  <si>
    <t>Ahlgren et al 2022, Tabell 12</t>
  </si>
  <si>
    <t>Share of feed ingredients for heifers/bulls/steers (% based on DM)</t>
  </si>
  <si>
    <t>For Sweden, from Ahlgren et al 2022, Tabell 12</t>
  </si>
  <si>
    <t>Köttrasstut Gns</t>
  </si>
  <si>
    <t>perår</t>
  </si>
  <si>
    <t>per djur</t>
  </si>
  <si>
    <t>Bete, kg ts/djur</t>
  </si>
  <si>
    <t>Vall (och halm), kg ts/djur</t>
  </si>
  <si>
    <t>Ahlgren et al 2022, Tabell U</t>
  </si>
  <si>
    <t>Suckler cows, kg DM per year</t>
  </si>
  <si>
    <t>IPCC (2019) Table 10.11, other cattle, Western Europé</t>
  </si>
  <si>
    <t>Methane enteric fermentation, kg CH4 per animal and year</t>
  </si>
  <si>
    <t>Bovine meat</t>
  </si>
  <si>
    <t>Red meat</t>
  </si>
  <si>
    <t>Suckler cows</t>
  </si>
  <si>
    <t>Heifers/bulls/steers for meat</t>
  </si>
  <si>
    <t>Number of suckler cows (any number can be used here)</t>
  </si>
  <si>
    <t>Number of dairy suckler cows * recruitment rate*2, times 2 because heifers are approx. 24 month when give birth first time</t>
  </si>
  <si>
    <t>(Number of dairy cows * fertility rate - recruitment heifers/2)*2, because animals are slaughtered at 24 month, ie they live for 2 years</t>
  </si>
  <si>
    <t xml:space="preserve">Number of suckler cows culled (ie replaced by recruitment heifers) * mortality suckler cows </t>
  </si>
  <si>
    <t>Half of heifers/bulls/steers slaugthered every year</t>
  </si>
  <si>
    <t>Heifers/bulls/steers, kg DM per year</t>
  </si>
  <si>
    <t>H/B/S</t>
  </si>
  <si>
    <t>Greenhouse gas emission for bonefree meat across countries, to farmgate, no waste</t>
  </si>
  <si>
    <t>Summa</t>
  </si>
  <si>
    <t>Köttrasstut</t>
  </si>
  <si>
    <t>Metan</t>
  </si>
  <si>
    <t>Lustgas, mark</t>
  </si>
  <si>
    <t>Övrigt</t>
  </si>
  <si>
    <t>CW</t>
  </si>
  <si>
    <t>Benfritt</t>
  </si>
  <si>
    <t>Comparison Ahlgren et al 2022</t>
  </si>
  <si>
    <t>Our data</t>
  </si>
  <si>
    <t>For grass eaters we do not adjust manure because the N in fertilisers on forage crops is only mineral fertiliser</t>
  </si>
  <si>
    <t>* Calculated as percentage of direct emissions due to assumption due to data limitations regarding nitrogen leaching and volatilization from soils in different regions.</t>
  </si>
  <si>
    <t>Indirect emissions*</t>
  </si>
  <si>
    <t>Nitrous oxide emissions from spreading</t>
  </si>
  <si>
    <t>Nitrous oxide, kg N2O</t>
  </si>
  <si>
    <t>Ahlgren et al 2022</t>
  </si>
  <si>
    <t>Including losses in a gross way based on Ahlgren et al, we set overall losses to 10% as a lot is ley/grass</t>
  </si>
  <si>
    <t>Klimat</t>
  </si>
  <si>
    <t>Ammoniak</t>
  </si>
  <si>
    <t>Lower value explained by us using TAN for manure calculations</t>
  </si>
  <si>
    <t>Land use</t>
  </si>
  <si>
    <t>Cropland</t>
  </si>
  <si>
    <t>Total for the feed mix, suckler cows:</t>
  </si>
  <si>
    <t>Comparison Moberg et al 2019</t>
  </si>
  <si>
    <t>N input</t>
  </si>
  <si>
    <t>P input</t>
  </si>
  <si>
    <t>Bioiversity</t>
  </si>
  <si>
    <t>Moberg 2019 Suckler only</t>
  </si>
  <si>
    <t>Moberg 2020 All beef</t>
  </si>
  <si>
    <t>We use lower yields for ley</t>
  </si>
  <si>
    <t>A01QV</t>
  </si>
  <si>
    <t>Bovine muscle</t>
  </si>
  <si>
    <t>Meat and meat products</t>
  </si>
  <si>
    <t xml:space="preserve">Bovine muscle </t>
  </si>
  <si>
    <t>Approx Ireland, except for biodiversity</t>
  </si>
  <si>
    <t>Approx Ireland, change!</t>
  </si>
  <si>
    <t>Approx Ireland for now - update!</t>
  </si>
  <si>
    <r>
      <t xml:space="preserve">Production parameters and emission factors for </t>
    </r>
    <r>
      <rPr>
        <b/>
        <sz val="14"/>
        <color theme="1"/>
        <rFont val="Calibri"/>
        <family val="2"/>
        <scheme val="minor"/>
      </rPr>
      <t>dairy calves slaughtered at 24 months</t>
    </r>
    <r>
      <rPr>
        <sz val="14"/>
        <color theme="1"/>
        <rFont val="Calibri"/>
        <family val="2"/>
        <scheme val="minor"/>
      </rPr>
      <t>, country specific</t>
    </r>
  </si>
  <si>
    <t xml:space="preserve">Mortality, % </t>
  </si>
  <si>
    <t>Ahlgren et al 2022, Tabell 11</t>
  </si>
  <si>
    <t>Share of feed ingredients (% based on DM)</t>
  </si>
  <si>
    <t>For Sweden, from Ahlgren et al 2022, Tabell 11</t>
  </si>
  <si>
    <t>Spannmål, kg/djur</t>
  </si>
  <si>
    <t>Number of animals in production, any number can be used here</t>
  </si>
  <si>
    <t>Half of heifers/bulls/steers slaugthered every year at age 24 m</t>
  </si>
  <si>
    <t>Production system for dairy calves slaughtered at 24 months</t>
  </si>
  <si>
    <t>Footprints for dairy calves slaughtered at 24 months (per kg of meat)</t>
  </si>
  <si>
    <t>Total for the feed mix, dairy calves 24m:</t>
  </si>
  <si>
    <t>Total for the feed mix, dairy calves 9m:</t>
  </si>
  <si>
    <t>Suckler offspring</t>
  </si>
  <si>
    <t>Dairy calves, 9m</t>
  </si>
  <si>
    <t>Dairy calves, 24m</t>
  </si>
  <si>
    <t>GHG emissions for dairy calves slaughtered at 24 months (per kg of meat)</t>
  </si>
  <si>
    <t>HELA DEN HÄR BEHÖVER FIXAS!!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</si>
</sst>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 #,##0.00_-;_-* &quot;-&quot;??_-;_-@_-"/>
    <numFmt numFmtId="164" formatCode="0.000"/>
    <numFmt numFmtId="165" formatCode="0.0"/>
    <numFmt numFmtId="166" formatCode="0.0E+00"/>
    <numFmt numFmtId="167" formatCode="#,##0.0"/>
    <numFmt numFmtId="168" formatCode="0.000E+00"/>
    <numFmt numFmtId="169" formatCode="0E+00"/>
    <numFmt numFmtId="170" formatCode="0.0000"/>
    <numFmt numFmtId="171" formatCode="0.00000"/>
    <numFmt numFmtId="172" formatCode="_-* #,##0.00\ _F_-;\-* #,##0.00\ _F_-;_-* &quot;-&quot;??\ _F_-;_-@_-"/>
    <numFmt numFmtId="173" formatCode="#,##0.0000"/>
    <numFmt numFmtId="174" formatCode="0.000000"/>
    <numFmt numFmtId="175" formatCode="0.000000000"/>
  </numFmts>
  <fonts count="96" x14ac:knownFonts="1">
    <font>
      <sz val="11"/>
      <color theme="1"/>
      <name val="Calibri"/>
      <family val="2"/>
      <scheme val="minor"/>
    </font>
    <font>
      <sz val="11"/>
      <color rgb="FFFF0000"/>
      <name val="Calibri"/>
      <family val="2"/>
      <scheme val="minor"/>
    </font>
    <font>
      <b/>
      <sz val="11"/>
      <color theme="1"/>
      <name val="Calibri"/>
      <family val="2"/>
      <scheme val="minor"/>
    </font>
    <font>
      <sz val="14"/>
      <color theme="1"/>
      <name val="Calibri"/>
      <family val="2"/>
      <scheme val="minor"/>
    </font>
    <font>
      <sz val="16"/>
      <color theme="1"/>
      <name val="Calibri"/>
      <family val="2"/>
      <scheme val="minor"/>
    </font>
    <font>
      <sz val="10"/>
      <name val="Arial"/>
      <family val="2"/>
    </font>
    <font>
      <i/>
      <sz val="10"/>
      <color theme="1"/>
      <name val="Calibri"/>
      <family val="2"/>
      <scheme val="minor"/>
    </font>
    <font>
      <i/>
      <sz val="11"/>
      <color theme="1"/>
      <name val="Calibri"/>
      <family val="2"/>
      <scheme val="minor"/>
    </font>
    <font>
      <sz val="11"/>
      <name val="Calibri"/>
      <family val="2"/>
      <scheme val="minor"/>
    </font>
    <font>
      <sz val="11"/>
      <color theme="1" tint="0.499984740745262"/>
      <name val="Calibri"/>
      <family val="2"/>
      <scheme val="minor"/>
    </font>
    <font>
      <b/>
      <sz val="11"/>
      <color theme="1" tint="0.499984740745262"/>
      <name val="Calibri"/>
      <family val="2"/>
      <scheme val="minor"/>
    </font>
    <font>
      <b/>
      <sz val="11"/>
      <color theme="0"/>
      <name val="Calibri"/>
      <family val="2"/>
      <scheme val="minor"/>
    </font>
    <font>
      <sz val="11"/>
      <color theme="0"/>
      <name val="Calibri"/>
      <family val="2"/>
      <scheme val="minor"/>
    </font>
    <font>
      <sz val="11"/>
      <color theme="4" tint="-0.249977111117893"/>
      <name val="Calibri"/>
      <family val="2"/>
      <scheme val="minor"/>
    </font>
    <font>
      <sz val="9"/>
      <color theme="1"/>
      <name val="Calibri"/>
      <family val="2"/>
      <scheme val="minor"/>
    </font>
    <font>
      <sz val="11"/>
      <color theme="4" tint="-0.499984740745262"/>
      <name val="Calibri"/>
      <family val="2"/>
      <scheme val="minor"/>
    </font>
    <font>
      <b/>
      <sz val="11"/>
      <name val="Calibri"/>
      <family val="2"/>
      <scheme val="minor"/>
    </font>
    <font>
      <i/>
      <sz val="11"/>
      <name val="Calibri"/>
      <family val="2"/>
      <scheme val="minor"/>
    </font>
    <font>
      <sz val="10"/>
      <color theme="1"/>
      <name val="Calibri"/>
      <family val="2"/>
      <scheme val="minor"/>
    </font>
    <font>
      <sz val="10"/>
      <color rgb="FF000000"/>
      <name val="Calibri"/>
      <family val="2"/>
      <scheme val="minor"/>
    </font>
    <font>
      <sz val="10"/>
      <color rgb="FF000000"/>
      <name val="Trebuchet MS"/>
      <family val="2"/>
    </font>
    <font>
      <b/>
      <i/>
      <sz val="11"/>
      <name val="Calibri"/>
      <family val="2"/>
      <scheme val="minor"/>
    </font>
    <font>
      <sz val="11"/>
      <color rgb="FF000000"/>
      <name val="Calibri"/>
      <family val="2"/>
      <scheme val="minor"/>
    </font>
    <font>
      <sz val="11"/>
      <color theme="5" tint="-0.249977111117893"/>
      <name val="Calibri"/>
      <family val="2"/>
      <scheme val="minor"/>
    </font>
    <font>
      <sz val="10"/>
      <name val="Calibri"/>
      <family val="2"/>
      <scheme val="minor"/>
    </font>
    <font>
      <i/>
      <sz val="11"/>
      <color rgb="FFFF0000"/>
      <name val="Calibri"/>
      <family val="2"/>
      <scheme val="minor"/>
    </font>
    <font>
      <b/>
      <sz val="11"/>
      <color rgb="FFFF0000"/>
      <name val="Calibri"/>
      <family val="2"/>
      <scheme val="minor"/>
    </font>
    <font>
      <sz val="11"/>
      <color theme="1"/>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i/>
      <sz val="11"/>
      <color rgb="FF7F7F7F"/>
      <name val="Calibri"/>
      <family val="2"/>
      <scheme val="minor"/>
    </font>
    <font>
      <b/>
      <sz val="12"/>
      <name val="Times New Roman"/>
      <family val="1"/>
    </font>
    <font>
      <sz val="9"/>
      <color indexed="8"/>
      <name val="Times New Roman"/>
      <family val="1"/>
    </font>
    <font>
      <b/>
      <sz val="9"/>
      <name val="Times New Roman"/>
      <family val="1"/>
    </font>
    <font>
      <sz val="9"/>
      <name val="Times New Roman"/>
      <family val="1"/>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sz val="11"/>
      <color theme="4"/>
      <name val="Calibri"/>
      <family val="2"/>
      <scheme val="minor"/>
    </font>
    <font>
      <b/>
      <sz val="10"/>
      <color theme="1"/>
      <name val="Calibri"/>
      <family val="2"/>
      <scheme val="minor"/>
    </font>
    <font>
      <sz val="11"/>
      <color theme="8" tint="-0.249977111117893"/>
      <name val="Calibri"/>
      <family val="2"/>
      <scheme val="minor"/>
    </font>
    <font>
      <u/>
      <sz val="11"/>
      <color theme="10"/>
      <name val="Calibri"/>
      <family val="2"/>
      <scheme val="minor"/>
    </font>
    <font>
      <sz val="11"/>
      <color theme="8"/>
      <name val="Calibri"/>
      <family val="2"/>
      <scheme val="minor"/>
    </font>
    <font>
      <sz val="11"/>
      <color theme="9" tint="-0.249977111117893"/>
      <name val="Calibri"/>
      <family val="2"/>
      <scheme val="minor"/>
    </font>
    <font>
      <sz val="12"/>
      <color theme="1"/>
      <name val="Calibri"/>
      <family val="2"/>
      <scheme val="minor"/>
    </font>
    <font>
      <sz val="8"/>
      <name val="Helvetica"/>
    </font>
    <font>
      <sz val="11"/>
      <color indexed="8"/>
      <name val="Calibri"/>
      <family val="2"/>
      <scheme val="minor"/>
    </font>
    <font>
      <b/>
      <sz val="10"/>
      <name val="Calibri"/>
      <family val="2"/>
      <scheme val="minor"/>
    </font>
    <font>
      <sz val="11"/>
      <color theme="5"/>
      <name val="Calibri"/>
      <family val="2"/>
      <scheme val="minor"/>
    </font>
    <font>
      <b/>
      <i/>
      <sz val="11"/>
      <color theme="1"/>
      <name val="Calibri"/>
      <family val="2"/>
      <scheme val="minor"/>
    </font>
    <font>
      <b/>
      <sz val="13"/>
      <color theme="1"/>
      <name val="Calibri"/>
      <family val="2"/>
      <scheme val="minor"/>
    </font>
    <font>
      <sz val="9"/>
      <color indexed="81"/>
      <name val="Tahoma"/>
      <family val="2"/>
    </font>
    <font>
      <b/>
      <sz val="9"/>
      <color indexed="81"/>
      <name val="Tahoma"/>
      <family val="2"/>
    </font>
    <font>
      <b/>
      <sz val="14"/>
      <color theme="1"/>
      <name val="Calibri"/>
      <family val="2"/>
      <scheme val="minor"/>
    </font>
  </fonts>
  <fills count="66">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
      <patternFill patternType="solid">
        <fgColor theme="2"/>
        <bgColor indexed="64"/>
      </patternFill>
    </fill>
    <fill>
      <patternFill patternType="solid">
        <fgColor theme="0" tint="-4.9989318521683403E-2"/>
        <bgColor indexed="64"/>
      </patternFill>
    </fill>
    <fill>
      <patternFill patternType="solid">
        <fgColor theme="4" tint="0.39997558519241921"/>
        <bgColor indexed="64"/>
      </patternFill>
    </fill>
    <fill>
      <patternFill patternType="solid">
        <fgColor theme="9" tint="-0.249977111117893"/>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6" tint="0.79998168889431442"/>
        <bgColor indexed="64"/>
      </patternFill>
    </fill>
    <fill>
      <patternFill patternType="solid">
        <fgColor rgb="FFFFFF00"/>
        <bgColor indexed="64"/>
      </patternFill>
    </fill>
    <fill>
      <patternFill patternType="solid">
        <fgColor rgb="FFFFCC99"/>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2"/>
        <bgColor indexed="64"/>
      </patternFill>
    </fill>
    <fill>
      <patternFill patternType="solid">
        <fgColor indexed="55"/>
        <bgColor indexed="64"/>
      </patternFill>
    </fill>
    <fill>
      <patternFill patternType="solid">
        <fgColor indexed="47"/>
        <bgColor indexed="64"/>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theme="9" tint="0.39997558519241921"/>
        <bgColor indexed="64"/>
      </patternFill>
    </fill>
    <fill>
      <patternFill patternType="solid">
        <fgColor theme="4" tint="0.59999389629810485"/>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7"/>
        <bgColor indexed="64"/>
      </patternFill>
    </fill>
  </fills>
  <borders count="572">
    <border>
      <left/>
      <right/>
      <top/>
      <bottom/>
      <diagonal/>
    </border>
    <border>
      <left/>
      <right/>
      <top style="thin">
        <color indexed="64"/>
      </top>
      <bottom/>
      <diagonal/>
    </border>
    <border>
      <left style="thin">
        <color indexed="64"/>
      </left>
      <right/>
      <top/>
      <bottom/>
      <diagonal/>
    </border>
    <border>
      <left/>
      <right/>
      <top/>
      <bottom style="thin">
        <color indexed="64"/>
      </bottom>
      <diagonal/>
    </border>
    <border>
      <left/>
      <right style="double">
        <color theme="9" tint="-0.249977111117893"/>
      </right>
      <top/>
      <bottom style="thin">
        <color indexed="64"/>
      </bottom>
      <diagonal/>
    </border>
    <border>
      <left style="double">
        <color theme="9" tint="-0.249977111117893"/>
      </left>
      <right style="double">
        <color theme="9" tint="-0.249977111117893"/>
      </right>
      <top style="double">
        <color theme="9" tint="-0.249977111117893"/>
      </top>
      <bottom style="double">
        <color theme="9" tint="-0.249977111117893"/>
      </bottom>
      <diagonal/>
    </border>
    <border>
      <left style="double">
        <color theme="9" tint="-0.249977111117893"/>
      </left>
      <right style="double">
        <color theme="9" tint="-0.249977111117893"/>
      </right>
      <top style="double">
        <color theme="9" tint="-0.249977111117893"/>
      </top>
      <bottom style="thin">
        <color indexed="64"/>
      </bottom>
      <diagonal/>
    </border>
    <border>
      <left style="double">
        <color theme="9" tint="-0.249977111117893"/>
      </left>
      <right/>
      <top/>
      <bottom style="thin">
        <color indexed="64"/>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style="medium">
        <color indexed="64"/>
      </left>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right style="thin">
        <color indexed="64"/>
      </right>
      <top style="thin">
        <color indexed="64"/>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top style="thin">
        <color indexed="64"/>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s>
  <cellStyleXfs count="31427">
    <xf numFmtId="0" fontId="0" fillId="0" borderId="0"/>
    <xf numFmtId="0" fontId="5" fillId="0" borderId="0"/>
    <xf numFmtId="0" fontId="28" fillId="12" borderId="13" applyNumberFormat="0" applyAlignment="0" applyProtection="0"/>
    <xf numFmtId="0" fontId="32" fillId="0" borderId="0" applyNumberFormat="0" applyFill="0" applyBorder="0" applyAlignment="0" applyProtection="0"/>
    <xf numFmtId="0" fontId="33" fillId="0" borderId="0" applyNumberFormat="0">
      <alignment horizontal="right"/>
    </xf>
    <xf numFmtId="0" fontId="5" fillId="0" borderId="0"/>
    <xf numFmtId="0" fontId="34" fillId="0" borderId="0" applyNumberFormat="0" applyFill="0" applyBorder="0" applyProtection="0">
      <alignment horizontal="left" vertical="center"/>
    </xf>
    <xf numFmtId="0" fontId="35" fillId="32" borderId="0" applyBorder="0">
      <alignment horizontal="right" vertical="center"/>
    </xf>
    <xf numFmtId="0" fontId="35" fillId="32" borderId="16">
      <alignment horizontal="right" vertical="center"/>
    </xf>
    <xf numFmtId="0" fontId="5" fillId="0" borderId="0" applyNumberFormat="0" applyFont="0" applyFill="0" applyBorder="0" applyProtection="0">
      <alignment horizontal="left" vertical="center" indent="2"/>
    </xf>
    <xf numFmtId="0" fontId="35" fillId="32" borderId="0" applyBorder="0">
      <alignment horizontal="right" vertical="center"/>
    </xf>
    <xf numFmtId="0" fontId="35" fillId="0" borderId="0" applyBorder="0">
      <alignment horizontal="right" vertical="center"/>
    </xf>
    <xf numFmtId="0" fontId="5" fillId="33" borderId="0" applyNumberFormat="0" applyFont="0" applyBorder="0" applyAlignment="0" applyProtection="0"/>
    <xf numFmtId="0" fontId="5" fillId="0" borderId="0" applyNumberFormat="0" applyFont="0" applyFill="0" applyBorder="0" applyProtection="0">
      <alignment horizontal="left" vertical="center" indent="5"/>
    </xf>
    <xf numFmtId="0" fontId="35" fillId="0" borderId="19" applyNumberFormat="0" applyFill="0" applyAlignment="0" applyProtection="0"/>
    <xf numFmtId="0" fontId="33" fillId="0" borderId="22">
      <alignment horizontal="left" vertical="top" wrapText="1"/>
    </xf>
    <xf numFmtId="0" fontId="33" fillId="34" borderId="19">
      <alignment horizontal="right" vertical="center"/>
    </xf>
    <xf numFmtId="0" fontId="33" fillId="34" borderId="19">
      <alignment horizontal="right" vertical="center"/>
    </xf>
    <xf numFmtId="0" fontId="35" fillId="0" borderId="24">
      <alignment horizontal="left" vertical="center" wrapText="1" indent="2"/>
    </xf>
    <xf numFmtId="0" fontId="33" fillId="34" borderId="20">
      <alignment horizontal="right" vertical="center"/>
    </xf>
    <xf numFmtId="0" fontId="35" fillId="0" borderId="19">
      <alignment horizontal="right" vertical="center"/>
    </xf>
    <xf numFmtId="0" fontId="5" fillId="0" borderId="23"/>
    <xf numFmtId="0" fontId="37" fillId="32" borderId="19">
      <alignment horizontal="right" vertical="center"/>
    </xf>
    <xf numFmtId="0" fontId="35" fillId="33" borderId="19"/>
    <xf numFmtId="0" fontId="33" fillId="32" borderId="19">
      <alignment horizontal="right" vertical="center"/>
    </xf>
    <xf numFmtId="0" fontId="33" fillId="32" borderId="17">
      <alignment horizontal="right" vertical="center"/>
    </xf>
    <xf numFmtId="0" fontId="35" fillId="0" borderId="17">
      <alignment horizontal="right" vertical="center"/>
    </xf>
    <xf numFmtId="4" fontId="5" fillId="0" borderId="0"/>
    <xf numFmtId="0" fontId="33" fillId="34" borderId="21">
      <alignment horizontal="right" vertical="center"/>
    </xf>
    <xf numFmtId="0" fontId="33" fillId="34" borderId="17">
      <alignment horizontal="right" vertical="center"/>
    </xf>
    <xf numFmtId="0" fontId="33" fillId="34" borderId="18">
      <alignment horizontal="right" vertical="center"/>
    </xf>
    <xf numFmtId="4" fontId="33" fillId="34" borderId="20">
      <alignment horizontal="right" vertical="center"/>
    </xf>
    <xf numFmtId="0" fontId="35" fillId="0" borderId="0"/>
    <xf numFmtId="0" fontId="35" fillId="37" borderId="19">
      <alignment horizontal="right" vertical="center"/>
    </xf>
    <xf numFmtId="0" fontId="35" fillId="37" borderId="0" applyBorder="0">
      <alignment horizontal="right" vertical="center"/>
    </xf>
    <xf numFmtId="0" fontId="5" fillId="0" borderId="0"/>
    <xf numFmtId="0" fontId="5" fillId="36" borderId="19"/>
    <xf numFmtId="4" fontId="5" fillId="0" borderId="0"/>
    <xf numFmtId="4" fontId="35" fillId="0" borderId="19" applyFill="0" applyBorder="0" applyProtection="0">
      <alignment horizontal="right" vertical="center"/>
    </xf>
    <xf numFmtId="0" fontId="40" fillId="0" borderId="0" applyNumberFormat="0" applyFill="0" applyBorder="0" applyAlignment="0" applyProtection="0"/>
    <xf numFmtId="4" fontId="5" fillId="0" borderId="0"/>
    <xf numFmtId="4" fontId="5" fillId="0" borderId="0"/>
    <xf numFmtId="0" fontId="27" fillId="0" borderId="0"/>
    <xf numFmtId="0" fontId="35" fillId="33" borderId="19"/>
    <xf numFmtId="0" fontId="33" fillId="34" borderId="20">
      <alignment horizontal="right" vertical="center"/>
    </xf>
    <xf numFmtId="0" fontId="29" fillId="13" borderId="14" applyNumberFormat="0" applyAlignment="0" applyProtection="0"/>
    <xf numFmtId="0" fontId="30" fillId="13" borderId="13" applyNumberFormat="0" applyAlignment="0" applyProtection="0"/>
    <xf numFmtId="0" fontId="1" fillId="0" borderId="0" applyNumberFormat="0" applyFill="0" applyBorder="0" applyAlignment="0" applyProtection="0"/>
    <xf numFmtId="0" fontId="31" fillId="0" borderId="0" applyNumberFormat="0" applyFill="0" applyBorder="0" applyAlignment="0" applyProtection="0"/>
    <xf numFmtId="0" fontId="2" fillId="0" borderId="15" applyNumberFormat="0" applyFill="0" applyAlignment="0" applyProtection="0"/>
    <xf numFmtId="0" fontId="27" fillId="14" borderId="0" applyNumberFormat="0" applyBorder="0" applyAlignment="0" applyProtection="0"/>
    <xf numFmtId="0" fontId="27" fillId="15" borderId="0" applyNumberFormat="0" applyBorder="0" applyAlignment="0" applyProtection="0"/>
    <xf numFmtId="0" fontId="12" fillId="16" borderId="0" applyNumberFormat="0" applyBorder="0" applyAlignment="0" applyProtection="0"/>
    <xf numFmtId="0" fontId="27" fillId="17" borderId="0" applyNumberFormat="0" applyBorder="0" applyAlignment="0" applyProtection="0"/>
    <xf numFmtId="0" fontId="27" fillId="18" borderId="0" applyNumberFormat="0" applyBorder="0" applyAlignment="0" applyProtection="0"/>
    <xf numFmtId="0" fontId="12" fillId="19" borderId="0" applyNumberFormat="0" applyBorder="0" applyAlignment="0" applyProtection="0"/>
    <xf numFmtId="0" fontId="27" fillId="20" borderId="0" applyNumberFormat="0" applyBorder="0" applyAlignment="0" applyProtection="0"/>
    <xf numFmtId="0" fontId="27" fillId="21" borderId="0" applyNumberFormat="0" applyBorder="0" applyAlignment="0" applyProtection="0"/>
    <xf numFmtId="0" fontId="12" fillId="22" borderId="0" applyNumberFormat="0" applyBorder="0" applyAlignment="0" applyProtection="0"/>
    <xf numFmtId="0" fontId="27" fillId="23" borderId="0" applyNumberFormat="0" applyBorder="0" applyAlignment="0" applyProtection="0"/>
    <xf numFmtId="0" fontId="27" fillId="24" borderId="0" applyNumberFormat="0" applyBorder="0" applyAlignment="0" applyProtection="0"/>
    <xf numFmtId="0" fontId="12" fillId="25" borderId="0" applyNumberFormat="0" applyBorder="0" applyAlignment="0" applyProtection="0"/>
    <xf numFmtId="0" fontId="27" fillId="26" borderId="0" applyNumberFormat="0" applyBorder="0" applyAlignment="0" applyProtection="0"/>
    <xf numFmtId="0" fontId="27" fillId="27" borderId="0" applyNumberFormat="0" applyBorder="0" applyAlignment="0" applyProtection="0"/>
    <xf numFmtId="0" fontId="12" fillId="28" borderId="0" applyNumberFormat="0" applyBorder="0" applyAlignment="0" applyProtection="0"/>
    <xf numFmtId="0" fontId="27" fillId="29" borderId="0" applyNumberFormat="0" applyBorder="0" applyAlignment="0" applyProtection="0"/>
    <xf numFmtId="0" fontId="27" fillId="30" borderId="0" applyNumberFormat="0" applyBorder="0" applyAlignment="0" applyProtection="0"/>
    <xf numFmtId="0" fontId="12" fillId="31" borderId="0" applyNumberFormat="0" applyBorder="0" applyAlignment="0" applyProtection="0"/>
    <xf numFmtId="0" fontId="35" fillId="0" borderId="19" applyNumberFormat="0" applyFill="0" applyAlignment="0" applyProtection="0"/>
    <xf numFmtId="0" fontId="33" fillId="34" borderId="19">
      <alignment horizontal="right" vertical="center"/>
    </xf>
    <xf numFmtId="0" fontId="33" fillId="34" borderId="19">
      <alignment horizontal="right" vertical="center"/>
    </xf>
    <xf numFmtId="0" fontId="35" fillId="0" borderId="24">
      <alignment horizontal="left" vertical="center" wrapText="1" indent="2"/>
    </xf>
    <xf numFmtId="0" fontId="33" fillId="34" borderId="20">
      <alignment horizontal="right" vertical="center"/>
    </xf>
    <xf numFmtId="0" fontId="35" fillId="0" borderId="19">
      <alignment horizontal="right" vertical="center"/>
    </xf>
    <xf numFmtId="0" fontId="37" fillId="32" borderId="19">
      <alignment horizontal="right" vertical="center"/>
    </xf>
    <xf numFmtId="0" fontId="35" fillId="33" borderId="19"/>
    <xf numFmtId="0" fontId="33" fillId="32" borderId="19">
      <alignment horizontal="right" vertical="center"/>
    </xf>
    <xf numFmtId="0" fontId="33" fillId="34" borderId="18">
      <alignment horizontal="right" vertical="center"/>
    </xf>
    <xf numFmtId="0" fontId="39" fillId="0" borderId="0" applyNumberFormat="0" applyFill="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41"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5" fillId="0" borderId="0" applyNumberFormat="0" applyFont="0" applyFill="0" applyBorder="0" applyProtection="0">
      <alignment horizontal="left" vertical="center" indent="2"/>
    </xf>
    <xf numFmtId="0" fontId="5" fillId="0" borderId="0" applyNumberFormat="0" applyFont="0" applyFill="0" applyBorder="0" applyProtection="0">
      <alignment horizontal="left" vertical="center" indent="2"/>
    </xf>
    <xf numFmtId="49" fontId="35" fillId="0" borderId="19" applyNumberFormat="0" applyFont="0" applyFill="0" applyBorder="0" applyProtection="0">
      <alignment horizontal="left" vertical="center" indent="2"/>
    </xf>
    <xf numFmtId="0" fontId="41" fillId="44" borderId="0" applyNumberFormat="0" applyBorder="0" applyAlignment="0" applyProtection="0"/>
    <xf numFmtId="0" fontId="41" fillId="45" borderId="0" applyNumberFormat="0" applyBorder="0" applyAlignment="0" applyProtection="0"/>
    <xf numFmtId="0" fontId="41" fillId="46" borderId="0" applyNumberFormat="0" applyBorder="0" applyAlignment="0" applyProtection="0"/>
    <xf numFmtId="0" fontId="41" fillId="41" borderId="0" applyNumberFormat="0" applyBorder="0" applyAlignment="0" applyProtection="0"/>
    <xf numFmtId="0" fontId="41" fillId="44" borderId="0" applyNumberFormat="0" applyBorder="0" applyAlignment="0" applyProtection="0"/>
    <xf numFmtId="0" fontId="41" fillId="47" borderId="0" applyNumberFormat="0" applyBorder="0" applyAlignment="0" applyProtection="0"/>
    <xf numFmtId="0" fontId="5" fillId="0" borderId="0" applyNumberFormat="0" applyFont="0" applyFill="0" applyBorder="0" applyProtection="0">
      <alignment horizontal="left" vertical="center" indent="5"/>
    </xf>
    <xf numFmtId="0" fontId="5" fillId="0" borderId="0" applyNumberFormat="0" applyFont="0" applyFill="0" applyBorder="0" applyProtection="0">
      <alignment horizontal="left" vertical="center" indent="5"/>
    </xf>
    <xf numFmtId="49" fontId="35" fillId="0" borderId="18" applyNumberFormat="0" applyFont="0" applyFill="0" applyBorder="0" applyProtection="0">
      <alignment horizontal="left" vertical="center" indent="5"/>
    </xf>
    <xf numFmtId="0" fontId="43" fillId="48" borderId="0" applyNumberFormat="0" applyBorder="0" applyAlignment="0" applyProtection="0"/>
    <xf numFmtId="0" fontId="43" fillId="45" borderId="0" applyNumberFormat="0" applyBorder="0" applyAlignment="0" applyProtection="0"/>
    <xf numFmtId="0" fontId="43" fillId="46" borderId="0" applyNumberFormat="0" applyBorder="0" applyAlignment="0" applyProtection="0"/>
    <xf numFmtId="0" fontId="43" fillId="49" borderId="0" applyNumberFormat="0" applyBorder="0" applyAlignment="0" applyProtection="0"/>
    <xf numFmtId="0" fontId="43" fillId="50" borderId="0" applyNumberFormat="0" applyBorder="0" applyAlignment="0" applyProtection="0"/>
    <xf numFmtId="0" fontId="43" fillId="51" borderId="0" applyNumberFormat="0" applyBorder="0" applyAlignment="0" applyProtection="0"/>
    <xf numFmtId="0" fontId="43" fillId="52" borderId="0" applyNumberFormat="0" applyBorder="0" applyAlignment="0" applyProtection="0"/>
    <xf numFmtId="0" fontId="43" fillId="53" borderId="0" applyNumberFormat="0" applyBorder="0" applyAlignment="0" applyProtection="0"/>
    <xf numFmtId="0" fontId="43" fillId="54" borderId="0" applyNumberFormat="0" applyBorder="0" applyAlignment="0" applyProtection="0"/>
    <xf numFmtId="0" fontId="43" fillId="49" borderId="0" applyNumberFormat="0" applyBorder="0" applyAlignment="0" applyProtection="0"/>
    <xf numFmtId="0" fontId="43" fillId="50" borderId="0" applyNumberFormat="0" applyBorder="0" applyAlignment="0" applyProtection="0"/>
    <xf numFmtId="0" fontId="43" fillId="55" borderId="0" applyNumberFormat="0" applyBorder="0" applyAlignment="0" applyProtection="0"/>
    <xf numFmtId="0" fontId="34" fillId="37" borderId="0" applyBorder="0" applyAlignment="0"/>
    <xf numFmtId="4" fontId="34" fillId="37" borderId="0" applyBorder="0" applyAlignment="0"/>
    <xf numFmtId="4" fontId="35" fillId="37" borderId="0" applyBorder="0">
      <alignment horizontal="right" vertical="center"/>
    </xf>
    <xf numFmtId="4" fontId="35" fillId="32" borderId="0" applyBorder="0">
      <alignment horizontal="right" vertical="center"/>
    </xf>
    <xf numFmtId="4" fontId="35" fillId="32" borderId="0" applyBorder="0">
      <alignment horizontal="right" vertical="center"/>
    </xf>
    <xf numFmtId="4" fontId="33" fillId="32" borderId="19">
      <alignment horizontal="right" vertical="center"/>
    </xf>
    <xf numFmtId="4" fontId="37" fillId="32" borderId="19">
      <alignment horizontal="right" vertical="center"/>
    </xf>
    <xf numFmtId="4" fontId="33" fillId="34" borderId="19">
      <alignment horizontal="right" vertical="center"/>
    </xf>
    <xf numFmtId="4" fontId="33" fillId="34" borderId="19">
      <alignment horizontal="right" vertical="center"/>
    </xf>
    <xf numFmtId="4" fontId="33" fillId="34" borderId="18">
      <alignment horizontal="right" vertical="center"/>
    </xf>
    <xf numFmtId="4" fontId="33" fillId="34" borderId="20">
      <alignment horizontal="right" vertical="center"/>
    </xf>
    <xf numFmtId="0" fontId="42" fillId="52" borderId="0" applyNumberFormat="0" applyBorder="0" applyAlignment="0" applyProtection="0"/>
    <xf numFmtId="0" fontId="42" fillId="53" borderId="0" applyNumberFormat="0" applyBorder="0" applyAlignment="0" applyProtection="0"/>
    <xf numFmtId="0" fontId="42" fillId="54" borderId="0" applyNumberFormat="0" applyBorder="0" applyAlignment="0" applyProtection="0"/>
    <xf numFmtId="0" fontId="42" fillId="49" borderId="0" applyNumberFormat="0" applyBorder="0" applyAlignment="0" applyProtection="0"/>
    <xf numFmtId="0" fontId="42" fillId="50" borderId="0" applyNumberFormat="0" applyBorder="0" applyAlignment="0" applyProtection="0"/>
    <xf numFmtId="0" fontId="42" fillId="55" borderId="0" applyNumberFormat="0" applyBorder="0" applyAlignment="0" applyProtection="0"/>
    <xf numFmtId="0" fontId="45" fillId="39" borderId="0" applyNumberFormat="0" applyBorder="0" applyAlignment="0" applyProtection="0"/>
    <xf numFmtId="4" fontId="34" fillId="0" borderId="12" applyFill="0" applyBorder="0" applyProtection="0">
      <alignment horizontal="right" vertical="center"/>
    </xf>
    <xf numFmtId="0" fontId="47" fillId="56" borderId="26" applyNumberFormat="0" applyAlignment="0" applyProtection="0"/>
    <xf numFmtId="0" fontId="48" fillId="57" borderId="27" applyNumberFormat="0" applyAlignment="0" applyProtection="0"/>
    <xf numFmtId="43" fontId="38" fillId="0" borderId="0" applyFont="0" applyFill="0" applyBorder="0" applyAlignment="0" applyProtection="0"/>
    <xf numFmtId="172" fontId="49" fillId="0" borderId="0" applyFont="0" applyFill="0" applyBorder="0" applyAlignment="0" applyProtection="0"/>
    <xf numFmtId="43" fontId="38" fillId="0" borderId="0" applyFont="0" applyFill="0" applyBorder="0" applyAlignment="0" applyProtection="0"/>
    <xf numFmtId="0" fontId="35" fillId="34" borderId="24">
      <alignment horizontal="left" vertical="center" wrapText="1" indent="2"/>
    </xf>
    <xf numFmtId="0" fontId="35" fillId="32" borderId="18">
      <alignment horizontal="left" vertical="center"/>
    </xf>
    <xf numFmtId="0" fontId="53" fillId="0" borderId="0" applyNumberFormat="0" applyFill="0" applyBorder="0" applyAlignment="0" applyProtection="0"/>
    <xf numFmtId="0" fontId="54" fillId="40" borderId="0" applyNumberFormat="0" applyBorder="0" applyAlignment="0" applyProtection="0"/>
    <xf numFmtId="0" fontId="55" fillId="40" borderId="0" applyNumberFormat="0" applyBorder="0" applyAlignment="0" applyProtection="0"/>
    <xf numFmtId="0" fontId="56" fillId="0" borderId="29" applyNumberFormat="0" applyFill="0" applyAlignment="0" applyProtection="0"/>
    <xf numFmtId="0" fontId="57" fillId="0" borderId="30" applyNumberFormat="0" applyFill="0" applyAlignment="0" applyProtection="0"/>
    <xf numFmtId="0" fontId="58" fillId="0" borderId="31" applyNumberFormat="0" applyFill="0" applyAlignment="0" applyProtection="0"/>
    <xf numFmtId="0" fontId="58" fillId="0" borderId="0" applyNumberFormat="0" applyFill="0" applyBorder="0" applyAlignment="0" applyProtection="0"/>
    <xf numFmtId="0" fontId="59" fillId="43" borderId="26" applyNumberFormat="0" applyAlignment="0" applyProtection="0"/>
    <xf numFmtId="4" fontId="35" fillId="0" borderId="0" applyBorder="0">
      <alignment horizontal="right" vertical="center"/>
    </xf>
    <xf numFmtId="0" fontId="35" fillId="0" borderId="3">
      <alignment horizontal="right" vertical="center"/>
    </xf>
    <xf numFmtId="4" fontId="35" fillId="0" borderId="19">
      <alignment horizontal="right" vertical="center"/>
    </xf>
    <xf numFmtId="1" fontId="36" fillId="32" borderId="0" applyBorder="0">
      <alignment horizontal="right" vertical="center"/>
    </xf>
    <xf numFmtId="0" fontId="60" fillId="0" borderId="32" applyNumberFormat="0" applyFill="0" applyAlignment="0" applyProtection="0"/>
    <xf numFmtId="0" fontId="61" fillId="58" borderId="0" applyNumberFormat="0" applyBorder="0" applyAlignment="0" applyProtection="0"/>
    <xf numFmtId="0" fontId="5" fillId="0" borderId="0"/>
    <xf numFmtId="0" fontId="5" fillId="0" borderId="0"/>
    <xf numFmtId="0" fontId="5" fillId="0" borderId="0"/>
    <xf numFmtId="0" fontId="5" fillId="0" borderId="0"/>
    <xf numFmtId="0" fontId="49" fillId="0" borderId="0"/>
    <xf numFmtId="4" fontId="62" fillId="0" borderId="0"/>
    <xf numFmtId="0" fontId="5" fillId="0" borderId="0"/>
    <xf numFmtId="0" fontId="5" fillId="0" borderId="0"/>
    <xf numFmtId="0" fontId="5" fillId="0" borderId="0"/>
    <xf numFmtId="0" fontId="5" fillId="0" borderId="0"/>
    <xf numFmtId="0" fontId="27" fillId="0" borderId="0"/>
    <xf numFmtId="4" fontId="35" fillId="0" borderId="0" applyFill="0" applyBorder="0" applyProtection="0">
      <alignment horizontal="right" vertical="center"/>
    </xf>
    <xf numFmtId="4" fontId="35" fillId="0" borderId="0" applyFill="0" applyBorder="0" applyProtection="0">
      <alignment horizontal="right" vertical="center"/>
    </xf>
    <xf numFmtId="4" fontId="35" fillId="0" borderId="19" applyFill="0" applyBorder="0" applyProtection="0">
      <alignment horizontal="right" vertical="center"/>
    </xf>
    <xf numFmtId="0" fontId="34" fillId="0" borderId="0" applyNumberFormat="0" applyFill="0" applyBorder="0" applyProtection="0">
      <alignment horizontal="left" vertical="center"/>
    </xf>
    <xf numFmtId="49" fontId="34" fillId="0" borderId="19" applyNumberFormat="0" applyFill="0" applyBorder="0" applyProtection="0">
      <alignment horizontal="left" vertical="center"/>
    </xf>
    <xf numFmtId="0" fontId="5" fillId="33" borderId="0" applyNumberFormat="0" applyFont="0" applyBorder="0" applyAlignment="0" applyProtection="0"/>
    <xf numFmtId="4" fontId="5" fillId="33" borderId="0" applyNumberFormat="0" applyFont="0" applyBorder="0" applyAlignment="0" applyProtection="0"/>
    <xf numFmtId="4" fontId="5" fillId="33" borderId="0" applyNumberFormat="0" applyFont="0" applyBorder="0" applyAlignment="0" applyProtection="0"/>
    <xf numFmtId="0" fontId="5" fillId="33" borderId="0" applyNumberFormat="0" applyFont="0" applyBorder="0" applyAlignment="0" applyProtection="0"/>
    <xf numFmtId="0" fontId="5" fillId="33" borderId="0" applyNumberFormat="0" applyFont="0" applyBorder="0" applyAlignment="0" applyProtection="0"/>
    <xf numFmtId="0" fontId="49" fillId="35" borderId="0" applyNumberFormat="0" applyFont="0" applyBorder="0" applyAlignment="0" applyProtection="0"/>
    <xf numFmtId="0" fontId="41" fillId="59" borderId="33" applyNumberFormat="0" applyFont="0" applyAlignment="0" applyProtection="0"/>
    <xf numFmtId="0" fontId="5" fillId="59" borderId="33" applyNumberFormat="0" applyFont="0" applyAlignment="0" applyProtection="0"/>
    <xf numFmtId="0" fontId="63" fillId="56" borderId="25" applyNumberFormat="0" applyAlignment="0" applyProtection="0"/>
    <xf numFmtId="173" fontId="35" fillId="60" borderId="19" applyNumberFormat="0" applyFont="0" applyBorder="0" applyAlignment="0" applyProtection="0">
      <alignment horizontal="right" vertical="center"/>
    </xf>
    <xf numFmtId="9" fontId="49" fillId="0" borderId="0" applyFont="0" applyFill="0" applyBorder="0" applyAlignment="0" applyProtection="0"/>
    <xf numFmtId="0" fontId="64" fillId="39" borderId="0" applyNumberFormat="0" applyBorder="0" applyAlignment="0" applyProtection="0"/>
    <xf numFmtId="4" fontId="35" fillId="33" borderId="19"/>
    <xf numFmtId="0" fontId="35" fillId="33" borderId="17"/>
    <xf numFmtId="0" fontId="65" fillId="0" borderId="0" applyNumberFormat="0" applyFill="0" applyBorder="0" applyAlignment="0" applyProtection="0"/>
    <xf numFmtId="0" fontId="66" fillId="0" borderId="28" applyNumberFormat="0" applyFill="0" applyAlignment="0" applyProtection="0"/>
    <xf numFmtId="0" fontId="67" fillId="0" borderId="0" applyNumberFormat="0" applyFill="0" applyBorder="0" applyAlignment="0" applyProtection="0"/>
    <xf numFmtId="0" fontId="68" fillId="0" borderId="29" applyNumberFormat="0" applyFill="0" applyAlignment="0" applyProtection="0"/>
    <xf numFmtId="0" fontId="69" fillId="0" borderId="30" applyNumberFormat="0" applyFill="0" applyAlignment="0" applyProtection="0"/>
    <xf numFmtId="0" fontId="70" fillId="0" borderId="31" applyNumberFormat="0" applyFill="0" applyAlignment="0" applyProtection="0"/>
    <xf numFmtId="0" fontId="70" fillId="0" borderId="0" applyNumberFormat="0" applyFill="0" applyBorder="0" applyAlignment="0" applyProtection="0"/>
    <xf numFmtId="0" fontId="71" fillId="0" borderId="32" applyNumberFormat="0" applyFill="0" applyAlignment="0" applyProtection="0"/>
    <xf numFmtId="0" fontId="73" fillId="0" borderId="0" applyNumberFormat="0" applyFill="0" applyBorder="0" applyAlignment="0" applyProtection="0"/>
    <xf numFmtId="0" fontId="74" fillId="57" borderId="27" applyNumberFormat="0" applyAlignment="0" applyProtection="0"/>
    <xf numFmtId="0" fontId="40" fillId="0" borderId="0" applyNumberFormat="0" applyFill="0" applyBorder="0" applyAlignment="0" applyProtection="0"/>
    <xf numFmtId="0" fontId="75" fillId="0" borderId="0" applyNumberFormat="0" applyFill="0" applyBorder="0" applyAlignment="0" applyProtection="0"/>
    <xf numFmtId="0" fontId="5" fillId="0" borderId="0" applyNumberFormat="0" applyFont="0" applyFill="0" applyBorder="0" applyProtection="0">
      <alignment horizontal="left" vertical="center"/>
    </xf>
    <xf numFmtId="0" fontId="35" fillId="32" borderId="0" applyBorder="0">
      <alignment horizontal="right" vertical="center"/>
    </xf>
    <xf numFmtId="0" fontId="35" fillId="32" borderId="0" applyBorder="0">
      <alignment horizontal="right" vertical="center"/>
    </xf>
    <xf numFmtId="0" fontId="35" fillId="0" borderId="0" applyBorder="0">
      <alignment horizontal="right" vertical="center"/>
    </xf>
    <xf numFmtId="4" fontId="5" fillId="0" borderId="0"/>
    <xf numFmtId="0" fontId="76" fillId="0" borderId="0"/>
    <xf numFmtId="0" fontId="5" fillId="33" borderId="0" applyNumberFormat="0" applyFont="0" applyBorder="0" applyAlignment="0" applyProtection="0"/>
    <xf numFmtId="0" fontId="40" fillId="0" borderId="0" applyNumberFormat="0" applyFill="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41"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41" fillId="44" borderId="0" applyNumberFormat="0" applyBorder="0" applyAlignment="0" applyProtection="0"/>
    <xf numFmtId="0" fontId="41" fillId="45" borderId="0" applyNumberFormat="0" applyBorder="0" applyAlignment="0" applyProtection="0"/>
    <xf numFmtId="0" fontId="41" fillId="46" borderId="0" applyNumberFormat="0" applyBorder="0" applyAlignment="0" applyProtection="0"/>
    <xf numFmtId="0" fontId="41" fillId="41" borderId="0" applyNumberFormat="0" applyBorder="0" applyAlignment="0" applyProtection="0"/>
    <xf numFmtId="0" fontId="41" fillId="44" borderId="0" applyNumberFormat="0" applyBorder="0" applyAlignment="0" applyProtection="0"/>
    <xf numFmtId="0" fontId="41" fillId="47" borderId="0" applyNumberFormat="0" applyBorder="0" applyAlignment="0" applyProtection="0"/>
    <xf numFmtId="0" fontId="43" fillId="48" borderId="0" applyNumberFormat="0" applyBorder="0" applyAlignment="0" applyProtection="0"/>
    <xf numFmtId="0" fontId="43" fillId="45" borderId="0" applyNumberFormat="0" applyBorder="0" applyAlignment="0" applyProtection="0"/>
    <xf numFmtId="0" fontId="43" fillId="46" borderId="0" applyNumberFormat="0" applyBorder="0" applyAlignment="0" applyProtection="0"/>
    <xf numFmtId="0" fontId="43" fillId="49" borderId="0" applyNumberFormat="0" applyBorder="0" applyAlignment="0" applyProtection="0"/>
    <xf numFmtId="0" fontId="43" fillId="50" borderId="0" applyNumberFormat="0" applyBorder="0" applyAlignment="0" applyProtection="0"/>
    <xf numFmtId="0" fontId="43" fillId="51" borderId="0" applyNumberFormat="0" applyBorder="0" applyAlignment="0" applyProtection="0"/>
    <xf numFmtId="0" fontId="43" fillId="52" borderId="0" applyNumberFormat="0" applyBorder="0" applyAlignment="0" applyProtection="0"/>
    <xf numFmtId="0" fontId="43" fillId="53" borderId="0" applyNumberFormat="0" applyBorder="0" applyAlignment="0" applyProtection="0"/>
    <xf numFmtId="0" fontId="43" fillId="54" borderId="0" applyNumberFormat="0" applyBorder="0" applyAlignment="0" applyProtection="0"/>
    <xf numFmtId="0" fontId="43" fillId="49" borderId="0" applyNumberFormat="0" applyBorder="0" applyAlignment="0" applyProtection="0"/>
    <xf numFmtId="0" fontId="43" fillId="50" borderId="0" applyNumberFormat="0" applyBorder="0" applyAlignment="0" applyProtection="0"/>
    <xf numFmtId="0" fontId="43" fillId="55" borderId="0" applyNumberFormat="0" applyBorder="0" applyAlignment="0" applyProtection="0"/>
    <xf numFmtId="0" fontId="45" fillId="39" borderId="0" applyNumberFormat="0" applyBorder="0" applyAlignment="0" applyProtection="0"/>
    <xf numFmtId="0" fontId="47" fillId="56" borderId="26" applyNumberFormat="0" applyAlignment="0" applyProtection="0"/>
    <xf numFmtId="0" fontId="48" fillId="57" borderId="27" applyNumberFormat="0" applyAlignment="0" applyProtection="0"/>
    <xf numFmtId="0" fontId="53" fillId="0" borderId="0" applyNumberFormat="0" applyFill="0" applyBorder="0" applyAlignment="0" applyProtection="0"/>
    <xf numFmtId="0" fontId="54" fillId="40" borderId="0" applyNumberFormat="0" applyBorder="0" applyAlignment="0" applyProtection="0"/>
    <xf numFmtId="0" fontId="56" fillId="0" borderId="29" applyNumberFormat="0" applyFill="0" applyAlignment="0" applyProtection="0"/>
    <xf numFmtId="0" fontId="57" fillId="0" borderId="30" applyNumberFormat="0" applyFill="0" applyAlignment="0" applyProtection="0"/>
    <xf numFmtId="0" fontId="58" fillId="0" borderId="31" applyNumberFormat="0" applyFill="0" applyAlignment="0" applyProtection="0"/>
    <xf numFmtId="0" fontId="58" fillId="0" borderId="0" applyNumberFormat="0" applyFill="0" applyBorder="0" applyAlignment="0" applyProtection="0"/>
    <xf numFmtId="0" fontId="59" fillId="43" borderId="26" applyNumberFormat="0" applyAlignment="0" applyProtection="0"/>
    <xf numFmtId="0" fontId="60" fillId="0" borderId="32" applyNumberFormat="0" applyFill="0" applyAlignment="0" applyProtection="0"/>
    <xf numFmtId="0" fontId="61" fillId="58" borderId="0" applyNumberFormat="0" applyBorder="0" applyAlignment="0" applyProtection="0"/>
    <xf numFmtId="0" fontId="5" fillId="0" borderId="0"/>
    <xf numFmtId="0" fontId="41" fillId="59" borderId="33" applyNumberFormat="0" applyFont="0" applyAlignment="0" applyProtection="0"/>
    <xf numFmtId="0" fontId="63" fillId="56" borderId="25" applyNumberFormat="0" applyAlignment="0" applyProtection="0"/>
    <xf numFmtId="0" fontId="65" fillId="0" borderId="0" applyNumberFormat="0" applyFill="0" applyBorder="0" applyAlignment="0" applyProtection="0"/>
    <xf numFmtId="0" fontId="66" fillId="0" borderId="28" applyNumberFormat="0" applyFill="0" applyAlignment="0" applyProtection="0"/>
    <xf numFmtId="0" fontId="73" fillId="0" borderId="0" applyNumberFormat="0" applyFill="0" applyBorder="0" applyAlignment="0" applyProtection="0"/>
    <xf numFmtId="0" fontId="77" fillId="0" borderId="0">
      <alignment horizontal="left" vertical="center" indent="1"/>
    </xf>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41"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41" fillId="44" borderId="0" applyNumberFormat="0" applyBorder="0" applyAlignment="0" applyProtection="0"/>
    <xf numFmtId="0" fontId="41" fillId="45" borderId="0" applyNumberFormat="0" applyBorder="0" applyAlignment="0" applyProtection="0"/>
    <xf numFmtId="0" fontId="41" fillId="46" borderId="0" applyNumberFormat="0" applyBorder="0" applyAlignment="0" applyProtection="0"/>
    <xf numFmtId="0" fontId="41" fillId="41" borderId="0" applyNumberFormat="0" applyBorder="0" applyAlignment="0" applyProtection="0"/>
    <xf numFmtId="0" fontId="41" fillId="44" borderId="0" applyNumberFormat="0" applyBorder="0" applyAlignment="0" applyProtection="0"/>
    <xf numFmtId="0" fontId="41" fillId="47" borderId="0" applyNumberFormat="0" applyBorder="0" applyAlignment="0" applyProtection="0"/>
    <xf numFmtId="0" fontId="43" fillId="48" borderId="0" applyNumberFormat="0" applyBorder="0" applyAlignment="0" applyProtection="0"/>
    <xf numFmtId="0" fontId="43" fillId="45" borderId="0" applyNumberFormat="0" applyBorder="0" applyAlignment="0" applyProtection="0"/>
    <xf numFmtId="0" fontId="43" fillId="46" borderId="0" applyNumberFormat="0" applyBorder="0" applyAlignment="0" applyProtection="0"/>
    <xf numFmtId="0" fontId="43" fillId="49" borderId="0" applyNumberFormat="0" applyBorder="0" applyAlignment="0" applyProtection="0"/>
    <xf numFmtId="0" fontId="43" fillId="50" borderId="0" applyNumberFormat="0" applyBorder="0" applyAlignment="0" applyProtection="0"/>
    <xf numFmtId="0" fontId="43" fillId="51" borderId="0" applyNumberFormat="0" applyBorder="0" applyAlignment="0" applyProtection="0"/>
    <xf numFmtId="0" fontId="33" fillId="32" borderId="34">
      <alignment horizontal="right" vertical="center"/>
    </xf>
    <xf numFmtId="4" fontId="33" fillId="32" borderId="34">
      <alignment horizontal="right" vertical="center"/>
    </xf>
    <xf numFmtId="0" fontId="37" fillId="32" borderId="34">
      <alignment horizontal="right" vertical="center"/>
    </xf>
    <xf numFmtId="4" fontId="37" fillId="32" borderId="34">
      <alignment horizontal="right" vertical="center"/>
    </xf>
    <xf numFmtId="0" fontId="33" fillId="34" borderId="34">
      <alignment horizontal="right" vertical="center"/>
    </xf>
    <xf numFmtId="4" fontId="33" fillId="34" borderId="34">
      <alignment horizontal="right" vertical="center"/>
    </xf>
    <xf numFmtId="0" fontId="33" fillId="34" borderId="34">
      <alignment horizontal="right" vertical="center"/>
    </xf>
    <xf numFmtId="4" fontId="33" fillId="34" borderId="34">
      <alignment horizontal="right" vertical="center"/>
    </xf>
    <xf numFmtId="0" fontId="33" fillId="34" borderId="35">
      <alignment horizontal="right" vertical="center"/>
    </xf>
    <xf numFmtId="4" fontId="33" fillId="34" borderId="35">
      <alignment horizontal="right" vertical="center"/>
    </xf>
    <xf numFmtId="0" fontId="33" fillId="34" borderId="36">
      <alignment horizontal="right" vertical="center"/>
    </xf>
    <xf numFmtId="4" fontId="33" fillId="34" borderId="36">
      <alignment horizontal="right" vertical="center"/>
    </xf>
    <xf numFmtId="0" fontId="47" fillId="56" borderId="26" applyNumberFormat="0" applyAlignment="0" applyProtection="0"/>
    <xf numFmtId="0" fontId="35" fillId="34" borderId="37">
      <alignment horizontal="left" vertical="center" wrapText="1" indent="2"/>
    </xf>
    <xf numFmtId="0" fontId="35" fillId="0" borderId="37">
      <alignment horizontal="left" vertical="center" wrapText="1" indent="2"/>
    </xf>
    <xf numFmtId="0" fontId="35" fillId="32" borderId="35">
      <alignment horizontal="left" vertical="center"/>
    </xf>
    <xf numFmtId="0" fontId="53" fillId="0" borderId="0" applyNumberFormat="0" applyFill="0" applyBorder="0" applyAlignment="0" applyProtection="0"/>
    <xf numFmtId="0" fontId="59" fillId="43" borderId="26" applyNumberFormat="0" applyAlignment="0" applyProtection="0"/>
    <xf numFmtId="0" fontId="35" fillId="0" borderId="34">
      <alignment horizontal="right" vertical="center"/>
    </xf>
    <xf numFmtId="4" fontId="35" fillId="0" borderId="34">
      <alignment horizontal="right" vertical="center"/>
    </xf>
    <xf numFmtId="0" fontId="27" fillId="0" borderId="0"/>
    <xf numFmtId="0" fontId="35" fillId="0" borderId="34" applyNumberFormat="0" applyFill="0" applyAlignment="0" applyProtection="0"/>
    <xf numFmtId="0" fontId="63" fillId="56" borderId="25" applyNumberFormat="0" applyAlignment="0" applyProtection="0"/>
    <xf numFmtId="173" fontId="35" fillId="60" borderId="34" applyNumberFormat="0" applyFont="0" applyBorder="0" applyAlignment="0" applyProtection="0">
      <alignment horizontal="right" vertical="center"/>
    </xf>
    <xf numFmtId="0" fontId="35" fillId="33" borderId="34"/>
    <xf numFmtId="4" fontId="35" fillId="33" borderId="34"/>
    <xf numFmtId="0" fontId="66" fillId="0" borderId="28" applyNumberFormat="0" applyFill="0" applyAlignment="0" applyProtection="0"/>
    <xf numFmtId="0" fontId="73" fillId="0" borderId="0" applyNumberFormat="0" applyFill="0" applyBorder="0" applyAlignment="0" applyProtection="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8" fillId="12" borderId="13" applyNumberFormat="0" applyAlignment="0" applyProtection="0"/>
    <xf numFmtId="0" fontId="35" fillId="32" borderId="0" applyBorder="0">
      <alignment horizontal="right" vertical="center"/>
    </xf>
    <xf numFmtId="0" fontId="35" fillId="32" borderId="0" applyBorder="0">
      <alignment horizontal="right" vertical="center"/>
    </xf>
    <xf numFmtId="0" fontId="35" fillId="0" borderId="0" applyBorder="0">
      <alignment horizontal="right" vertical="center"/>
    </xf>
    <xf numFmtId="0" fontId="5" fillId="0" borderId="0"/>
    <xf numFmtId="49" fontId="35" fillId="0" borderId="34" applyNumberFormat="0" applyFont="0" applyFill="0" applyBorder="0" applyProtection="0">
      <alignment horizontal="left" vertical="center" indent="2"/>
    </xf>
    <xf numFmtId="49" fontId="35" fillId="0" borderId="35" applyNumberFormat="0" applyFont="0" applyFill="0" applyBorder="0" applyProtection="0">
      <alignment horizontal="left" vertical="center" indent="5"/>
    </xf>
    <xf numFmtId="0" fontId="42" fillId="52" borderId="0" applyNumberFormat="0" applyBorder="0" applyAlignment="0" applyProtection="0"/>
    <xf numFmtId="0" fontId="42" fillId="53" borderId="0" applyNumberFormat="0" applyBorder="0" applyAlignment="0" applyProtection="0"/>
    <xf numFmtId="0" fontId="42" fillId="54" borderId="0" applyNumberFormat="0" applyBorder="0" applyAlignment="0" applyProtection="0"/>
    <xf numFmtId="0" fontId="42" fillId="49" borderId="0" applyNumberFormat="0" applyBorder="0" applyAlignment="0" applyProtection="0"/>
    <xf numFmtId="0" fontId="42" fillId="50" borderId="0" applyNumberFormat="0" applyBorder="0" applyAlignment="0" applyProtection="0"/>
    <xf numFmtId="0" fontId="42" fillId="55" borderId="0" applyNumberFormat="0" applyBorder="0" applyAlignment="0" applyProtection="0"/>
    <xf numFmtId="0" fontId="55" fillId="40" borderId="0" applyNumberFormat="0" applyBorder="0" applyAlignment="0" applyProtection="0"/>
    <xf numFmtId="4" fontId="5" fillId="0" borderId="0"/>
    <xf numFmtId="0" fontId="5" fillId="0" borderId="0"/>
    <xf numFmtId="0" fontId="27" fillId="0" borderId="0"/>
    <xf numFmtId="4" fontId="35" fillId="0" borderId="34" applyFill="0" applyBorder="0" applyProtection="0">
      <alignment horizontal="right" vertical="center"/>
    </xf>
    <xf numFmtId="49" fontId="34" fillId="0" borderId="34" applyNumberFormat="0" applyFill="0" applyBorder="0" applyProtection="0">
      <alignment horizontal="left" vertical="center"/>
    </xf>
    <xf numFmtId="0" fontId="5" fillId="33" borderId="0" applyNumberFormat="0" applyFont="0" applyBorder="0" applyAlignment="0" applyProtection="0"/>
    <xf numFmtId="0" fontId="64" fillId="39" borderId="0" applyNumberFormat="0" applyBorder="0" applyAlignment="0" applyProtection="0"/>
    <xf numFmtId="0" fontId="68" fillId="0" borderId="29" applyNumberFormat="0" applyFill="0" applyAlignment="0" applyProtection="0"/>
    <xf numFmtId="0" fontId="69" fillId="0" borderId="30" applyNumberFormat="0" applyFill="0" applyAlignment="0" applyProtection="0"/>
    <xf numFmtId="0" fontId="70" fillId="0" borderId="31" applyNumberFormat="0" applyFill="0" applyAlignment="0" applyProtection="0"/>
    <xf numFmtId="0" fontId="70" fillId="0" borderId="0" applyNumberFormat="0" applyFill="0" applyBorder="0" applyAlignment="0" applyProtection="0"/>
    <xf numFmtId="0" fontId="71" fillId="0" borderId="32" applyNumberFormat="0" applyFill="0" applyAlignment="0" applyProtection="0"/>
    <xf numFmtId="0" fontId="74" fillId="57" borderId="27" applyNumberFormat="0" applyAlignment="0" applyProtection="0"/>
    <xf numFmtId="0" fontId="40" fillId="0" borderId="0" applyNumberFormat="0" applyFill="0" applyBorder="0" applyAlignment="0" applyProtection="0"/>
    <xf numFmtId="0" fontId="27" fillId="0" borderId="0"/>
    <xf numFmtId="0" fontId="28" fillId="12" borderId="13" applyNumberFormat="0" applyAlignment="0" applyProtection="0"/>
    <xf numFmtId="0" fontId="38" fillId="38" borderId="0" applyNumberFormat="0" applyBorder="0" applyAlignment="0" applyProtection="0"/>
    <xf numFmtId="0" fontId="38" fillId="39" borderId="0" applyNumberFormat="0" applyBorder="0" applyAlignment="0" applyProtection="0"/>
    <xf numFmtId="0" fontId="38" fillId="40" borderId="0" applyNumberFormat="0" applyBorder="0" applyAlignment="0" applyProtection="0"/>
    <xf numFmtId="0" fontId="38" fillId="41" borderId="0" applyNumberFormat="0" applyBorder="0" applyAlignment="0" applyProtection="0"/>
    <xf numFmtId="0" fontId="38" fillId="42" borderId="0" applyNumberFormat="0" applyBorder="0" applyAlignment="0" applyProtection="0"/>
    <xf numFmtId="0" fontId="38" fillId="43" borderId="0" applyNumberFormat="0" applyBorder="0" applyAlignment="0" applyProtection="0"/>
    <xf numFmtId="0" fontId="38" fillId="44" borderId="0" applyNumberFormat="0" applyBorder="0" applyAlignment="0" applyProtection="0"/>
    <xf numFmtId="0" fontId="38" fillId="45" borderId="0" applyNumberFormat="0" applyBorder="0" applyAlignment="0" applyProtection="0"/>
    <xf numFmtId="0" fontId="38" fillId="46" borderId="0" applyNumberFormat="0" applyBorder="0" applyAlignment="0" applyProtection="0"/>
    <xf numFmtId="0" fontId="38" fillId="41" borderId="0" applyNumberFormat="0" applyBorder="0" applyAlignment="0" applyProtection="0"/>
    <xf numFmtId="0" fontId="38" fillId="44" borderId="0" applyNumberFormat="0" applyBorder="0" applyAlignment="0" applyProtection="0"/>
    <xf numFmtId="0" fontId="38" fillId="47" borderId="0" applyNumberFormat="0" applyBorder="0" applyAlignment="0" applyProtection="0"/>
    <xf numFmtId="0" fontId="42" fillId="48" borderId="0" applyNumberFormat="0" applyBorder="0" applyAlignment="0" applyProtection="0"/>
    <xf numFmtId="0" fontId="42" fillId="45" borderId="0" applyNumberFormat="0" applyBorder="0" applyAlignment="0" applyProtection="0"/>
    <xf numFmtId="0" fontId="42" fillId="46" borderId="0" applyNumberFormat="0" applyBorder="0" applyAlignment="0" applyProtection="0"/>
    <xf numFmtId="0" fontId="42" fillId="49" borderId="0" applyNumberFormat="0" applyBorder="0" applyAlignment="0" applyProtection="0"/>
    <xf numFmtId="0" fontId="42" fillId="50" borderId="0" applyNumberFormat="0" applyBorder="0" applyAlignment="0" applyProtection="0"/>
    <xf numFmtId="0" fontId="42" fillId="51" borderId="0" applyNumberFormat="0" applyBorder="0" applyAlignment="0" applyProtection="0"/>
    <xf numFmtId="0" fontId="44" fillId="56" borderId="25" applyNumberFormat="0" applyAlignment="0" applyProtection="0"/>
    <xf numFmtId="0" fontId="46" fillId="56" borderId="26" applyNumberFormat="0" applyAlignment="0" applyProtection="0"/>
    <xf numFmtId="0" fontId="51" fillId="0" borderId="28" applyNumberFormat="0" applyFill="0" applyAlignment="0" applyProtection="0"/>
    <xf numFmtId="0" fontId="52" fillId="0" borderId="0" applyNumberFormat="0" applyFill="0" applyBorder="0" applyAlignment="0" applyProtection="0"/>
    <xf numFmtId="0" fontId="27" fillId="0" borderId="0"/>
    <xf numFmtId="0" fontId="72" fillId="0" borderId="0" applyNumberFormat="0" applyFill="0" applyBorder="0" applyAlignment="0" applyProtection="0"/>
    <xf numFmtId="0" fontId="27" fillId="0" borderId="0"/>
    <xf numFmtId="0" fontId="27" fillId="0" borderId="0"/>
    <xf numFmtId="0" fontId="27" fillId="0" borderId="0"/>
    <xf numFmtId="49" fontId="35" fillId="0" borderId="19" applyNumberFormat="0" applyFont="0" applyFill="0" applyBorder="0" applyProtection="0">
      <alignment horizontal="left" vertical="center" indent="2"/>
    </xf>
    <xf numFmtId="49" fontId="35" fillId="0" borderId="18" applyNumberFormat="0" applyFont="0" applyFill="0" applyBorder="0" applyProtection="0">
      <alignment horizontal="left" vertical="center" indent="5"/>
    </xf>
    <xf numFmtId="0" fontId="33" fillId="32" borderId="19">
      <alignment horizontal="right" vertical="center"/>
    </xf>
    <xf numFmtId="4" fontId="33" fillId="32" borderId="19">
      <alignment horizontal="right" vertical="center"/>
    </xf>
    <xf numFmtId="0" fontId="37" fillId="32" borderId="19">
      <alignment horizontal="right" vertical="center"/>
    </xf>
    <xf numFmtId="4" fontId="37" fillId="32" borderId="19">
      <alignment horizontal="right" vertical="center"/>
    </xf>
    <xf numFmtId="0" fontId="33" fillId="34" borderId="19">
      <alignment horizontal="right" vertical="center"/>
    </xf>
    <xf numFmtId="4" fontId="33" fillId="34" borderId="19">
      <alignment horizontal="right" vertical="center"/>
    </xf>
    <xf numFmtId="0" fontId="33" fillId="34" borderId="19">
      <alignment horizontal="right" vertical="center"/>
    </xf>
    <xf numFmtId="4" fontId="33" fillId="34" borderId="19">
      <alignment horizontal="right" vertical="center"/>
    </xf>
    <xf numFmtId="0" fontId="33" fillId="34" borderId="18">
      <alignment horizontal="right" vertical="center"/>
    </xf>
    <xf numFmtId="4" fontId="33" fillId="34" borderId="18">
      <alignment horizontal="right" vertical="center"/>
    </xf>
    <xf numFmtId="0" fontId="33" fillId="34" borderId="20">
      <alignment horizontal="right" vertical="center"/>
    </xf>
    <xf numFmtId="4" fontId="33" fillId="34" borderId="20">
      <alignment horizontal="right" vertical="center"/>
    </xf>
    <xf numFmtId="172" fontId="78" fillId="0" borderId="0" applyFont="0" applyFill="0" applyBorder="0" applyAlignment="0" applyProtection="0"/>
    <xf numFmtId="0" fontId="35" fillId="34" borderId="24">
      <alignment horizontal="left" vertical="center" wrapText="1" indent="2"/>
    </xf>
    <xf numFmtId="0" fontId="35" fillId="0" borderId="24">
      <alignment horizontal="left" vertical="center" wrapText="1" indent="2"/>
    </xf>
    <xf numFmtId="0" fontId="35" fillId="32" borderId="18">
      <alignment horizontal="left" vertical="center"/>
    </xf>
    <xf numFmtId="0" fontId="50" fillId="43" borderId="26" applyNumberFormat="0" applyAlignment="0" applyProtection="0"/>
    <xf numFmtId="0" fontId="35" fillId="0" borderId="19">
      <alignment horizontal="right" vertical="center"/>
    </xf>
    <xf numFmtId="4" fontId="35" fillId="0" borderId="19">
      <alignment horizontal="right" vertical="center"/>
    </xf>
    <xf numFmtId="0" fontId="78" fillId="0" borderId="0"/>
    <xf numFmtId="0" fontId="76" fillId="0" borderId="0"/>
    <xf numFmtId="0" fontId="76" fillId="0" borderId="0"/>
    <xf numFmtId="0" fontId="27" fillId="0" borderId="0"/>
    <xf numFmtId="0" fontId="27" fillId="0" borderId="0"/>
    <xf numFmtId="0" fontId="27" fillId="0" borderId="0"/>
    <xf numFmtId="0" fontId="27" fillId="0" borderId="0"/>
    <xf numFmtId="0" fontId="76" fillId="0" borderId="0"/>
    <xf numFmtId="0" fontId="5" fillId="0" borderId="0"/>
    <xf numFmtId="4" fontId="35" fillId="0" borderId="19" applyFill="0" applyBorder="0" applyProtection="0">
      <alignment horizontal="right" vertical="center"/>
    </xf>
    <xf numFmtId="49" fontId="34" fillId="0" borderId="19" applyNumberFormat="0" applyFill="0" applyBorder="0" applyProtection="0">
      <alignment horizontal="left" vertical="center"/>
    </xf>
    <xf numFmtId="0" fontId="35" fillId="0" borderId="19" applyNumberFormat="0" applyFill="0" applyAlignment="0" applyProtection="0"/>
    <xf numFmtId="0" fontId="78" fillId="35" borderId="0" applyNumberFormat="0" applyFont="0" applyBorder="0" applyAlignment="0" applyProtection="0"/>
    <xf numFmtId="173" fontId="35" fillId="60" borderId="19" applyNumberFormat="0" applyFont="0" applyBorder="0" applyAlignment="0" applyProtection="0">
      <alignment horizontal="right" vertical="center"/>
    </xf>
    <xf numFmtId="9" fontId="78" fillId="0" borderId="0" applyFont="0" applyFill="0" applyBorder="0" applyAlignment="0" applyProtection="0"/>
    <xf numFmtId="0" fontId="35" fillId="33" borderId="19"/>
    <xf numFmtId="4" fontId="35" fillId="33" borderId="19"/>
    <xf numFmtId="0" fontId="35" fillId="34" borderId="37">
      <alignment horizontal="left" vertical="center" wrapText="1" indent="2"/>
    </xf>
    <xf numFmtId="0" fontId="35" fillId="0" borderId="37">
      <alignment horizontal="left" vertical="center" wrapText="1" indent="2"/>
    </xf>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35" fillId="34" borderId="24">
      <alignment horizontal="left" vertical="center" wrapText="1" indent="2"/>
    </xf>
    <xf numFmtId="0" fontId="35" fillId="0" borderId="24">
      <alignment horizontal="left" vertical="center" wrapText="1" indent="2"/>
    </xf>
    <xf numFmtId="0" fontId="5" fillId="0" borderId="0"/>
    <xf numFmtId="4" fontId="33" fillId="34" borderId="34">
      <alignment horizontal="right" vertical="center"/>
    </xf>
    <xf numFmtId="0" fontId="35" fillId="33" borderId="34"/>
    <xf numFmtId="0" fontId="46" fillId="56" borderId="26" applyNumberFormat="0" applyAlignment="0" applyProtection="0"/>
    <xf numFmtId="0" fontId="33" fillId="32" borderId="34">
      <alignment horizontal="right" vertical="center"/>
    </xf>
    <xf numFmtId="0" fontId="35" fillId="0" borderId="34">
      <alignment horizontal="right" vertical="center"/>
    </xf>
    <xf numFmtId="0" fontId="66" fillId="0" borderId="28" applyNumberFormat="0" applyFill="0" applyAlignment="0" applyProtection="0"/>
    <xf numFmtId="0" fontId="35" fillId="32" borderId="35">
      <alignment horizontal="left" vertical="center"/>
    </xf>
    <xf numFmtId="0" fontId="59" fillId="43" borderId="26" applyNumberFormat="0" applyAlignment="0" applyProtection="0"/>
    <xf numFmtId="173" fontId="35" fillId="60" borderId="34" applyNumberFormat="0" applyFont="0" applyBorder="0" applyAlignment="0" applyProtection="0">
      <alignment horizontal="right" vertical="center"/>
    </xf>
    <xf numFmtId="0" fontId="41" fillId="59" borderId="33" applyNumberFormat="0" applyFont="0" applyAlignment="0" applyProtection="0"/>
    <xf numFmtId="0" fontId="35" fillId="0" borderId="37">
      <alignment horizontal="left" vertical="center" wrapText="1" indent="2"/>
    </xf>
    <xf numFmtId="4" fontId="35" fillId="33" borderId="34"/>
    <xf numFmtId="49" fontId="34" fillId="0" borderId="34" applyNumberFormat="0" applyFill="0" applyBorder="0" applyProtection="0">
      <alignment horizontal="left" vertical="center"/>
    </xf>
    <xf numFmtId="0" fontId="35" fillId="0" borderId="34">
      <alignment horizontal="right" vertical="center"/>
    </xf>
    <xf numFmtId="4" fontId="33" fillId="34" borderId="36">
      <alignment horizontal="right" vertical="center"/>
    </xf>
    <xf numFmtId="4" fontId="33" fillId="34" borderId="34">
      <alignment horizontal="right" vertical="center"/>
    </xf>
    <xf numFmtId="4" fontId="33" fillId="34" borderId="34">
      <alignment horizontal="right" vertical="center"/>
    </xf>
    <xf numFmtId="0" fontId="37" fillId="32" borderId="34">
      <alignment horizontal="right" vertical="center"/>
    </xf>
    <xf numFmtId="0" fontId="33" fillId="32" borderId="34">
      <alignment horizontal="right" vertical="center"/>
    </xf>
    <xf numFmtId="49" fontId="35" fillId="0" borderId="34" applyNumberFormat="0" applyFont="0" applyFill="0" applyBorder="0" applyProtection="0">
      <alignment horizontal="left" vertical="center" indent="2"/>
    </xf>
    <xf numFmtId="0" fontId="59" fillId="43" borderId="26" applyNumberFormat="0" applyAlignment="0" applyProtection="0"/>
    <xf numFmtId="0" fontId="44" fillId="56" borderId="25" applyNumberFormat="0" applyAlignment="0" applyProtection="0"/>
    <xf numFmtId="49" fontId="35" fillId="0" borderId="34" applyNumberFormat="0" applyFont="0" applyFill="0" applyBorder="0" applyProtection="0">
      <alignment horizontal="left" vertical="center" indent="2"/>
    </xf>
    <xf numFmtId="0" fontId="50" fillId="43" borderId="26" applyNumberFormat="0" applyAlignment="0" applyProtection="0"/>
    <xf numFmtId="4" fontId="35" fillId="0" borderId="34" applyFill="0" applyBorder="0" applyProtection="0">
      <alignment horizontal="right" vertical="center"/>
    </xf>
    <xf numFmtId="0" fontId="47" fillId="56" borderId="26" applyNumberFormat="0" applyAlignment="0" applyProtection="0"/>
    <xf numFmtId="0" fontId="66" fillId="0" borderId="28" applyNumberFormat="0" applyFill="0" applyAlignment="0" applyProtection="0"/>
    <xf numFmtId="0" fontId="63" fillId="56" borderId="25" applyNumberFormat="0" applyAlignment="0" applyProtection="0"/>
    <xf numFmtId="0" fontId="35" fillId="0" borderId="34" applyNumberFormat="0" applyFill="0" applyAlignment="0" applyProtection="0"/>
    <xf numFmtId="4" fontId="35" fillId="0" borderId="34">
      <alignment horizontal="right" vertical="center"/>
    </xf>
    <xf numFmtId="0" fontId="35" fillId="0" borderId="34">
      <alignment horizontal="right" vertical="center"/>
    </xf>
    <xf numFmtId="0" fontId="59" fillId="43" borderId="26" applyNumberFormat="0" applyAlignment="0" applyProtection="0"/>
    <xf numFmtId="0" fontId="44" fillId="56" borderId="25" applyNumberFormat="0" applyAlignment="0" applyProtection="0"/>
    <xf numFmtId="0" fontId="46" fillId="56" borderId="26" applyNumberFormat="0" applyAlignment="0" applyProtection="0"/>
    <xf numFmtId="0" fontId="35" fillId="34" borderId="37">
      <alignment horizontal="left" vertical="center" wrapText="1" indent="2"/>
    </xf>
    <xf numFmtId="0" fontId="47" fillId="56" borderId="26" applyNumberFormat="0" applyAlignment="0" applyProtection="0"/>
    <xf numFmtId="0" fontId="47" fillId="56" borderId="26" applyNumberFormat="0" applyAlignment="0" applyProtection="0"/>
    <xf numFmtId="4" fontId="33" fillId="34" borderId="35">
      <alignment horizontal="right" vertical="center"/>
    </xf>
    <xf numFmtId="0" fontId="33" fillId="34" borderId="35">
      <alignment horizontal="right" vertical="center"/>
    </xf>
    <xf numFmtId="0" fontId="33" fillId="34" borderId="34">
      <alignment horizontal="right" vertical="center"/>
    </xf>
    <xf numFmtId="4" fontId="37" fillId="32" borderId="34">
      <alignment horizontal="right" vertical="center"/>
    </xf>
    <xf numFmtId="0" fontId="50" fillId="43" borderId="26" applyNumberFormat="0" applyAlignment="0" applyProtection="0"/>
    <xf numFmtId="0" fontId="51" fillId="0" borderId="28" applyNumberFormat="0" applyFill="0" applyAlignment="0" applyProtection="0"/>
    <xf numFmtId="0" fontId="66" fillId="0" borderId="28" applyNumberFormat="0" applyFill="0" applyAlignment="0" applyProtection="0"/>
    <xf numFmtId="0" fontId="41" fillId="59" borderId="33" applyNumberFormat="0" applyFont="0" applyAlignment="0" applyProtection="0"/>
    <xf numFmtId="0" fontId="59" fillId="43" borderId="26" applyNumberFormat="0" applyAlignment="0" applyProtection="0"/>
    <xf numFmtId="49" fontId="34" fillId="0" borderId="34" applyNumberFormat="0" applyFill="0" applyBorder="0" applyProtection="0">
      <alignment horizontal="left" vertical="center"/>
    </xf>
    <xf numFmtId="0" fontId="35" fillId="34" borderId="37">
      <alignment horizontal="left" vertical="center" wrapText="1" indent="2"/>
    </xf>
    <xf numFmtId="0" fontId="47" fillId="56" borderId="26" applyNumberFormat="0" applyAlignment="0" applyProtection="0"/>
    <xf numFmtId="0" fontId="35" fillId="0" borderId="37">
      <alignment horizontal="left" vertical="center" wrapText="1" indent="2"/>
    </xf>
    <xf numFmtId="0" fontId="41" fillId="59" borderId="33" applyNumberFormat="0" applyFont="0" applyAlignment="0" applyProtection="0"/>
    <xf numFmtId="0" fontId="5" fillId="59" borderId="33" applyNumberFormat="0" applyFont="0" applyAlignment="0" applyProtection="0"/>
    <xf numFmtId="0" fontId="63" fillId="56" borderId="25" applyNumberFormat="0" applyAlignment="0" applyProtection="0"/>
    <xf numFmtId="0" fontId="66" fillId="0" borderId="28" applyNumberFormat="0" applyFill="0" applyAlignment="0" applyProtection="0"/>
    <xf numFmtId="4" fontId="35" fillId="33" borderId="34"/>
    <xf numFmtId="0" fontId="33" fillId="34" borderId="34">
      <alignment horizontal="right" vertical="center"/>
    </xf>
    <xf numFmtId="0" fontId="66" fillId="0" borderId="28" applyNumberFormat="0" applyFill="0" applyAlignment="0" applyProtection="0"/>
    <xf numFmtId="4" fontId="33" fillId="34" borderId="36">
      <alignment horizontal="right" vertical="center"/>
    </xf>
    <xf numFmtId="0" fontId="46" fillId="56" borderId="26" applyNumberFormat="0" applyAlignment="0" applyProtection="0"/>
    <xf numFmtId="0" fontId="33" fillId="34" borderId="35">
      <alignment horizontal="right" vertical="center"/>
    </xf>
    <xf numFmtId="0" fontId="47" fillId="56" borderId="26" applyNumberFormat="0" applyAlignment="0" applyProtection="0"/>
    <xf numFmtId="0" fontId="51" fillId="0" borderId="28" applyNumberFormat="0" applyFill="0" applyAlignment="0" applyProtection="0"/>
    <xf numFmtId="0" fontId="41" fillId="59" borderId="33" applyNumberFormat="0" applyFont="0" applyAlignment="0" applyProtection="0"/>
    <xf numFmtId="4" fontId="33" fillId="34" borderId="35">
      <alignment horizontal="right" vertical="center"/>
    </xf>
    <xf numFmtId="0" fontId="35" fillId="34" borderId="37">
      <alignment horizontal="left" vertical="center" wrapText="1" indent="2"/>
    </xf>
    <xf numFmtId="0" fontId="35" fillId="33" borderId="34"/>
    <xf numFmtId="173" fontId="35" fillId="60" borderId="34" applyNumberFormat="0" applyFont="0" applyBorder="0" applyAlignment="0" applyProtection="0">
      <alignment horizontal="right" vertical="center"/>
    </xf>
    <xf numFmtId="0" fontId="35" fillId="0" borderId="34" applyNumberFormat="0" applyFill="0" applyAlignment="0" applyProtection="0"/>
    <xf numFmtId="4" fontId="35" fillId="0" borderId="34" applyFill="0" applyBorder="0" applyProtection="0">
      <alignment horizontal="right" vertical="center"/>
    </xf>
    <xf numFmtId="4" fontId="33" fillId="32" borderId="34">
      <alignment horizontal="right" vertical="center"/>
    </xf>
    <xf numFmtId="0" fontId="51" fillId="0" borderId="28" applyNumberFormat="0" applyFill="0" applyAlignment="0" applyProtection="0"/>
    <xf numFmtId="49" fontId="34" fillId="0" borderId="34" applyNumberFormat="0" applyFill="0" applyBorder="0" applyProtection="0">
      <alignment horizontal="left" vertical="center"/>
    </xf>
    <xf numFmtId="49" fontId="35" fillId="0" borderId="35" applyNumberFormat="0" applyFont="0" applyFill="0" applyBorder="0" applyProtection="0">
      <alignment horizontal="left" vertical="center" indent="5"/>
    </xf>
    <xf numFmtId="0" fontId="35" fillId="32" borderId="35">
      <alignment horizontal="left" vertical="center"/>
    </xf>
    <xf numFmtId="0" fontId="47" fillId="56" borderId="26" applyNumberFormat="0" applyAlignment="0" applyProtection="0"/>
    <xf numFmtId="4" fontId="33" fillId="34" borderId="36">
      <alignment horizontal="right" vertical="center"/>
    </xf>
    <xf numFmtId="0" fontId="59" fillId="43" borderId="26" applyNumberFormat="0" applyAlignment="0" applyProtection="0"/>
    <xf numFmtId="0" fontId="59" fillId="43" borderId="26" applyNumberFormat="0" applyAlignment="0" applyProtection="0"/>
    <xf numFmtId="0" fontId="41" fillId="59" borderId="33" applyNumberFormat="0" applyFont="0" applyAlignment="0" applyProtection="0"/>
    <xf numFmtId="0" fontId="63" fillId="56" borderId="25" applyNumberFormat="0" applyAlignment="0" applyProtection="0"/>
    <xf numFmtId="0" fontId="66" fillId="0" borderId="28" applyNumberFormat="0" applyFill="0" applyAlignment="0" applyProtection="0"/>
    <xf numFmtId="0" fontId="33" fillId="34" borderId="34">
      <alignment horizontal="right" vertical="center"/>
    </xf>
    <xf numFmtId="0" fontId="5" fillId="59" borderId="33" applyNumberFormat="0" applyFont="0" applyAlignment="0" applyProtection="0"/>
    <xf numFmtId="4" fontId="35" fillId="0" borderId="34">
      <alignment horizontal="right" vertical="center"/>
    </xf>
    <xf numFmtId="0" fontId="66" fillId="0" borderId="28" applyNumberFormat="0" applyFill="0" applyAlignment="0" applyProtection="0"/>
    <xf numFmtId="0" fontId="33" fillId="34" borderId="34">
      <alignment horizontal="right" vertical="center"/>
    </xf>
    <xf numFmtId="0" fontId="33" fillId="34" borderId="34">
      <alignment horizontal="right" vertical="center"/>
    </xf>
    <xf numFmtId="4" fontId="37" fillId="32" borderId="34">
      <alignment horizontal="right" vertical="center"/>
    </xf>
    <xf numFmtId="0" fontId="33" fillId="32" borderId="34">
      <alignment horizontal="right" vertical="center"/>
    </xf>
    <xf numFmtId="4" fontId="33" fillId="32" borderId="34">
      <alignment horizontal="right" vertical="center"/>
    </xf>
    <xf numFmtId="0" fontId="37" fillId="32" borderId="34">
      <alignment horizontal="right" vertical="center"/>
    </xf>
    <xf numFmtId="4" fontId="37" fillId="32" borderId="34">
      <alignment horizontal="right" vertical="center"/>
    </xf>
    <xf numFmtId="0" fontId="33" fillId="34" borderId="34">
      <alignment horizontal="right" vertical="center"/>
    </xf>
    <xf numFmtId="4" fontId="33" fillId="34" borderId="34">
      <alignment horizontal="right" vertical="center"/>
    </xf>
    <xf numFmtId="0" fontId="33" fillId="34" borderId="34">
      <alignment horizontal="right" vertical="center"/>
    </xf>
    <xf numFmtId="4" fontId="33" fillId="34" borderId="34">
      <alignment horizontal="right" vertical="center"/>
    </xf>
    <xf numFmtId="0" fontId="33" fillId="34" borderId="35">
      <alignment horizontal="right" vertical="center"/>
    </xf>
    <xf numFmtId="4" fontId="33" fillId="34" borderId="35">
      <alignment horizontal="right" vertical="center"/>
    </xf>
    <xf numFmtId="0" fontId="33" fillId="34" borderId="36">
      <alignment horizontal="right" vertical="center"/>
    </xf>
    <xf numFmtId="4" fontId="33" fillId="34" borderId="36">
      <alignment horizontal="right" vertical="center"/>
    </xf>
    <xf numFmtId="0" fontId="47" fillId="56" borderId="26" applyNumberFormat="0" applyAlignment="0" applyProtection="0"/>
    <xf numFmtId="0" fontId="35" fillId="34" borderId="37">
      <alignment horizontal="left" vertical="center" wrapText="1" indent="2"/>
    </xf>
    <xf numFmtId="0" fontId="35" fillId="0" borderId="37">
      <alignment horizontal="left" vertical="center" wrapText="1" indent="2"/>
    </xf>
    <xf numFmtId="0" fontId="35" fillId="32" borderId="35">
      <alignment horizontal="left" vertical="center"/>
    </xf>
    <xf numFmtId="0" fontId="59" fillId="43" borderId="26" applyNumberFormat="0" applyAlignment="0" applyProtection="0"/>
    <xf numFmtId="0" fontId="35" fillId="0" borderId="34">
      <alignment horizontal="right" vertical="center"/>
    </xf>
    <xf numFmtId="4" fontId="35" fillId="0" borderId="34">
      <alignment horizontal="right" vertical="center"/>
    </xf>
    <xf numFmtId="0" fontId="35" fillId="0" borderId="34" applyNumberFormat="0" applyFill="0" applyAlignment="0" applyProtection="0"/>
    <xf numFmtId="0" fontId="63" fillId="56" borderId="25" applyNumberFormat="0" applyAlignment="0" applyProtection="0"/>
    <xf numFmtId="173" fontId="35" fillId="60" borderId="34" applyNumberFormat="0" applyFont="0" applyBorder="0" applyAlignment="0" applyProtection="0">
      <alignment horizontal="right" vertical="center"/>
    </xf>
    <xf numFmtId="0" fontId="35" fillId="33" borderId="34"/>
    <xf numFmtId="4" fontId="35" fillId="33" borderId="34"/>
    <xf numFmtId="0" fontId="66" fillId="0" borderId="28" applyNumberFormat="0" applyFill="0" applyAlignment="0" applyProtection="0"/>
    <xf numFmtId="0" fontId="5" fillId="59" borderId="33" applyNumberFormat="0" applyFont="0" applyAlignment="0" applyProtection="0"/>
    <xf numFmtId="0" fontId="41" fillId="59" borderId="33" applyNumberFormat="0" applyFont="0" applyAlignment="0" applyProtection="0"/>
    <xf numFmtId="0" fontId="35" fillId="0" borderId="34" applyNumberFormat="0" applyFill="0" applyAlignment="0" applyProtection="0"/>
    <xf numFmtId="0" fontId="51" fillId="0" borderId="28" applyNumberFormat="0" applyFill="0" applyAlignment="0" applyProtection="0"/>
    <xf numFmtId="0" fontId="66" fillId="0" borderId="28" applyNumberFormat="0" applyFill="0" applyAlignment="0" applyProtection="0"/>
    <xf numFmtId="0" fontId="50" fillId="43" borderId="26" applyNumberFormat="0" applyAlignment="0" applyProtection="0"/>
    <xf numFmtId="0" fontId="47" fillId="56" borderId="26" applyNumberFormat="0" applyAlignment="0" applyProtection="0"/>
    <xf numFmtId="4" fontId="37" fillId="32" borderId="34">
      <alignment horizontal="right" vertical="center"/>
    </xf>
    <xf numFmtId="0" fontId="33" fillId="32" borderId="34">
      <alignment horizontal="right" vertical="center"/>
    </xf>
    <xf numFmtId="173" fontId="35" fillId="60" borderId="34" applyNumberFormat="0" applyFont="0" applyBorder="0" applyAlignment="0" applyProtection="0">
      <alignment horizontal="right" vertical="center"/>
    </xf>
    <xf numFmtId="0" fontId="51" fillId="0" borderId="28" applyNumberFormat="0" applyFill="0" applyAlignment="0" applyProtection="0"/>
    <xf numFmtId="49" fontId="35" fillId="0" borderId="34" applyNumberFormat="0" applyFont="0" applyFill="0" applyBorder="0" applyProtection="0">
      <alignment horizontal="left" vertical="center" indent="2"/>
    </xf>
    <xf numFmtId="49" fontId="35" fillId="0" borderId="35" applyNumberFormat="0" applyFont="0" applyFill="0" applyBorder="0" applyProtection="0">
      <alignment horizontal="left" vertical="center" indent="5"/>
    </xf>
    <xf numFmtId="49" fontId="35" fillId="0" borderId="34" applyNumberFormat="0" applyFont="0" applyFill="0" applyBorder="0" applyProtection="0">
      <alignment horizontal="left" vertical="center" indent="2"/>
    </xf>
    <xf numFmtId="4" fontId="35" fillId="0" borderId="34" applyFill="0" applyBorder="0" applyProtection="0">
      <alignment horizontal="right" vertical="center"/>
    </xf>
    <xf numFmtId="49" fontId="34" fillId="0" borderId="34" applyNumberFormat="0" applyFill="0" applyBorder="0" applyProtection="0">
      <alignment horizontal="left" vertical="center"/>
    </xf>
    <xf numFmtId="0" fontId="35" fillId="0" borderId="37">
      <alignment horizontal="left" vertical="center" wrapText="1" indent="2"/>
    </xf>
    <xf numFmtId="0" fontId="63" fillId="56" borderId="25" applyNumberFormat="0" applyAlignment="0" applyProtection="0"/>
    <xf numFmtId="0" fontId="33" fillId="34" borderId="36">
      <alignment horizontal="right" vertical="center"/>
    </xf>
    <xf numFmtId="0" fontId="50" fillId="43" borderId="26" applyNumberFormat="0" applyAlignment="0" applyProtection="0"/>
    <xf numFmtId="0" fontId="33" fillId="34" borderId="36">
      <alignment horizontal="right" vertical="center"/>
    </xf>
    <xf numFmtId="4" fontId="33" fillId="34" borderId="34">
      <alignment horizontal="right" vertical="center"/>
    </xf>
    <xf numFmtId="0" fontId="33" fillId="34" borderId="34">
      <alignment horizontal="right" vertical="center"/>
    </xf>
    <xf numFmtId="0" fontId="44" fillId="56" borderId="25" applyNumberFormat="0" applyAlignment="0" applyProtection="0"/>
    <xf numFmtId="0" fontId="46" fillId="56" borderId="26" applyNumberFormat="0" applyAlignment="0" applyProtection="0"/>
    <xf numFmtId="0" fontId="51" fillId="0" borderId="28" applyNumberFormat="0" applyFill="0" applyAlignment="0" applyProtection="0"/>
    <xf numFmtId="0" fontId="35" fillId="33" borderId="34"/>
    <xf numFmtId="4" fontId="35" fillId="33" borderId="34"/>
    <xf numFmtId="4" fontId="33" fillId="34" borderId="34">
      <alignment horizontal="right" vertical="center"/>
    </xf>
    <xf numFmtId="0" fontId="37" fillId="32" borderId="34">
      <alignment horizontal="right" vertical="center"/>
    </xf>
    <xf numFmtId="0" fontId="50" fillId="43" borderId="26" applyNumberFormat="0" applyAlignment="0" applyProtection="0"/>
    <xf numFmtId="0" fontId="47" fillId="56" borderId="26" applyNumberFormat="0" applyAlignment="0" applyProtection="0"/>
    <xf numFmtId="4" fontId="35" fillId="0" borderId="34">
      <alignment horizontal="right" vertical="center"/>
    </xf>
    <xf numFmtId="0" fontId="35" fillId="34" borderId="37">
      <alignment horizontal="left" vertical="center" wrapText="1" indent="2"/>
    </xf>
    <xf numFmtId="0" fontId="35" fillId="0" borderId="37">
      <alignment horizontal="left" vertical="center" wrapText="1" indent="2"/>
    </xf>
    <xf numFmtId="0" fontId="63" fillId="56" borderId="25" applyNumberFormat="0" applyAlignment="0" applyProtection="0"/>
    <xf numFmtId="0" fontId="59" fillId="43" borderId="26" applyNumberFormat="0" applyAlignment="0" applyProtection="0"/>
    <xf numFmtId="0" fontId="46" fillId="56" borderId="26" applyNumberFormat="0" applyAlignment="0" applyProtection="0"/>
    <xf numFmtId="0" fontId="44" fillId="56" borderId="25" applyNumberFormat="0" applyAlignment="0" applyProtection="0"/>
    <xf numFmtId="0" fontId="33" fillId="34" borderId="36">
      <alignment horizontal="right" vertical="center"/>
    </xf>
    <xf numFmtId="0" fontId="37" fillId="32" borderId="34">
      <alignment horizontal="right" vertical="center"/>
    </xf>
    <xf numFmtId="4" fontId="33" fillId="32" borderId="34">
      <alignment horizontal="right" vertical="center"/>
    </xf>
    <xf numFmtId="4" fontId="33" fillId="34" borderId="34">
      <alignment horizontal="right" vertical="center"/>
    </xf>
    <xf numFmtId="49" fontId="35" fillId="0" borderId="35" applyNumberFormat="0" applyFont="0" applyFill="0" applyBorder="0" applyProtection="0">
      <alignment horizontal="left" vertical="center" indent="5"/>
    </xf>
    <xf numFmtId="4" fontId="35" fillId="0" borderId="34" applyFill="0" applyBorder="0" applyProtection="0">
      <alignment horizontal="right" vertical="center"/>
    </xf>
    <xf numFmtId="4" fontId="33" fillId="32" borderId="34">
      <alignment horizontal="right" vertical="center"/>
    </xf>
    <xf numFmtId="0" fontId="5" fillId="0" borderId="0"/>
    <xf numFmtId="0" fontId="59" fillId="43" borderId="26" applyNumberFormat="0" applyAlignment="0" applyProtection="0"/>
    <xf numFmtId="0" fontId="50" fillId="43" borderId="26" applyNumberFormat="0" applyAlignment="0" applyProtection="0"/>
    <xf numFmtId="0" fontId="46" fillId="56" borderId="26" applyNumberFormat="0" applyAlignment="0" applyProtection="0"/>
    <xf numFmtId="0" fontId="35" fillId="34" borderId="37">
      <alignment horizontal="left" vertical="center" wrapText="1" indent="2"/>
    </xf>
    <xf numFmtId="0" fontId="35" fillId="0" borderId="37">
      <alignment horizontal="left" vertical="center" wrapText="1" indent="2"/>
    </xf>
    <xf numFmtId="0" fontId="35" fillId="34" borderId="37">
      <alignment horizontal="left" vertical="center" wrapText="1" indent="2"/>
    </xf>
    <xf numFmtId="0" fontId="35" fillId="0" borderId="37">
      <alignment horizontal="left" vertical="center" wrapText="1" indent="2"/>
    </xf>
    <xf numFmtId="0" fontId="44" fillId="56" borderId="25" applyNumberFormat="0" applyAlignment="0" applyProtection="0"/>
    <xf numFmtId="0" fontId="46" fillId="56" borderId="26" applyNumberFormat="0" applyAlignment="0" applyProtection="0"/>
    <xf numFmtId="0" fontId="47" fillId="56" borderId="26" applyNumberFormat="0" applyAlignment="0" applyProtection="0"/>
    <xf numFmtId="0" fontId="50" fillId="43" borderId="26" applyNumberFormat="0" applyAlignment="0" applyProtection="0"/>
    <xf numFmtId="0" fontId="51" fillId="0" borderId="28" applyNumberFormat="0" applyFill="0" applyAlignment="0" applyProtection="0"/>
    <xf numFmtId="0" fontId="59" fillId="43" borderId="26" applyNumberFormat="0" applyAlignment="0" applyProtection="0"/>
    <xf numFmtId="0" fontId="41" fillId="59" borderId="33" applyNumberFormat="0" applyFont="0" applyAlignment="0" applyProtection="0"/>
    <xf numFmtId="0" fontId="5" fillId="59" borderId="33" applyNumberFormat="0" applyFont="0" applyAlignment="0" applyProtection="0"/>
    <xf numFmtId="0" fontId="63" fillId="56" borderId="25" applyNumberFormat="0" applyAlignment="0" applyProtection="0"/>
    <xf numFmtId="0" fontId="66" fillId="0" borderId="28" applyNumberFormat="0" applyFill="0" applyAlignment="0" applyProtection="0"/>
    <xf numFmtId="0" fontId="47" fillId="56" borderId="26" applyNumberFormat="0" applyAlignment="0" applyProtection="0"/>
    <xf numFmtId="0" fontId="59" fillId="43" borderId="26" applyNumberFormat="0" applyAlignment="0" applyProtection="0"/>
    <xf numFmtId="0" fontId="41" fillId="59" borderId="33" applyNumberFormat="0" applyFont="0" applyAlignment="0" applyProtection="0"/>
    <xf numFmtId="0" fontId="63" fillId="56" borderId="25" applyNumberFormat="0" applyAlignment="0" applyProtection="0"/>
    <xf numFmtId="0" fontId="66" fillId="0" borderId="28" applyNumberFormat="0" applyFill="0" applyAlignment="0" applyProtection="0"/>
    <xf numFmtId="0" fontId="33" fillId="34" borderId="18">
      <alignment horizontal="right" vertical="center"/>
    </xf>
    <xf numFmtId="4" fontId="33" fillId="34" borderId="18">
      <alignment horizontal="right" vertical="center"/>
    </xf>
    <xf numFmtId="0" fontId="33" fillId="34" borderId="20">
      <alignment horizontal="right" vertical="center"/>
    </xf>
    <xf numFmtId="4" fontId="33" fillId="34" borderId="20">
      <alignment horizontal="right" vertical="center"/>
    </xf>
    <xf numFmtId="0" fontId="47" fillId="56" borderId="26" applyNumberFormat="0" applyAlignment="0" applyProtection="0"/>
    <xf numFmtId="0" fontId="35" fillId="34" borderId="24">
      <alignment horizontal="left" vertical="center" wrapText="1" indent="2"/>
    </xf>
    <xf numFmtId="0" fontId="35" fillId="0" borderId="24">
      <alignment horizontal="left" vertical="center" wrapText="1" indent="2"/>
    </xf>
    <xf numFmtId="0" fontId="35" fillId="32" borderId="18">
      <alignment horizontal="left" vertical="center"/>
    </xf>
    <xf numFmtId="0" fontId="59" fillId="43" borderId="26" applyNumberFormat="0" applyAlignment="0" applyProtection="0"/>
    <xf numFmtId="0" fontId="63" fillId="56" borderId="25" applyNumberFormat="0" applyAlignment="0" applyProtection="0"/>
    <xf numFmtId="0" fontId="66" fillId="0" borderId="28" applyNumberFormat="0" applyFill="0" applyAlignment="0" applyProtection="0"/>
    <xf numFmtId="49" fontId="35" fillId="0" borderId="18" applyNumberFormat="0" applyFont="0" applyFill="0" applyBorder="0" applyProtection="0">
      <alignment horizontal="left" vertical="center" indent="5"/>
    </xf>
    <xf numFmtId="0" fontId="44" fillId="56" borderId="25" applyNumberFormat="0" applyAlignment="0" applyProtection="0"/>
    <xf numFmtId="0" fontId="46" fillId="56" borderId="26" applyNumberFormat="0" applyAlignment="0" applyProtection="0"/>
    <xf numFmtId="0" fontId="51" fillId="0" borderId="28" applyNumberFormat="0" applyFill="0" applyAlignment="0" applyProtection="0"/>
    <xf numFmtId="49" fontId="35" fillId="0" borderId="34" applyNumberFormat="0" applyFont="0" applyFill="0" applyBorder="0" applyProtection="0">
      <alignment horizontal="left" vertical="center" indent="2"/>
    </xf>
    <xf numFmtId="0" fontId="33" fillId="32" borderId="34">
      <alignment horizontal="right" vertical="center"/>
    </xf>
    <xf numFmtId="4" fontId="33" fillId="32" borderId="34">
      <alignment horizontal="right" vertical="center"/>
    </xf>
    <xf numFmtId="0" fontId="37" fillId="32" borderId="34">
      <alignment horizontal="right" vertical="center"/>
    </xf>
    <xf numFmtId="4" fontId="37" fillId="32" borderId="34">
      <alignment horizontal="right" vertical="center"/>
    </xf>
    <xf numFmtId="0" fontId="33" fillId="34" borderId="34">
      <alignment horizontal="right" vertical="center"/>
    </xf>
    <xf numFmtId="4" fontId="33" fillId="34" borderId="34">
      <alignment horizontal="right" vertical="center"/>
    </xf>
    <xf numFmtId="0" fontId="33" fillId="34" borderId="34">
      <alignment horizontal="right" vertical="center"/>
    </xf>
    <xf numFmtId="4" fontId="33" fillId="34" borderId="34">
      <alignment horizontal="right" vertical="center"/>
    </xf>
    <xf numFmtId="0" fontId="50" fillId="43" borderId="26" applyNumberFormat="0" applyAlignment="0" applyProtection="0"/>
    <xf numFmtId="0" fontId="35" fillId="0" borderId="34">
      <alignment horizontal="right" vertical="center"/>
    </xf>
    <xf numFmtId="4" fontId="35" fillId="0" borderId="34">
      <alignment horizontal="right" vertical="center"/>
    </xf>
    <xf numFmtId="4" fontId="35" fillId="0" borderId="34" applyFill="0" applyBorder="0" applyProtection="0">
      <alignment horizontal="right" vertical="center"/>
    </xf>
    <xf numFmtId="49" fontId="34" fillId="0" borderId="34" applyNumberFormat="0" applyFill="0" applyBorder="0" applyProtection="0">
      <alignment horizontal="left" vertical="center"/>
    </xf>
    <xf numFmtId="0" fontId="35" fillId="0" borderId="34" applyNumberFormat="0" applyFill="0" applyAlignment="0" applyProtection="0"/>
    <xf numFmtId="173" fontId="35" fillId="60" borderId="34" applyNumberFormat="0" applyFont="0" applyBorder="0" applyAlignment="0" applyProtection="0">
      <alignment horizontal="right" vertical="center"/>
    </xf>
    <xf numFmtId="0" fontId="35" fillId="33" borderId="34"/>
    <xf numFmtId="4" fontId="35" fillId="33" borderId="34"/>
    <xf numFmtId="4" fontId="33" fillId="34" borderId="34">
      <alignment horizontal="right" vertical="center"/>
    </xf>
    <xf numFmtId="0" fontId="35" fillId="33" borderId="34"/>
    <xf numFmtId="0" fontId="46" fillId="56" borderId="26" applyNumberFormat="0" applyAlignment="0" applyProtection="0"/>
    <xf numFmtId="0" fontId="33" fillId="32" borderId="34">
      <alignment horizontal="right" vertical="center"/>
    </xf>
    <xf numFmtId="0" fontId="35" fillId="0" borderId="34">
      <alignment horizontal="right" vertical="center"/>
    </xf>
    <xf numFmtId="0" fontId="66" fillId="0" borderId="28" applyNumberFormat="0" applyFill="0" applyAlignment="0" applyProtection="0"/>
    <xf numFmtId="0" fontId="35" fillId="32" borderId="35">
      <alignment horizontal="left" vertical="center"/>
    </xf>
    <xf numFmtId="0" fontId="59" fillId="43" borderId="26" applyNumberFormat="0" applyAlignment="0" applyProtection="0"/>
    <xf numFmtId="173" fontId="35" fillId="60" borderId="34" applyNumberFormat="0" applyFont="0" applyBorder="0" applyAlignment="0" applyProtection="0">
      <alignment horizontal="right" vertical="center"/>
    </xf>
    <xf numFmtId="0" fontId="41" fillId="59" borderId="33" applyNumberFormat="0" applyFont="0" applyAlignment="0" applyProtection="0"/>
    <xf numFmtId="0" fontId="35" fillId="0" borderId="37">
      <alignment horizontal="left" vertical="center" wrapText="1" indent="2"/>
    </xf>
    <xf numFmtId="4" fontId="35" fillId="33" borderId="34"/>
    <xf numFmtId="49" fontId="34" fillId="0" borderId="34" applyNumberFormat="0" applyFill="0" applyBorder="0" applyProtection="0">
      <alignment horizontal="left" vertical="center"/>
    </xf>
    <xf numFmtId="0" fontId="35" fillId="0" borderId="34">
      <alignment horizontal="right" vertical="center"/>
    </xf>
    <xf numFmtId="4" fontId="33" fillId="34" borderId="36">
      <alignment horizontal="right" vertical="center"/>
    </xf>
    <xf numFmtId="4" fontId="33" fillId="34" borderId="34">
      <alignment horizontal="right" vertical="center"/>
    </xf>
    <xf numFmtId="4" fontId="33" fillId="34" borderId="34">
      <alignment horizontal="right" vertical="center"/>
    </xf>
    <xf numFmtId="0" fontId="37" fillId="32" borderId="34">
      <alignment horizontal="right" vertical="center"/>
    </xf>
    <xf numFmtId="0" fontId="33" fillId="32" borderId="34">
      <alignment horizontal="right" vertical="center"/>
    </xf>
    <xf numFmtId="49" fontId="35" fillId="0" borderId="34" applyNumberFormat="0" applyFont="0" applyFill="0" applyBorder="0" applyProtection="0">
      <alignment horizontal="left" vertical="center" indent="2"/>
    </xf>
    <xf numFmtId="0" fontId="59" fillId="43" borderId="26" applyNumberFormat="0" applyAlignment="0" applyProtection="0"/>
    <xf numFmtId="0" fontId="44" fillId="56" borderId="25" applyNumberFormat="0" applyAlignment="0" applyProtection="0"/>
    <xf numFmtId="49" fontId="35" fillId="0" borderId="34" applyNumberFormat="0" applyFont="0" applyFill="0" applyBorder="0" applyProtection="0">
      <alignment horizontal="left" vertical="center" indent="2"/>
    </xf>
    <xf numFmtId="0" fontId="50" fillId="43" borderId="26" applyNumberFormat="0" applyAlignment="0" applyProtection="0"/>
    <xf numFmtId="4" fontId="35" fillId="0" borderId="34" applyFill="0" applyBorder="0" applyProtection="0">
      <alignment horizontal="right" vertical="center"/>
    </xf>
    <xf numFmtId="0" fontId="47" fillId="56" borderId="26" applyNumberFormat="0" applyAlignment="0" applyProtection="0"/>
    <xf numFmtId="0" fontId="66" fillId="0" borderId="28" applyNumberFormat="0" applyFill="0" applyAlignment="0" applyProtection="0"/>
    <xf numFmtId="0" fontId="63" fillId="56" borderId="25" applyNumberFormat="0" applyAlignment="0" applyProtection="0"/>
    <xf numFmtId="0" fontId="35" fillId="0" borderId="34" applyNumberFormat="0" applyFill="0" applyAlignment="0" applyProtection="0"/>
    <xf numFmtId="4" fontId="35" fillId="0" borderId="34">
      <alignment horizontal="right" vertical="center"/>
    </xf>
    <xf numFmtId="0" fontId="35" fillId="0" borderId="34">
      <alignment horizontal="right" vertical="center"/>
    </xf>
    <xf numFmtId="0" fontId="59" fillId="43" borderId="26" applyNumberFormat="0" applyAlignment="0" applyProtection="0"/>
    <xf numFmtId="0" fontId="44" fillId="56" borderId="25" applyNumberFormat="0" applyAlignment="0" applyProtection="0"/>
    <xf numFmtId="0" fontId="46" fillId="56" borderId="26" applyNumberFormat="0" applyAlignment="0" applyProtection="0"/>
    <xf numFmtId="0" fontId="35" fillId="34" borderId="37">
      <alignment horizontal="left" vertical="center" wrapText="1" indent="2"/>
    </xf>
    <xf numFmtId="0" fontId="47" fillId="56" borderId="26" applyNumberFormat="0" applyAlignment="0" applyProtection="0"/>
    <xf numFmtId="0" fontId="47" fillId="56" borderId="26" applyNumberFormat="0" applyAlignment="0" applyProtection="0"/>
    <xf numFmtId="4" fontId="33" fillId="34" borderId="35">
      <alignment horizontal="right" vertical="center"/>
    </xf>
    <xf numFmtId="0" fontId="33" fillId="34" borderId="35">
      <alignment horizontal="right" vertical="center"/>
    </xf>
    <xf numFmtId="0" fontId="33" fillId="34" borderId="34">
      <alignment horizontal="right" vertical="center"/>
    </xf>
    <xf numFmtId="4" fontId="37" fillId="32" borderId="34">
      <alignment horizontal="right" vertical="center"/>
    </xf>
    <xf numFmtId="0" fontId="50" fillId="43" borderId="26" applyNumberFormat="0" applyAlignment="0" applyProtection="0"/>
    <xf numFmtId="0" fontId="51" fillId="0" borderId="28" applyNumberFormat="0" applyFill="0" applyAlignment="0" applyProtection="0"/>
    <xf numFmtId="0" fontId="66" fillId="0" borderId="28" applyNumberFormat="0" applyFill="0" applyAlignment="0" applyProtection="0"/>
    <xf numFmtId="0" fontId="41" fillId="59" borderId="33" applyNumberFormat="0" applyFont="0" applyAlignment="0" applyProtection="0"/>
    <xf numFmtId="0" fontId="59" fillId="43" borderId="26" applyNumberFormat="0" applyAlignment="0" applyProtection="0"/>
    <xf numFmtId="49" fontId="34" fillId="0" borderId="34" applyNumberFormat="0" applyFill="0" applyBorder="0" applyProtection="0">
      <alignment horizontal="left" vertical="center"/>
    </xf>
    <xf numFmtId="0" fontId="35" fillId="34" borderId="37">
      <alignment horizontal="left" vertical="center" wrapText="1" indent="2"/>
    </xf>
    <xf numFmtId="0" fontId="47" fillId="56" borderId="26" applyNumberFormat="0" applyAlignment="0" applyProtection="0"/>
    <xf numFmtId="0" fontId="35" fillId="0" borderId="37">
      <alignment horizontal="left" vertical="center" wrapText="1" indent="2"/>
    </xf>
    <xf numFmtId="0" fontId="41" fillId="59" borderId="33" applyNumberFormat="0" applyFont="0" applyAlignment="0" applyProtection="0"/>
    <xf numFmtId="0" fontId="5" fillId="59" borderId="33" applyNumberFormat="0" applyFont="0" applyAlignment="0" applyProtection="0"/>
    <xf numFmtId="0" fontId="63" fillId="56" borderId="25" applyNumberFormat="0" applyAlignment="0" applyProtection="0"/>
    <xf numFmtId="0" fontId="66" fillId="0" borderId="28" applyNumberFormat="0" applyFill="0" applyAlignment="0" applyProtection="0"/>
    <xf numFmtId="4" fontId="35" fillId="33" borderId="34"/>
    <xf numFmtId="0" fontId="33" fillId="34" borderId="34">
      <alignment horizontal="right" vertical="center"/>
    </xf>
    <xf numFmtId="0" fontId="66" fillId="0" borderId="28" applyNumberFormat="0" applyFill="0" applyAlignment="0" applyProtection="0"/>
    <xf numFmtId="4" fontId="33" fillId="34" borderId="36">
      <alignment horizontal="right" vertical="center"/>
    </xf>
    <xf numFmtId="0" fontId="46" fillId="56" borderId="26" applyNumberFormat="0" applyAlignment="0" applyProtection="0"/>
    <xf numFmtId="0" fontId="33" fillId="34" borderId="35">
      <alignment horizontal="right" vertical="center"/>
    </xf>
    <xf numFmtId="0" fontId="47" fillId="56" borderId="26" applyNumberFormat="0" applyAlignment="0" applyProtection="0"/>
    <xf numFmtId="0" fontId="51" fillId="0" borderId="28" applyNumberFormat="0" applyFill="0" applyAlignment="0" applyProtection="0"/>
    <xf numFmtId="0" fontId="41" fillId="59" borderId="33" applyNumberFormat="0" applyFont="0" applyAlignment="0" applyProtection="0"/>
    <xf numFmtId="4" fontId="33" fillId="34" borderId="35">
      <alignment horizontal="right" vertical="center"/>
    </xf>
    <xf numFmtId="0" fontId="35" fillId="34" borderId="37">
      <alignment horizontal="left" vertical="center" wrapText="1" indent="2"/>
    </xf>
    <xf numFmtId="0" fontId="35" fillId="33" borderId="34"/>
    <xf numFmtId="173" fontId="35" fillId="60" borderId="34" applyNumberFormat="0" applyFont="0" applyBorder="0" applyAlignment="0" applyProtection="0">
      <alignment horizontal="right" vertical="center"/>
    </xf>
    <xf numFmtId="0" fontId="35" fillId="0" borderId="34" applyNumberFormat="0" applyFill="0" applyAlignment="0" applyProtection="0"/>
    <xf numFmtId="4" fontId="35" fillId="0" borderId="34" applyFill="0" applyBorder="0" applyProtection="0">
      <alignment horizontal="right" vertical="center"/>
    </xf>
    <xf numFmtId="4" fontId="33" fillId="32" borderId="34">
      <alignment horizontal="right" vertical="center"/>
    </xf>
    <xf numFmtId="0" fontId="51" fillId="0" borderId="28" applyNumberFormat="0" applyFill="0" applyAlignment="0" applyProtection="0"/>
    <xf numFmtId="49" fontId="34" fillId="0" borderId="34" applyNumberFormat="0" applyFill="0" applyBorder="0" applyProtection="0">
      <alignment horizontal="left" vertical="center"/>
    </xf>
    <xf numFmtId="49" fontId="35" fillId="0" borderId="35" applyNumberFormat="0" applyFont="0" applyFill="0" applyBorder="0" applyProtection="0">
      <alignment horizontal="left" vertical="center" indent="5"/>
    </xf>
    <xf numFmtId="0" fontId="35" fillId="32" borderId="35">
      <alignment horizontal="left" vertical="center"/>
    </xf>
    <xf numFmtId="0" fontId="47" fillId="56" borderId="26" applyNumberFormat="0" applyAlignment="0" applyProtection="0"/>
    <xf numFmtId="4" fontId="33" fillId="34" borderId="36">
      <alignment horizontal="right" vertical="center"/>
    </xf>
    <xf numFmtId="0" fontId="59" fillId="43" borderId="26" applyNumberFormat="0" applyAlignment="0" applyProtection="0"/>
    <xf numFmtId="0" fontId="59" fillId="43" borderId="26" applyNumberFormat="0" applyAlignment="0" applyProtection="0"/>
    <xf numFmtId="0" fontId="41" fillId="59" borderId="33" applyNumberFormat="0" applyFont="0" applyAlignment="0" applyProtection="0"/>
    <xf numFmtId="0" fontId="63" fillId="56" borderId="25" applyNumberFormat="0" applyAlignment="0" applyProtection="0"/>
    <xf numFmtId="0" fontId="66" fillId="0" borderId="28" applyNumberFormat="0" applyFill="0" applyAlignment="0" applyProtection="0"/>
    <xf numFmtId="0" fontId="33" fillId="34" borderId="34">
      <alignment horizontal="right" vertical="center"/>
    </xf>
    <xf numFmtId="0" fontId="5" fillId="59" borderId="33" applyNumberFormat="0" applyFont="0" applyAlignment="0" applyProtection="0"/>
    <xf numFmtId="4" fontId="35" fillId="0" borderId="34">
      <alignment horizontal="right" vertical="center"/>
    </xf>
    <xf numFmtId="0" fontId="66" fillId="0" borderId="28" applyNumberFormat="0" applyFill="0" applyAlignment="0" applyProtection="0"/>
    <xf numFmtId="0" fontId="33" fillId="34" borderId="34">
      <alignment horizontal="right" vertical="center"/>
    </xf>
    <xf numFmtId="0" fontId="33" fillId="34" borderId="34">
      <alignment horizontal="right" vertical="center"/>
    </xf>
    <xf numFmtId="4" fontId="37" fillId="32" borderId="34">
      <alignment horizontal="right" vertical="center"/>
    </xf>
    <xf numFmtId="0" fontId="33" fillId="32" borderId="34">
      <alignment horizontal="right" vertical="center"/>
    </xf>
    <xf numFmtId="4" fontId="33" fillId="32" borderId="34">
      <alignment horizontal="right" vertical="center"/>
    </xf>
    <xf numFmtId="0" fontId="37" fillId="32" borderId="34">
      <alignment horizontal="right" vertical="center"/>
    </xf>
    <xf numFmtId="4" fontId="37" fillId="32" borderId="34">
      <alignment horizontal="right" vertical="center"/>
    </xf>
    <xf numFmtId="0" fontId="33" fillId="34" borderId="34">
      <alignment horizontal="right" vertical="center"/>
    </xf>
    <xf numFmtId="4" fontId="33" fillId="34" borderId="34">
      <alignment horizontal="right" vertical="center"/>
    </xf>
    <xf numFmtId="0" fontId="33" fillId="34" borderId="34">
      <alignment horizontal="right" vertical="center"/>
    </xf>
    <xf numFmtId="4" fontId="33" fillId="34" borderId="34">
      <alignment horizontal="right" vertical="center"/>
    </xf>
    <xf numFmtId="0" fontId="33" fillId="34" borderId="35">
      <alignment horizontal="right" vertical="center"/>
    </xf>
    <xf numFmtId="4" fontId="33" fillId="34" borderId="35">
      <alignment horizontal="right" vertical="center"/>
    </xf>
    <xf numFmtId="0" fontId="33" fillId="34" borderId="36">
      <alignment horizontal="right" vertical="center"/>
    </xf>
    <xf numFmtId="4" fontId="33" fillId="34" borderId="36">
      <alignment horizontal="right" vertical="center"/>
    </xf>
    <xf numFmtId="0" fontId="47" fillId="56" borderId="26" applyNumberFormat="0" applyAlignment="0" applyProtection="0"/>
    <xf numFmtId="0" fontId="35" fillId="34" borderId="37">
      <alignment horizontal="left" vertical="center" wrapText="1" indent="2"/>
    </xf>
    <xf numFmtId="0" fontId="35" fillId="0" borderId="37">
      <alignment horizontal="left" vertical="center" wrapText="1" indent="2"/>
    </xf>
    <xf numFmtId="0" fontId="35" fillId="32" borderId="35">
      <alignment horizontal="left" vertical="center"/>
    </xf>
    <xf numFmtId="0" fontId="59" fillId="43" borderId="26" applyNumberFormat="0" applyAlignment="0" applyProtection="0"/>
    <xf numFmtId="0" fontId="35" fillId="0" borderId="34">
      <alignment horizontal="right" vertical="center"/>
    </xf>
    <xf numFmtId="4" fontId="35" fillId="0" borderId="34">
      <alignment horizontal="right" vertical="center"/>
    </xf>
    <xf numFmtId="0" fontId="35" fillId="0" borderId="34" applyNumberFormat="0" applyFill="0" applyAlignment="0" applyProtection="0"/>
    <xf numFmtId="0" fontId="63" fillId="56" borderId="25" applyNumberFormat="0" applyAlignment="0" applyProtection="0"/>
    <xf numFmtId="173" fontId="35" fillId="60" borderId="34" applyNumberFormat="0" applyFont="0" applyBorder="0" applyAlignment="0" applyProtection="0">
      <alignment horizontal="right" vertical="center"/>
    </xf>
    <xf numFmtId="0" fontId="35" fillId="33" borderId="34"/>
    <xf numFmtId="4" fontId="35" fillId="33" borderId="34"/>
    <xf numFmtId="0" fontId="66" fillId="0" borderId="28" applyNumberFormat="0" applyFill="0" applyAlignment="0" applyProtection="0"/>
    <xf numFmtId="0" fontId="5" fillId="59" borderId="33" applyNumberFormat="0" applyFont="0" applyAlignment="0" applyProtection="0"/>
    <xf numFmtId="0" fontId="41" fillId="59" borderId="33" applyNumberFormat="0" applyFont="0" applyAlignment="0" applyProtection="0"/>
    <xf numFmtId="0" fontId="35" fillId="0" borderId="34" applyNumberFormat="0" applyFill="0" applyAlignment="0" applyProtection="0"/>
    <xf numFmtId="0" fontId="51" fillId="0" borderId="28" applyNumberFormat="0" applyFill="0" applyAlignment="0" applyProtection="0"/>
    <xf numFmtId="0" fontId="66" fillId="0" borderId="28" applyNumberFormat="0" applyFill="0" applyAlignment="0" applyProtection="0"/>
    <xf numFmtId="0" fontId="50" fillId="43" borderId="26" applyNumberFormat="0" applyAlignment="0" applyProtection="0"/>
    <xf numFmtId="0" fontId="47" fillId="56" borderId="26" applyNumberFormat="0" applyAlignment="0" applyProtection="0"/>
    <xf numFmtId="4" fontId="37" fillId="32" borderId="34">
      <alignment horizontal="right" vertical="center"/>
    </xf>
    <xf numFmtId="0" fontId="33" fillId="32" borderId="34">
      <alignment horizontal="right" vertical="center"/>
    </xf>
    <xf numFmtId="173" fontId="35" fillId="60" borderId="34" applyNumberFormat="0" applyFont="0" applyBorder="0" applyAlignment="0" applyProtection="0">
      <alignment horizontal="right" vertical="center"/>
    </xf>
    <xf numFmtId="0" fontId="51" fillId="0" borderId="28" applyNumberFormat="0" applyFill="0" applyAlignment="0" applyProtection="0"/>
    <xf numFmtId="49" fontId="35" fillId="0" borderId="34" applyNumberFormat="0" applyFont="0" applyFill="0" applyBorder="0" applyProtection="0">
      <alignment horizontal="left" vertical="center" indent="2"/>
    </xf>
    <xf numFmtId="49" fontId="35" fillId="0" borderId="35" applyNumberFormat="0" applyFont="0" applyFill="0" applyBorder="0" applyProtection="0">
      <alignment horizontal="left" vertical="center" indent="5"/>
    </xf>
    <xf numFmtId="49" fontId="35" fillId="0" borderId="34" applyNumberFormat="0" applyFont="0" applyFill="0" applyBorder="0" applyProtection="0">
      <alignment horizontal="left" vertical="center" indent="2"/>
    </xf>
    <xf numFmtId="4" fontId="35" fillId="0" borderId="34" applyFill="0" applyBorder="0" applyProtection="0">
      <alignment horizontal="right" vertical="center"/>
    </xf>
    <xf numFmtId="49" fontId="34" fillId="0" borderId="34" applyNumberFormat="0" applyFill="0" applyBorder="0" applyProtection="0">
      <alignment horizontal="left" vertical="center"/>
    </xf>
    <xf numFmtId="0" fontId="35" fillId="0" borderId="37">
      <alignment horizontal="left" vertical="center" wrapText="1" indent="2"/>
    </xf>
    <xf numFmtId="0" fontId="63" fillId="56" borderId="25" applyNumberFormat="0" applyAlignment="0" applyProtection="0"/>
    <xf numFmtId="0" fontId="33" fillId="34" borderId="36">
      <alignment horizontal="right" vertical="center"/>
    </xf>
    <xf numFmtId="0" fontId="50" fillId="43" borderId="26" applyNumberFormat="0" applyAlignment="0" applyProtection="0"/>
    <xf numFmtId="0" fontId="33" fillId="34" borderId="36">
      <alignment horizontal="right" vertical="center"/>
    </xf>
    <xf numFmtId="4" fontId="33" fillId="34" borderId="34">
      <alignment horizontal="right" vertical="center"/>
    </xf>
    <xf numFmtId="0" fontId="33" fillId="34" borderId="34">
      <alignment horizontal="right" vertical="center"/>
    </xf>
    <xf numFmtId="0" fontId="44" fillId="56" borderId="25" applyNumberFormat="0" applyAlignment="0" applyProtection="0"/>
    <xf numFmtId="0" fontId="46" fillId="56" borderId="26" applyNumberFormat="0" applyAlignment="0" applyProtection="0"/>
    <xf numFmtId="0" fontId="51" fillId="0" borderId="28" applyNumberFormat="0" applyFill="0" applyAlignment="0" applyProtection="0"/>
    <xf numFmtId="0" fontId="35" fillId="33" borderId="34"/>
    <xf numFmtId="4" fontId="35" fillId="33" borderId="34"/>
    <xf numFmtId="4" fontId="33" fillId="34" borderId="34">
      <alignment horizontal="right" vertical="center"/>
    </xf>
    <xf numFmtId="0" fontId="37" fillId="32" borderId="34">
      <alignment horizontal="right" vertical="center"/>
    </xf>
    <xf numFmtId="0" fontId="50" fillId="43" borderId="26" applyNumberFormat="0" applyAlignment="0" applyProtection="0"/>
    <xf numFmtId="0" fontId="47" fillId="56" borderId="26" applyNumberFormat="0" applyAlignment="0" applyProtection="0"/>
    <xf numFmtId="4" fontId="35" fillId="0" borderId="34">
      <alignment horizontal="right" vertical="center"/>
    </xf>
    <xf numFmtId="0" fontId="35" fillId="34" borderId="37">
      <alignment horizontal="left" vertical="center" wrapText="1" indent="2"/>
    </xf>
    <xf numFmtId="0" fontId="35" fillId="0" borderId="37">
      <alignment horizontal="left" vertical="center" wrapText="1" indent="2"/>
    </xf>
    <xf numFmtId="0" fontId="63" fillId="56" borderId="25" applyNumberFormat="0" applyAlignment="0" applyProtection="0"/>
    <xf numFmtId="0" fontId="59" fillId="43" borderId="26" applyNumberFormat="0" applyAlignment="0" applyProtection="0"/>
    <xf numFmtId="0" fontId="46" fillId="56" borderId="26" applyNumberFormat="0" applyAlignment="0" applyProtection="0"/>
    <xf numFmtId="0" fontId="44" fillId="56" borderId="25" applyNumberFormat="0" applyAlignment="0" applyProtection="0"/>
    <xf numFmtId="0" fontId="33" fillId="34" borderId="36">
      <alignment horizontal="right" vertical="center"/>
    </xf>
    <xf numFmtId="0" fontId="37" fillId="32" borderId="34">
      <alignment horizontal="right" vertical="center"/>
    </xf>
    <xf numFmtId="4" fontId="33" fillId="32" borderId="34">
      <alignment horizontal="right" vertical="center"/>
    </xf>
    <xf numFmtId="4" fontId="33" fillId="34" borderId="34">
      <alignment horizontal="right" vertical="center"/>
    </xf>
    <xf numFmtId="49" fontId="35" fillId="0" borderId="35" applyNumberFormat="0" applyFont="0" applyFill="0" applyBorder="0" applyProtection="0">
      <alignment horizontal="left" vertical="center" indent="5"/>
    </xf>
    <xf numFmtId="4" fontId="35" fillId="0" borderId="34" applyFill="0" applyBorder="0" applyProtection="0">
      <alignment horizontal="right" vertical="center"/>
    </xf>
    <xf numFmtId="4" fontId="33" fillId="32" borderId="34">
      <alignment horizontal="right" vertical="center"/>
    </xf>
    <xf numFmtId="0" fontId="59" fillId="43" borderId="26" applyNumberFormat="0" applyAlignment="0" applyProtection="0"/>
    <xf numFmtId="0" fontId="50" fillId="43" borderId="26" applyNumberFormat="0" applyAlignment="0" applyProtection="0"/>
    <xf numFmtId="0" fontId="46" fillId="56" borderId="26" applyNumberFormat="0" applyAlignment="0" applyProtection="0"/>
    <xf numFmtId="0" fontId="35" fillId="34" borderId="37">
      <alignment horizontal="left" vertical="center" wrapText="1" indent="2"/>
    </xf>
    <xf numFmtId="0" fontId="35" fillId="0" borderId="37">
      <alignment horizontal="left" vertical="center" wrapText="1" indent="2"/>
    </xf>
    <xf numFmtId="0" fontId="35" fillId="34" borderId="37">
      <alignment horizontal="left" vertical="center" wrapText="1" indent="2"/>
    </xf>
    <xf numFmtId="0" fontId="27" fillId="0" borderId="0"/>
    <xf numFmtId="0" fontId="29" fillId="13" borderId="14" applyNumberFormat="0" applyAlignment="0" applyProtection="0"/>
    <xf numFmtId="0" fontId="30" fillId="13" borderId="13" applyNumberFormat="0" applyAlignment="0" applyProtection="0"/>
    <xf numFmtId="0" fontId="1" fillId="0" borderId="0" applyNumberFormat="0" applyFill="0" applyBorder="0" applyAlignment="0" applyProtection="0"/>
    <xf numFmtId="0" fontId="31" fillId="0" borderId="0" applyNumberFormat="0" applyFill="0" applyBorder="0" applyAlignment="0" applyProtection="0"/>
    <xf numFmtId="0" fontId="2" fillId="0" borderId="15" applyNumberFormat="0" applyFill="0" applyAlignment="0" applyProtection="0"/>
    <xf numFmtId="0" fontId="27" fillId="14" borderId="0" applyNumberFormat="0" applyBorder="0" applyAlignment="0" applyProtection="0"/>
    <xf numFmtId="0" fontId="27" fillId="15" borderId="0" applyNumberFormat="0" applyBorder="0" applyAlignment="0" applyProtection="0"/>
    <xf numFmtId="0" fontId="12" fillId="16" borderId="0" applyNumberFormat="0" applyBorder="0" applyAlignment="0" applyProtection="0"/>
    <xf numFmtId="0" fontId="27" fillId="17" borderId="0" applyNumberFormat="0" applyBorder="0" applyAlignment="0" applyProtection="0"/>
    <xf numFmtId="0" fontId="27" fillId="18" borderId="0" applyNumberFormat="0" applyBorder="0" applyAlignment="0" applyProtection="0"/>
    <xf numFmtId="0" fontId="12" fillId="19" borderId="0" applyNumberFormat="0" applyBorder="0" applyAlignment="0" applyProtection="0"/>
    <xf numFmtId="0" fontId="27" fillId="20" borderId="0" applyNumberFormat="0" applyBorder="0" applyAlignment="0" applyProtection="0"/>
    <xf numFmtId="0" fontId="27" fillId="21" borderId="0" applyNumberFormat="0" applyBorder="0" applyAlignment="0" applyProtection="0"/>
    <xf numFmtId="0" fontId="12" fillId="22" borderId="0" applyNumberFormat="0" applyBorder="0" applyAlignment="0" applyProtection="0"/>
    <xf numFmtId="0" fontId="27" fillId="23" borderId="0" applyNumberFormat="0" applyBorder="0" applyAlignment="0" applyProtection="0"/>
    <xf numFmtId="0" fontId="27" fillId="24" borderId="0" applyNumberFormat="0" applyBorder="0" applyAlignment="0" applyProtection="0"/>
    <xf numFmtId="0" fontId="12" fillId="25" borderId="0" applyNumberFormat="0" applyBorder="0" applyAlignment="0" applyProtection="0"/>
    <xf numFmtId="0" fontId="27" fillId="26" borderId="0" applyNumberFormat="0" applyBorder="0" applyAlignment="0" applyProtection="0"/>
    <xf numFmtId="0" fontId="27" fillId="27" borderId="0" applyNumberFormat="0" applyBorder="0" applyAlignment="0" applyProtection="0"/>
    <xf numFmtId="0" fontId="12" fillId="28" borderId="0" applyNumberFormat="0" applyBorder="0" applyAlignment="0" applyProtection="0"/>
    <xf numFmtId="0" fontId="27" fillId="29" borderId="0" applyNumberFormat="0" applyBorder="0" applyAlignment="0" applyProtection="0"/>
    <xf numFmtId="0" fontId="27" fillId="30" borderId="0" applyNumberFormat="0" applyBorder="0" applyAlignment="0" applyProtection="0"/>
    <xf numFmtId="0" fontId="12" fillId="31" borderId="0" applyNumberFormat="0" applyBorder="0" applyAlignment="0" applyProtection="0"/>
    <xf numFmtId="0" fontId="35" fillId="0" borderId="34" applyNumberFormat="0" applyFill="0" applyAlignment="0" applyProtection="0"/>
    <xf numFmtId="0" fontId="33" fillId="34" borderId="34">
      <alignment horizontal="right" vertical="center"/>
    </xf>
    <xf numFmtId="0" fontId="33" fillId="34" borderId="34">
      <alignment horizontal="right" vertical="center"/>
    </xf>
    <xf numFmtId="0" fontId="35" fillId="0" borderId="34">
      <alignment horizontal="right" vertical="center"/>
    </xf>
    <xf numFmtId="0" fontId="37" fillId="32" borderId="34">
      <alignment horizontal="right" vertical="center"/>
    </xf>
    <xf numFmtId="0" fontId="35" fillId="33" borderId="34"/>
    <xf numFmtId="0" fontId="33" fillId="32" borderId="34">
      <alignment horizontal="right" vertical="center"/>
    </xf>
    <xf numFmtId="0" fontId="47" fillId="56" borderId="39" applyNumberFormat="0" applyAlignment="0" applyProtection="0"/>
    <xf numFmtId="43" fontId="38" fillId="0" borderId="0" applyFont="0" applyFill="0" applyBorder="0" applyAlignment="0" applyProtection="0"/>
    <xf numFmtId="43" fontId="38" fillId="0" borderId="0" applyFont="0" applyFill="0" applyBorder="0" applyAlignment="0" applyProtection="0"/>
    <xf numFmtId="0" fontId="59" fillId="43" borderId="39" applyNumberFormat="0" applyAlignment="0" applyProtection="0"/>
    <xf numFmtId="4" fontId="35" fillId="0" borderId="34" applyFill="0" applyBorder="0" applyProtection="0">
      <alignment horizontal="right" vertical="center"/>
    </xf>
    <xf numFmtId="0" fontId="41" fillId="59" borderId="41" applyNumberFormat="0" applyFont="0" applyAlignment="0" applyProtection="0"/>
    <xf numFmtId="0" fontId="5" fillId="59" borderId="41" applyNumberFormat="0" applyFont="0" applyAlignment="0" applyProtection="0"/>
    <xf numFmtId="0" fontId="63" fillId="56" borderId="38" applyNumberFormat="0" applyAlignment="0" applyProtection="0"/>
    <xf numFmtId="0" fontId="66" fillId="0" borderId="40" applyNumberFormat="0" applyFill="0" applyAlignment="0" applyProtection="0"/>
    <xf numFmtId="0" fontId="47" fillId="56" borderId="39" applyNumberFormat="0" applyAlignment="0" applyProtection="0"/>
    <xf numFmtId="0" fontId="59" fillId="43" borderId="39" applyNumberFormat="0" applyAlignment="0" applyProtection="0"/>
    <xf numFmtId="0" fontId="30" fillId="13" borderId="13" applyNumberFormat="0" applyAlignment="0" applyProtection="0"/>
    <xf numFmtId="0" fontId="41" fillId="59" borderId="41" applyNumberFormat="0" applyFont="0" applyAlignment="0" applyProtection="0"/>
    <xf numFmtId="0" fontId="63" fillId="56" borderId="38" applyNumberFormat="0" applyAlignment="0" applyProtection="0"/>
    <xf numFmtId="0" fontId="66" fillId="0" borderId="40" applyNumberFormat="0" applyFill="0" applyAlignment="0" applyProtection="0"/>
    <xf numFmtId="0" fontId="33" fillId="32" borderId="42">
      <alignment horizontal="right" vertical="center"/>
    </xf>
    <xf numFmtId="4" fontId="33" fillId="32" borderId="42">
      <alignment horizontal="right" vertical="center"/>
    </xf>
    <xf numFmtId="0" fontId="37" fillId="32" borderId="42">
      <alignment horizontal="right" vertical="center"/>
    </xf>
    <xf numFmtId="4" fontId="37" fillId="32" borderId="42">
      <alignment horizontal="right" vertical="center"/>
    </xf>
    <xf numFmtId="0" fontId="33" fillId="34" borderId="42">
      <alignment horizontal="right" vertical="center"/>
    </xf>
    <xf numFmtId="4" fontId="33" fillId="34" borderId="42">
      <alignment horizontal="right" vertical="center"/>
    </xf>
    <xf numFmtId="0" fontId="33" fillId="34" borderId="42">
      <alignment horizontal="right" vertical="center"/>
    </xf>
    <xf numFmtId="4" fontId="33" fillId="34" borderId="42">
      <alignment horizontal="right" vertical="center"/>
    </xf>
    <xf numFmtId="0" fontId="33" fillId="34" borderId="43">
      <alignment horizontal="right" vertical="center"/>
    </xf>
    <xf numFmtId="4" fontId="33" fillId="34" borderId="43">
      <alignment horizontal="right" vertical="center"/>
    </xf>
    <xf numFmtId="0" fontId="33" fillId="34" borderId="44">
      <alignment horizontal="right" vertical="center"/>
    </xf>
    <xf numFmtId="4" fontId="33" fillId="34" borderId="44">
      <alignment horizontal="right" vertical="center"/>
    </xf>
    <xf numFmtId="0" fontId="47" fillId="56" borderId="39" applyNumberFormat="0" applyAlignment="0" applyProtection="0"/>
    <xf numFmtId="0" fontId="35" fillId="34" borderId="45">
      <alignment horizontal="left" vertical="center" wrapText="1" indent="2"/>
    </xf>
    <xf numFmtId="0" fontId="35" fillId="0" borderId="45">
      <alignment horizontal="left" vertical="center" wrapText="1" indent="2"/>
    </xf>
    <xf numFmtId="0" fontId="35" fillId="32" borderId="43">
      <alignment horizontal="left" vertical="center"/>
    </xf>
    <xf numFmtId="0" fontId="59" fillId="43" borderId="39" applyNumberFormat="0" applyAlignment="0" applyProtection="0"/>
    <xf numFmtId="0" fontId="35" fillId="0" borderId="42">
      <alignment horizontal="right" vertical="center"/>
    </xf>
    <xf numFmtId="4" fontId="35" fillId="0" borderId="42">
      <alignment horizontal="right" vertical="center"/>
    </xf>
    <xf numFmtId="0" fontId="35" fillId="0" borderId="42" applyNumberFormat="0" applyFill="0" applyAlignment="0" applyProtection="0"/>
    <xf numFmtId="0" fontId="63" fillId="56" borderId="38" applyNumberFormat="0" applyAlignment="0" applyProtection="0"/>
    <xf numFmtId="173" fontId="35" fillId="60" borderId="42" applyNumberFormat="0" applyFont="0" applyBorder="0" applyAlignment="0" applyProtection="0">
      <alignment horizontal="right" vertical="center"/>
    </xf>
    <xf numFmtId="0" fontId="35" fillId="33" borderId="42"/>
    <xf numFmtId="4" fontId="35" fillId="33" borderId="42"/>
    <xf numFmtId="0" fontId="66" fillId="0" borderId="40" applyNumberFormat="0" applyFill="0" applyAlignment="0" applyProtection="0"/>
    <xf numFmtId="0" fontId="27" fillId="21" borderId="0" applyNumberFormat="0" applyBorder="0" applyAlignment="0" applyProtection="0"/>
    <xf numFmtId="0" fontId="27" fillId="15" borderId="0" applyNumberFormat="0" applyBorder="0" applyAlignment="0" applyProtection="0"/>
    <xf numFmtId="0" fontId="12" fillId="28" borderId="0" applyNumberFormat="0" applyBorder="0" applyAlignment="0" applyProtection="0"/>
    <xf numFmtId="0" fontId="27" fillId="20" borderId="0" applyNumberFormat="0" applyBorder="0" applyAlignment="0" applyProtection="0"/>
    <xf numFmtId="0" fontId="31" fillId="0" borderId="0" applyNumberFormat="0" applyFill="0" applyBorder="0" applyAlignment="0" applyProtection="0"/>
    <xf numFmtId="0" fontId="12" fillId="25" borderId="0" applyNumberFormat="0" applyBorder="0" applyAlignment="0" applyProtection="0"/>
    <xf numFmtId="0" fontId="27" fillId="30" borderId="0" applyNumberFormat="0" applyBorder="0" applyAlignment="0" applyProtection="0"/>
    <xf numFmtId="0" fontId="27" fillId="27" borderId="0" applyNumberFormat="0" applyBorder="0" applyAlignment="0" applyProtection="0"/>
    <xf numFmtId="0" fontId="27" fillId="17" borderId="0" applyNumberFormat="0" applyBorder="0" applyAlignment="0" applyProtection="0"/>
    <xf numFmtId="0" fontId="27" fillId="14" borderId="0" applyNumberFormat="0" applyBorder="0" applyAlignment="0" applyProtection="0"/>
    <xf numFmtId="0" fontId="1" fillId="0" borderId="0" applyNumberFormat="0" applyFill="0" applyBorder="0" applyAlignment="0" applyProtection="0"/>
    <xf numFmtId="49" fontId="35" fillId="0" borderId="42" applyNumberFormat="0" applyFont="0" applyFill="0" applyBorder="0" applyProtection="0">
      <alignment horizontal="left" vertical="center" indent="2"/>
    </xf>
    <xf numFmtId="49" fontId="35" fillId="0" borderId="43" applyNumberFormat="0" applyFont="0" applyFill="0" applyBorder="0" applyProtection="0">
      <alignment horizontal="left" vertical="center" indent="5"/>
    </xf>
    <xf numFmtId="4" fontId="35" fillId="0" borderId="42" applyFill="0" applyBorder="0" applyProtection="0">
      <alignment horizontal="right" vertical="center"/>
    </xf>
    <xf numFmtId="49" fontId="34" fillId="0" borderId="42" applyNumberFormat="0" applyFill="0" applyBorder="0" applyProtection="0">
      <alignment horizontal="left" vertical="center"/>
    </xf>
    <xf numFmtId="0" fontId="44" fillId="56" borderId="38" applyNumberFormat="0" applyAlignment="0" applyProtection="0"/>
    <xf numFmtId="0" fontId="46" fillId="56" borderId="39" applyNumberFormat="0" applyAlignment="0" applyProtection="0"/>
    <xf numFmtId="0" fontId="51" fillId="0" borderId="40" applyNumberFormat="0" applyFill="0" applyAlignment="0" applyProtection="0"/>
    <xf numFmtId="0" fontId="50" fillId="43" borderId="39" applyNumberFormat="0" applyAlignment="0" applyProtection="0"/>
    <xf numFmtId="0" fontId="27" fillId="23" borderId="0" applyNumberFormat="0" applyBorder="0" applyAlignment="0" applyProtection="0"/>
    <xf numFmtId="0" fontId="29" fillId="13" borderId="14" applyNumberFormat="0" applyAlignment="0" applyProtection="0"/>
    <xf numFmtId="0" fontId="35" fillId="34" borderId="45">
      <alignment horizontal="left" vertical="center" wrapText="1" indent="2"/>
    </xf>
    <xf numFmtId="0" fontId="35" fillId="0" borderId="45">
      <alignment horizontal="left" vertical="center" wrapText="1" indent="2"/>
    </xf>
    <xf numFmtId="0" fontId="12" fillId="22" borderId="0" applyNumberFormat="0" applyBorder="0" applyAlignment="0" applyProtection="0"/>
    <xf numFmtId="0" fontId="12" fillId="31" borderId="0" applyNumberFormat="0" applyBorder="0" applyAlignment="0" applyProtection="0"/>
    <xf numFmtId="0" fontId="27" fillId="29" borderId="0" applyNumberFormat="0" applyBorder="0" applyAlignment="0" applyProtection="0"/>
    <xf numFmtId="0" fontId="27" fillId="26" borderId="0" applyNumberFormat="0" applyBorder="0" applyAlignment="0" applyProtection="0"/>
    <xf numFmtId="0" fontId="27" fillId="24" borderId="0" applyNumberFormat="0" applyBorder="0" applyAlignment="0" applyProtection="0"/>
    <xf numFmtId="0" fontId="12" fillId="16" borderId="0" applyNumberFormat="0" applyBorder="0" applyAlignment="0" applyProtection="0"/>
    <xf numFmtId="0" fontId="27" fillId="18" borderId="0" applyNumberFormat="0" applyBorder="0" applyAlignment="0" applyProtection="0"/>
    <xf numFmtId="0" fontId="12" fillId="19" borderId="0" applyNumberFormat="0" applyBorder="0" applyAlignment="0" applyProtection="0"/>
    <xf numFmtId="0" fontId="2" fillId="0" borderId="15" applyNumberFormat="0" applyFill="0" applyAlignment="0" applyProtection="0"/>
    <xf numFmtId="4" fontId="33" fillId="34" borderId="42">
      <alignment horizontal="right" vertical="center"/>
    </xf>
    <xf numFmtId="0" fontId="35" fillId="33" borderId="42"/>
    <xf numFmtId="0" fontId="46" fillId="56" borderId="39" applyNumberFormat="0" applyAlignment="0" applyProtection="0"/>
    <xf numFmtId="0" fontId="33" fillId="32" borderId="42">
      <alignment horizontal="right" vertical="center"/>
    </xf>
    <xf numFmtId="0" fontId="35" fillId="0" borderId="42">
      <alignment horizontal="right" vertical="center"/>
    </xf>
    <xf numFmtId="0" fontId="66" fillId="0" borderId="40" applyNumberFormat="0" applyFill="0" applyAlignment="0" applyProtection="0"/>
    <xf numFmtId="0" fontId="35" fillId="32" borderId="43">
      <alignment horizontal="left" vertical="center"/>
    </xf>
    <xf numFmtId="0" fontId="59" fillId="43" borderId="39" applyNumberFormat="0" applyAlignment="0" applyProtection="0"/>
    <xf numFmtId="173" fontId="35" fillId="60" borderId="42" applyNumberFormat="0" applyFont="0" applyBorder="0" applyAlignment="0" applyProtection="0">
      <alignment horizontal="right" vertical="center"/>
    </xf>
    <xf numFmtId="0" fontId="41" fillId="59" borderId="41" applyNumberFormat="0" applyFont="0" applyAlignment="0" applyProtection="0"/>
    <xf numFmtId="0" fontId="35" fillId="0" borderId="45">
      <alignment horizontal="left" vertical="center" wrapText="1" indent="2"/>
    </xf>
    <xf numFmtId="4" fontId="35" fillId="33" borderId="42"/>
    <xf numFmtId="49" fontId="34" fillId="0" borderId="42" applyNumberFormat="0" applyFill="0" applyBorder="0" applyProtection="0">
      <alignment horizontal="left" vertical="center"/>
    </xf>
    <xf numFmtId="0" fontId="35" fillId="0" borderId="42">
      <alignment horizontal="right" vertical="center"/>
    </xf>
    <xf numFmtId="4" fontId="33" fillId="34" borderId="44">
      <alignment horizontal="right" vertical="center"/>
    </xf>
    <xf numFmtId="4" fontId="33" fillId="34" borderId="42">
      <alignment horizontal="right" vertical="center"/>
    </xf>
    <xf numFmtId="4" fontId="33" fillId="34" borderId="42">
      <alignment horizontal="right" vertical="center"/>
    </xf>
    <xf numFmtId="0" fontId="37" fillId="32" borderId="42">
      <alignment horizontal="right" vertical="center"/>
    </xf>
    <xf numFmtId="0" fontId="33" fillId="32" borderId="42">
      <alignment horizontal="right" vertical="center"/>
    </xf>
    <xf numFmtId="49" fontId="35" fillId="0" borderId="42" applyNumberFormat="0" applyFont="0" applyFill="0" applyBorder="0" applyProtection="0">
      <alignment horizontal="left" vertical="center" indent="2"/>
    </xf>
    <xf numFmtId="0" fontId="59" fillId="43" borderId="39" applyNumberFormat="0" applyAlignment="0" applyProtection="0"/>
    <xf numFmtId="0" fontId="44" fillId="56" borderId="38" applyNumberFormat="0" applyAlignment="0" applyProtection="0"/>
    <xf numFmtId="49" fontId="35" fillId="0" borderId="42" applyNumberFormat="0" applyFont="0" applyFill="0" applyBorder="0" applyProtection="0">
      <alignment horizontal="left" vertical="center" indent="2"/>
    </xf>
    <xf numFmtId="0" fontId="50" fillId="43" borderId="39" applyNumberFormat="0" applyAlignment="0" applyProtection="0"/>
    <xf numFmtId="4" fontId="35" fillId="0" borderId="42" applyFill="0" applyBorder="0" applyProtection="0">
      <alignment horizontal="right" vertical="center"/>
    </xf>
    <xf numFmtId="0" fontId="47" fillId="56" borderId="39" applyNumberFormat="0" applyAlignment="0" applyProtection="0"/>
    <xf numFmtId="0" fontId="66" fillId="0" borderId="40" applyNumberFormat="0" applyFill="0" applyAlignment="0" applyProtection="0"/>
    <xf numFmtId="0" fontId="63" fillId="56" borderId="38" applyNumberFormat="0" applyAlignment="0" applyProtection="0"/>
    <xf numFmtId="0" fontId="35" fillId="0" borderId="42" applyNumberFormat="0" applyFill="0" applyAlignment="0" applyProtection="0"/>
    <xf numFmtId="4" fontId="35" fillId="0" borderId="42">
      <alignment horizontal="right" vertical="center"/>
    </xf>
    <xf numFmtId="0" fontId="35" fillId="0" borderId="42">
      <alignment horizontal="right" vertical="center"/>
    </xf>
    <xf numFmtId="0" fontId="59" fillId="43" borderId="39" applyNumberFormat="0" applyAlignment="0" applyProtection="0"/>
    <xf numFmtId="0" fontId="44" fillId="56" borderId="38" applyNumberFormat="0" applyAlignment="0" applyProtection="0"/>
    <xf numFmtId="0" fontId="46" fillId="56" borderId="39" applyNumberFormat="0" applyAlignment="0" applyProtection="0"/>
    <xf numFmtId="0" fontId="35" fillId="34" borderId="45">
      <alignment horizontal="left" vertical="center" wrapText="1" indent="2"/>
    </xf>
    <xf numFmtId="0" fontId="47" fillId="56" borderId="39" applyNumberFormat="0" applyAlignment="0" applyProtection="0"/>
    <xf numFmtId="0" fontId="47" fillId="56" borderId="39" applyNumberFormat="0" applyAlignment="0" applyProtection="0"/>
    <xf numFmtId="4" fontId="33" fillId="34" borderId="43">
      <alignment horizontal="right" vertical="center"/>
    </xf>
    <xf numFmtId="0" fontId="33" fillId="34" borderId="43">
      <alignment horizontal="right" vertical="center"/>
    </xf>
    <xf numFmtId="0" fontId="33" fillId="34" borderId="42">
      <alignment horizontal="right" vertical="center"/>
    </xf>
    <xf numFmtId="4" fontId="37" fillId="32" borderId="42">
      <alignment horizontal="right" vertical="center"/>
    </xf>
    <xf numFmtId="0" fontId="50" fillId="43" borderId="39" applyNumberFormat="0" applyAlignment="0" applyProtection="0"/>
    <xf numFmtId="0" fontId="51" fillId="0" borderId="40" applyNumberFormat="0" applyFill="0" applyAlignment="0" applyProtection="0"/>
    <xf numFmtId="0" fontId="66" fillId="0" borderId="40" applyNumberFormat="0" applyFill="0" applyAlignment="0" applyProtection="0"/>
    <xf numFmtId="0" fontId="41" fillId="59" borderId="41" applyNumberFormat="0" applyFont="0" applyAlignment="0" applyProtection="0"/>
    <xf numFmtId="0" fontId="59" fillId="43" borderId="39" applyNumberFormat="0" applyAlignment="0" applyProtection="0"/>
    <xf numFmtId="49" fontId="34" fillId="0" borderId="42" applyNumberFormat="0" applyFill="0" applyBorder="0" applyProtection="0">
      <alignment horizontal="left" vertical="center"/>
    </xf>
    <xf numFmtId="0" fontId="35" fillId="34" borderId="45">
      <alignment horizontal="left" vertical="center" wrapText="1" indent="2"/>
    </xf>
    <xf numFmtId="0" fontId="47" fillId="56" borderId="39" applyNumberFormat="0" applyAlignment="0" applyProtection="0"/>
    <xf numFmtId="0" fontId="35" fillId="0" borderId="45">
      <alignment horizontal="left" vertical="center" wrapText="1" indent="2"/>
    </xf>
    <xf numFmtId="0" fontId="41" fillId="59" borderId="41" applyNumberFormat="0" applyFont="0" applyAlignment="0" applyProtection="0"/>
    <xf numFmtId="0" fontId="5" fillId="59" borderId="41" applyNumberFormat="0" applyFont="0" applyAlignment="0" applyProtection="0"/>
    <xf numFmtId="0" fontId="63" fillId="56" borderId="38" applyNumberFormat="0" applyAlignment="0" applyProtection="0"/>
    <xf numFmtId="0" fontId="66" fillId="0" borderId="40" applyNumberFormat="0" applyFill="0" applyAlignment="0" applyProtection="0"/>
    <xf numFmtId="4" fontId="35" fillId="33" borderId="42"/>
    <xf numFmtId="0" fontId="33" fillId="34" borderId="42">
      <alignment horizontal="right" vertical="center"/>
    </xf>
    <xf numFmtId="0" fontId="66" fillId="0" borderId="40" applyNumberFormat="0" applyFill="0" applyAlignment="0" applyProtection="0"/>
    <xf numFmtId="4" fontId="33" fillId="34" borderId="44">
      <alignment horizontal="right" vertical="center"/>
    </xf>
    <xf numFmtId="0" fontId="46" fillId="56" borderId="39" applyNumberFormat="0" applyAlignment="0" applyProtection="0"/>
    <xf numFmtId="0" fontId="33" fillId="34" borderId="43">
      <alignment horizontal="right" vertical="center"/>
    </xf>
    <xf numFmtId="0" fontId="47" fillId="56" borderId="39" applyNumberFormat="0" applyAlignment="0" applyProtection="0"/>
    <xf numFmtId="0" fontId="51" fillId="0" borderId="40" applyNumberFormat="0" applyFill="0" applyAlignment="0" applyProtection="0"/>
    <xf numFmtId="0" fontId="41" fillId="59" borderId="41" applyNumberFormat="0" applyFont="0" applyAlignment="0" applyProtection="0"/>
    <xf numFmtId="4" fontId="33" fillId="34" borderId="43">
      <alignment horizontal="right" vertical="center"/>
    </xf>
    <xf numFmtId="0" fontId="35" fillId="34" borderId="45">
      <alignment horizontal="left" vertical="center" wrapText="1" indent="2"/>
    </xf>
    <xf numFmtId="0" fontId="35" fillId="33" borderId="42"/>
    <xf numFmtId="173" fontId="35" fillId="60" borderId="42" applyNumberFormat="0" applyFont="0" applyBorder="0" applyAlignment="0" applyProtection="0">
      <alignment horizontal="right" vertical="center"/>
    </xf>
    <xf numFmtId="0" fontId="35" fillId="0" borderId="42" applyNumberFormat="0" applyFill="0" applyAlignment="0" applyProtection="0"/>
    <xf numFmtId="4" fontId="35" fillId="0" borderId="42" applyFill="0" applyBorder="0" applyProtection="0">
      <alignment horizontal="right" vertical="center"/>
    </xf>
    <xf numFmtId="4" fontId="33" fillId="32" borderId="42">
      <alignment horizontal="right" vertical="center"/>
    </xf>
    <xf numFmtId="0" fontId="51" fillId="0" borderId="40" applyNumberFormat="0" applyFill="0" applyAlignment="0" applyProtection="0"/>
    <xf numFmtId="49" fontId="34" fillId="0" borderId="42" applyNumberFormat="0" applyFill="0" applyBorder="0" applyProtection="0">
      <alignment horizontal="left" vertical="center"/>
    </xf>
    <xf numFmtId="49" fontId="35" fillId="0" borderId="43" applyNumberFormat="0" applyFont="0" applyFill="0" applyBorder="0" applyProtection="0">
      <alignment horizontal="left" vertical="center" indent="5"/>
    </xf>
    <xf numFmtId="0" fontId="35" fillId="32" borderId="43">
      <alignment horizontal="left" vertical="center"/>
    </xf>
    <xf numFmtId="0" fontId="47" fillId="56" borderId="39" applyNumberFormat="0" applyAlignment="0" applyProtection="0"/>
    <xf numFmtId="4" fontId="33" fillId="34" borderId="44">
      <alignment horizontal="right" vertical="center"/>
    </xf>
    <xf numFmtId="0" fontId="59" fillId="43" borderId="39" applyNumberFormat="0" applyAlignment="0" applyProtection="0"/>
    <xf numFmtId="0" fontId="59" fillId="43" borderId="39" applyNumberFormat="0" applyAlignment="0" applyProtection="0"/>
    <xf numFmtId="0" fontId="41" fillId="59" borderId="41" applyNumberFormat="0" applyFont="0" applyAlignment="0" applyProtection="0"/>
    <xf numFmtId="0" fontId="63" fillId="56" borderId="38" applyNumberFormat="0" applyAlignment="0" applyProtection="0"/>
    <xf numFmtId="0" fontId="66" fillId="0" borderId="40" applyNumberFormat="0" applyFill="0" applyAlignment="0" applyProtection="0"/>
    <xf numFmtId="0" fontId="33" fillId="34" borderId="42">
      <alignment horizontal="right" vertical="center"/>
    </xf>
    <xf numFmtId="0" fontId="5" fillId="59" borderId="41" applyNumberFormat="0" applyFont="0" applyAlignment="0" applyProtection="0"/>
    <xf numFmtId="4" fontId="35" fillId="0" borderId="42">
      <alignment horizontal="right" vertical="center"/>
    </xf>
    <xf numFmtId="0" fontId="66" fillId="0" borderId="40" applyNumberFormat="0" applyFill="0" applyAlignment="0" applyProtection="0"/>
    <xf numFmtId="0" fontId="33" fillId="34" borderId="42">
      <alignment horizontal="right" vertical="center"/>
    </xf>
    <xf numFmtId="0" fontId="33" fillId="34" borderId="42">
      <alignment horizontal="right" vertical="center"/>
    </xf>
    <xf numFmtId="4" fontId="37" fillId="32" borderId="42">
      <alignment horizontal="right" vertical="center"/>
    </xf>
    <xf numFmtId="0" fontId="33" fillId="32" borderId="42">
      <alignment horizontal="right" vertical="center"/>
    </xf>
    <xf numFmtId="4" fontId="33" fillId="32" borderId="42">
      <alignment horizontal="right" vertical="center"/>
    </xf>
    <xf numFmtId="0" fontId="37" fillId="32" borderId="42">
      <alignment horizontal="right" vertical="center"/>
    </xf>
    <xf numFmtId="4" fontId="37" fillId="32" borderId="42">
      <alignment horizontal="right" vertical="center"/>
    </xf>
    <xf numFmtId="0" fontId="33" fillId="34" borderId="42">
      <alignment horizontal="right" vertical="center"/>
    </xf>
    <xf numFmtId="4" fontId="33" fillId="34" borderId="42">
      <alignment horizontal="right" vertical="center"/>
    </xf>
    <xf numFmtId="0" fontId="33" fillId="34" borderId="42">
      <alignment horizontal="right" vertical="center"/>
    </xf>
    <xf numFmtId="4" fontId="33" fillId="34" borderId="42">
      <alignment horizontal="right" vertical="center"/>
    </xf>
    <xf numFmtId="0" fontId="33" fillId="34" borderId="43">
      <alignment horizontal="right" vertical="center"/>
    </xf>
    <xf numFmtId="4" fontId="33" fillId="34" borderId="43">
      <alignment horizontal="right" vertical="center"/>
    </xf>
    <xf numFmtId="0" fontId="33" fillId="34" borderId="44">
      <alignment horizontal="right" vertical="center"/>
    </xf>
    <xf numFmtId="4" fontId="33" fillId="34" borderId="44">
      <alignment horizontal="right" vertical="center"/>
    </xf>
    <xf numFmtId="0" fontId="47" fillId="56" borderId="39" applyNumberFormat="0" applyAlignment="0" applyProtection="0"/>
    <xf numFmtId="0" fontId="35" fillId="34" borderId="45">
      <alignment horizontal="left" vertical="center" wrapText="1" indent="2"/>
    </xf>
    <xf numFmtId="0" fontId="35" fillId="0" borderId="45">
      <alignment horizontal="left" vertical="center" wrapText="1" indent="2"/>
    </xf>
    <xf numFmtId="0" fontId="35" fillId="32" borderId="43">
      <alignment horizontal="left" vertical="center"/>
    </xf>
    <xf numFmtId="0" fontId="59" fillId="43" borderId="39" applyNumberFormat="0" applyAlignment="0" applyProtection="0"/>
    <xf numFmtId="0" fontId="35" fillId="0" borderId="42">
      <alignment horizontal="right" vertical="center"/>
    </xf>
    <xf numFmtId="4" fontId="35" fillId="0" borderId="42">
      <alignment horizontal="right" vertical="center"/>
    </xf>
    <xf numFmtId="0" fontId="35" fillId="0" borderId="42" applyNumberFormat="0" applyFill="0" applyAlignment="0" applyProtection="0"/>
    <xf numFmtId="0" fontId="63" fillId="56" borderId="38" applyNumberFormat="0" applyAlignment="0" applyProtection="0"/>
    <xf numFmtId="173" fontId="35" fillId="60" borderId="42" applyNumberFormat="0" applyFont="0" applyBorder="0" applyAlignment="0" applyProtection="0">
      <alignment horizontal="right" vertical="center"/>
    </xf>
    <xf numFmtId="0" fontId="35" fillId="33" borderId="42"/>
    <xf numFmtId="4" fontId="35" fillId="33" borderId="42"/>
    <xf numFmtId="0" fontId="66" fillId="0" borderId="40" applyNumberFormat="0" applyFill="0" applyAlignment="0" applyProtection="0"/>
    <xf numFmtId="0" fontId="5" fillId="59" borderId="41" applyNumberFormat="0" applyFont="0" applyAlignment="0" applyProtection="0"/>
    <xf numFmtId="0" fontId="41" fillId="59" borderId="41" applyNumberFormat="0" applyFont="0" applyAlignment="0" applyProtection="0"/>
    <xf numFmtId="0" fontId="35" fillId="0" borderId="42" applyNumberFormat="0" applyFill="0" applyAlignment="0" applyProtection="0"/>
    <xf numFmtId="0" fontId="51" fillId="0" borderId="40" applyNumberFormat="0" applyFill="0" applyAlignment="0" applyProtection="0"/>
    <xf numFmtId="0" fontId="66" fillId="0" borderId="40" applyNumberFormat="0" applyFill="0" applyAlignment="0" applyProtection="0"/>
    <xf numFmtId="0" fontId="50" fillId="43" borderId="39" applyNumberFormat="0" applyAlignment="0" applyProtection="0"/>
    <xf numFmtId="0" fontId="47" fillId="56" borderId="39" applyNumberFormat="0" applyAlignment="0" applyProtection="0"/>
    <xf numFmtId="4" fontId="37" fillId="32" borderId="42">
      <alignment horizontal="right" vertical="center"/>
    </xf>
    <xf numFmtId="0" fontId="33" fillId="32" borderId="42">
      <alignment horizontal="right" vertical="center"/>
    </xf>
    <xf numFmtId="173" fontId="35" fillId="60" borderId="42" applyNumberFormat="0" applyFont="0" applyBorder="0" applyAlignment="0" applyProtection="0">
      <alignment horizontal="right" vertical="center"/>
    </xf>
    <xf numFmtId="0" fontId="51" fillId="0" borderId="40" applyNumberFormat="0" applyFill="0" applyAlignment="0" applyProtection="0"/>
    <xf numFmtId="49" fontId="35" fillId="0" borderId="42" applyNumberFormat="0" applyFont="0" applyFill="0" applyBorder="0" applyProtection="0">
      <alignment horizontal="left" vertical="center" indent="2"/>
    </xf>
    <xf numFmtId="49" fontId="35" fillId="0" borderId="43" applyNumberFormat="0" applyFont="0" applyFill="0" applyBorder="0" applyProtection="0">
      <alignment horizontal="left" vertical="center" indent="5"/>
    </xf>
    <xf numFmtId="49" fontId="35" fillId="0" borderId="42" applyNumberFormat="0" applyFont="0" applyFill="0" applyBorder="0" applyProtection="0">
      <alignment horizontal="left" vertical="center" indent="2"/>
    </xf>
    <xf numFmtId="4" fontId="35" fillId="0" borderId="42" applyFill="0" applyBorder="0" applyProtection="0">
      <alignment horizontal="right" vertical="center"/>
    </xf>
    <xf numFmtId="49" fontId="34" fillId="0" borderId="42" applyNumberFormat="0" applyFill="0" applyBorder="0" applyProtection="0">
      <alignment horizontal="left" vertical="center"/>
    </xf>
    <xf numFmtId="0" fontId="35" fillId="0" borderId="45">
      <alignment horizontal="left" vertical="center" wrapText="1" indent="2"/>
    </xf>
    <xf numFmtId="0" fontId="63" fillId="56" borderId="38" applyNumberFormat="0" applyAlignment="0" applyProtection="0"/>
    <xf numFmtId="0" fontId="33" fillId="34" borderId="44">
      <alignment horizontal="right" vertical="center"/>
    </xf>
    <xf numFmtId="0" fontId="50" fillId="43" borderId="39" applyNumberFormat="0" applyAlignment="0" applyProtection="0"/>
    <xf numFmtId="0" fontId="33" fillId="34" borderId="44">
      <alignment horizontal="right" vertical="center"/>
    </xf>
    <xf numFmtId="4" fontId="33" fillId="34" borderId="42">
      <alignment horizontal="right" vertical="center"/>
    </xf>
    <xf numFmtId="0" fontId="33" fillId="34" borderId="42">
      <alignment horizontal="right" vertical="center"/>
    </xf>
    <xf numFmtId="0" fontId="44" fillId="56" borderId="38" applyNumberFormat="0" applyAlignment="0" applyProtection="0"/>
    <xf numFmtId="0" fontId="46" fillId="56" borderId="39" applyNumberFormat="0" applyAlignment="0" applyProtection="0"/>
    <xf numFmtId="0" fontId="51" fillId="0" borderId="40" applyNumberFormat="0" applyFill="0" applyAlignment="0" applyProtection="0"/>
    <xf numFmtId="0" fontId="35" fillId="33" borderId="42"/>
    <xf numFmtId="4" fontId="35" fillId="33" borderId="42"/>
    <xf numFmtId="4" fontId="33" fillId="34" borderId="42">
      <alignment horizontal="right" vertical="center"/>
    </xf>
    <xf numFmtId="0" fontId="37" fillId="32" borderId="42">
      <alignment horizontal="right" vertical="center"/>
    </xf>
    <xf numFmtId="0" fontId="50" fillId="43" borderId="39" applyNumberFormat="0" applyAlignment="0" applyProtection="0"/>
    <xf numFmtId="0" fontId="47" fillId="56" borderId="39" applyNumberFormat="0" applyAlignment="0" applyProtection="0"/>
    <xf numFmtId="4" fontId="35" fillId="0" borderId="42">
      <alignment horizontal="right" vertical="center"/>
    </xf>
    <xf numFmtId="0" fontId="35" fillId="34" borderId="45">
      <alignment horizontal="left" vertical="center" wrapText="1" indent="2"/>
    </xf>
    <xf numFmtId="0" fontId="35" fillId="0" borderId="45">
      <alignment horizontal="left" vertical="center" wrapText="1" indent="2"/>
    </xf>
    <xf numFmtId="0" fontId="63" fillId="56" borderId="38" applyNumberFormat="0" applyAlignment="0" applyProtection="0"/>
    <xf numFmtId="0" fontId="59" fillId="43" borderId="39" applyNumberFormat="0" applyAlignment="0" applyProtection="0"/>
    <xf numFmtId="0" fontId="46" fillId="56" borderId="39" applyNumberFormat="0" applyAlignment="0" applyProtection="0"/>
    <xf numFmtId="0" fontId="44" fillId="56" borderId="38" applyNumberFormat="0" applyAlignment="0" applyProtection="0"/>
    <xf numFmtId="0" fontId="33" fillId="34" borderId="44">
      <alignment horizontal="right" vertical="center"/>
    </xf>
    <xf numFmtId="0" fontId="37" fillId="32" borderId="42">
      <alignment horizontal="right" vertical="center"/>
    </xf>
    <xf numFmtId="4" fontId="33" fillId="32" borderId="42">
      <alignment horizontal="right" vertical="center"/>
    </xf>
    <xf numFmtId="4" fontId="33" fillId="34" borderId="42">
      <alignment horizontal="right" vertical="center"/>
    </xf>
    <xf numFmtId="49" fontId="35" fillId="0" borderId="43" applyNumberFormat="0" applyFont="0" applyFill="0" applyBorder="0" applyProtection="0">
      <alignment horizontal="left" vertical="center" indent="5"/>
    </xf>
    <xf numFmtId="4" fontId="35" fillId="0" borderId="42" applyFill="0" applyBorder="0" applyProtection="0">
      <alignment horizontal="right" vertical="center"/>
    </xf>
    <xf numFmtId="4" fontId="33" fillId="32" borderId="42">
      <alignment horizontal="right" vertical="center"/>
    </xf>
    <xf numFmtId="0" fontId="59" fillId="43" borderId="39" applyNumberFormat="0" applyAlignment="0" applyProtection="0"/>
    <xf numFmtId="0" fontId="50" fillId="43" borderId="39" applyNumberFormat="0" applyAlignment="0" applyProtection="0"/>
    <xf numFmtId="0" fontId="46" fillId="56" borderId="39" applyNumberFormat="0" applyAlignment="0" applyProtection="0"/>
    <xf numFmtId="0" fontId="35" fillId="34" borderId="45">
      <alignment horizontal="left" vertical="center" wrapText="1" indent="2"/>
    </xf>
    <xf numFmtId="0" fontId="35" fillId="0" borderId="45">
      <alignment horizontal="left" vertical="center" wrapText="1" indent="2"/>
    </xf>
    <xf numFmtId="0" fontId="35" fillId="34" borderId="45">
      <alignment horizontal="left" vertical="center" wrapText="1" indent="2"/>
    </xf>
    <xf numFmtId="0" fontId="35" fillId="0" borderId="45">
      <alignment horizontal="left" vertical="center" wrapText="1" indent="2"/>
    </xf>
    <xf numFmtId="0" fontId="44" fillId="56" borderId="38" applyNumberFormat="0" applyAlignment="0" applyProtection="0"/>
    <xf numFmtId="0" fontId="46" fillId="56" borderId="39" applyNumberFormat="0" applyAlignment="0" applyProtection="0"/>
    <xf numFmtId="0" fontId="47" fillId="56" borderId="39" applyNumberFormat="0" applyAlignment="0" applyProtection="0"/>
    <xf numFmtId="0" fontId="50" fillId="43" borderId="39" applyNumberFormat="0" applyAlignment="0" applyProtection="0"/>
    <xf numFmtId="0" fontId="51" fillId="0" borderId="40" applyNumberFormat="0" applyFill="0" applyAlignment="0" applyProtection="0"/>
    <xf numFmtId="0" fontId="59" fillId="43" borderId="39" applyNumberFormat="0" applyAlignment="0" applyProtection="0"/>
    <xf numFmtId="0" fontId="41" fillId="59" borderId="41" applyNumberFormat="0" applyFont="0" applyAlignment="0" applyProtection="0"/>
    <xf numFmtId="0" fontId="5" fillId="59" borderId="41" applyNumberFormat="0" applyFont="0" applyAlignment="0" applyProtection="0"/>
    <xf numFmtId="0" fontId="63" fillId="56" borderId="38" applyNumberFormat="0" applyAlignment="0" applyProtection="0"/>
    <xf numFmtId="0" fontId="66" fillId="0" borderId="40" applyNumberFormat="0" applyFill="0" applyAlignment="0" applyProtection="0"/>
    <xf numFmtId="0" fontId="47" fillId="56" borderId="39" applyNumberFormat="0" applyAlignment="0" applyProtection="0"/>
    <xf numFmtId="0" fontId="59" fillId="43" borderId="39" applyNumberFormat="0" applyAlignment="0" applyProtection="0"/>
    <xf numFmtId="0" fontId="41" fillId="59" borderId="41" applyNumberFormat="0" applyFont="0" applyAlignment="0" applyProtection="0"/>
    <xf numFmtId="0" fontId="63" fillId="56" borderId="38" applyNumberFormat="0" applyAlignment="0" applyProtection="0"/>
    <xf numFmtId="0" fontId="66" fillId="0" borderId="40" applyNumberFormat="0" applyFill="0" applyAlignment="0" applyProtection="0"/>
    <xf numFmtId="0" fontId="47" fillId="56" borderId="39" applyNumberFormat="0" applyAlignment="0" applyProtection="0"/>
    <xf numFmtId="0" fontId="59" fillId="43" borderId="39" applyNumberFormat="0" applyAlignment="0" applyProtection="0"/>
    <xf numFmtId="0" fontId="63" fillId="56" borderId="38" applyNumberFormat="0" applyAlignment="0" applyProtection="0"/>
    <xf numFmtId="0" fontId="66" fillId="0" borderId="40" applyNumberFormat="0" applyFill="0" applyAlignment="0" applyProtection="0"/>
    <xf numFmtId="0" fontId="44" fillId="56" borderId="38" applyNumberFormat="0" applyAlignment="0" applyProtection="0"/>
    <xf numFmtId="0" fontId="46" fillId="56" borderId="39" applyNumberFormat="0" applyAlignment="0" applyProtection="0"/>
    <xf numFmtId="0" fontId="51" fillId="0" borderId="40" applyNumberFormat="0" applyFill="0" applyAlignment="0" applyProtection="0"/>
    <xf numFmtId="49" fontId="35" fillId="0" borderId="42" applyNumberFormat="0" applyFont="0" applyFill="0" applyBorder="0" applyProtection="0">
      <alignment horizontal="left" vertical="center" indent="2"/>
    </xf>
    <xf numFmtId="0" fontId="33" fillId="32" borderId="42">
      <alignment horizontal="right" vertical="center"/>
    </xf>
    <xf numFmtId="4" fontId="33" fillId="32" borderId="42">
      <alignment horizontal="right" vertical="center"/>
    </xf>
    <xf numFmtId="0" fontId="37" fillId="32" borderId="42">
      <alignment horizontal="right" vertical="center"/>
    </xf>
    <xf numFmtId="4" fontId="37" fillId="32" borderId="42">
      <alignment horizontal="right" vertical="center"/>
    </xf>
    <xf numFmtId="0" fontId="33" fillId="34" borderId="42">
      <alignment horizontal="right" vertical="center"/>
    </xf>
    <xf numFmtId="4" fontId="33" fillId="34" borderId="42">
      <alignment horizontal="right" vertical="center"/>
    </xf>
    <xf numFmtId="0" fontId="33" fillId="34" borderId="42">
      <alignment horizontal="right" vertical="center"/>
    </xf>
    <xf numFmtId="4" fontId="33" fillId="34" borderId="42">
      <alignment horizontal="right" vertical="center"/>
    </xf>
    <xf numFmtId="0" fontId="50" fillId="43" borderId="39" applyNumberFormat="0" applyAlignment="0" applyProtection="0"/>
    <xf numFmtId="0" fontId="35" fillId="0" borderId="42">
      <alignment horizontal="right" vertical="center"/>
    </xf>
    <xf numFmtId="4" fontId="35" fillId="0" borderId="42">
      <alignment horizontal="right" vertical="center"/>
    </xf>
    <xf numFmtId="4" fontId="35" fillId="0" borderId="42" applyFill="0" applyBorder="0" applyProtection="0">
      <alignment horizontal="right" vertical="center"/>
    </xf>
    <xf numFmtId="49" fontId="34" fillId="0" borderId="42" applyNumberFormat="0" applyFill="0" applyBorder="0" applyProtection="0">
      <alignment horizontal="left" vertical="center"/>
    </xf>
    <xf numFmtId="0" fontId="35" fillId="0" borderId="42" applyNumberFormat="0" applyFill="0" applyAlignment="0" applyProtection="0"/>
    <xf numFmtId="173" fontId="35" fillId="60" borderId="42" applyNumberFormat="0" applyFont="0" applyBorder="0" applyAlignment="0" applyProtection="0">
      <alignment horizontal="right" vertical="center"/>
    </xf>
    <xf numFmtId="0" fontId="35" fillId="33" borderId="42"/>
    <xf numFmtId="4" fontId="35" fillId="33" borderId="42"/>
    <xf numFmtId="4" fontId="33" fillId="34" borderId="42">
      <alignment horizontal="right" vertical="center"/>
    </xf>
    <xf numFmtId="0" fontId="35" fillId="33" borderId="42"/>
    <xf numFmtId="0" fontId="46" fillId="56" borderId="39" applyNumberFormat="0" applyAlignment="0" applyProtection="0"/>
    <xf numFmtId="0" fontId="33" fillId="32" borderId="42">
      <alignment horizontal="right" vertical="center"/>
    </xf>
    <xf numFmtId="0" fontId="35" fillId="0" borderId="42">
      <alignment horizontal="right" vertical="center"/>
    </xf>
    <xf numFmtId="0" fontId="66" fillId="0" borderId="40" applyNumberFormat="0" applyFill="0" applyAlignment="0" applyProtection="0"/>
    <xf numFmtId="0" fontId="35" fillId="32" borderId="43">
      <alignment horizontal="left" vertical="center"/>
    </xf>
    <xf numFmtId="0" fontId="59" fillId="43" borderId="39" applyNumberFormat="0" applyAlignment="0" applyProtection="0"/>
    <xf numFmtId="173" fontId="35" fillId="60" borderId="42" applyNumberFormat="0" applyFont="0" applyBorder="0" applyAlignment="0" applyProtection="0">
      <alignment horizontal="right" vertical="center"/>
    </xf>
    <xf numFmtId="0" fontId="41" fillId="59" borderId="41" applyNumberFormat="0" applyFont="0" applyAlignment="0" applyProtection="0"/>
    <xf numFmtId="0" fontId="35" fillId="0" borderId="45">
      <alignment horizontal="left" vertical="center" wrapText="1" indent="2"/>
    </xf>
    <xf numFmtId="4" fontId="35" fillId="33" borderId="42"/>
    <xf numFmtId="49" fontId="34" fillId="0" borderId="42" applyNumberFormat="0" applyFill="0" applyBorder="0" applyProtection="0">
      <alignment horizontal="left" vertical="center"/>
    </xf>
    <xf numFmtId="0" fontId="35" fillId="0" borderId="42">
      <alignment horizontal="right" vertical="center"/>
    </xf>
    <xf numFmtId="4" fontId="33" fillId="34" borderId="44">
      <alignment horizontal="right" vertical="center"/>
    </xf>
    <xf numFmtId="4" fontId="33" fillId="34" borderId="42">
      <alignment horizontal="right" vertical="center"/>
    </xf>
    <xf numFmtId="4" fontId="33" fillId="34" borderId="42">
      <alignment horizontal="right" vertical="center"/>
    </xf>
    <xf numFmtId="0" fontId="37" fillId="32" borderId="42">
      <alignment horizontal="right" vertical="center"/>
    </xf>
    <xf numFmtId="0" fontId="33" fillId="32" borderId="42">
      <alignment horizontal="right" vertical="center"/>
    </xf>
    <xf numFmtId="49" fontId="35" fillId="0" borderId="42" applyNumberFormat="0" applyFont="0" applyFill="0" applyBorder="0" applyProtection="0">
      <alignment horizontal="left" vertical="center" indent="2"/>
    </xf>
    <xf numFmtId="0" fontId="59" fillId="43" borderId="39" applyNumberFormat="0" applyAlignment="0" applyProtection="0"/>
    <xf numFmtId="0" fontId="44" fillId="56" borderId="38" applyNumberFormat="0" applyAlignment="0" applyProtection="0"/>
    <xf numFmtId="49" fontId="35" fillId="0" borderId="42" applyNumberFormat="0" applyFont="0" applyFill="0" applyBorder="0" applyProtection="0">
      <alignment horizontal="left" vertical="center" indent="2"/>
    </xf>
    <xf numFmtId="0" fontId="50" fillId="43" borderId="39" applyNumberFormat="0" applyAlignment="0" applyProtection="0"/>
    <xf numFmtId="4" fontId="35" fillId="0" borderId="42" applyFill="0" applyBorder="0" applyProtection="0">
      <alignment horizontal="right" vertical="center"/>
    </xf>
    <xf numFmtId="0" fontId="47" fillId="56" borderId="39" applyNumberFormat="0" applyAlignment="0" applyProtection="0"/>
    <xf numFmtId="0" fontId="66" fillId="0" borderId="40" applyNumberFormat="0" applyFill="0" applyAlignment="0" applyProtection="0"/>
    <xf numFmtId="0" fontId="63" fillId="56" borderId="38" applyNumberFormat="0" applyAlignment="0" applyProtection="0"/>
    <xf numFmtId="0" fontId="35" fillId="0" borderId="42" applyNumberFormat="0" applyFill="0" applyAlignment="0" applyProtection="0"/>
    <xf numFmtId="4" fontId="35" fillId="0" borderId="42">
      <alignment horizontal="right" vertical="center"/>
    </xf>
    <xf numFmtId="0" fontId="35" fillId="0" borderId="42">
      <alignment horizontal="right" vertical="center"/>
    </xf>
    <xf numFmtId="0" fontId="59" fillId="43" borderId="39" applyNumberFormat="0" applyAlignment="0" applyProtection="0"/>
    <xf numFmtId="0" fontId="44" fillId="56" borderId="38" applyNumberFormat="0" applyAlignment="0" applyProtection="0"/>
    <xf numFmtId="0" fontId="46" fillId="56" borderId="39" applyNumberFormat="0" applyAlignment="0" applyProtection="0"/>
    <xf numFmtId="0" fontId="35" fillId="34" borderId="45">
      <alignment horizontal="left" vertical="center" wrapText="1" indent="2"/>
    </xf>
    <xf numFmtId="0" fontId="47" fillId="56" borderId="39" applyNumberFormat="0" applyAlignment="0" applyProtection="0"/>
    <xf numFmtId="0" fontId="47" fillId="56" borderId="39" applyNumberFormat="0" applyAlignment="0" applyProtection="0"/>
    <xf numFmtId="4" fontId="33" fillId="34" borderId="43">
      <alignment horizontal="right" vertical="center"/>
    </xf>
    <xf numFmtId="0" fontId="33" fillId="34" borderId="43">
      <alignment horizontal="right" vertical="center"/>
    </xf>
    <xf numFmtId="0" fontId="33" fillId="34" borderId="42">
      <alignment horizontal="right" vertical="center"/>
    </xf>
    <xf numFmtId="4" fontId="37" fillId="32" borderId="42">
      <alignment horizontal="right" vertical="center"/>
    </xf>
    <xf numFmtId="0" fontId="50" fillId="43" borderId="39" applyNumberFormat="0" applyAlignment="0" applyProtection="0"/>
    <xf numFmtId="0" fontId="51" fillId="0" borderId="40" applyNumberFormat="0" applyFill="0" applyAlignment="0" applyProtection="0"/>
    <xf numFmtId="0" fontId="66" fillId="0" borderId="40" applyNumberFormat="0" applyFill="0" applyAlignment="0" applyProtection="0"/>
    <xf numFmtId="0" fontId="41" fillId="59" borderId="41" applyNumberFormat="0" applyFont="0" applyAlignment="0" applyProtection="0"/>
    <xf numFmtId="0" fontId="59" fillId="43" borderId="39" applyNumberFormat="0" applyAlignment="0" applyProtection="0"/>
    <xf numFmtId="49" fontId="34" fillId="0" borderId="42" applyNumberFormat="0" applyFill="0" applyBorder="0" applyProtection="0">
      <alignment horizontal="left" vertical="center"/>
    </xf>
    <xf numFmtId="0" fontId="35" fillId="34" borderId="45">
      <alignment horizontal="left" vertical="center" wrapText="1" indent="2"/>
    </xf>
    <xf numFmtId="0" fontId="47" fillId="56" borderId="39" applyNumberFormat="0" applyAlignment="0" applyProtection="0"/>
    <xf numFmtId="0" fontId="35" fillId="0" borderId="45">
      <alignment horizontal="left" vertical="center" wrapText="1" indent="2"/>
    </xf>
    <xf numFmtId="0" fontId="41" fillId="59" borderId="41" applyNumberFormat="0" applyFont="0" applyAlignment="0" applyProtection="0"/>
    <xf numFmtId="0" fontId="5" fillId="59" borderId="41" applyNumberFormat="0" applyFont="0" applyAlignment="0" applyProtection="0"/>
    <xf numFmtId="0" fontId="63" fillId="56" borderId="38" applyNumberFormat="0" applyAlignment="0" applyProtection="0"/>
    <xf numFmtId="0" fontId="66" fillId="0" borderId="40" applyNumberFormat="0" applyFill="0" applyAlignment="0" applyProtection="0"/>
    <xf numFmtId="4" fontId="35" fillId="33" borderId="42"/>
    <xf numFmtId="0" fontId="33" fillId="34" borderId="42">
      <alignment horizontal="right" vertical="center"/>
    </xf>
    <xf numFmtId="0" fontId="66" fillId="0" borderId="40" applyNumberFormat="0" applyFill="0" applyAlignment="0" applyProtection="0"/>
    <xf numFmtId="4" fontId="33" fillId="34" borderId="44">
      <alignment horizontal="right" vertical="center"/>
    </xf>
    <xf numFmtId="0" fontId="46" fillId="56" borderId="39" applyNumberFormat="0" applyAlignment="0" applyProtection="0"/>
    <xf numFmtId="0" fontId="33" fillId="34" borderId="43">
      <alignment horizontal="right" vertical="center"/>
    </xf>
    <xf numFmtId="0" fontId="47" fillId="56" borderId="39" applyNumberFormat="0" applyAlignment="0" applyProtection="0"/>
    <xf numFmtId="0" fontId="51" fillId="0" borderId="40" applyNumberFormat="0" applyFill="0" applyAlignment="0" applyProtection="0"/>
    <xf numFmtId="0" fontId="41" fillId="59" borderId="41" applyNumberFormat="0" applyFont="0" applyAlignment="0" applyProtection="0"/>
    <xf numFmtId="4" fontId="33" fillId="34" borderId="43">
      <alignment horizontal="right" vertical="center"/>
    </xf>
    <xf numFmtId="0" fontId="35" fillId="34" borderId="45">
      <alignment horizontal="left" vertical="center" wrapText="1" indent="2"/>
    </xf>
    <xf numFmtId="0" fontId="35" fillId="33" borderId="42"/>
    <xf numFmtId="173" fontId="35" fillId="60" borderId="42" applyNumberFormat="0" applyFont="0" applyBorder="0" applyAlignment="0" applyProtection="0">
      <alignment horizontal="right" vertical="center"/>
    </xf>
    <xf numFmtId="0" fontId="35" fillId="0" borderId="42" applyNumberFormat="0" applyFill="0" applyAlignment="0" applyProtection="0"/>
    <xf numFmtId="4" fontId="35" fillId="0" borderId="42" applyFill="0" applyBorder="0" applyProtection="0">
      <alignment horizontal="right" vertical="center"/>
    </xf>
    <xf numFmtId="4" fontId="33" fillId="32" borderId="42">
      <alignment horizontal="right" vertical="center"/>
    </xf>
    <xf numFmtId="0" fontId="51" fillId="0" borderId="40" applyNumberFormat="0" applyFill="0" applyAlignment="0" applyProtection="0"/>
    <xf numFmtId="49" fontId="34" fillId="0" borderId="42" applyNumberFormat="0" applyFill="0" applyBorder="0" applyProtection="0">
      <alignment horizontal="left" vertical="center"/>
    </xf>
    <xf numFmtId="49" fontId="35" fillId="0" borderId="43" applyNumberFormat="0" applyFont="0" applyFill="0" applyBorder="0" applyProtection="0">
      <alignment horizontal="left" vertical="center" indent="5"/>
    </xf>
    <xf numFmtId="0" fontId="35" fillId="32" borderId="43">
      <alignment horizontal="left" vertical="center"/>
    </xf>
    <xf numFmtId="0" fontId="47" fillId="56" borderId="39" applyNumberFormat="0" applyAlignment="0" applyProtection="0"/>
    <xf numFmtId="4" fontId="33" fillId="34" borderId="44">
      <alignment horizontal="right" vertical="center"/>
    </xf>
    <xf numFmtId="0" fontId="59" fillId="43" borderId="39" applyNumberFormat="0" applyAlignment="0" applyProtection="0"/>
    <xf numFmtId="0" fontId="59" fillId="43" borderId="39" applyNumberFormat="0" applyAlignment="0" applyProtection="0"/>
    <xf numFmtId="0" fontId="41" fillId="59" borderId="41" applyNumberFormat="0" applyFont="0" applyAlignment="0" applyProtection="0"/>
    <xf numFmtId="0" fontId="63" fillId="56" borderId="38" applyNumberFormat="0" applyAlignment="0" applyProtection="0"/>
    <xf numFmtId="0" fontId="66" fillId="0" borderId="40" applyNumberFormat="0" applyFill="0" applyAlignment="0" applyProtection="0"/>
    <xf numFmtId="0" fontId="33" fillId="34" borderId="42">
      <alignment horizontal="right" vertical="center"/>
    </xf>
    <xf numFmtId="0" fontId="5" fillId="59" borderId="41" applyNumberFormat="0" applyFont="0" applyAlignment="0" applyProtection="0"/>
    <xf numFmtId="4" fontId="35" fillId="0" borderId="42">
      <alignment horizontal="right" vertical="center"/>
    </xf>
    <xf numFmtId="0" fontId="66" fillId="0" borderId="40" applyNumberFormat="0" applyFill="0" applyAlignment="0" applyProtection="0"/>
    <xf numFmtId="0" fontId="33" fillId="34" borderId="42">
      <alignment horizontal="right" vertical="center"/>
    </xf>
    <xf numFmtId="0" fontId="33" fillId="34" borderId="42">
      <alignment horizontal="right" vertical="center"/>
    </xf>
    <xf numFmtId="4" fontId="37" fillId="32" borderId="42">
      <alignment horizontal="right" vertical="center"/>
    </xf>
    <xf numFmtId="0" fontId="33" fillId="32" borderId="42">
      <alignment horizontal="right" vertical="center"/>
    </xf>
    <xf numFmtId="4" fontId="33" fillId="32" borderId="42">
      <alignment horizontal="right" vertical="center"/>
    </xf>
    <xf numFmtId="0" fontId="37" fillId="32" borderId="42">
      <alignment horizontal="right" vertical="center"/>
    </xf>
    <xf numFmtId="4" fontId="37" fillId="32" borderId="42">
      <alignment horizontal="right" vertical="center"/>
    </xf>
    <xf numFmtId="0" fontId="33" fillId="34" borderId="42">
      <alignment horizontal="right" vertical="center"/>
    </xf>
    <xf numFmtId="4" fontId="33" fillId="34" borderId="42">
      <alignment horizontal="right" vertical="center"/>
    </xf>
    <xf numFmtId="0" fontId="33" fillId="34" borderId="42">
      <alignment horizontal="right" vertical="center"/>
    </xf>
    <xf numFmtId="4" fontId="33" fillId="34" borderId="42">
      <alignment horizontal="right" vertical="center"/>
    </xf>
    <xf numFmtId="0" fontId="33" fillId="34" borderId="43">
      <alignment horizontal="right" vertical="center"/>
    </xf>
    <xf numFmtId="4" fontId="33" fillId="34" borderId="43">
      <alignment horizontal="right" vertical="center"/>
    </xf>
    <xf numFmtId="0" fontId="33" fillId="34" borderId="44">
      <alignment horizontal="right" vertical="center"/>
    </xf>
    <xf numFmtId="4" fontId="33" fillId="34" borderId="44">
      <alignment horizontal="right" vertical="center"/>
    </xf>
    <xf numFmtId="0" fontId="47" fillId="56" borderId="39" applyNumberFormat="0" applyAlignment="0" applyProtection="0"/>
    <xf numFmtId="0" fontId="35" fillId="34" borderId="45">
      <alignment horizontal="left" vertical="center" wrapText="1" indent="2"/>
    </xf>
    <xf numFmtId="0" fontId="35" fillId="0" borderId="45">
      <alignment horizontal="left" vertical="center" wrapText="1" indent="2"/>
    </xf>
    <xf numFmtId="0" fontId="35" fillId="32" borderId="43">
      <alignment horizontal="left" vertical="center"/>
    </xf>
    <xf numFmtId="0" fontId="59" fillId="43" borderId="39" applyNumberFormat="0" applyAlignment="0" applyProtection="0"/>
    <xf numFmtId="0" fontId="35" fillId="0" borderId="42">
      <alignment horizontal="right" vertical="center"/>
    </xf>
    <xf numFmtId="4" fontId="35" fillId="0" borderId="42">
      <alignment horizontal="right" vertical="center"/>
    </xf>
    <xf numFmtId="0" fontId="35" fillId="0" borderId="42" applyNumberFormat="0" applyFill="0" applyAlignment="0" applyProtection="0"/>
    <xf numFmtId="0" fontId="63" fillId="56" borderId="38" applyNumberFormat="0" applyAlignment="0" applyProtection="0"/>
    <xf numFmtId="173" fontId="35" fillId="60" borderId="42" applyNumberFormat="0" applyFont="0" applyBorder="0" applyAlignment="0" applyProtection="0">
      <alignment horizontal="right" vertical="center"/>
    </xf>
    <xf numFmtId="0" fontId="35" fillId="33" borderId="42"/>
    <xf numFmtId="4" fontId="35" fillId="33" borderId="42"/>
    <xf numFmtId="0" fontId="66" fillId="0" borderId="40" applyNumberFormat="0" applyFill="0" applyAlignment="0" applyProtection="0"/>
    <xf numFmtId="0" fontId="5" fillId="59" borderId="41" applyNumberFormat="0" applyFont="0" applyAlignment="0" applyProtection="0"/>
    <xf numFmtId="0" fontId="41" fillId="59" borderId="41" applyNumberFormat="0" applyFont="0" applyAlignment="0" applyProtection="0"/>
    <xf numFmtId="0" fontId="35" fillId="0" borderId="42" applyNumberFormat="0" applyFill="0" applyAlignment="0" applyProtection="0"/>
    <xf numFmtId="0" fontId="51" fillId="0" borderId="40" applyNumberFormat="0" applyFill="0" applyAlignment="0" applyProtection="0"/>
    <xf numFmtId="0" fontId="66" fillId="0" borderId="40" applyNumberFormat="0" applyFill="0" applyAlignment="0" applyProtection="0"/>
    <xf numFmtId="0" fontId="50" fillId="43" borderId="39" applyNumberFormat="0" applyAlignment="0" applyProtection="0"/>
    <xf numFmtId="0" fontId="47" fillId="56" borderId="39" applyNumberFormat="0" applyAlignment="0" applyProtection="0"/>
    <xf numFmtId="4" fontId="37" fillId="32" borderId="42">
      <alignment horizontal="right" vertical="center"/>
    </xf>
    <xf numFmtId="0" fontId="33" fillId="32" borderId="42">
      <alignment horizontal="right" vertical="center"/>
    </xf>
    <xf numFmtId="173" fontId="35" fillId="60" borderId="42" applyNumberFormat="0" applyFont="0" applyBorder="0" applyAlignment="0" applyProtection="0">
      <alignment horizontal="right" vertical="center"/>
    </xf>
    <xf numFmtId="0" fontId="51" fillId="0" borderId="40" applyNumberFormat="0" applyFill="0" applyAlignment="0" applyProtection="0"/>
    <xf numFmtId="49" fontId="35" fillId="0" borderId="42" applyNumberFormat="0" applyFont="0" applyFill="0" applyBorder="0" applyProtection="0">
      <alignment horizontal="left" vertical="center" indent="2"/>
    </xf>
    <xf numFmtId="49" fontId="35" fillId="0" borderId="43" applyNumberFormat="0" applyFont="0" applyFill="0" applyBorder="0" applyProtection="0">
      <alignment horizontal="left" vertical="center" indent="5"/>
    </xf>
    <xf numFmtId="49" fontId="35" fillId="0" borderId="42" applyNumberFormat="0" applyFont="0" applyFill="0" applyBorder="0" applyProtection="0">
      <alignment horizontal="left" vertical="center" indent="2"/>
    </xf>
    <xf numFmtId="4" fontId="35" fillId="0" borderId="42" applyFill="0" applyBorder="0" applyProtection="0">
      <alignment horizontal="right" vertical="center"/>
    </xf>
    <xf numFmtId="49" fontId="34" fillId="0" borderId="42" applyNumberFormat="0" applyFill="0" applyBorder="0" applyProtection="0">
      <alignment horizontal="left" vertical="center"/>
    </xf>
    <xf numFmtId="0" fontId="35" fillId="0" borderId="45">
      <alignment horizontal="left" vertical="center" wrapText="1" indent="2"/>
    </xf>
    <xf numFmtId="0" fontId="63" fillId="56" borderId="38" applyNumberFormat="0" applyAlignment="0" applyProtection="0"/>
    <xf numFmtId="0" fontId="33" fillId="34" borderId="44">
      <alignment horizontal="right" vertical="center"/>
    </xf>
    <xf numFmtId="0" fontId="50" fillId="43" borderId="39" applyNumberFormat="0" applyAlignment="0" applyProtection="0"/>
    <xf numFmtId="0" fontId="33" fillId="34" borderId="44">
      <alignment horizontal="right" vertical="center"/>
    </xf>
    <xf numFmtId="4" fontId="33" fillId="34" borderId="42">
      <alignment horizontal="right" vertical="center"/>
    </xf>
    <xf numFmtId="0" fontId="33" fillId="34" borderId="42">
      <alignment horizontal="right" vertical="center"/>
    </xf>
    <xf numFmtId="0" fontId="44" fillId="56" borderId="38" applyNumberFormat="0" applyAlignment="0" applyProtection="0"/>
    <xf numFmtId="0" fontId="46" fillId="56" borderId="39" applyNumberFormat="0" applyAlignment="0" applyProtection="0"/>
    <xf numFmtId="0" fontId="51" fillId="0" borderId="40" applyNumberFormat="0" applyFill="0" applyAlignment="0" applyProtection="0"/>
    <xf numFmtId="0" fontId="35" fillId="33" borderId="42"/>
    <xf numFmtId="4" fontId="35" fillId="33" borderId="42"/>
    <xf numFmtId="4" fontId="33" fillId="34" borderId="42">
      <alignment horizontal="right" vertical="center"/>
    </xf>
    <xf numFmtId="0" fontId="37" fillId="32" borderId="42">
      <alignment horizontal="right" vertical="center"/>
    </xf>
    <xf numFmtId="0" fontId="50" fillId="43" borderId="39" applyNumberFormat="0" applyAlignment="0" applyProtection="0"/>
    <xf numFmtId="0" fontId="47" fillId="56" borderId="39" applyNumberFormat="0" applyAlignment="0" applyProtection="0"/>
    <xf numFmtId="4" fontId="35" fillId="0" borderId="42">
      <alignment horizontal="right" vertical="center"/>
    </xf>
    <xf numFmtId="0" fontId="35" fillId="34" borderId="45">
      <alignment horizontal="left" vertical="center" wrapText="1" indent="2"/>
    </xf>
    <xf numFmtId="0" fontId="35" fillId="0" borderId="45">
      <alignment horizontal="left" vertical="center" wrapText="1" indent="2"/>
    </xf>
    <xf numFmtId="0" fontId="63" fillId="56" borderId="38" applyNumberFormat="0" applyAlignment="0" applyProtection="0"/>
    <xf numFmtId="0" fontId="59" fillId="43" borderId="39" applyNumberFormat="0" applyAlignment="0" applyProtection="0"/>
    <xf numFmtId="0" fontId="46" fillId="56" borderId="39" applyNumberFormat="0" applyAlignment="0" applyProtection="0"/>
    <xf numFmtId="0" fontId="44" fillId="56" borderId="38" applyNumberFormat="0" applyAlignment="0" applyProtection="0"/>
    <xf numFmtId="0" fontId="33" fillId="34" borderId="44">
      <alignment horizontal="right" vertical="center"/>
    </xf>
    <xf numFmtId="0" fontId="37" fillId="32" borderId="42">
      <alignment horizontal="right" vertical="center"/>
    </xf>
    <xf numFmtId="4" fontId="33" fillId="32" borderId="42">
      <alignment horizontal="right" vertical="center"/>
    </xf>
    <xf numFmtId="4" fontId="33" fillId="34" borderId="42">
      <alignment horizontal="right" vertical="center"/>
    </xf>
    <xf numFmtId="49" fontId="35" fillId="0" borderId="43" applyNumberFormat="0" applyFont="0" applyFill="0" applyBorder="0" applyProtection="0">
      <alignment horizontal="left" vertical="center" indent="5"/>
    </xf>
    <xf numFmtId="4" fontId="35" fillId="0" borderId="42" applyFill="0" applyBorder="0" applyProtection="0">
      <alignment horizontal="right" vertical="center"/>
    </xf>
    <xf numFmtId="4" fontId="33" fillId="32" borderId="42">
      <alignment horizontal="right" vertical="center"/>
    </xf>
    <xf numFmtId="0" fontId="59" fillId="43" borderId="39" applyNumberFormat="0" applyAlignment="0" applyProtection="0"/>
    <xf numFmtId="0" fontId="50" fillId="43" borderId="39" applyNumberFormat="0" applyAlignment="0" applyProtection="0"/>
    <xf numFmtId="0" fontId="46" fillId="56" borderId="39" applyNumberFormat="0" applyAlignment="0" applyProtection="0"/>
    <xf numFmtId="0" fontId="35" fillId="34" borderId="45">
      <alignment horizontal="left" vertical="center" wrapText="1" indent="2"/>
    </xf>
    <xf numFmtId="0" fontId="35" fillId="0" borderId="45">
      <alignment horizontal="left" vertical="center" wrapText="1" indent="2"/>
    </xf>
    <xf numFmtId="0" fontId="35" fillId="34" borderId="45">
      <alignment horizontal="left" vertical="center" wrapText="1" indent="2"/>
    </xf>
    <xf numFmtId="4" fontId="33" fillId="32" borderId="47">
      <alignment horizontal="right" vertical="center"/>
    </xf>
    <xf numFmtId="0" fontId="63" fillId="56" borderId="51" applyNumberFormat="0" applyAlignment="0" applyProtection="0"/>
    <xf numFmtId="0" fontId="66" fillId="0" borderId="53" applyNumberFormat="0" applyFill="0" applyAlignment="0" applyProtection="0"/>
    <xf numFmtId="0" fontId="46" fillId="56" borderId="52" applyNumberFormat="0" applyAlignment="0" applyProtection="0"/>
    <xf numFmtId="0" fontId="59" fillId="43" borderId="52" applyNumberFormat="0" applyAlignment="0" applyProtection="0"/>
    <xf numFmtId="0" fontId="5" fillId="59" borderId="46" applyNumberFormat="0" applyFont="0" applyAlignment="0" applyProtection="0"/>
    <xf numFmtId="0" fontId="35" fillId="33" borderId="47"/>
    <xf numFmtId="173" fontId="35" fillId="60" borderId="47" applyNumberFormat="0" applyFont="0" applyBorder="0" applyAlignment="0" applyProtection="0">
      <alignment horizontal="right" vertical="center"/>
    </xf>
    <xf numFmtId="0" fontId="35" fillId="0" borderId="50">
      <alignment horizontal="left" vertical="center" wrapText="1" indent="2"/>
    </xf>
    <xf numFmtId="0" fontId="59" fillId="43" borderId="52" applyNumberFormat="0" applyAlignment="0" applyProtection="0"/>
    <xf numFmtId="0" fontId="35" fillId="34" borderId="50">
      <alignment horizontal="left" vertical="center" wrapText="1" indent="2"/>
    </xf>
    <xf numFmtId="0" fontId="33" fillId="32" borderId="47">
      <alignment horizontal="right" vertical="center"/>
    </xf>
    <xf numFmtId="0" fontId="41" fillId="59" borderId="46" applyNumberFormat="0" applyFont="0" applyAlignment="0" applyProtection="0"/>
    <xf numFmtId="4" fontId="37" fillId="32" borderId="47">
      <alignment horizontal="right" vertical="center"/>
    </xf>
    <xf numFmtId="4" fontId="37" fillId="32" borderId="47">
      <alignment horizontal="right" vertical="center"/>
    </xf>
    <xf numFmtId="0" fontId="37" fillId="32" borderId="47">
      <alignment horizontal="right" vertical="center"/>
    </xf>
    <xf numFmtId="0" fontId="33" fillId="34" borderId="47">
      <alignment horizontal="right" vertical="center"/>
    </xf>
    <xf numFmtId="4" fontId="35" fillId="33" borderId="47"/>
    <xf numFmtId="173" fontId="35" fillId="60" borderId="47" applyNumberFormat="0" applyFont="0" applyBorder="0" applyAlignment="0" applyProtection="0">
      <alignment horizontal="right" vertical="center"/>
    </xf>
    <xf numFmtId="173" fontId="35" fillId="60" borderId="47" applyNumberFormat="0" applyFont="0" applyBorder="0" applyAlignment="0" applyProtection="0">
      <alignment horizontal="right" vertical="center"/>
    </xf>
    <xf numFmtId="0" fontId="63" fillId="56" borderId="51" applyNumberFormat="0" applyAlignment="0" applyProtection="0"/>
    <xf numFmtId="0" fontId="29" fillId="13" borderId="14" applyNumberFormat="0" applyAlignment="0" applyProtection="0"/>
    <xf numFmtId="0" fontId="30" fillId="13" borderId="13" applyNumberFormat="0" applyAlignment="0" applyProtection="0"/>
    <xf numFmtId="0" fontId="1" fillId="0" borderId="0" applyNumberFormat="0" applyFill="0" applyBorder="0" applyAlignment="0" applyProtection="0"/>
    <xf numFmtId="0" fontId="31" fillId="0" borderId="0" applyNumberFormat="0" applyFill="0" applyBorder="0" applyAlignment="0" applyProtection="0"/>
    <xf numFmtId="0" fontId="2" fillId="0" borderId="15" applyNumberFormat="0" applyFill="0" applyAlignment="0" applyProtection="0"/>
    <xf numFmtId="0" fontId="27" fillId="14" borderId="0" applyNumberFormat="0" applyBorder="0" applyAlignment="0" applyProtection="0"/>
    <xf numFmtId="0" fontId="27" fillId="15" borderId="0" applyNumberFormat="0" applyBorder="0" applyAlignment="0" applyProtection="0"/>
    <xf numFmtId="0" fontId="12" fillId="16" borderId="0" applyNumberFormat="0" applyBorder="0" applyAlignment="0" applyProtection="0"/>
    <xf numFmtId="0" fontId="27" fillId="17" borderId="0" applyNumberFormat="0" applyBorder="0" applyAlignment="0" applyProtection="0"/>
    <xf numFmtId="0" fontId="27" fillId="18" borderId="0" applyNumberFormat="0" applyBorder="0" applyAlignment="0" applyProtection="0"/>
    <xf numFmtId="0" fontId="12" fillId="19" borderId="0" applyNumberFormat="0" applyBorder="0" applyAlignment="0" applyProtection="0"/>
    <xf numFmtId="0" fontId="27" fillId="20" borderId="0" applyNumberFormat="0" applyBorder="0" applyAlignment="0" applyProtection="0"/>
    <xf numFmtId="0" fontId="27" fillId="21" borderId="0" applyNumberFormat="0" applyBorder="0" applyAlignment="0" applyProtection="0"/>
    <xf numFmtId="0" fontId="12" fillId="22" borderId="0" applyNumberFormat="0" applyBorder="0" applyAlignment="0" applyProtection="0"/>
    <xf numFmtId="0" fontId="27" fillId="23" borderId="0" applyNumberFormat="0" applyBorder="0" applyAlignment="0" applyProtection="0"/>
    <xf numFmtId="0" fontId="27" fillId="24" borderId="0" applyNumberFormat="0" applyBorder="0" applyAlignment="0" applyProtection="0"/>
    <xf numFmtId="0" fontId="12" fillId="25" borderId="0" applyNumberFormat="0" applyBorder="0" applyAlignment="0" applyProtection="0"/>
    <xf numFmtId="0" fontId="27" fillId="26" borderId="0" applyNumberFormat="0" applyBorder="0" applyAlignment="0" applyProtection="0"/>
    <xf numFmtId="0" fontId="27" fillId="27" borderId="0" applyNumberFormat="0" applyBorder="0" applyAlignment="0" applyProtection="0"/>
    <xf numFmtId="0" fontId="12" fillId="28" borderId="0" applyNumberFormat="0" applyBorder="0" applyAlignment="0" applyProtection="0"/>
    <xf numFmtId="0" fontId="27" fillId="29" borderId="0" applyNumberFormat="0" applyBorder="0" applyAlignment="0" applyProtection="0"/>
    <xf numFmtId="0" fontId="27" fillId="30" borderId="0" applyNumberFormat="0" applyBorder="0" applyAlignment="0" applyProtection="0"/>
    <xf numFmtId="0" fontId="12" fillId="31" borderId="0" applyNumberFormat="0" applyBorder="0" applyAlignment="0" applyProtection="0"/>
    <xf numFmtId="4" fontId="33" fillId="32" borderId="47">
      <alignment horizontal="right" vertical="center"/>
    </xf>
    <xf numFmtId="0" fontId="35" fillId="0" borderId="47" applyNumberFormat="0" applyFill="0" applyAlignment="0" applyProtection="0"/>
    <xf numFmtId="0" fontId="50" fillId="43" borderId="52" applyNumberFormat="0" applyAlignment="0" applyProtection="0"/>
    <xf numFmtId="4" fontId="35" fillId="33" borderId="47"/>
    <xf numFmtId="0" fontId="35" fillId="0" borderId="50">
      <alignment horizontal="left" vertical="center" wrapText="1" indent="2"/>
    </xf>
    <xf numFmtId="0" fontId="35" fillId="0" borderId="47" applyNumberFormat="0" applyFill="0" applyAlignment="0" applyProtection="0"/>
    <xf numFmtId="0" fontId="29" fillId="13" borderId="14" applyNumberFormat="0" applyAlignment="0" applyProtection="0"/>
    <xf numFmtId="0" fontId="33" fillId="34" borderId="48">
      <alignment horizontal="right" vertical="center"/>
    </xf>
    <xf numFmtId="0" fontId="33" fillId="34" borderId="47">
      <alignment horizontal="right" vertical="center"/>
    </xf>
    <xf numFmtId="0" fontId="33" fillId="34" borderId="47">
      <alignment horizontal="right" vertical="center"/>
    </xf>
    <xf numFmtId="0" fontId="37" fillId="32" borderId="47">
      <alignment horizontal="right" vertical="center"/>
    </xf>
    <xf numFmtId="0" fontId="33" fillId="32" borderId="47">
      <alignment horizontal="right" vertical="center"/>
    </xf>
    <xf numFmtId="0" fontId="33" fillId="34" borderId="47">
      <alignment horizontal="right" vertical="center"/>
    </xf>
    <xf numFmtId="4" fontId="35" fillId="0" borderId="47">
      <alignment horizontal="right" vertical="center"/>
    </xf>
    <xf numFmtId="0" fontId="5" fillId="59" borderId="46" applyNumberFormat="0" applyFont="0" applyAlignment="0" applyProtection="0"/>
    <xf numFmtId="0" fontId="33" fillId="34" borderId="47">
      <alignment horizontal="right" vertical="center"/>
    </xf>
    <xf numFmtId="4" fontId="33" fillId="34" borderId="49">
      <alignment horizontal="right" vertical="center"/>
    </xf>
    <xf numFmtId="0" fontId="33" fillId="34" borderId="47">
      <alignment horizontal="right" vertical="center"/>
    </xf>
    <xf numFmtId="0" fontId="66" fillId="0" borderId="53" applyNumberFormat="0" applyFill="0" applyAlignment="0" applyProtection="0"/>
    <xf numFmtId="0" fontId="5" fillId="59" borderId="46" applyNumberFormat="0" applyFont="0" applyAlignment="0" applyProtection="0"/>
    <xf numFmtId="0" fontId="35" fillId="0" borderId="50">
      <alignment horizontal="left" vertical="center" wrapText="1" indent="2"/>
    </xf>
    <xf numFmtId="0" fontId="35" fillId="34" borderId="50">
      <alignment horizontal="left" vertical="center" wrapText="1" indent="2"/>
    </xf>
    <xf numFmtId="0" fontId="41" fillId="59" borderId="46" applyNumberFormat="0" applyFont="0" applyAlignment="0" applyProtection="0"/>
    <xf numFmtId="0" fontId="66" fillId="0" borderId="53" applyNumberFormat="0" applyFill="0" applyAlignment="0" applyProtection="0"/>
    <xf numFmtId="0" fontId="51" fillId="0" borderId="53" applyNumberFormat="0" applyFill="0" applyAlignment="0" applyProtection="0"/>
    <xf numFmtId="49" fontId="35" fillId="0" borderId="47" applyNumberFormat="0" applyFont="0" applyFill="0" applyBorder="0" applyProtection="0">
      <alignment horizontal="left" vertical="center" indent="2"/>
    </xf>
    <xf numFmtId="0" fontId="37" fillId="32" borderId="47">
      <alignment horizontal="right" vertical="center"/>
    </xf>
    <xf numFmtId="4" fontId="33" fillId="34" borderId="47">
      <alignment horizontal="right" vertical="center"/>
    </xf>
    <xf numFmtId="0" fontId="35" fillId="0" borderId="47">
      <alignment horizontal="right" vertical="center"/>
    </xf>
    <xf numFmtId="4" fontId="35" fillId="33" borderId="47"/>
    <xf numFmtId="0" fontId="41" fillId="59" borderId="46" applyNumberFormat="0" applyFont="0" applyAlignment="0" applyProtection="0"/>
    <xf numFmtId="0" fontId="59" fillId="43" borderId="52" applyNumberFormat="0" applyAlignment="0" applyProtection="0"/>
    <xf numFmtId="0" fontId="35" fillId="0" borderId="47">
      <alignment horizontal="right" vertical="center"/>
    </xf>
    <xf numFmtId="0" fontId="35" fillId="33" borderId="47"/>
    <xf numFmtId="0" fontId="35" fillId="33" borderId="47"/>
    <xf numFmtId="49" fontId="34" fillId="0" borderId="47" applyNumberFormat="0" applyFill="0" applyBorder="0" applyProtection="0">
      <alignment horizontal="left" vertical="center"/>
    </xf>
    <xf numFmtId="0" fontId="35" fillId="0" borderId="47">
      <alignment horizontal="right" vertical="center"/>
    </xf>
    <xf numFmtId="0" fontId="33" fillId="34" borderId="47">
      <alignment horizontal="right" vertical="center"/>
    </xf>
    <xf numFmtId="4" fontId="33" fillId="34" borderId="47">
      <alignment horizontal="right" vertical="center"/>
    </xf>
    <xf numFmtId="4" fontId="37" fillId="32" borderId="47">
      <alignment horizontal="right" vertical="center"/>
    </xf>
    <xf numFmtId="0" fontId="33" fillId="32" borderId="47">
      <alignment horizontal="right" vertical="center"/>
    </xf>
    <xf numFmtId="0" fontId="44" fillId="56" borderId="51" applyNumberFormat="0" applyAlignment="0" applyProtection="0"/>
    <xf numFmtId="0" fontId="35" fillId="34" borderId="50">
      <alignment horizontal="left" vertical="center" wrapText="1" indent="2"/>
    </xf>
    <xf numFmtId="0" fontId="51" fillId="0" borderId="53" applyNumberFormat="0" applyFill="0" applyAlignment="0" applyProtection="0"/>
    <xf numFmtId="0" fontId="66" fillId="0" borderId="53" applyNumberFormat="0" applyFill="0" applyAlignment="0" applyProtection="0"/>
    <xf numFmtId="0" fontId="33" fillId="34" borderId="47">
      <alignment horizontal="right" vertical="center"/>
    </xf>
    <xf numFmtId="0" fontId="35" fillId="33" borderId="47"/>
    <xf numFmtId="0" fontId="33" fillId="34" borderId="47">
      <alignment horizontal="right" vertical="center"/>
    </xf>
    <xf numFmtId="0" fontId="33" fillId="34" borderId="48">
      <alignment horizontal="right" vertical="center"/>
    </xf>
    <xf numFmtId="4" fontId="33" fillId="34" borderId="48">
      <alignment horizontal="right" vertical="center"/>
    </xf>
    <xf numFmtId="0" fontId="47" fillId="56" borderId="52" applyNumberFormat="0" applyAlignment="0" applyProtection="0"/>
    <xf numFmtId="0" fontId="47" fillId="56" borderId="52" applyNumberFormat="0" applyAlignment="0" applyProtection="0"/>
    <xf numFmtId="0" fontId="35" fillId="34" borderId="50">
      <alignment horizontal="left" vertical="center" wrapText="1" indent="2"/>
    </xf>
    <xf numFmtId="4" fontId="33" fillId="34" borderId="47">
      <alignment horizontal="right" vertical="center"/>
    </xf>
    <xf numFmtId="43" fontId="38" fillId="0" borderId="0" applyFont="0" applyFill="0" applyBorder="0" applyAlignment="0" applyProtection="0"/>
    <xf numFmtId="43" fontId="38" fillId="0" borderId="0" applyFont="0" applyFill="0" applyBorder="0" applyAlignment="0" applyProtection="0"/>
    <xf numFmtId="0" fontId="35" fillId="33" borderId="47"/>
    <xf numFmtId="4" fontId="35" fillId="0" borderId="47">
      <alignment horizontal="right" vertical="center"/>
    </xf>
    <xf numFmtId="0" fontId="35" fillId="0" borderId="47">
      <alignment horizontal="right" vertical="center"/>
    </xf>
    <xf numFmtId="0" fontId="35" fillId="0" borderId="50">
      <alignment horizontal="left" vertical="center" wrapText="1" indent="2"/>
    </xf>
    <xf numFmtId="0" fontId="27" fillId="27" borderId="0" applyNumberFormat="0" applyBorder="0" applyAlignment="0" applyProtection="0"/>
    <xf numFmtId="0" fontId="27" fillId="18" borderId="0" applyNumberFormat="0" applyBorder="0" applyAlignment="0" applyProtection="0"/>
    <xf numFmtId="0" fontId="44" fillId="56" borderId="51" applyNumberFormat="0" applyAlignment="0" applyProtection="0"/>
    <xf numFmtId="49" fontId="35" fillId="0" borderId="47" applyNumberFormat="0" applyFont="0" applyFill="0" applyBorder="0" applyProtection="0">
      <alignment horizontal="left" vertical="center" indent="2"/>
    </xf>
    <xf numFmtId="4" fontId="33" fillId="34" borderId="47">
      <alignment horizontal="right" vertical="center"/>
    </xf>
    <xf numFmtId="4" fontId="33" fillId="34" borderId="47">
      <alignment horizontal="right" vertical="center"/>
    </xf>
    <xf numFmtId="4" fontId="37" fillId="32" borderId="47">
      <alignment horizontal="right" vertical="center"/>
    </xf>
    <xf numFmtId="4" fontId="33" fillId="32" borderId="47">
      <alignment horizontal="right" vertical="center"/>
    </xf>
    <xf numFmtId="4" fontId="37" fillId="32" borderId="47">
      <alignment horizontal="right" vertical="center"/>
    </xf>
    <xf numFmtId="0" fontId="33" fillId="34" borderId="47">
      <alignment horizontal="right" vertical="center"/>
    </xf>
    <xf numFmtId="0" fontId="66" fillId="0" borderId="53" applyNumberFormat="0" applyFill="0" applyAlignment="0" applyProtection="0"/>
    <xf numFmtId="4" fontId="35" fillId="33" borderId="47"/>
    <xf numFmtId="0" fontId="63" fillId="56" borderId="51" applyNumberFormat="0" applyAlignment="0" applyProtection="0"/>
    <xf numFmtId="0" fontId="41" fillId="59" borderId="46" applyNumberFormat="0" applyFont="0" applyAlignment="0" applyProtection="0"/>
    <xf numFmtId="0" fontId="47" fillId="56" borderId="52" applyNumberFormat="0" applyAlignment="0" applyProtection="0"/>
    <xf numFmtId="49" fontId="34" fillId="0" borderId="47" applyNumberFormat="0" applyFill="0" applyBorder="0" applyProtection="0">
      <alignment horizontal="left" vertical="center"/>
    </xf>
    <xf numFmtId="0" fontId="33" fillId="32" borderId="47">
      <alignment horizontal="right" vertical="center"/>
    </xf>
    <xf numFmtId="4" fontId="33" fillId="34" borderId="47">
      <alignment horizontal="right" vertical="center"/>
    </xf>
    <xf numFmtId="4" fontId="33" fillId="34" borderId="49">
      <alignment horizontal="right" vertical="center"/>
    </xf>
    <xf numFmtId="49" fontId="34" fillId="0" borderId="47" applyNumberFormat="0" applyFill="0" applyBorder="0" applyProtection="0">
      <alignment horizontal="left" vertical="center"/>
    </xf>
    <xf numFmtId="0" fontId="35" fillId="0" borderId="50">
      <alignment horizontal="left" vertical="center" wrapText="1" indent="2"/>
    </xf>
    <xf numFmtId="173" fontId="35" fillId="60" borderId="47" applyNumberFormat="0" applyFont="0" applyBorder="0" applyAlignment="0" applyProtection="0">
      <alignment horizontal="right" vertical="center"/>
    </xf>
    <xf numFmtId="0" fontId="35" fillId="32" borderId="48">
      <alignment horizontal="left" vertical="center"/>
    </xf>
    <xf numFmtId="0" fontId="33" fillId="32" borderId="47">
      <alignment horizontal="right" vertical="center"/>
    </xf>
    <xf numFmtId="4" fontId="33" fillId="34" borderId="47">
      <alignment horizontal="right" vertical="center"/>
    </xf>
    <xf numFmtId="173" fontId="35" fillId="60" borderId="47" applyNumberFormat="0" applyFont="0" applyBorder="0" applyAlignment="0" applyProtection="0">
      <alignment horizontal="right" vertical="center"/>
    </xf>
    <xf numFmtId="4" fontId="35" fillId="0" borderId="47" applyFill="0" applyBorder="0" applyProtection="0">
      <alignment horizontal="right" vertical="center"/>
    </xf>
    <xf numFmtId="0" fontId="50" fillId="43" borderId="52" applyNumberFormat="0" applyAlignment="0" applyProtection="0"/>
    <xf numFmtId="4" fontId="33" fillId="34" borderId="47">
      <alignment horizontal="right" vertical="center"/>
    </xf>
    <xf numFmtId="49" fontId="34" fillId="0" borderId="47" applyNumberFormat="0" applyFill="0" applyBorder="0" applyProtection="0">
      <alignment horizontal="left" vertical="center"/>
    </xf>
    <xf numFmtId="0" fontId="35" fillId="0" borderId="47" applyNumberFormat="0" applyFill="0" applyAlignment="0" applyProtection="0"/>
    <xf numFmtId="0" fontId="35" fillId="0" borderId="47">
      <alignment horizontal="right" vertical="center"/>
    </xf>
    <xf numFmtId="0" fontId="35" fillId="32" borderId="48">
      <alignment horizontal="left" vertical="center"/>
    </xf>
    <xf numFmtId="0" fontId="35" fillId="34" borderId="50">
      <alignment horizontal="left" vertical="center" wrapText="1" indent="2"/>
    </xf>
    <xf numFmtId="4" fontId="33" fillId="34" borderId="49">
      <alignment horizontal="right" vertical="center"/>
    </xf>
    <xf numFmtId="4" fontId="33" fillId="34" borderId="48">
      <alignment horizontal="right" vertical="center"/>
    </xf>
    <xf numFmtId="4" fontId="35" fillId="0" borderId="47" applyFill="0" applyBorder="0" applyProtection="0">
      <alignment horizontal="right" vertical="center"/>
    </xf>
    <xf numFmtId="173" fontId="35" fillId="60" borderId="47" applyNumberFormat="0" applyFont="0" applyBorder="0" applyAlignment="0" applyProtection="0">
      <alignment horizontal="right" vertical="center"/>
    </xf>
    <xf numFmtId="0" fontId="35" fillId="34" borderId="50">
      <alignment horizontal="left" vertical="center" wrapText="1" indent="2"/>
    </xf>
    <xf numFmtId="0" fontId="41" fillId="59" borderId="46" applyNumberFormat="0" applyFont="0" applyAlignment="0" applyProtection="0"/>
    <xf numFmtId="0" fontId="47" fillId="56" borderId="52" applyNumberFormat="0" applyAlignment="0" applyProtection="0"/>
    <xf numFmtId="0" fontId="46" fillId="56" borderId="52" applyNumberFormat="0" applyAlignment="0" applyProtection="0"/>
    <xf numFmtId="0" fontId="35" fillId="0" borderId="47">
      <alignment horizontal="right" vertical="center"/>
    </xf>
    <xf numFmtId="0" fontId="35" fillId="0" borderId="47" applyNumberFormat="0" applyFill="0" applyAlignment="0" applyProtection="0"/>
    <xf numFmtId="0" fontId="66" fillId="0" borderId="53" applyNumberFormat="0" applyFill="0" applyAlignment="0" applyProtection="0"/>
    <xf numFmtId="4" fontId="35" fillId="0" borderId="47" applyFill="0" applyBorder="0" applyProtection="0">
      <alignment horizontal="right" vertical="center"/>
    </xf>
    <xf numFmtId="49" fontId="35" fillId="0" borderId="47" applyNumberFormat="0" applyFont="0" applyFill="0" applyBorder="0" applyProtection="0">
      <alignment horizontal="left" vertical="center" indent="2"/>
    </xf>
    <xf numFmtId="0" fontId="59" fillId="43" borderId="52" applyNumberFormat="0" applyAlignment="0" applyProtection="0"/>
    <xf numFmtId="0" fontId="41" fillId="59" borderId="46" applyNumberFormat="0" applyFont="0" applyAlignment="0" applyProtection="0"/>
    <xf numFmtId="0" fontId="35" fillId="0" borderId="50">
      <alignment horizontal="left" vertical="center" wrapText="1" indent="2"/>
    </xf>
    <xf numFmtId="4" fontId="33" fillId="32" borderId="47">
      <alignment horizontal="right" vertical="center"/>
    </xf>
    <xf numFmtId="173" fontId="35" fillId="60" borderId="47" applyNumberFormat="0" applyFont="0" applyBorder="0" applyAlignment="0" applyProtection="0">
      <alignment horizontal="right" vertical="center"/>
    </xf>
    <xf numFmtId="0" fontId="33" fillId="34" borderId="49">
      <alignment horizontal="right" vertical="center"/>
    </xf>
    <xf numFmtId="0" fontId="33" fillId="34" borderId="48">
      <alignment horizontal="right" vertical="center"/>
    </xf>
    <xf numFmtId="0" fontId="35" fillId="0" borderId="47" applyNumberFormat="0" applyFill="0" applyAlignment="0" applyProtection="0"/>
    <xf numFmtId="4" fontId="33" fillId="34" borderId="49">
      <alignment horizontal="right" vertical="center"/>
    </xf>
    <xf numFmtId="0" fontId="66" fillId="0" borderId="53" applyNumberFormat="0" applyFill="0" applyAlignment="0" applyProtection="0"/>
    <xf numFmtId="0" fontId="35" fillId="0" borderId="50">
      <alignment horizontal="left" vertical="center" wrapText="1" indent="2"/>
    </xf>
    <xf numFmtId="0" fontId="51" fillId="0" borderId="53" applyNumberFormat="0" applyFill="0" applyAlignment="0" applyProtection="0"/>
    <xf numFmtId="0" fontId="66" fillId="0" borderId="53" applyNumberFormat="0" applyFill="0" applyAlignment="0" applyProtection="0"/>
    <xf numFmtId="0" fontId="63" fillId="56" borderId="51" applyNumberFormat="0" applyAlignment="0" applyProtection="0"/>
    <xf numFmtId="0" fontId="27" fillId="14" borderId="0" applyNumberFormat="0" applyBorder="0" applyAlignment="0" applyProtection="0"/>
    <xf numFmtId="0" fontId="35" fillId="34" borderId="50">
      <alignment horizontal="left" vertical="center" wrapText="1" indent="2"/>
    </xf>
    <xf numFmtId="0" fontId="33" fillId="34" borderId="47">
      <alignment horizontal="right" vertical="center"/>
    </xf>
    <xf numFmtId="4" fontId="33" fillId="34" borderId="49">
      <alignment horizontal="right" vertical="center"/>
    </xf>
    <xf numFmtId="0" fontId="33" fillId="32" borderId="47">
      <alignment horizontal="right" vertical="center"/>
    </xf>
    <xf numFmtId="4" fontId="33" fillId="34" borderId="47">
      <alignment horizontal="right" vertical="center"/>
    </xf>
    <xf numFmtId="0" fontId="33" fillId="34" borderId="49">
      <alignment horizontal="right" vertical="center"/>
    </xf>
    <xf numFmtId="4" fontId="37" fillId="32" borderId="47">
      <alignment horizontal="right" vertical="center"/>
    </xf>
    <xf numFmtId="0" fontId="51" fillId="0" borderId="53" applyNumberFormat="0" applyFill="0" applyAlignment="0" applyProtection="0"/>
    <xf numFmtId="0" fontId="66" fillId="0" borderId="53" applyNumberFormat="0" applyFill="0" applyAlignment="0" applyProtection="0"/>
    <xf numFmtId="0" fontId="59" fillId="43" borderId="52" applyNumberFormat="0" applyAlignment="0" applyProtection="0"/>
    <xf numFmtId="4" fontId="37" fillId="32" borderId="47">
      <alignment horizontal="right" vertical="center"/>
    </xf>
    <xf numFmtId="0" fontId="66" fillId="0" borderId="53" applyNumberFormat="0" applyFill="0" applyAlignment="0" applyProtection="0"/>
    <xf numFmtId="0" fontId="46" fillId="56" borderId="52" applyNumberFormat="0" applyAlignment="0" applyProtection="0"/>
    <xf numFmtId="4" fontId="35" fillId="33" borderId="47"/>
    <xf numFmtId="0" fontId="35" fillId="0" borderId="47" applyNumberFormat="0" applyFill="0" applyAlignment="0" applyProtection="0"/>
    <xf numFmtId="4" fontId="35" fillId="0" borderId="47">
      <alignment horizontal="right" vertical="center"/>
    </xf>
    <xf numFmtId="4" fontId="33" fillId="34" borderId="47">
      <alignment horizontal="right" vertical="center"/>
    </xf>
    <xf numFmtId="0" fontId="35" fillId="0" borderId="47" applyNumberFormat="0" applyFill="0" applyAlignment="0" applyProtection="0"/>
    <xf numFmtId="4" fontId="33" fillId="34" borderId="49">
      <alignment horizontal="right" vertical="center"/>
    </xf>
    <xf numFmtId="4" fontId="35" fillId="0" borderId="47" applyFill="0" applyBorder="0" applyProtection="0">
      <alignment horizontal="right" vertical="center"/>
    </xf>
    <xf numFmtId="0" fontId="63" fillId="56" borderId="51" applyNumberFormat="0" applyAlignment="0" applyProtection="0"/>
    <xf numFmtId="4" fontId="35" fillId="0" borderId="47">
      <alignment horizontal="right" vertical="center"/>
    </xf>
    <xf numFmtId="0" fontId="59" fillId="43" borderId="52" applyNumberFormat="0" applyAlignment="0" applyProtection="0"/>
    <xf numFmtId="0" fontId="35" fillId="0" borderId="50">
      <alignment horizontal="left" vertical="center" wrapText="1" indent="2"/>
    </xf>
    <xf numFmtId="0" fontId="47" fillId="56" borderId="52" applyNumberFormat="0" applyAlignment="0" applyProtection="0"/>
    <xf numFmtId="0" fontId="33" fillId="34" borderId="49">
      <alignment horizontal="right" vertical="center"/>
    </xf>
    <xf numFmtId="4" fontId="33" fillId="32" borderId="47">
      <alignment horizontal="right" vertical="center"/>
    </xf>
    <xf numFmtId="0" fontId="35" fillId="0" borderId="47" applyNumberFormat="0" applyFill="0" applyAlignment="0" applyProtection="0"/>
    <xf numFmtId="0" fontId="35" fillId="33" borderId="47"/>
    <xf numFmtId="4" fontId="33" fillId="34" borderId="48">
      <alignment horizontal="right" vertical="center"/>
    </xf>
    <xf numFmtId="0" fontId="51" fillId="0" borderId="53" applyNumberFormat="0" applyFill="0" applyAlignment="0" applyProtection="0"/>
    <xf numFmtId="0" fontId="33" fillId="34" borderId="48">
      <alignment horizontal="right" vertical="center"/>
    </xf>
    <xf numFmtId="0" fontId="59" fillId="43" borderId="52" applyNumberFormat="0" applyAlignment="0" applyProtection="0"/>
    <xf numFmtId="4" fontId="35" fillId="0" borderId="47">
      <alignment horizontal="right" vertical="center"/>
    </xf>
    <xf numFmtId="0" fontId="63" fillId="56" borderId="51" applyNumberFormat="0" applyAlignment="0" applyProtection="0"/>
    <xf numFmtId="0" fontId="47" fillId="56" borderId="52" applyNumberFormat="0" applyAlignment="0" applyProtection="0"/>
    <xf numFmtId="0" fontId="50" fillId="43" borderId="52" applyNumberFormat="0" applyAlignment="0" applyProtection="0"/>
    <xf numFmtId="0" fontId="44" fillId="56" borderId="51" applyNumberFormat="0" applyAlignment="0" applyProtection="0"/>
    <xf numFmtId="0" fontId="46" fillId="56" borderId="52" applyNumberFormat="0" applyAlignment="0" applyProtection="0"/>
    <xf numFmtId="0" fontId="35" fillId="0" borderId="47">
      <alignment horizontal="right" vertical="center"/>
    </xf>
    <xf numFmtId="0" fontId="66" fillId="0" borderId="53" applyNumberFormat="0" applyFill="0" applyAlignment="0" applyProtection="0"/>
    <xf numFmtId="0" fontId="50" fillId="43" borderId="52" applyNumberFormat="0" applyAlignment="0" applyProtection="0"/>
    <xf numFmtId="0" fontId="47" fillId="56" borderId="52" applyNumberFormat="0" applyAlignment="0" applyProtection="0"/>
    <xf numFmtId="0" fontId="44" fillId="56" borderId="51" applyNumberFormat="0" applyAlignment="0" applyProtection="0"/>
    <xf numFmtId="0" fontId="46" fillId="56" borderId="52" applyNumberFormat="0" applyAlignment="0" applyProtection="0"/>
    <xf numFmtId="49" fontId="35" fillId="0" borderId="47" applyNumberFormat="0" applyFont="0" applyFill="0" applyBorder="0" applyProtection="0">
      <alignment horizontal="left" vertical="center" indent="2"/>
    </xf>
    <xf numFmtId="0" fontId="46" fillId="56" borderId="52" applyNumberFormat="0" applyAlignment="0" applyProtection="0"/>
    <xf numFmtId="0" fontId="47" fillId="56" borderId="52" applyNumberFormat="0" applyAlignment="0" applyProtection="0"/>
    <xf numFmtId="4" fontId="35" fillId="33" borderId="47"/>
    <xf numFmtId="0" fontId="59" fillId="43" borderId="52" applyNumberFormat="0" applyAlignment="0" applyProtection="0"/>
    <xf numFmtId="0" fontId="33" fillId="34" borderId="47">
      <alignment horizontal="right" vertical="center"/>
    </xf>
    <xf numFmtId="0" fontId="66" fillId="0" borderId="53" applyNumberFormat="0" applyFill="0" applyAlignment="0" applyProtection="0"/>
    <xf numFmtId="0" fontId="35" fillId="34" borderId="50">
      <alignment horizontal="left" vertical="center" wrapText="1" indent="2"/>
    </xf>
    <xf numFmtId="0" fontId="35" fillId="32" borderId="48">
      <alignment horizontal="left" vertical="center"/>
    </xf>
    <xf numFmtId="0" fontId="27" fillId="17" borderId="0" applyNumberFormat="0" applyBorder="0" applyAlignment="0" applyProtection="0"/>
    <xf numFmtId="0" fontId="30" fillId="13" borderId="13" applyNumberFormat="0" applyAlignment="0" applyProtection="0"/>
    <xf numFmtId="4" fontId="33" fillId="34" borderId="47">
      <alignment horizontal="right" vertical="center"/>
    </xf>
    <xf numFmtId="0" fontId="33" fillId="34" borderId="48">
      <alignment horizontal="right" vertical="center"/>
    </xf>
    <xf numFmtId="4" fontId="33" fillId="34" borderId="48">
      <alignment horizontal="right" vertical="center"/>
    </xf>
    <xf numFmtId="0" fontId="33" fillId="34" borderId="47">
      <alignment horizontal="right" vertical="center"/>
    </xf>
    <xf numFmtId="4" fontId="33" fillId="32" borderId="47">
      <alignment horizontal="right" vertical="center"/>
    </xf>
    <xf numFmtId="0" fontId="37" fillId="32" borderId="47">
      <alignment horizontal="right" vertical="center"/>
    </xf>
    <xf numFmtId="0" fontId="41" fillId="59" borderId="46" applyNumberFormat="0" applyFont="0" applyAlignment="0" applyProtection="0"/>
    <xf numFmtId="0" fontId="41" fillId="59" borderId="46" applyNumberFormat="0" applyFont="0" applyAlignment="0" applyProtection="0"/>
    <xf numFmtId="0" fontId="5" fillId="59" borderId="46" applyNumberFormat="0" applyFont="0" applyAlignment="0" applyProtection="0"/>
    <xf numFmtId="0" fontId="63" fillId="56" borderId="51" applyNumberFormat="0" applyAlignment="0" applyProtection="0"/>
    <xf numFmtId="0" fontId="35" fillId="0" borderId="50">
      <alignment horizontal="left" vertical="center" wrapText="1" indent="2"/>
    </xf>
    <xf numFmtId="0" fontId="50" fillId="43" borderId="52" applyNumberFormat="0" applyAlignment="0" applyProtection="0"/>
    <xf numFmtId="0" fontId="31" fillId="0" borderId="0" applyNumberFormat="0" applyFill="0" applyBorder="0" applyAlignment="0" applyProtection="0"/>
    <xf numFmtId="4" fontId="33" fillId="34" borderId="48">
      <alignment horizontal="right" vertical="center"/>
    </xf>
    <xf numFmtId="49" fontId="34" fillId="0" borderId="47" applyNumberFormat="0" applyFill="0" applyBorder="0" applyProtection="0">
      <alignment horizontal="left" vertical="center"/>
    </xf>
    <xf numFmtId="0" fontId="44" fillId="56" borderId="51" applyNumberFormat="0" applyAlignment="0" applyProtection="0"/>
    <xf numFmtId="0" fontId="46" fillId="56" borderId="52" applyNumberFormat="0" applyAlignment="0" applyProtection="0"/>
    <xf numFmtId="0" fontId="66" fillId="0" borderId="53" applyNumberFormat="0" applyFill="0" applyAlignment="0" applyProtection="0"/>
    <xf numFmtId="0" fontId="63" fillId="56" borderId="51" applyNumberFormat="0" applyAlignment="0" applyProtection="0"/>
    <xf numFmtId="0" fontId="35" fillId="0" borderId="47">
      <alignment horizontal="right" vertical="center"/>
    </xf>
    <xf numFmtId="49" fontId="34" fillId="0" borderId="47" applyNumberFormat="0" applyFill="0" applyBorder="0" applyProtection="0">
      <alignment horizontal="left" vertical="center"/>
    </xf>
    <xf numFmtId="4" fontId="35" fillId="0" borderId="47" applyFill="0" applyBorder="0" applyProtection="0">
      <alignment horizontal="right" vertical="center"/>
    </xf>
    <xf numFmtId="0" fontId="44" fillId="56" borderId="51" applyNumberFormat="0" applyAlignment="0" applyProtection="0"/>
    <xf numFmtId="0" fontId="46" fillId="56" borderId="52" applyNumberFormat="0" applyAlignment="0" applyProtection="0"/>
    <xf numFmtId="0" fontId="33" fillId="34" borderId="47">
      <alignment horizontal="right" vertical="center"/>
    </xf>
    <xf numFmtId="49" fontId="35" fillId="0" borderId="48" applyNumberFormat="0" applyFont="0" applyFill="0" applyBorder="0" applyProtection="0">
      <alignment horizontal="left" vertical="center" indent="5"/>
    </xf>
    <xf numFmtId="4" fontId="33" fillId="34" borderId="47">
      <alignment horizontal="right" vertical="center"/>
    </xf>
    <xf numFmtId="4" fontId="33" fillId="34" borderId="47">
      <alignment horizontal="right" vertical="center"/>
    </xf>
    <xf numFmtId="4" fontId="33" fillId="34" borderId="47">
      <alignment horizontal="right" vertical="center"/>
    </xf>
    <xf numFmtId="0" fontId="27" fillId="26" borderId="0" applyNumberFormat="0" applyBorder="0" applyAlignment="0" applyProtection="0"/>
    <xf numFmtId="0" fontId="66" fillId="0" borderId="53" applyNumberFormat="0" applyFill="0" applyAlignment="0" applyProtection="0"/>
    <xf numFmtId="0" fontId="66" fillId="0" borderId="53" applyNumberFormat="0" applyFill="0" applyAlignment="0" applyProtection="0"/>
    <xf numFmtId="173" fontId="35" fillId="60" borderId="47" applyNumberFormat="0" applyFont="0" applyBorder="0" applyAlignment="0" applyProtection="0">
      <alignment horizontal="right" vertical="center"/>
    </xf>
    <xf numFmtId="0" fontId="51" fillId="0" borderId="53" applyNumberFormat="0" applyFill="0" applyAlignment="0" applyProtection="0"/>
    <xf numFmtId="0" fontId="63" fillId="56" borderId="51" applyNumberFormat="0" applyAlignment="0" applyProtection="0"/>
    <xf numFmtId="4" fontId="33" fillId="34" borderId="48">
      <alignment horizontal="right" vertical="center"/>
    </xf>
    <xf numFmtId="0" fontId="46" fillId="56" borderId="52" applyNumberFormat="0" applyAlignment="0" applyProtection="0"/>
    <xf numFmtId="0" fontId="12" fillId="22" borderId="0" applyNumberFormat="0" applyBorder="0" applyAlignment="0" applyProtection="0"/>
    <xf numFmtId="0" fontId="47" fillId="56" borderId="52" applyNumberFormat="0" applyAlignment="0" applyProtection="0"/>
    <xf numFmtId="0" fontId="27" fillId="29" borderId="0" applyNumberFormat="0" applyBorder="0" applyAlignment="0" applyProtection="0"/>
    <xf numFmtId="4" fontId="37" fillId="32" borderId="47">
      <alignment horizontal="right" vertical="center"/>
    </xf>
    <xf numFmtId="4" fontId="33" fillId="34" borderId="49">
      <alignment horizontal="right" vertical="center"/>
    </xf>
    <xf numFmtId="0" fontId="50" fillId="43" borderId="52" applyNumberFormat="0" applyAlignment="0" applyProtection="0"/>
    <xf numFmtId="0" fontId="59" fillId="43" borderId="52" applyNumberFormat="0" applyAlignment="0" applyProtection="0"/>
    <xf numFmtId="0" fontId="35" fillId="34" borderId="50">
      <alignment horizontal="left" vertical="center" wrapText="1" indent="2"/>
    </xf>
    <xf numFmtId="4" fontId="35" fillId="0" borderId="47" applyFill="0" applyBorder="0" applyProtection="0">
      <alignment horizontal="right" vertical="center"/>
    </xf>
    <xf numFmtId="0" fontId="33" fillId="32" borderId="47">
      <alignment horizontal="right" vertical="center"/>
    </xf>
    <xf numFmtId="0" fontId="50" fillId="43" borderId="52" applyNumberFormat="0" applyAlignment="0" applyProtection="0"/>
    <xf numFmtId="4" fontId="33" fillId="34" borderId="47">
      <alignment horizontal="right" vertical="center"/>
    </xf>
    <xf numFmtId="4" fontId="35" fillId="0" borderId="47">
      <alignment horizontal="right" vertical="center"/>
    </xf>
    <xf numFmtId="0" fontId="47" fillId="56" borderId="52" applyNumberFormat="0" applyAlignment="0" applyProtection="0"/>
    <xf numFmtId="4" fontId="35" fillId="0" borderId="47">
      <alignment horizontal="right" vertical="center"/>
    </xf>
    <xf numFmtId="0" fontId="47" fillId="56" borderId="52" applyNumberFormat="0" applyAlignment="0" applyProtection="0"/>
    <xf numFmtId="0" fontId="47" fillId="56" borderId="52" applyNumberFormat="0" applyAlignment="0" applyProtection="0"/>
    <xf numFmtId="0" fontId="35" fillId="0" borderId="47">
      <alignment horizontal="right" vertical="center"/>
    </xf>
    <xf numFmtId="0" fontId="66" fillId="0" borderId="53" applyNumberFormat="0" applyFill="0" applyAlignment="0" applyProtection="0"/>
    <xf numFmtId="0" fontId="12" fillId="31" borderId="0" applyNumberFormat="0" applyBorder="0" applyAlignment="0" applyProtection="0"/>
    <xf numFmtId="0" fontId="37" fillId="32" borderId="47">
      <alignment horizontal="right" vertical="center"/>
    </xf>
    <xf numFmtId="0" fontId="46" fillId="56" borderId="52" applyNumberFormat="0" applyAlignment="0" applyProtection="0"/>
    <xf numFmtId="0" fontId="1" fillId="0" borderId="0" applyNumberFormat="0" applyFill="0" applyBorder="0" applyAlignment="0" applyProtection="0"/>
    <xf numFmtId="4" fontId="33" fillId="34" borderId="49">
      <alignment horizontal="right" vertical="center"/>
    </xf>
    <xf numFmtId="0" fontId="33" fillId="34" borderId="47">
      <alignment horizontal="right" vertical="center"/>
    </xf>
    <xf numFmtId="0" fontId="35" fillId="32" borderId="48">
      <alignment horizontal="left" vertical="center"/>
    </xf>
    <xf numFmtId="0" fontId="27" fillId="20" borderId="0" applyNumberFormat="0" applyBorder="0" applyAlignment="0" applyProtection="0"/>
    <xf numFmtId="49" fontId="34" fillId="0" borderId="47" applyNumberFormat="0" applyFill="0" applyBorder="0" applyProtection="0">
      <alignment horizontal="left" vertical="center"/>
    </xf>
    <xf numFmtId="0" fontId="5" fillId="59" borderId="46" applyNumberFormat="0" applyFont="0" applyAlignment="0" applyProtection="0"/>
    <xf numFmtId="0" fontId="35" fillId="33" borderId="47"/>
    <xf numFmtId="49" fontId="35" fillId="0" borderId="48" applyNumberFormat="0" applyFont="0" applyFill="0" applyBorder="0" applyProtection="0">
      <alignment horizontal="left" vertical="center" indent="5"/>
    </xf>
    <xf numFmtId="0" fontId="44" fillId="56" borderId="51" applyNumberFormat="0" applyAlignment="0" applyProtection="0"/>
    <xf numFmtId="49" fontId="34" fillId="0" borderId="47" applyNumberFormat="0" applyFill="0" applyBorder="0" applyProtection="0">
      <alignment horizontal="left" vertical="center"/>
    </xf>
    <xf numFmtId="0" fontId="59" fillId="43" borderId="52" applyNumberFormat="0" applyAlignment="0" applyProtection="0"/>
    <xf numFmtId="0" fontId="47" fillId="56" borderId="52" applyNumberFormat="0" applyAlignment="0" applyProtection="0"/>
    <xf numFmtId="0" fontId="12" fillId="25" borderId="0" applyNumberFormat="0" applyBorder="0" applyAlignment="0" applyProtection="0"/>
    <xf numFmtId="49" fontId="35" fillId="0" borderId="47" applyNumberFormat="0" applyFont="0" applyFill="0" applyBorder="0" applyProtection="0">
      <alignment horizontal="left" vertical="center" indent="2"/>
    </xf>
    <xf numFmtId="0" fontId="41" fillId="59" borderId="46" applyNumberFormat="0" applyFont="0" applyAlignment="0" applyProtection="0"/>
    <xf numFmtId="0" fontId="37" fillId="32" borderId="47">
      <alignment horizontal="right" vertical="center"/>
    </xf>
    <xf numFmtId="0" fontId="41" fillId="59" borderId="46" applyNumberFormat="0" applyFont="0" applyAlignment="0" applyProtection="0"/>
    <xf numFmtId="0" fontId="35" fillId="0" borderId="50">
      <alignment horizontal="left" vertical="center" wrapText="1" indent="2"/>
    </xf>
    <xf numFmtId="0" fontId="47" fillId="56" borderId="52" applyNumberFormat="0" applyAlignment="0" applyProtection="0"/>
    <xf numFmtId="0" fontId="66" fillId="0" borderId="53" applyNumberFormat="0" applyFill="0" applyAlignment="0" applyProtection="0"/>
    <xf numFmtId="0" fontId="37" fillId="32" borderId="47">
      <alignment horizontal="right" vertical="center"/>
    </xf>
    <xf numFmtId="49" fontId="35" fillId="0" borderId="47" applyNumberFormat="0" applyFont="0" applyFill="0" applyBorder="0" applyProtection="0">
      <alignment horizontal="left" vertical="center" indent="2"/>
    </xf>
    <xf numFmtId="0" fontId="12" fillId="28" borderId="0" applyNumberFormat="0" applyBorder="0" applyAlignment="0" applyProtection="0"/>
    <xf numFmtId="0" fontId="27" fillId="23" borderId="0" applyNumberFormat="0" applyBorder="0" applyAlignment="0" applyProtection="0"/>
    <xf numFmtId="0" fontId="12" fillId="19" borderId="0" applyNumberFormat="0" applyBorder="0" applyAlignment="0" applyProtection="0"/>
    <xf numFmtId="4" fontId="35" fillId="0" borderId="47" applyFill="0" applyBorder="0" applyProtection="0">
      <alignment horizontal="right" vertical="center"/>
    </xf>
    <xf numFmtId="0" fontId="59" fillId="43" borderId="52" applyNumberFormat="0" applyAlignment="0" applyProtection="0"/>
    <xf numFmtId="0" fontId="51" fillId="0" borderId="53" applyNumberFormat="0" applyFill="0" applyAlignment="0" applyProtection="0"/>
    <xf numFmtId="4" fontId="35" fillId="33" borderId="47"/>
    <xf numFmtId="0" fontId="35" fillId="34" borderId="50">
      <alignment horizontal="left" vertical="center" wrapText="1" indent="2"/>
    </xf>
    <xf numFmtId="49" fontId="35" fillId="0" borderId="47" applyNumberFormat="0" applyFont="0" applyFill="0" applyBorder="0" applyProtection="0">
      <alignment horizontal="left" vertical="center" indent="2"/>
    </xf>
    <xf numFmtId="0" fontId="46" fillId="56" borderId="52" applyNumberFormat="0" applyAlignment="0" applyProtection="0"/>
    <xf numFmtId="0" fontId="35" fillId="0" borderId="47" applyNumberFormat="0" applyFill="0" applyAlignment="0" applyProtection="0"/>
    <xf numFmtId="0" fontId="35" fillId="32" borderId="48">
      <alignment horizontal="left" vertical="center"/>
    </xf>
    <xf numFmtId="0" fontId="59" fillId="43" borderId="52" applyNumberFormat="0" applyAlignment="0" applyProtection="0"/>
    <xf numFmtId="0" fontId="5" fillId="59" borderId="46" applyNumberFormat="0" applyFont="0" applyAlignment="0" applyProtection="0"/>
    <xf numFmtId="0" fontId="63" fillId="56" borderId="51" applyNumberFormat="0" applyAlignment="0" applyProtection="0"/>
    <xf numFmtId="0" fontId="51" fillId="0" borderId="53" applyNumberFormat="0" applyFill="0" applyAlignment="0" applyProtection="0"/>
    <xf numFmtId="4" fontId="33" fillId="34" borderId="47">
      <alignment horizontal="right" vertical="center"/>
    </xf>
    <xf numFmtId="4" fontId="33" fillId="34" borderId="48">
      <alignment horizontal="right" vertical="center"/>
    </xf>
    <xf numFmtId="0" fontId="63" fillId="56" borderId="51" applyNumberFormat="0" applyAlignment="0" applyProtection="0"/>
    <xf numFmtId="0" fontId="27" fillId="15" borderId="0" applyNumberFormat="0" applyBorder="0" applyAlignment="0" applyProtection="0"/>
    <xf numFmtId="0" fontId="35" fillId="0" borderId="50">
      <alignment horizontal="left" vertical="center" wrapText="1" indent="2"/>
    </xf>
    <xf numFmtId="0" fontId="41" fillId="59" borderId="46" applyNumberFormat="0" applyFont="0" applyAlignment="0" applyProtection="0"/>
    <xf numFmtId="0" fontId="47" fillId="56" borderId="52" applyNumberFormat="0" applyAlignment="0" applyProtection="0"/>
    <xf numFmtId="0" fontId="41" fillId="59" borderId="46" applyNumberFormat="0" applyFont="0" applyAlignment="0" applyProtection="0"/>
    <xf numFmtId="4" fontId="35" fillId="0" borderId="47" applyFill="0" applyBorder="0" applyProtection="0">
      <alignment horizontal="right" vertical="center"/>
    </xf>
    <xf numFmtId="0" fontId="33" fillId="34" borderId="47">
      <alignment horizontal="right" vertical="center"/>
    </xf>
    <xf numFmtId="0" fontId="59" fillId="43" borderId="52" applyNumberFormat="0" applyAlignment="0" applyProtection="0"/>
    <xf numFmtId="0" fontId="63" fillId="56" borderId="51" applyNumberFormat="0" applyAlignment="0" applyProtection="0"/>
    <xf numFmtId="0" fontId="41" fillId="59" borderId="46" applyNumberFormat="0" applyFont="0" applyAlignment="0" applyProtection="0"/>
    <xf numFmtId="4" fontId="35" fillId="0" borderId="47">
      <alignment horizontal="right" vertical="center"/>
    </xf>
    <xf numFmtId="0" fontId="51" fillId="0" borderId="53" applyNumberFormat="0" applyFill="0" applyAlignment="0" applyProtection="0"/>
    <xf numFmtId="0" fontId="50" fillId="43" borderId="52" applyNumberFormat="0" applyAlignment="0" applyProtection="0"/>
    <xf numFmtId="0" fontId="59" fillId="43" borderId="52" applyNumberFormat="0" applyAlignment="0" applyProtection="0"/>
    <xf numFmtId="0" fontId="35" fillId="33" borderId="47"/>
    <xf numFmtId="0" fontId="66" fillId="0" borderId="53" applyNumberFormat="0" applyFill="0" applyAlignment="0" applyProtection="0"/>
    <xf numFmtId="49" fontId="34" fillId="0" borderId="47" applyNumberFormat="0" applyFill="0" applyBorder="0" applyProtection="0">
      <alignment horizontal="left" vertical="center"/>
    </xf>
    <xf numFmtId="0" fontId="33" fillId="34" borderId="47">
      <alignment horizontal="right" vertical="center"/>
    </xf>
    <xf numFmtId="4" fontId="33" fillId="32" borderId="47">
      <alignment horizontal="right" vertical="center"/>
    </xf>
    <xf numFmtId="0" fontId="35" fillId="0" borderId="50">
      <alignment horizontal="left" vertical="center" wrapText="1" indent="2"/>
    </xf>
    <xf numFmtId="0" fontId="51" fillId="0" borderId="53" applyNumberFormat="0" applyFill="0" applyAlignment="0" applyProtection="0"/>
    <xf numFmtId="0" fontId="33" fillId="34" borderId="47">
      <alignment horizontal="right" vertical="center"/>
    </xf>
    <xf numFmtId="0" fontId="59" fillId="43" borderId="52" applyNumberFormat="0" applyAlignment="0" applyProtection="0"/>
    <xf numFmtId="4" fontId="33" fillId="32" borderId="47">
      <alignment horizontal="right" vertical="center"/>
    </xf>
    <xf numFmtId="0" fontId="41" fillId="59" borderId="46" applyNumberFormat="0" applyFont="0" applyAlignment="0" applyProtection="0"/>
    <xf numFmtId="0" fontId="12" fillId="16" borderId="0" applyNumberFormat="0" applyBorder="0" applyAlignment="0" applyProtection="0"/>
    <xf numFmtId="0" fontId="47" fillId="56" borderId="52" applyNumberFormat="0" applyAlignment="0" applyProtection="0"/>
    <xf numFmtId="0" fontId="47" fillId="56" borderId="52" applyNumberFormat="0" applyAlignment="0" applyProtection="0"/>
    <xf numFmtId="4" fontId="33" fillId="34" borderId="49">
      <alignment horizontal="right" vertical="center"/>
    </xf>
    <xf numFmtId="0" fontId="27" fillId="21" borderId="0" applyNumberFormat="0" applyBorder="0" applyAlignment="0" applyProtection="0"/>
    <xf numFmtId="0" fontId="50" fillId="43" borderId="52" applyNumberFormat="0" applyAlignment="0" applyProtection="0"/>
    <xf numFmtId="0" fontId="37" fillId="32" borderId="47">
      <alignment horizontal="right" vertical="center"/>
    </xf>
    <xf numFmtId="0" fontId="33" fillId="34" borderId="49">
      <alignment horizontal="right" vertical="center"/>
    </xf>
    <xf numFmtId="0" fontId="59" fillId="43" borderId="52" applyNumberFormat="0" applyAlignment="0" applyProtection="0"/>
    <xf numFmtId="0" fontId="51" fillId="0" borderId="53" applyNumberFormat="0" applyFill="0" applyAlignment="0" applyProtection="0"/>
    <xf numFmtId="4" fontId="35" fillId="0" borderId="47">
      <alignment horizontal="right" vertical="center"/>
    </xf>
    <xf numFmtId="49" fontId="35" fillId="0" borderId="48" applyNumberFormat="0" applyFont="0" applyFill="0" applyBorder="0" applyProtection="0">
      <alignment horizontal="left" vertical="center" indent="5"/>
    </xf>
    <xf numFmtId="4" fontId="37" fillId="32" borderId="47">
      <alignment horizontal="right" vertical="center"/>
    </xf>
    <xf numFmtId="0" fontId="33" fillId="34" borderId="49">
      <alignment horizontal="right" vertical="center"/>
    </xf>
    <xf numFmtId="0" fontId="33" fillId="34" borderId="47">
      <alignment horizontal="right" vertical="center"/>
    </xf>
    <xf numFmtId="0" fontId="35" fillId="0" borderId="47">
      <alignment horizontal="right" vertical="center"/>
    </xf>
    <xf numFmtId="0" fontId="35" fillId="32" borderId="48">
      <alignment horizontal="left" vertical="center"/>
    </xf>
    <xf numFmtId="0" fontId="5" fillId="59" borderId="46" applyNumberFormat="0" applyFont="0" applyAlignment="0" applyProtection="0"/>
    <xf numFmtId="0" fontId="35" fillId="34" borderId="50">
      <alignment horizontal="left" vertical="center" wrapText="1" indent="2"/>
    </xf>
    <xf numFmtId="0" fontId="33" fillId="34" borderId="48">
      <alignment horizontal="right" vertical="center"/>
    </xf>
    <xf numFmtId="0" fontId="33" fillId="32" borderId="47">
      <alignment horizontal="right" vertical="center"/>
    </xf>
    <xf numFmtId="0" fontId="47" fillId="56" borderId="52" applyNumberFormat="0" applyAlignment="0" applyProtection="0"/>
    <xf numFmtId="0" fontId="2" fillId="0" borderId="15" applyNumberFormat="0" applyFill="0" applyAlignment="0" applyProtection="0"/>
    <xf numFmtId="0" fontId="27" fillId="30" borderId="0" applyNumberFormat="0" applyBorder="0" applyAlignment="0" applyProtection="0"/>
    <xf numFmtId="0" fontId="33" fillId="34" borderId="49">
      <alignment horizontal="right" vertical="center"/>
    </xf>
    <xf numFmtId="0" fontId="44" fillId="56" borderId="51" applyNumberFormat="0" applyAlignment="0" applyProtection="0"/>
    <xf numFmtId="0" fontId="47" fillId="56" borderId="52" applyNumberFormat="0" applyAlignment="0" applyProtection="0"/>
    <xf numFmtId="0" fontId="33" fillId="34" borderId="48">
      <alignment horizontal="right" vertical="center"/>
    </xf>
    <xf numFmtId="49" fontId="35" fillId="0" borderId="48" applyNumberFormat="0" applyFont="0" applyFill="0" applyBorder="0" applyProtection="0">
      <alignment horizontal="left" vertical="center" indent="5"/>
    </xf>
    <xf numFmtId="0" fontId="59" fillId="43" borderId="52" applyNumberFormat="0" applyAlignment="0" applyProtection="0"/>
    <xf numFmtId="0" fontId="41" fillId="59" borderId="46" applyNumberFormat="0" applyFont="0" applyAlignment="0" applyProtection="0"/>
    <xf numFmtId="173" fontId="35" fillId="60" borderId="47" applyNumberFormat="0" applyFont="0" applyBorder="0" applyAlignment="0" applyProtection="0">
      <alignment horizontal="right" vertical="center"/>
    </xf>
    <xf numFmtId="49" fontId="35" fillId="0" borderId="47" applyNumberFormat="0" applyFont="0" applyFill="0" applyBorder="0" applyProtection="0">
      <alignment horizontal="left" vertical="center" indent="2"/>
    </xf>
    <xf numFmtId="0" fontId="59" fillId="43" borderId="52" applyNumberFormat="0" applyAlignment="0" applyProtection="0"/>
    <xf numFmtId="4" fontId="35" fillId="33" borderId="47"/>
    <xf numFmtId="0" fontId="35" fillId="32" borderId="48">
      <alignment horizontal="left" vertical="center"/>
    </xf>
    <xf numFmtId="0" fontId="50" fillId="43" borderId="52" applyNumberFormat="0" applyAlignment="0" applyProtection="0"/>
    <xf numFmtId="0" fontId="27" fillId="24" borderId="0" applyNumberFormat="0" applyBorder="0" applyAlignment="0" applyProtection="0"/>
    <xf numFmtId="0" fontId="33" fillId="32" borderId="47">
      <alignment horizontal="right" vertical="center"/>
    </xf>
    <xf numFmtId="0" fontId="66" fillId="0" borderId="53" applyNumberFormat="0" applyFill="0" applyAlignment="0" applyProtection="0"/>
    <xf numFmtId="4" fontId="33" fillId="34" borderId="47">
      <alignment horizontal="right" vertical="center"/>
    </xf>
    <xf numFmtId="0" fontId="59" fillId="43" borderId="52" applyNumberFormat="0" applyAlignment="0" applyProtection="0"/>
    <xf numFmtId="0" fontId="35" fillId="34" borderId="50">
      <alignment horizontal="left" vertical="center" wrapText="1" indent="2"/>
    </xf>
    <xf numFmtId="0" fontId="35" fillId="34" borderId="50">
      <alignment horizontal="left" vertical="center" wrapText="1" indent="2"/>
    </xf>
    <xf numFmtId="0" fontId="63" fillId="56" borderId="51" applyNumberFormat="0" applyAlignment="0" applyProtection="0"/>
    <xf numFmtId="49" fontId="35" fillId="0" borderId="48" applyNumberFormat="0" applyFont="0" applyFill="0" applyBorder="0" applyProtection="0">
      <alignment horizontal="left" vertical="center" indent="5"/>
    </xf>
    <xf numFmtId="0" fontId="35" fillId="33" borderId="47"/>
    <xf numFmtId="4" fontId="35" fillId="33" borderId="47"/>
    <xf numFmtId="0" fontId="66" fillId="0" borderId="53" applyNumberFormat="0" applyFill="0" applyAlignment="0" applyProtection="0"/>
    <xf numFmtId="0" fontId="5" fillId="59" borderId="46" applyNumberFormat="0" applyFont="0" applyAlignment="0" applyProtection="0"/>
    <xf numFmtId="0" fontId="41" fillId="59" borderId="46" applyNumberFormat="0" applyFont="0" applyAlignment="0" applyProtection="0"/>
    <xf numFmtId="0" fontId="35" fillId="0" borderId="47" applyNumberFormat="0" applyFill="0" applyAlignment="0" applyProtection="0"/>
    <xf numFmtId="0" fontId="51" fillId="0" borderId="53" applyNumberFormat="0" applyFill="0" applyAlignment="0" applyProtection="0"/>
    <xf numFmtId="0" fontId="66" fillId="0" borderId="53" applyNumberFormat="0" applyFill="0" applyAlignment="0" applyProtection="0"/>
    <xf numFmtId="0" fontId="50" fillId="43" borderId="52" applyNumberFormat="0" applyAlignment="0" applyProtection="0"/>
    <xf numFmtId="0" fontId="47" fillId="56" borderId="52" applyNumberFormat="0" applyAlignment="0" applyProtection="0"/>
    <xf numFmtId="4" fontId="37" fillId="32" borderId="47">
      <alignment horizontal="right" vertical="center"/>
    </xf>
    <xf numFmtId="0" fontId="33" fillId="32" borderId="47">
      <alignment horizontal="right" vertical="center"/>
    </xf>
    <xf numFmtId="173" fontId="35" fillId="60" borderId="47" applyNumberFormat="0" applyFont="0" applyBorder="0" applyAlignment="0" applyProtection="0">
      <alignment horizontal="right" vertical="center"/>
    </xf>
    <xf numFmtId="0" fontId="51" fillId="0" borderId="53" applyNumberFormat="0" applyFill="0" applyAlignment="0" applyProtection="0"/>
    <xf numFmtId="49" fontId="35" fillId="0" borderId="47" applyNumberFormat="0" applyFont="0" applyFill="0" applyBorder="0" applyProtection="0">
      <alignment horizontal="left" vertical="center" indent="2"/>
    </xf>
    <xf numFmtId="49" fontId="35" fillId="0" borderId="48" applyNumberFormat="0" applyFont="0" applyFill="0" applyBorder="0" applyProtection="0">
      <alignment horizontal="left" vertical="center" indent="5"/>
    </xf>
    <xf numFmtId="49" fontId="35" fillId="0" borderId="47" applyNumberFormat="0" applyFont="0" applyFill="0" applyBorder="0" applyProtection="0">
      <alignment horizontal="left" vertical="center" indent="2"/>
    </xf>
    <xf numFmtId="4" fontId="35" fillId="0" borderId="47" applyFill="0" applyBorder="0" applyProtection="0">
      <alignment horizontal="right" vertical="center"/>
    </xf>
    <xf numFmtId="49" fontId="34" fillId="0" borderId="47" applyNumberFormat="0" applyFill="0" applyBorder="0" applyProtection="0">
      <alignment horizontal="left" vertical="center"/>
    </xf>
    <xf numFmtId="0" fontId="35" fillId="0" borderId="50">
      <alignment horizontal="left" vertical="center" wrapText="1" indent="2"/>
    </xf>
    <xf numFmtId="0" fontId="63" fillId="56" borderId="51" applyNumberFormat="0" applyAlignment="0" applyProtection="0"/>
    <xf numFmtId="0" fontId="33" fillId="34" borderId="49">
      <alignment horizontal="right" vertical="center"/>
    </xf>
    <xf numFmtId="0" fontId="50" fillId="43" borderId="52" applyNumberFormat="0" applyAlignment="0" applyProtection="0"/>
    <xf numFmtId="0" fontId="33" fillId="34" borderId="49">
      <alignment horizontal="right" vertical="center"/>
    </xf>
    <xf numFmtId="4" fontId="33" fillId="34" borderId="47">
      <alignment horizontal="right" vertical="center"/>
    </xf>
    <xf numFmtId="0" fontId="33" fillId="34" borderId="47">
      <alignment horizontal="right" vertical="center"/>
    </xf>
    <xf numFmtId="0" fontId="44" fillId="56" borderId="51" applyNumberFormat="0" applyAlignment="0" applyProtection="0"/>
    <xf numFmtId="0" fontId="46" fillId="56" borderId="52" applyNumberFormat="0" applyAlignment="0" applyProtection="0"/>
    <xf numFmtId="0" fontId="51" fillId="0" borderId="53" applyNumberFormat="0" applyFill="0" applyAlignment="0" applyProtection="0"/>
    <xf numFmtId="0" fontId="35" fillId="33" borderId="47"/>
    <xf numFmtId="4" fontId="35" fillId="33" borderId="47"/>
    <xf numFmtId="4" fontId="33" fillId="34" borderId="47">
      <alignment horizontal="right" vertical="center"/>
    </xf>
    <xf numFmtId="0" fontId="37" fillId="32" borderId="47">
      <alignment horizontal="right" vertical="center"/>
    </xf>
    <xf numFmtId="0" fontId="50" fillId="43" borderId="52" applyNumberFormat="0" applyAlignment="0" applyProtection="0"/>
    <xf numFmtId="0" fontId="47" fillId="56" borderId="52" applyNumberFormat="0" applyAlignment="0" applyProtection="0"/>
    <xf numFmtId="4" fontId="35" fillId="0" borderId="47">
      <alignment horizontal="right" vertical="center"/>
    </xf>
    <xf numFmtId="0" fontId="35" fillId="34" borderId="50">
      <alignment horizontal="left" vertical="center" wrapText="1" indent="2"/>
    </xf>
    <xf numFmtId="0" fontId="35" fillId="0" borderId="50">
      <alignment horizontal="left" vertical="center" wrapText="1" indent="2"/>
    </xf>
    <xf numFmtId="0" fontId="63" fillId="56" borderId="51" applyNumberFormat="0" applyAlignment="0" applyProtection="0"/>
    <xf numFmtId="0" fontId="59" fillId="43" borderId="52" applyNumberFormat="0" applyAlignment="0" applyProtection="0"/>
    <xf numFmtId="0" fontId="46" fillId="56" borderId="52" applyNumberFormat="0" applyAlignment="0" applyProtection="0"/>
    <xf numFmtId="0" fontId="44" fillId="56" borderId="51" applyNumberFormat="0" applyAlignment="0" applyProtection="0"/>
    <xf numFmtId="0" fontId="33" fillId="34" borderId="49">
      <alignment horizontal="right" vertical="center"/>
    </xf>
    <xf numFmtId="0" fontId="37" fillId="32" borderId="47">
      <alignment horizontal="right" vertical="center"/>
    </xf>
    <xf numFmtId="4" fontId="33" fillId="32" borderId="47">
      <alignment horizontal="right" vertical="center"/>
    </xf>
    <xf numFmtId="4" fontId="33" fillId="34" borderId="47">
      <alignment horizontal="right" vertical="center"/>
    </xf>
    <xf numFmtId="49" fontId="35" fillId="0" borderId="48" applyNumberFormat="0" applyFont="0" applyFill="0" applyBorder="0" applyProtection="0">
      <alignment horizontal="left" vertical="center" indent="5"/>
    </xf>
    <xf numFmtId="4" fontId="35" fillId="0" borderId="47" applyFill="0" applyBorder="0" applyProtection="0">
      <alignment horizontal="right" vertical="center"/>
    </xf>
    <xf numFmtId="4" fontId="33" fillId="32" borderId="47">
      <alignment horizontal="right" vertical="center"/>
    </xf>
    <xf numFmtId="0" fontId="59" fillId="43" borderId="52" applyNumberFormat="0" applyAlignment="0" applyProtection="0"/>
    <xf numFmtId="0" fontId="50" fillId="43" borderId="52" applyNumberFormat="0" applyAlignment="0" applyProtection="0"/>
    <xf numFmtId="0" fontId="46" fillId="56" borderId="52" applyNumberFormat="0" applyAlignment="0" applyProtection="0"/>
    <xf numFmtId="0" fontId="35" fillId="34" borderId="50">
      <alignment horizontal="left" vertical="center" wrapText="1" indent="2"/>
    </xf>
    <xf numFmtId="0" fontId="35" fillId="0" borderId="50">
      <alignment horizontal="left" vertical="center" wrapText="1" indent="2"/>
    </xf>
    <xf numFmtId="0" fontId="35" fillId="34" borderId="50">
      <alignment horizontal="left" vertical="center" wrapText="1" indent="2"/>
    </xf>
    <xf numFmtId="0" fontId="83" fillId="0" borderId="0" applyNumberFormat="0" applyFill="0" applyBorder="0" applyAlignment="0" applyProtection="0"/>
    <xf numFmtId="0" fontId="35" fillId="32" borderId="75">
      <alignment horizontal="left" vertical="center"/>
    </xf>
    <xf numFmtId="0" fontId="33" fillId="34" borderId="74">
      <alignment horizontal="right" vertical="center"/>
    </xf>
    <xf numFmtId="0" fontId="59" fillId="43" borderId="71" applyNumberFormat="0" applyAlignment="0" applyProtection="0"/>
    <xf numFmtId="0" fontId="33" fillId="34" borderId="76">
      <alignment horizontal="right" vertical="center"/>
    </xf>
    <xf numFmtId="0" fontId="35" fillId="33" borderId="119"/>
    <xf numFmtId="0" fontId="12" fillId="16" borderId="0" applyNumberFormat="0" applyBorder="0" applyAlignment="0" applyProtection="0"/>
    <xf numFmtId="0" fontId="1" fillId="0" borderId="0" applyNumberFormat="0" applyFill="0" applyBorder="0" applyAlignment="0" applyProtection="0"/>
    <xf numFmtId="0" fontId="33" fillId="34" borderId="74">
      <alignment horizontal="right" vertical="center"/>
    </xf>
    <xf numFmtId="0" fontId="46" fillId="56" borderId="71" applyNumberFormat="0" applyAlignment="0" applyProtection="0"/>
    <xf numFmtId="4" fontId="33" fillId="32" borderId="79">
      <alignment horizontal="right" vertical="center"/>
    </xf>
    <xf numFmtId="0" fontId="27" fillId="21" borderId="0" applyNumberFormat="0" applyBorder="0" applyAlignment="0" applyProtection="0"/>
    <xf numFmtId="0" fontId="35" fillId="34" borderId="109">
      <alignment horizontal="left" vertical="center" wrapText="1" indent="2"/>
    </xf>
    <xf numFmtId="0" fontId="35" fillId="0" borderId="77">
      <alignment horizontal="left" vertical="center" wrapText="1" indent="2"/>
    </xf>
    <xf numFmtId="0" fontId="33" fillId="32" borderId="129">
      <alignment horizontal="right" vertical="center"/>
    </xf>
    <xf numFmtId="0" fontId="33" fillId="34" borderId="76">
      <alignment horizontal="right" vertical="center"/>
    </xf>
    <xf numFmtId="0" fontId="51" fillId="0" borderId="125" applyNumberFormat="0" applyFill="0" applyAlignment="0" applyProtection="0"/>
    <xf numFmtId="0" fontId="50" fillId="43" borderId="84" applyNumberFormat="0" applyAlignment="0" applyProtection="0"/>
    <xf numFmtId="4" fontId="35" fillId="33" borderId="74"/>
    <xf numFmtId="0" fontId="51" fillId="0" borderId="72" applyNumberFormat="0" applyFill="0" applyAlignment="0" applyProtection="0"/>
    <xf numFmtId="0" fontId="66" fillId="0" borderId="104" applyNumberFormat="0" applyFill="0" applyAlignment="0" applyProtection="0"/>
    <xf numFmtId="4" fontId="33" fillId="34" borderId="76">
      <alignment horizontal="right" vertical="center"/>
    </xf>
    <xf numFmtId="0" fontId="59" fillId="43" borderId="71" applyNumberFormat="0" applyAlignment="0" applyProtection="0"/>
    <xf numFmtId="0" fontId="30" fillId="13" borderId="13" applyNumberFormat="0" applyAlignment="0" applyProtection="0"/>
    <xf numFmtId="4" fontId="35" fillId="0" borderId="74">
      <alignment horizontal="right" vertical="center"/>
    </xf>
    <xf numFmtId="4" fontId="33" fillId="34" borderId="80">
      <alignment horizontal="right" vertical="center"/>
    </xf>
    <xf numFmtId="0" fontId="50" fillId="43" borderId="71" applyNumberFormat="0" applyAlignment="0" applyProtection="0"/>
    <xf numFmtId="4" fontId="33" fillId="32" borderId="79">
      <alignment horizontal="right" vertical="center"/>
    </xf>
    <xf numFmtId="4" fontId="33" fillId="32" borderId="74">
      <alignment horizontal="right" vertical="center"/>
    </xf>
    <xf numFmtId="0" fontId="33" fillId="34" borderId="75">
      <alignment horizontal="right" vertical="center"/>
    </xf>
    <xf numFmtId="0" fontId="27" fillId="15" borderId="0" applyNumberFormat="0" applyBorder="0" applyAlignment="0" applyProtection="0"/>
    <xf numFmtId="0" fontId="33" fillId="34" borderId="119">
      <alignment horizontal="right" vertical="center"/>
    </xf>
    <xf numFmtId="0" fontId="35" fillId="0" borderId="74">
      <alignment horizontal="right" vertical="center"/>
    </xf>
    <xf numFmtId="0" fontId="33" fillId="34" borderId="74">
      <alignment horizontal="right" vertical="center"/>
    </xf>
    <xf numFmtId="0" fontId="12" fillId="16" borderId="0" applyNumberFormat="0" applyBorder="0" applyAlignment="0" applyProtection="0"/>
    <xf numFmtId="0" fontId="27" fillId="27" borderId="0" applyNumberFormat="0" applyBorder="0" applyAlignment="0" applyProtection="0"/>
    <xf numFmtId="4" fontId="33" fillId="34" borderId="74">
      <alignment horizontal="right" vertical="center"/>
    </xf>
    <xf numFmtId="0" fontId="27" fillId="18" borderId="0" applyNumberFormat="0" applyBorder="0" applyAlignment="0" applyProtection="0"/>
    <xf numFmtId="0" fontId="51" fillId="0" borderId="72" applyNumberFormat="0" applyFill="0" applyAlignment="0" applyProtection="0"/>
    <xf numFmtId="0" fontId="47" fillId="56" borderId="71" applyNumberFormat="0" applyAlignment="0" applyProtection="0"/>
    <xf numFmtId="0" fontId="35" fillId="33" borderId="74"/>
    <xf numFmtId="4" fontId="33" fillId="34" borderId="74">
      <alignment horizontal="right" vertical="center"/>
    </xf>
    <xf numFmtId="0" fontId="37" fillId="32" borderId="106">
      <alignment horizontal="right" vertical="center"/>
    </xf>
    <xf numFmtId="4" fontId="33" fillId="34" borderId="76">
      <alignment horizontal="right" vertical="center"/>
    </xf>
    <xf numFmtId="4" fontId="33" fillId="34" borderId="114">
      <alignment horizontal="right" vertical="center"/>
    </xf>
    <xf numFmtId="0" fontId="66" fillId="0" borderId="72" applyNumberFormat="0" applyFill="0" applyAlignment="0" applyProtection="0"/>
    <xf numFmtId="0" fontId="33" fillId="34" borderId="114">
      <alignment horizontal="right" vertical="center"/>
    </xf>
    <xf numFmtId="0" fontId="41" fillId="59" borderId="105" applyNumberFormat="0" applyFont="0" applyAlignment="0" applyProtection="0"/>
    <xf numFmtId="4" fontId="37" fillId="32" borderId="79">
      <alignment horizontal="right" vertical="center"/>
    </xf>
    <xf numFmtId="0" fontId="31" fillId="0" borderId="0" applyNumberFormat="0" applyFill="0" applyBorder="0" applyAlignment="0" applyProtection="0"/>
    <xf numFmtId="0" fontId="35" fillId="0" borderId="79">
      <alignment horizontal="right" vertical="center"/>
    </xf>
    <xf numFmtId="0" fontId="29" fillId="13" borderId="14" applyNumberFormat="0" applyAlignment="0" applyProtection="0"/>
    <xf numFmtId="0" fontId="30" fillId="13" borderId="13" applyNumberFormat="0" applyAlignment="0" applyProtection="0"/>
    <xf numFmtId="4" fontId="33" fillId="34" borderId="121">
      <alignment horizontal="right" vertical="center"/>
    </xf>
    <xf numFmtId="0" fontId="29" fillId="13" borderId="14" applyNumberFormat="0" applyAlignment="0" applyProtection="0"/>
    <xf numFmtId="0" fontId="1" fillId="0" borderId="0" applyNumberFormat="0" applyFill="0" applyBorder="0" applyAlignment="0" applyProtection="0"/>
    <xf numFmtId="4" fontId="35" fillId="0" borderId="74" applyFill="0" applyBorder="0" applyProtection="0">
      <alignment horizontal="right" vertical="center"/>
    </xf>
    <xf numFmtId="0" fontId="31" fillId="0" borderId="0" applyNumberFormat="0" applyFill="0" applyBorder="0" applyAlignment="0" applyProtection="0"/>
    <xf numFmtId="0" fontId="2" fillId="0" borderId="15" applyNumberFormat="0" applyFill="0" applyAlignment="0" applyProtection="0"/>
    <xf numFmtId="0" fontId="63" fillId="56" borderId="123" applyNumberFormat="0" applyAlignment="0" applyProtection="0"/>
    <xf numFmtId="0" fontId="27" fillId="14" borderId="0" applyNumberFormat="0" applyBorder="0" applyAlignment="0" applyProtection="0"/>
    <xf numFmtId="0" fontId="27" fillId="15" borderId="0" applyNumberFormat="0" applyBorder="0" applyAlignment="0" applyProtection="0"/>
    <xf numFmtId="0" fontId="12" fillId="16" borderId="0" applyNumberFormat="0" applyBorder="0" applyAlignment="0" applyProtection="0"/>
    <xf numFmtId="0" fontId="35" fillId="34" borderId="82">
      <alignment horizontal="left" vertical="center" wrapText="1" indent="2"/>
    </xf>
    <xf numFmtId="0" fontId="27" fillId="17" borderId="0" applyNumberFormat="0" applyBorder="0" applyAlignment="0" applyProtection="0"/>
    <xf numFmtId="0" fontId="27" fillId="18" borderId="0" applyNumberFormat="0" applyBorder="0" applyAlignment="0" applyProtection="0"/>
    <xf numFmtId="0" fontId="12" fillId="19" borderId="0" applyNumberFormat="0" applyBorder="0" applyAlignment="0" applyProtection="0"/>
    <xf numFmtId="0" fontId="5" fillId="59" borderId="73" applyNumberFormat="0" applyFont="0" applyAlignment="0" applyProtection="0"/>
    <xf numFmtId="0" fontId="27" fillId="20" borderId="0" applyNumberFormat="0" applyBorder="0" applyAlignment="0" applyProtection="0"/>
    <xf numFmtId="0" fontId="27" fillId="21" borderId="0" applyNumberFormat="0" applyBorder="0" applyAlignment="0" applyProtection="0"/>
    <xf numFmtId="0" fontId="12" fillId="22" borderId="0" applyNumberFormat="0" applyBorder="0" applyAlignment="0" applyProtection="0"/>
    <xf numFmtId="0" fontId="33" fillId="34" borderId="74">
      <alignment horizontal="right" vertical="center"/>
    </xf>
    <xf numFmtId="0" fontId="27" fillId="23" borderId="0" applyNumberFormat="0" applyBorder="0" applyAlignment="0" applyProtection="0"/>
    <xf numFmtId="0" fontId="27" fillId="24" borderId="0" applyNumberFormat="0" applyBorder="0" applyAlignment="0" applyProtection="0"/>
    <xf numFmtId="0" fontId="12" fillId="25" borderId="0" applyNumberFormat="0" applyBorder="0" applyAlignment="0" applyProtection="0"/>
    <xf numFmtId="173" fontId="35" fillId="60" borderId="74" applyNumberFormat="0" applyFont="0" applyBorder="0" applyAlignment="0" applyProtection="0">
      <alignment horizontal="right" vertical="center"/>
    </xf>
    <xf numFmtId="0" fontId="27" fillId="26" borderId="0" applyNumberFormat="0" applyBorder="0" applyAlignment="0" applyProtection="0"/>
    <xf numFmtId="0" fontId="27" fillId="27" borderId="0" applyNumberFormat="0" applyBorder="0" applyAlignment="0" applyProtection="0"/>
    <xf numFmtId="0" fontId="12" fillId="28" borderId="0" applyNumberFormat="0" applyBorder="0" applyAlignment="0" applyProtection="0"/>
    <xf numFmtId="0" fontId="59" fillId="43" borderId="71" applyNumberFormat="0" applyAlignment="0" applyProtection="0"/>
    <xf numFmtId="0" fontId="27" fillId="29" borderId="0" applyNumberFormat="0" applyBorder="0" applyAlignment="0" applyProtection="0"/>
    <xf numFmtId="0" fontId="27" fillId="30" borderId="0" applyNumberFormat="0" applyBorder="0" applyAlignment="0" applyProtection="0"/>
    <xf numFmtId="0" fontId="12" fillId="31" borderId="0" applyNumberFormat="0" applyBorder="0" applyAlignment="0" applyProtection="0"/>
    <xf numFmtId="0" fontId="35" fillId="0" borderId="47" applyNumberFormat="0" applyFill="0" applyAlignment="0" applyProtection="0"/>
    <xf numFmtId="0" fontId="33" fillId="34" borderId="47">
      <alignment horizontal="right" vertical="center"/>
    </xf>
    <xf numFmtId="0" fontId="33" fillId="34" borderId="47">
      <alignment horizontal="right" vertical="center"/>
    </xf>
    <xf numFmtId="0" fontId="33" fillId="32" borderId="74">
      <alignment horizontal="right" vertical="center"/>
    </xf>
    <xf numFmtId="0" fontId="35" fillId="0" borderId="47">
      <alignment horizontal="right" vertical="center"/>
    </xf>
    <xf numFmtId="0" fontId="37" fillId="32" borderId="47">
      <alignment horizontal="right" vertical="center"/>
    </xf>
    <xf numFmtId="0" fontId="35" fillId="33" borderId="47"/>
    <xf numFmtId="0" fontId="33" fillId="32" borderId="47">
      <alignment horizontal="right" vertical="center"/>
    </xf>
    <xf numFmtId="0" fontId="66" fillId="0" borderId="72" applyNumberFormat="0" applyFill="0" applyAlignment="0" applyProtection="0"/>
    <xf numFmtId="0" fontId="5" fillId="59" borderId="73" applyNumberFormat="0" applyFont="0" applyAlignment="0" applyProtection="0"/>
    <xf numFmtId="4" fontId="33" fillId="34" borderId="74">
      <alignment horizontal="right" vertical="center"/>
    </xf>
    <xf numFmtId="0" fontId="12" fillId="22" borderId="0" applyNumberFormat="0" applyBorder="0" applyAlignment="0" applyProtection="0"/>
    <xf numFmtId="0" fontId="35" fillId="0" borderId="74">
      <alignment horizontal="right" vertical="center"/>
    </xf>
    <xf numFmtId="0" fontId="33" fillId="34" borderId="79">
      <alignment horizontal="right" vertical="center"/>
    </xf>
    <xf numFmtId="0" fontId="59" fillId="43" borderId="71" applyNumberFormat="0" applyAlignment="0" applyProtection="0"/>
    <xf numFmtId="0" fontId="50" fillId="43" borderId="71" applyNumberFormat="0" applyAlignment="0" applyProtection="0"/>
    <xf numFmtId="4" fontId="33" fillId="34" borderId="75">
      <alignment horizontal="right" vertical="center"/>
    </xf>
    <xf numFmtId="49" fontId="34" fillId="0" borderId="74" applyNumberFormat="0" applyFill="0" applyBorder="0" applyProtection="0">
      <alignment horizontal="left" vertical="center"/>
    </xf>
    <xf numFmtId="0" fontId="33" fillId="34" borderId="76">
      <alignment horizontal="right" vertical="center"/>
    </xf>
    <xf numFmtId="0" fontId="33" fillId="34" borderId="74">
      <alignment horizontal="right" vertical="center"/>
    </xf>
    <xf numFmtId="0" fontId="33" fillId="34" borderId="75">
      <alignment horizontal="right" vertical="center"/>
    </xf>
    <xf numFmtId="0" fontId="27" fillId="24" borderId="0" applyNumberFormat="0" applyBorder="0" applyAlignment="0" applyProtection="0"/>
    <xf numFmtId="4" fontId="37" fillId="32" borderId="74">
      <alignment horizontal="right" vertical="center"/>
    </xf>
    <xf numFmtId="0" fontId="47" fillId="56" borderId="84" applyNumberFormat="0" applyAlignment="0" applyProtection="0"/>
    <xf numFmtId="0" fontId="35" fillId="34" borderId="109">
      <alignment horizontal="left" vertical="center" wrapText="1" indent="2"/>
    </xf>
    <xf numFmtId="0" fontId="27" fillId="15" borderId="0" applyNumberFormat="0" applyBorder="0" applyAlignment="0" applyProtection="0"/>
    <xf numFmtId="0" fontId="41" fillId="59" borderId="73" applyNumberFormat="0" applyFont="0" applyAlignment="0" applyProtection="0"/>
    <xf numFmtId="0" fontId="66" fillId="0" borderId="85" applyNumberFormat="0" applyFill="0" applyAlignment="0" applyProtection="0"/>
    <xf numFmtId="0" fontId="27" fillId="14" borderId="0" applyNumberFormat="0" applyBorder="0" applyAlignment="0" applyProtection="0"/>
    <xf numFmtId="0" fontId="66" fillId="0" borderId="72" applyNumberFormat="0" applyFill="0" applyAlignment="0" applyProtection="0"/>
    <xf numFmtId="0" fontId="33" fillId="34" borderId="74">
      <alignment horizontal="right" vertical="center"/>
    </xf>
    <xf numFmtId="0" fontId="44" fillId="56" borderId="70" applyNumberFormat="0" applyAlignment="0" applyProtection="0"/>
    <xf numFmtId="0" fontId="12" fillId="28" borderId="0" applyNumberFormat="0" applyBorder="0" applyAlignment="0" applyProtection="0"/>
    <xf numFmtId="4" fontId="33" fillId="34" borderId="74">
      <alignment horizontal="right" vertical="center"/>
    </xf>
    <xf numFmtId="0" fontId="63" fillId="56" borderId="86" applyNumberFormat="0" applyAlignment="0" applyProtection="0"/>
    <xf numFmtId="0" fontId="5" fillId="59" borderId="78" applyNumberFormat="0" applyFont="0" applyAlignment="0" applyProtection="0"/>
    <xf numFmtId="0" fontId="59" fillId="43" borderId="103" applyNumberFormat="0" applyAlignment="0" applyProtection="0"/>
    <xf numFmtId="0" fontId="1" fillId="0" borderId="0" applyNumberFormat="0" applyFill="0" applyBorder="0" applyAlignment="0" applyProtection="0"/>
    <xf numFmtId="0" fontId="50" fillId="43" borderId="71" applyNumberFormat="0" applyAlignment="0" applyProtection="0"/>
    <xf numFmtId="4" fontId="33" fillId="34" borderId="76">
      <alignment horizontal="right" vertical="center"/>
    </xf>
    <xf numFmtId="4" fontId="35" fillId="33" borderId="74"/>
    <xf numFmtId="0" fontId="33" fillId="34" borderId="74">
      <alignment horizontal="right" vertical="center"/>
    </xf>
    <xf numFmtId="4" fontId="33" fillId="32" borderId="79">
      <alignment horizontal="right" vertical="center"/>
    </xf>
    <xf numFmtId="4" fontId="33" fillId="34" borderId="75">
      <alignment horizontal="right" vertical="center"/>
    </xf>
    <xf numFmtId="0" fontId="51" fillId="0" borderId="88" applyNumberFormat="0" applyFill="0" applyAlignment="0" applyProtection="0"/>
    <xf numFmtId="4" fontId="33" fillId="34" borderId="79">
      <alignment horizontal="right" vertical="center"/>
    </xf>
    <xf numFmtId="0" fontId="27" fillId="23" borderId="0" applyNumberFormat="0" applyBorder="0" applyAlignment="0" applyProtection="0"/>
    <xf numFmtId="4" fontId="35" fillId="0" borderId="106">
      <alignment horizontal="right" vertical="center"/>
    </xf>
    <xf numFmtId="0" fontId="1" fillId="0" borderId="0" applyNumberFormat="0" applyFill="0" applyBorder="0" applyAlignment="0" applyProtection="0"/>
    <xf numFmtId="0" fontId="66" fillId="0" borderId="85" applyNumberFormat="0" applyFill="0" applyAlignment="0" applyProtection="0"/>
    <xf numFmtId="0" fontId="35" fillId="34" borderId="77">
      <alignment horizontal="left" vertical="center" wrapText="1" indent="2"/>
    </xf>
    <xf numFmtId="0" fontId="63" fillId="56" borderId="70" applyNumberFormat="0" applyAlignment="0" applyProtection="0"/>
    <xf numFmtId="4" fontId="33" fillId="34" borderId="74">
      <alignment horizontal="right" vertical="center"/>
    </xf>
    <xf numFmtId="4" fontId="33" fillId="34" borderId="107">
      <alignment horizontal="right" vertical="center"/>
    </xf>
    <xf numFmtId="0" fontId="35" fillId="0" borderId="77">
      <alignment horizontal="left" vertical="center" wrapText="1" indent="2"/>
    </xf>
    <xf numFmtId="0" fontId="47" fillId="56" borderId="71" applyNumberFormat="0" applyAlignment="0" applyProtection="0"/>
    <xf numFmtId="0" fontId="50" fillId="43" borderId="71" applyNumberFormat="0" applyAlignment="0" applyProtection="0"/>
    <xf numFmtId="4" fontId="35" fillId="0" borderId="74">
      <alignment horizontal="right" vertical="center"/>
    </xf>
    <xf numFmtId="0" fontId="47" fillId="56" borderId="63" applyNumberFormat="0" applyAlignment="0" applyProtection="0"/>
    <xf numFmtId="49" fontId="34" fillId="0" borderId="79" applyNumberFormat="0" applyFill="0" applyBorder="0" applyProtection="0">
      <alignment horizontal="left" vertical="center"/>
    </xf>
    <xf numFmtId="43" fontId="38" fillId="0" borderId="0" applyFont="0" applyFill="0" applyBorder="0" applyAlignment="0" applyProtection="0"/>
    <xf numFmtId="172" fontId="87" fillId="0" borderId="0" applyFont="0" applyFill="0" applyBorder="0" applyAlignment="0" applyProtection="0"/>
    <xf numFmtId="43" fontId="38" fillId="0" borderId="0" applyFont="0" applyFill="0" applyBorder="0" applyAlignment="0" applyProtection="0"/>
    <xf numFmtId="0" fontId="35" fillId="34" borderId="101">
      <alignment horizontal="left" vertical="center" wrapText="1" indent="2"/>
    </xf>
    <xf numFmtId="4" fontId="37" fillId="32" borderId="74">
      <alignment horizontal="right" vertical="center"/>
    </xf>
    <xf numFmtId="0" fontId="35" fillId="34" borderId="122">
      <alignment horizontal="left" vertical="center" wrapText="1" indent="2"/>
    </xf>
    <xf numFmtId="0" fontId="27" fillId="24" borderId="0" applyNumberFormat="0" applyBorder="0" applyAlignment="0" applyProtection="0"/>
    <xf numFmtId="0" fontId="59" fillId="43" borderId="71" applyNumberFormat="0" applyAlignment="0" applyProtection="0"/>
    <xf numFmtId="0" fontId="47" fillId="56" borderId="71" applyNumberFormat="0" applyAlignment="0" applyProtection="0"/>
    <xf numFmtId="0" fontId="35" fillId="0" borderId="90">
      <alignment horizontal="right" vertical="center"/>
    </xf>
    <xf numFmtId="0" fontId="12" fillId="19" borderId="0" applyNumberFormat="0" applyBorder="0" applyAlignment="0" applyProtection="0"/>
    <xf numFmtId="0" fontId="63" fillId="56" borderId="70" applyNumberFormat="0" applyAlignment="0" applyProtection="0"/>
    <xf numFmtId="0" fontId="59" fillId="43" borderId="63" applyNumberFormat="0" applyAlignment="0" applyProtection="0"/>
    <xf numFmtId="0" fontId="12" fillId="19" borderId="0" applyNumberFormat="0" applyBorder="0" applyAlignment="0" applyProtection="0"/>
    <xf numFmtId="0" fontId="63" fillId="56" borderId="83" applyNumberFormat="0" applyAlignment="0" applyProtection="0"/>
    <xf numFmtId="0" fontId="44" fillId="56" borderId="70" applyNumberFormat="0" applyAlignment="0" applyProtection="0"/>
    <xf numFmtId="0" fontId="35" fillId="0" borderId="122">
      <alignment horizontal="left" vertical="center" wrapText="1" indent="2"/>
    </xf>
    <xf numFmtId="0" fontId="12" fillId="31" borderId="0" applyNumberFormat="0" applyBorder="0" applyAlignment="0" applyProtection="0"/>
    <xf numFmtId="0" fontId="35" fillId="0" borderId="82">
      <alignment horizontal="left" vertical="center" wrapText="1" indent="2"/>
    </xf>
    <xf numFmtId="0" fontId="59" fillId="43" borderId="111" applyNumberFormat="0" applyAlignment="0" applyProtection="0"/>
    <xf numFmtId="0" fontId="46" fillId="56" borderId="71" applyNumberFormat="0" applyAlignment="0" applyProtection="0"/>
    <xf numFmtId="0" fontId="27" fillId="14" borderId="0" applyNumberFormat="0" applyBorder="0" applyAlignment="0" applyProtection="0"/>
    <xf numFmtId="0" fontId="12" fillId="16" borderId="0" applyNumberFormat="0" applyBorder="0" applyAlignment="0" applyProtection="0"/>
    <xf numFmtId="0" fontId="87" fillId="0" borderId="0"/>
    <xf numFmtId="0" fontId="50" fillId="43" borderId="71" applyNumberFormat="0" applyAlignment="0" applyProtection="0"/>
    <xf numFmtId="0" fontId="35" fillId="0" borderId="74" applyNumberFormat="0" applyFill="0" applyAlignment="0" applyProtection="0"/>
    <xf numFmtId="0" fontId="47" fillId="56" borderId="71" applyNumberFormat="0" applyAlignment="0" applyProtection="0"/>
    <xf numFmtId="49" fontId="35" fillId="0" borderId="74" applyNumberFormat="0" applyFont="0" applyFill="0" applyBorder="0" applyProtection="0">
      <alignment horizontal="left" vertical="center" indent="2"/>
    </xf>
    <xf numFmtId="0" fontId="35" fillId="33" borderId="79"/>
    <xf numFmtId="4" fontId="37" fillId="32" borderId="74">
      <alignment horizontal="right" vertical="center"/>
    </xf>
    <xf numFmtId="0" fontId="31" fillId="0" borderId="0" applyNumberFormat="0" applyFill="0" applyBorder="0" applyAlignment="0" applyProtection="0"/>
    <xf numFmtId="0" fontId="59" fillId="43" borderId="84" applyNumberFormat="0" applyAlignment="0" applyProtection="0"/>
    <xf numFmtId="4" fontId="35" fillId="0" borderId="47" applyFill="0" applyBorder="0" applyProtection="0">
      <alignment horizontal="right" vertical="center"/>
    </xf>
    <xf numFmtId="0" fontId="33" fillId="34" borderId="74">
      <alignment horizontal="right" vertical="center"/>
    </xf>
    <xf numFmtId="4" fontId="33" fillId="34" borderId="76">
      <alignment horizontal="right" vertical="center"/>
    </xf>
    <xf numFmtId="0" fontId="59" fillId="43" borderId="84" applyNumberFormat="0" applyAlignment="0" applyProtection="0"/>
    <xf numFmtId="0" fontId="35" fillId="34" borderId="77">
      <alignment horizontal="left" vertical="center" wrapText="1" indent="2"/>
    </xf>
    <xf numFmtId="0" fontId="41" fillId="59" borderId="73" applyNumberFormat="0" applyFont="0" applyAlignment="0" applyProtection="0"/>
    <xf numFmtId="0" fontId="50" fillId="43" borderId="71" applyNumberFormat="0" applyAlignment="0" applyProtection="0"/>
    <xf numFmtId="0" fontId="37" fillId="32" borderId="74">
      <alignment horizontal="right" vertical="center"/>
    </xf>
    <xf numFmtId="0" fontId="87" fillId="35" borderId="0" applyNumberFormat="0" applyFont="0" applyBorder="0" applyAlignment="0" applyProtection="0"/>
    <xf numFmtId="0" fontId="41" fillId="59" borderId="65" applyNumberFormat="0" applyFont="0" applyAlignment="0" applyProtection="0"/>
    <xf numFmtId="0" fontId="5" fillId="59" borderId="65" applyNumberFormat="0" applyFont="0" applyAlignment="0" applyProtection="0"/>
    <xf numFmtId="0" fontId="63" fillId="56" borderId="62" applyNumberFormat="0" applyAlignment="0" applyProtection="0"/>
    <xf numFmtId="0" fontId="51" fillId="0" borderId="72" applyNumberFormat="0" applyFill="0" applyAlignment="0" applyProtection="0"/>
    <xf numFmtId="9" fontId="87" fillId="0" borderId="0" applyFont="0" applyFill="0" applyBorder="0" applyAlignment="0" applyProtection="0"/>
    <xf numFmtId="4" fontId="33" fillId="34" borderId="75">
      <alignment horizontal="right" vertical="center"/>
    </xf>
    <xf numFmtId="0" fontId="33" fillId="34" borderId="91">
      <alignment horizontal="right" vertical="center"/>
    </xf>
    <xf numFmtId="0" fontId="12" fillId="25" borderId="0" applyNumberFormat="0" applyBorder="0" applyAlignment="0" applyProtection="0"/>
    <xf numFmtId="0" fontId="66" fillId="0" borderId="64" applyNumberFormat="0" applyFill="0" applyAlignment="0" applyProtection="0"/>
    <xf numFmtId="0" fontId="46" fillId="56" borderId="84" applyNumberFormat="0" applyAlignment="0" applyProtection="0"/>
    <xf numFmtId="0" fontId="35" fillId="0" borderId="74">
      <alignment horizontal="right" vertical="center"/>
    </xf>
    <xf numFmtId="49" fontId="34" fillId="0" borderId="74" applyNumberFormat="0" applyFill="0" applyBorder="0" applyProtection="0">
      <alignment horizontal="left" vertical="center"/>
    </xf>
    <xf numFmtId="0" fontId="46" fillId="56" borderId="71" applyNumberFormat="0" applyAlignment="0" applyProtection="0"/>
    <xf numFmtId="0" fontId="47" fillId="56" borderId="71" applyNumberFormat="0" applyAlignment="0" applyProtection="0"/>
    <xf numFmtId="0" fontId="27" fillId="15" borderId="0" applyNumberFormat="0" applyBorder="0" applyAlignment="0" applyProtection="0"/>
    <xf numFmtId="4" fontId="33" fillId="34" borderId="79">
      <alignment horizontal="right" vertical="center"/>
    </xf>
    <xf numFmtId="4" fontId="37" fillId="32" borderId="79">
      <alignment horizontal="right" vertical="center"/>
    </xf>
    <xf numFmtId="0" fontId="66" fillId="0" borderId="72" applyNumberFormat="0" applyFill="0" applyAlignment="0" applyProtection="0"/>
    <xf numFmtId="0" fontId="51" fillId="0" borderId="104" applyNumberFormat="0" applyFill="0" applyAlignment="0" applyProtection="0"/>
    <xf numFmtId="4" fontId="33" fillId="34" borderId="129">
      <alignment horizontal="right" vertical="center"/>
    </xf>
    <xf numFmtId="0" fontId="33" fillId="34" borderId="76">
      <alignment horizontal="right" vertical="center"/>
    </xf>
    <xf numFmtId="0" fontId="66" fillId="0" borderId="85" applyNumberFormat="0" applyFill="0" applyAlignment="0" applyProtection="0"/>
    <xf numFmtId="0" fontId="35" fillId="0" borderId="74" applyNumberFormat="0" applyFill="0" applyAlignment="0" applyProtection="0"/>
    <xf numFmtId="0" fontId="41" fillId="59" borderId="73" applyNumberFormat="0" applyFont="0" applyAlignment="0" applyProtection="0"/>
    <xf numFmtId="0" fontId="35" fillId="0" borderId="77">
      <alignment horizontal="left" vertical="center" wrapText="1" indent="2"/>
    </xf>
    <xf numFmtId="0" fontId="33" fillId="34" borderId="81">
      <alignment horizontal="right" vertical="center"/>
    </xf>
    <xf numFmtId="0" fontId="35" fillId="32" borderId="75">
      <alignment horizontal="left" vertical="center"/>
    </xf>
    <xf numFmtId="49" fontId="35" fillId="0" borderId="74" applyNumberFormat="0" applyFont="0" applyFill="0" applyBorder="0" applyProtection="0">
      <alignment horizontal="left" vertical="center" indent="2"/>
    </xf>
    <xf numFmtId="0" fontId="27" fillId="26" borderId="0" applyNumberFormat="0" applyBorder="0" applyAlignment="0" applyProtection="0"/>
    <xf numFmtId="0" fontId="66" fillId="0" borderId="72" applyNumberFormat="0" applyFill="0" applyAlignment="0" applyProtection="0"/>
    <xf numFmtId="0" fontId="51" fillId="0" borderId="104" applyNumberFormat="0" applyFill="0" applyAlignment="0" applyProtection="0"/>
    <xf numFmtId="0" fontId="35" fillId="33" borderId="74"/>
    <xf numFmtId="4" fontId="35" fillId="33" borderId="129"/>
    <xf numFmtId="0" fontId="47" fillId="56" borderId="71" applyNumberFormat="0" applyAlignment="0" applyProtection="0"/>
    <xf numFmtId="0" fontId="41" fillId="59" borderId="73" applyNumberFormat="0" applyFont="0" applyAlignment="0" applyProtection="0"/>
    <xf numFmtId="49" fontId="35" fillId="0" borderId="74" applyNumberFormat="0" applyFont="0" applyFill="0" applyBorder="0" applyProtection="0">
      <alignment horizontal="left" vertical="center" indent="2"/>
    </xf>
    <xf numFmtId="0" fontId="27" fillId="18" borderId="0" applyNumberFormat="0" applyBorder="0" applyAlignment="0" applyProtection="0"/>
    <xf numFmtId="0" fontId="33" fillId="34" borderId="74">
      <alignment horizontal="right" vertical="center"/>
    </xf>
    <xf numFmtId="4" fontId="35" fillId="33" borderId="74"/>
    <xf numFmtId="4" fontId="33" fillId="34" borderId="81">
      <alignment horizontal="right" vertical="center"/>
    </xf>
    <xf numFmtId="4" fontId="35" fillId="0" borderId="74">
      <alignment horizontal="right" vertical="center"/>
    </xf>
    <xf numFmtId="0" fontId="35" fillId="0" borderId="77">
      <alignment horizontal="left" vertical="center" wrapText="1" indent="2"/>
    </xf>
    <xf numFmtId="0" fontId="12" fillId="16" borderId="0" applyNumberFormat="0" applyBorder="0" applyAlignment="0" applyProtection="0"/>
    <xf numFmtId="0" fontId="35" fillId="0" borderId="74">
      <alignment horizontal="right" vertical="center"/>
    </xf>
    <xf numFmtId="0" fontId="35" fillId="34" borderId="77">
      <alignment horizontal="left" vertical="center" wrapText="1" indent="2"/>
    </xf>
    <xf numFmtId="0" fontId="27" fillId="23" borderId="0" applyNumberFormat="0" applyBorder="0" applyAlignment="0" applyProtection="0"/>
    <xf numFmtId="0" fontId="35" fillId="32" borderId="75">
      <alignment horizontal="left" vertical="center"/>
    </xf>
    <xf numFmtId="0" fontId="27" fillId="26" borderId="0" applyNumberFormat="0" applyBorder="0" applyAlignment="0" applyProtection="0"/>
    <xf numFmtId="0" fontId="33" fillId="34" borderId="74">
      <alignment horizontal="right" vertical="center"/>
    </xf>
    <xf numFmtId="0" fontId="47" fillId="56" borderId="124" applyNumberFormat="0" applyAlignment="0" applyProtection="0"/>
    <xf numFmtId="0" fontId="35" fillId="0" borderId="77">
      <alignment horizontal="left" vertical="center" wrapText="1" indent="2"/>
    </xf>
    <xf numFmtId="0" fontId="47" fillId="56" borderId="63" applyNumberFormat="0" applyAlignment="0" applyProtection="0"/>
    <xf numFmtId="0" fontId="44" fillId="56" borderId="83" applyNumberFormat="0" applyAlignment="0" applyProtection="0"/>
    <xf numFmtId="0" fontId="66" fillId="0" borderId="72" applyNumberFormat="0" applyFill="0" applyAlignment="0" applyProtection="0"/>
    <xf numFmtId="0" fontId="35" fillId="34" borderId="77">
      <alignment horizontal="left" vertical="center" wrapText="1" indent="2"/>
    </xf>
    <xf numFmtId="0" fontId="51" fillId="0" borderId="72" applyNumberFormat="0" applyFill="0" applyAlignment="0" applyProtection="0"/>
    <xf numFmtId="0" fontId="35" fillId="33" borderId="79"/>
    <xf numFmtId="49" fontId="35" fillId="0" borderId="119" applyNumberFormat="0" applyFont="0" applyFill="0" applyBorder="0" applyProtection="0">
      <alignment horizontal="left" vertical="center" indent="2"/>
    </xf>
    <xf numFmtId="49" fontId="35" fillId="0" borderId="74" applyNumberFormat="0" applyFont="0" applyFill="0" applyBorder="0" applyProtection="0">
      <alignment horizontal="left" vertical="center" indent="2"/>
    </xf>
    <xf numFmtId="0" fontId="59" fillId="43" borderId="63" applyNumberFormat="0" applyAlignment="0" applyProtection="0"/>
    <xf numFmtId="0" fontId="47" fillId="56" borderId="87" applyNumberFormat="0" applyAlignment="0" applyProtection="0"/>
    <xf numFmtId="0" fontId="44" fillId="56" borderId="70" applyNumberFormat="0" applyAlignment="0" applyProtection="0"/>
    <xf numFmtId="0" fontId="41" fillId="59" borderId="73" applyNumberFormat="0" applyFont="0" applyAlignment="0" applyProtection="0"/>
    <xf numFmtId="0" fontId="41" fillId="59" borderId="65" applyNumberFormat="0" applyFont="0" applyAlignment="0" applyProtection="0"/>
    <xf numFmtId="0" fontId="63" fillId="56" borderId="62" applyNumberFormat="0" applyAlignment="0" applyProtection="0"/>
    <xf numFmtId="0" fontId="33" fillId="34" borderId="79">
      <alignment horizontal="right" vertical="center"/>
    </xf>
    <xf numFmtId="0" fontId="66" fillId="0" borderId="64" applyNumberFormat="0" applyFill="0" applyAlignment="0" applyProtection="0"/>
    <xf numFmtId="0" fontId="44" fillId="56" borderId="70" applyNumberFormat="0" applyAlignment="0" applyProtection="0"/>
    <xf numFmtId="0" fontId="33" fillId="34" borderId="74">
      <alignment horizontal="right" vertical="center"/>
    </xf>
    <xf numFmtId="0" fontId="50" fillId="43" borderId="71" applyNumberFormat="0" applyAlignment="0" applyProtection="0"/>
    <xf numFmtId="0" fontId="66" fillId="0" borderId="127" applyNumberFormat="0" applyFill="0" applyAlignment="0" applyProtection="0"/>
    <xf numFmtId="0" fontId="35" fillId="34" borderId="82">
      <alignment horizontal="left" vertical="center" wrapText="1" indent="2"/>
    </xf>
    <xf numFmtId="0" fontId="33" fillId="32" borderId="74">
      <alignment horizontal="right" vertical="center"/>
    </xf>
    <xf numFmtId="0" fontId="59" fillId="43" borderId="84" applyNumberFormat="0" applyAlignment="0" applyProtection="0"/>
    <xf numFmtId="4" fontId="33" fillId="32" borderId="74">
      <alignment horizontal="right" vertical="center"/>
    </xf>
    <xf numFmtId="4" fontId="33" fillId="32" borderId="74">
      <alignment horizontal="right" vertical="center"/>
    </xf>
    <xf numFmtId="4" fontId="37" fillId="32" borderId="79">
      <alignment horizontal="right" vertical="center"/>
    </xf>
    <xf numFmtId="0" fontId="66" fillId="0" borderId="72" applyNumberFormat="0" applyFill="0" applyAlignment="0" applyProtection="0"/>
    <xf numFmtId="0" fontId="50" fillId="43" borderId="71" applyNumberFormat="0" applyAlignment="0" applyProtection="0"/>
    <xf numFmtId="0" fontId="33" fillId="34" borderId="76">
      <alignment horizontal="right" vertical="center"/>
    </xf>
    <xf numFmtId="0" fontId="35" fillId="0" borderId="66" applyNumberFormat="0" applyFill="0" applyAlignment="0" applyProtection="0"/>
    <xf numFmtId="0" fontId="27" fillId="20" borderId="0" applyNumberFormat="0" applyBorder="0" applyAlignment="0" applyProtection="0"/>
    <xf numFmtId="0" fontId="35" fillId="34" borderId="82">
      <alignment horizontal="left" vertical="center" wrapText="1" indent="2"/>
    </xf>
    <xf numFmtId="0" fontId="12" fillId="16" borderId="0" applyNumberFormat="0" applyBorder="0" applyAlignment="0" applyProtection="0"/>
    <xf numFmtId="0" fontId="35" fillId="0" borderId="101">
      <alignment horizontal="left" vertical="center" wrapText="1" indent="2"/>
    </xf>
    <xf numFmtId="0" fontId="41" fillId="59" borderId="73" applyNumberFormat="0" applyFont="0" applyAlignment="0" applyProtection="0"/>
    <xf numFmtId="0" fontId="33" fillId="32" borderId="66">
      <alignment horizontal="right" vertical="center"/>
    </xf>
    <xf numFmtId="4" fontId="33" fillId="32" borderId="66">
      <alignment horizontal="right" vertical="center"/>
    </xf>
    <xf numFmtId="0" fontId="37" fillId="32" borderId="66">
      <alignment horizontal="right" vertical="center"/>
    </xf>
    <xf numFmtId="4" fontId="37" fillId="32" borderId="66">
      <alignment horizontal="right" vertical="center"/>
    </xf>
    <xf numFmtId="0" fontId="33" fillId="34" borderId="66">
      <alignment horizontal="right" vertical="center"/>
    </xf>
    <xf numFmtId="4" fontId="33" fillId="34" borderId="66">
      <alignment horizontal="right" vertical="center"/>
    </xf>
    <xf numFmtId="0" fontId="33" fillId="34" borderId="66">
      <alignment horizontal="right" vertical="center"/>
    </xf>
    <xf numFmtId="4" fontId="33" fillId="34" borderId="66">
      <alignment horizontal="right" vertical="center"/>
    </xf>
    <xf numFmtId="0" fontId="33" fillId="34" borderId="67">
      <alignment horizontal="right" vertical="center"/>
    </xf>
    <xf numFmtId="4" fontId="33" fillId="34" borderId="67">
      <alignment horizontal="right" vertical="center"/>
    </xf>
    <xf numFmtId="0" fontId="33" fillId="34" borderId="68">
      <alignment horizontal="right" vertical="center"/>
    </xf>
    <xf numFmtId="4" fontId="33" fillId="34" borderId="68">
      <alignment horizontal="right" vertical="center"/>
    </xf>
    <xf numFmtId="0" fontId="47" fillId="56" borderId="63" applyNumberFormat="0" applyAlignment="0" applyProtection="0"/>
    <xf numFmtId="0" fontId="35" fillId="34" borderId="69">
      <alignment horizontal="left" vertical="center" wrapText="1" indent="2"/>
    </xf>
    <xf numFmtId="0" fontId="35" fillId="0" borderId="69">
      <alignment horizontal="left" vertical="center" wrapText="1" indent="2"/>
    </xf>
    <xf numFmtId="0" fontId="35" fillId="32" borderId="67">
      <alignment horizontal="left" vertical="center"/>
    </xf>
    <xf numFmtId="0" fontId="5" fillId="59" borderId="78" applyNumberFormat="0" applyFont="0" applyAlignment="0" applyProtection="0"/>
    <xf numFmtId="0" fontId="59" fillId="43" borderId="63" applyNumberFormat="0" applyAlignment="0" applyProtection="0"/>
    <xf numFmtId="0" fontId="35" fillId="0" borderId="66">
      <alignment horizontal="right" vertical="center"/>
    </xf>
    <xf numFmtId="4" fontId="35" fillId="0" borderId="66">
      <alignment horizontal="right" vertical="center"/>
    </xf>
    <xf numFmtId="0" fontId="41" fillId="59" borderId="78" applyNumberFormat="0" applyFont="0" applyAlignment="0" applyProtection="0"/>
    <xf numFmtId="0" fontId="35" fillId="0" borderId="66" applyNumberFormat="0" applyFill="0" applyAlignment="0" applyProtection="0"/>
    <xf numFmtId="0" fontId="63" fillId="56" borderId="62" applyNumberFormat="0" applyAlignment="0" applyProtection="0"/>
    <xf numFmtId="173" fontId="35" fillId="60" borderId="66" applyNumberFormat="0" applyFont="0" applyBorder="0" applyAlignment="0" applyProtection="0">
      <alignment horizontal="right" vertical="center"/>
    </xf>
    <xf numFmtId="0" fontId="35" fillId="33" borderId="66"/>
    <xf numFmtId="4" fontId="35" fillId="33" borderId="66"/>
    <xf numFmtId="0" fontId="66" fillId="0" borderId="64" applyNumberFormat="0" applyFill="0" applyAlignment="0" applyProtection="0"/>
    <xf numFmtId="0" fontId="35" fillId="32" borderId="99">
      <alignment horizontal="left" vertical="center"/>
    </xf>
    <xf numFmtId="0" fontId="2" fillId="0" borderId="15" applyNumberFormat="0" applyFill="0" applyAlignment="0" applyProtection="0"/>
    <xf numFmtId="0" fontId="66" fillId="0" borderId="85" applyNumberFormat="0" applyFill="0" applyAlignment="0" applyProtection="0"/>
    <xf numFmtId="0" fontId="46" fillId="56" borderId="71" applyNumberFormat="0" applyAlignment="0" applyProtection="0"/>
    <xf numFmtId="0" fontId="35" fillId="0" borderId="90" applyNumberFormat="0" applyFill="0" applyAlignment="0" applyProtection="0"/>
    <xf numFmtId="0" fontId="44" fillId="56" borderId="102" applyNumberFormat="0" applyAlignment="0" applyProtection="0"/>
    <xf numFmtId="4" fontId="35" fillId="0" borderId="74">
      <alignment horizontal="right" vertical="center"/>
    </xf>
    <xf numFmtId="0" fontId="33" fillId="34" borderId="74">
      <alignment horizontal="right" vertical="center"/>
    </xf>
    <xf numFmtId="0" fontId="27" fillId="18" borderId="0" applyNumberFormat="0" applyBorder="0" applyAlignment="0" applyProtection="0"/>
    <xf numFmtId="0" fontId="47" fillId="56" borderId="134" applyNumberFormat="0" applyAlignment="0" applyProtection="0"/>
    <xf numFmtId="0" fontId="37" fillId="32" borderId="119">
      <alignment horizontal="right" vertical="center"/>
    </xf>
    <xf numFmtId="0" fontId="12" fillId="31" borderId="0" applyNumberFormat="0" applyBorder="0" applyAlignment="0" applyProtection="0"/>
    <xf numFmtId="0" fontId="59" fillId="43" borderId="71" applyNumberFormat="0" applyAlignment="0" applyProtection="0"/>
    <xf numFmtId="4" fontId="33" fillId="34" borderId="75">
      <alignment horizontal="right" vertical="center"/>
    </xf>
    <xf numFmtId="0" fontId="47" fillId="56" borderId="84" applyNumberFormat="0" applyAlignment="0" applyProtection="0"/>
    <xf numFmtId="0" fontId="27" fillId="14" borderId="0" applyNumberFormat="0" applyBorder="0" applyAlignment="0" applyProtection="0"/>
    <xf numFmtId="0" fontId="27" fillId="23" borderId="0" applyNumberFormat="0" applyBorder="0" applyAlignment="0" applyProtection="0"/>
    <xf numFmtId="49" fontId="34" fillId="0" borderId="74" applyNumberFormat="0" applyFill="0" applyBorder="0" applyProtection="0">
      <alignment horizontal="left" vertical="center"/>
    </xf>
    <xf numFmtId="0" fontId="2" fillId="0" borderId="15" applyNumberFormat="0" applyFill="0" applyAlignment="0" applyProtection="0"/>
    <xf numFmtId="0" fontId="59" fillId="43" borderId="124" applyNumberFormat="0" applyAlignment="0" applyProtection="0"/>
    <xf numFmtId="0" fontId="33" fillId="34" borderId="74">
      <alignment horizontal="right" vertical="center"/>
    </xf>
    <xf numFmtId="0" fontId="29" fillId="13" borderId="14" applyNumberFormat="0" applyAlignment="0" applyProtection="0"/>
    <xf numFmtId="0" fontId="63" fillId="56" borderId="70" applyNumberFormat="0" applyAlignment="0" applyProtection="0"/>
    <xf numFmtId="0" fontId="31" fillId="0" borderId="0" applyNumberFormat="0" applyFill="0" applyBorder="0" applyAlignment="0" applyProtection="0"/>
    <xf numFmtId="0" fontId="12" fillId="25" borderId="0" applyNumberFormat="0" applyBorder="0" applyAlignment="0" applyProtection="0"/>
    <xf numFmtId="0" fontId="27" fillId="30" borderId="0" applyNumberFormat="0" applyBorder="0" applyAlignment="0" applyProtection="0"/>
    <xf numFmtId="0" fontId="27" fillId="17" borderId="0" applyNumberFormat="0" applyBorder="0" applyAlignment="0" applyProtection="0"/>
    <xf numFmtId="0" fontId="59" fillId="43" borderId="124" applyNumberFormat="0" applyAlignment="0" applyProtection="0"/>
    <xf numFmtId="0" fontId="35" fillId="0" borderId="82">
      <alignment horizontal="left" vertical="center" wrapText="1" indent="2"/>
    </xf>
    <xf numFmtId="4" fontId="33" fillId="34" borderId="129">
      <alignment horizontal="right" vertical="center"/>
    </xf>
    <xf numFmtId="0" fontId="51" fillId="0" borderId="72" applyNumberFormat="0" applyFill="0" applyAlignment="0" applyProtection="0"/>
    <xf numFmtId="4" fontId="35" fillId="0" borderId="106" applyFill="0" applyBorder="0" applyProtection="0">
      <alignment horizontal="right" vertical="center"/>
    </xf>
    <xf numFmtId="0" fontId="35" fillId="34" borderId="77">
      <alignment horizontal="left" vertical="center" wrapText="1" indent="2"/>
    </xf>
    <xf numFmtId="0" fontId="35" fillId="33" borderId="74"/>
    <xf numFmtId="4" fontId="35" fillId="0" borderId="106" applyFill="0" applyBorder="0" applyProtection="0">
      <alignment horizontal="right" vertical="center"/>
    </xf>
    <xf numFmtId="0" fontId="33" fillId="34" borderId="106">
      <alignment horizontal="right" vertical="center"/>
    </xf>
    <xf numFmtId="0" fontId="66" fillId="0" borderId="72" applyNumberFormat="0" applyFill="0" applyAlignment="0" applyProtection="0"/>
    <xf numFmtId="0" fontId="66" fillId="0" borderId="72" applyNumberFormat="0" applyFill="0" applyAlignment="0" applyProtection="0"/>
    <xf numFmtId="0" fontId="35" fillId="32" borderId="75">
      <alignment horizontal="left" vertical="center"/>
    </xf>
    <xf numFmtId="0" fontId="33" fillId="34" borderId="79">
      <alignment horizontal="right" vertical="center"/>
    </xf>
    <xf numFmtId="0" fontId="33" fillId="32" borderId="79">
      <alignment horizontal="right" vertical="center"/>
    </xf>
    <xf numFmtId="0" fontId="50" fillId="43" borderId="71" applyNumberFormat="0" applyAlignment="0" applyProtection="0"/>
    <xf numFmtId="4" fontId="33" fillId="34" borderId="121">
      <alignment horizontal="right" vertical="center"/>
    </xf>
    <xf numFmtId="4" fontId="33" fillId="34" borderId="137">
      <alignment horizontal="right" vertical="center"/>
    </xf>
    <xf numFmtId="0" fontId="41" fillId="59" borderId="73" applyNumberFormat="0" applyFont="0" applyAlignment="0" applyProtection="0"/>
    <xf numFmtId="49" fontId="35" fillId="0" borderId="107" applyNumberFormat="0" applyFont="0" applyFill="0" applyBorder="0" applyProtection="0">
      <alignment horizontal="left" vertical="center" indent="5"/>
    </xf>
    <xf numFmtId="0" fontId="35" fillId="0" borderId="79">
      <alignment horizontal="right" vertical="center"/>
    </xf>
    <xf numFmtId="0" fontId="27" fillId="20" borderId="0" applyNumberFormat="0" applyBorder="0" applyAlignment="0" applyProtection="0"/>
    <xf numFmtId="0" fontId="12" fillId="22" borderId="0" applyNumberFormat="0" applyBorder="0" applyAlignment="0" applyProtection="0"/>
    <xf numFmtId="0" fontId="27" fillId="27" borderId="0" applyNumberFormat="0" applyBorder="0" applyAlignment="0" applyProtection="0"/>
    <xf numFmtId="0" fontId="27" fillId="29" borderId="0" applyNumberFormat="0" applyBorder="0" applyAlignment="0" applyProtection="0"/>
    <xf numFmtId="0" fontId="27" fillId="24" borderId="0" applyNumberFormat="0" applyBorder="0" applyAlignment="0" applyProtection="0"/>
    <xf numFmtId="0" fontId="27" fillId="14" borderId="0" applyNumberFormat="0" applyBorder="0" applyAlignment="0" applyProtection="0"/>
    <xf numFmtId="4" fontId="35" fillId="0" borderId="79">
      <alignment horizontal="right" vertical="center"/>
    </xf>
    <xf numFmtId="4" fontId="35" fillId="33" borderId="74"/>
    <xf numFmtId="0" fontId="27" fillId="18" borderId="0" applyNumberFormat="0" applyBorder="0" applyAlignment="0" applyProtection="0"/>
    <xf numFmtId="0" fontId="63" fillId="56" borderId="102" applyNumberFormat="0" applyAlignment="0" applyProtection="0"/>
    <xf numFmtId="0" fontId="31" fillId="0" borderId="0" applyNumberFormat="0" applyFill="0" applyBorder="0" applyAlignment="0" applyProtection="0"/>
    <xf numFmtId="0" fontId="35" fillId="0" borderId="74">
      <alignment horizontal="right" vertical="center"/>
    </xf>
    <xf numFmtId="0" fontId="29" fillId="13" borderId="14" applyNumberFormat="0" applyAlignment="0" applyProtection="0"/>
    <xf numFmtId="49" fontId="35" fillId="0" borderId="66" applyNumberFormat="0" applyFont="0" applyFill="0" applyBorder="0" applyProtection="0">
      <alignment horizontal="left" vertical="center" indent="2"/>
    </xf>
    <xf numFmtId="49" fontId="35" fillId="0" borderId="67" applyNumberFormat="0" applyFont="0" applyFill="0" applyBorder="0" applyProtection="0">
      <alignment horizontal="left" vertical="center" indent="5"/>
    </xf>
    <xf numFmtId="4" fontId="33" fillId="32" borderId="74">
      <alignment horizontal="right" vertical="center"/>
    </xf>
    <xf numFmtId="0" fontId="33" fillId="34" borderId="76">
      <alignment horizontal="right" vertical="center"/>
    </xf>
    <xf numFmtId="4" fontId="35" fillId="33" borderId="79"/>
    <xf numFmtId="0" fontId="27" fillId="14" borderId="0" applyNumberFormat="0" applyBorder="0" applyAlignment="0" applyProtection="0"/>
    <xf numFmtId="0" fontId="47" fillId="56" borderId="103" applyNumberFormat="0" applyAlignment="0" applyProtection="0"/>
    <xf numFmtId="0" fontId="66" fillId="0" borderId="72" applyNumberFormat="0" applyFill="0" applyAlignment="0" applyProtection="0"/>
    <xf numFmtId="0" fontId="41" fillId="59" borderId="78" applyNumberFormat="0" applyFont="0" applyAlignment="0" applyProtection="0"/>
    <xf numFmtId="0" fontId="59" fillId="43" borderId="71" applyNumberFormat="0" applyAlignment="0" applyProtection="0"/>
    <xf numFmtId="4" fontId="33" fillId="34" borderId="106">
      <alignment horizontal="right" vertical="center"/>
    </xf>
    <xf numFmtId="0" fontId="37" fillId="32" borderId="74">
      <alignment horizontal="right" vertical="center"/>
    </xf>
    <xf numFmtId="4" fontId="35" fillId="0" borderId="66" applyFill="0" applyBorder="0" applyProtection="0">
      <alignment horizontal="right" vertical="center"/>
    </xf>
    <xf numFmtId="49" fontId="34" fillId="0" borderId="66" applyNumberFormat="0" applyFill="0" applyBorder="0" applyProtection="0">
      <alignment horizontal="left" vertical="center"/>
    </xf>
    <xf numFmtId="4" fontId="35" fillId="0" borderId="74" applyFill="0" applyBorder="0" applyProtection="0">
      <alignment horizontal="right" vertical="center"/>
    </xf>
    <xf numFmtId="4" fontId="35" fillId="0" borderId="74">
      <alignment horizontal="right" vertical="center"/>
    </xf>
    <xf numFmtId="0" fontId="12" fillId="16" borderId="0" applyNumberFormat="0" applyBorder="0" applyAlignment="0" applyProtection="0"/>
    <xf numFmtId="0" fontId="47" fillId="56" borderId="103" applyNumberFormat="0" applyAlignment="0" applyProtection="0"/>
    <xf numFmtId="0" fontId="27" fillId="30" borderId="0" applyNumberFormat="0" applyBorder="0" applyAlignment="0" applyProtection="0"/>
    <xf numFmtId="0" fontId="41" fillId="59" borderId="73" applyNumberFormat="0" applyFont="0" applyAlignment="0" applyProtection="0"/>
    <xf numFmtId="4" fontId="33" fillId="34" borderId="79">
      <alignment horizontal="right" vertical="center"/>
    </xf>
    <xf numFmtId="0" fontId="47" fillId="56" borderId="103" applyNumberFormat="0" applyAlignment="0" applyProtection="0"/>
    <xf numFmtId="0" fontId="47" fillId="56" borderId="71" applyNumberFormat="0" applyAlignment="0" applyProtection="0"/>
    <xf numFmtId="0" fontId="51" fillId="0" borderId="72" applyNumberFormat="0" applyFill="0" applyAlignment="0" applyProtection="0"/>
    <xf numFmtId="0" fontId="47" fillId="56" borderId="71" applyNumberFormat="0" applyAlignment="0" applyProtection="0"/>
    <xf numFmtId="0" fontId="63" fillId="56" borderId="70" applyNumberFormat="0" applyAlignment="0" applyProtection="0"/>
    <xf numFmtId="4" fontId="35" fillId="0" borderId="74" applyFill="0" applyBorder="0" applyProtection="0">
      <alignment horizontal="right" vertical="center"/>
    </xf>
    <xf numFmtId="0" fontId="27" fillId="26" borderId="0" applyNumberFormat="0" applyBorder="0" applyAlignment="0" applyProtection="0"/>
    <xf numFmtId="173" fontId="35" fillId="60" borderId="79" applyNumberFormat="0" applyFont="0" applyBorder="0" applyAlignment="0" applyProtection="0">
      <alignment horizontal="right" vertical="center"/>
    </xf>
    <xf numFmtId="0" fontId="12" fillId="25" borderId="0" applyNumberFormat="0" applyBorder="0" applyAlignment="0" applyProtection="0"/>
    <xf numFmtId="49" fontId="34" fillId="0" borderId="74" applyNumberFormat="0" applyFill="0" applyBorder="0" applyProtection="0">
      <alignment horizontal="left" vertical="center"/>
    </xf>
    <xf numFmtId="4" fontId="33" fillId="34" borderId="79">
      <alignment horizontal="right" vertical="center"/>
    </xf>
    <xf numFmtId="0" fontId="47" fillId="56" borderId="71" applyNumberFormat="0" applyAlignment="0" applyProtection="0"/>
    <xf numFmtId="0" fontId="47" fillId="56" borderId="71" applyNumberFormat="0" applyAlignment="0" applyProtection="0"/>
    <xf numFmtId="4" fontId="35" fillId="0" borderId="74" applyFill="0" applyBorder="0" applyProtection="0">
      <alignment horizontal="right" vertical="center"/>
    </xf>
    <xf numFmtId="0" fontId="33" fillId="32" borderId="74">
      <alignment horizontal="right" vertical="center"/>
    </xf>
    <xf numFmtId="0" fontId="44" fillId="56" borderId="83" applyNumberFormat="0" applyAlignment="0" applyProtection="0"/>
    <xf numFmtId="0" fontId="12" fillId="22" borderId="0" applyNumberFormat="0" applyBorder="0" applyAlignment="0" applyProtection="0"/>
    <xf numFmtId="0" fontId="66" fillId="0" borderId="72" applyNumberFormat="0" applyFill="0" applyAlignment="0" applyProtection="0"/>
    <xf numFmtId="0" fontId="33" fillId="34" borderId="106">
      <alignment horizontal="right" vertical="center"/>
    </xf>
    <xf numFmtId="0" fontId="63" fillId="56" borderId="94" applyNumberFormat="0" applyAlignment="0" applyProtection="0"/>
    <xf numFmtId="0" fontId="12" fillId="16" borderId="0" applyNumberFormat="0" applyBorder="0" applyAlignment="0" applyProtection="0"/>
    <xf numFmtId="0" fontId="33" fillId="34" borderId="107">
      <alignment horizontal="right" vertical="center"/>
    </xf>
    <xf numFmtId="0" fontId="44" fillId="56" borderId="62" applyNumberFormat="0" applyAlignment="0" applyProtection="0"/>
    <xf numFmtId="0" fontId="46" fillId="56" borderId="63" applyNumberFormat="0" applyAlignment="0" applyProtection="0"/>
    <xf numFmtId="0" fontId="51" fillId="0" borderId="64" applyNumberFormat="0" applyFill="0" applyAlignment="0" applyProtection="0"/>
    <xf numFmtId="0" fontId="5" fillId="59" borderId="78" applyNumberFormat="0" applyFont="0" applyAlignment="0" applyProtection="0"/>
    <xf numFmtId="0" fontId="35" fillId="33" borderId="129"/>
    <xf numFmtId="0" fontId="63" fillId="56" borderId="70" applyNumberFormat="0" applyAlignment="0" applyProtection="0"/>
    <xf numFmtId="0" fontId="66" fillId="0" borderId="104" applyNumberFormat="0" applyFill="0" applyAlignment="0" applyProtection="0"/>
    <xf numFmtId="4" fontId="35" fillId="0" borderId="79">
      <alignment horizontal="right" vertical="center"/>
    </xf>
    <xf numFmtId="0" fontId="63" fillId="56" borderId="70" applyNumberFormat="0" applyAlignment="0" applyProtection="0"/>
    <xf numFmtId="4" fontId="35" fillId="33" borderId="74"/>
    <xf numFmtId="4" fontId="33" fillId="34" borderId="74">
      <alignment horizontal="right" vertical="center"/>
    </xf>
    <xf numFmtId="0" fontId="37" fillId="32" borderId="79">
      <alignment horizontal="right" vertical="center"/>
    </xf>
    <xf numFmtId="0" fontId="1" fillId="0" borderId="0" applyNumberFormat="0" applyFill="0" applyBorder="0" applyAlignment="0" applyProtection="0"/>
    <xf numFmtId="173" fontId="35" fillId="60" borderId="74" applyNumberFormat="0" applyFont="0" applyBorder="0" applyAlignment="0" applyProtection="0">
      <alignment horizontal="right" vertical="center"/>
    </xf>
    <xf numFmtId="0" fontId="51" fillId="0" borderId="72" applyNumberFormat="0" applyFill="0" applyAlignment="0" applyProtection="0"/>
    <xf numFmtId="0" fontId="27" fillId="26" borderId="0" applyNumberFormat="0" applyBorder="0" applyAlignment="0" applyProtection="0"/>
    <xf numFmtId="0" fontId="59" fillId="43" borderId="103" applyNumberFormat="0" applyAlignment="0" applyProtection="0"/>
    <xf numFmtId="0" fontId="33" fillId="34" borderId="80">
      <alignment horizontal="right" vertical="center"/>
    </xf>
    <xf numFmtId="0" fontId="1" fillId="0" borderId="0" applyNumberFormat="0" applyFill="0" applyBorder="0" applyAlignment="0" applyProtection="0"/>
    <xf numFmtId="0" fontId="29" fillId="13" borderId="14" applyNumberFormat="0" applyAlignment="0" applyProtection="0"/>
    <xf numFmtId="0" fontId="51" fillId="0" borderId="85" applyNumberFormat="0" applyFill="0" applyAlignment="0" applyProtection="0"/>
    <xf numFmtId="49" fontId="34" fillId="0" borderId="106" applyNumberFormat="0" applyFill="0" applyBorder="0" applyProtection="0">
      <alignment horizontal="left" vertical="center"/>
    </xf>
    <xf numFmtId="172" fontId="49" fillId="0" borderId="0" applyFont="0" applyFill="0" applyBorder="0" applyAlignment="0" applyProtection="0"/>
    <xf numFmtId="0" fontId="29" fillId="13" borderId="14" applyNumberFormat="0" applyAlignment="0" applyProtection="0"/>
    <xf numFmtId="0" fontId="27" fillId="29" borderId="0" applyNumberFormat="0" applyBorder="0" applyAlignment="0" applyProtection="0"/>
    <xf numFmtId="0" fontId="46" fillId="56" borderId="124" applyNumberFormat="0" applyAlignment="0" applyProtection="0"/>
    <xf numFmtId="0" fontId="50" fillId="43" borderId="63" applyNumberFormat="0" applyAlignment="0" applyProtection="0"/>
    <xf numFmtId="0" fontId="59" fillId="43" borderId="71" applyNumberFormat="0" applyAlignment="0" applyProtection="0"/>
    <xf numFmtId="0" fontId="47" fillId="56" borderId="71" applyNumberFormat="0" applyAlignment="0" applyProtection="0"/>
    <xf numFmtId="0" fontId="49" fillId="0" borderId="0"/>
    <xf numFmtId="4" fontId="33" fillId="34" borderId="76">
      <alignment horizontal="right" vertical="center"/>
    </xf>
    <xf numFmtId="0" fontId="35" fillId="0" borderId="93">
      <alignment horizontal="left" vertical="center" wrapText="1" indent="2"/>
    </xf>
    <xf numFmtId="0" fontId="35" fillId="0" borderId="109">
      <alignment horizontal="left" vertical="center" wrapText="1" indent="2"/>
    </xf>
    <xf numFmtId="0" fontId="33" fillId="34" borderId="90">
      <alignment horizontal="right" vertical="center"/>
    </xf>
    <xf numFmtId="0" fontId="59" fillId="43" borderId="71" applyNumberFormat="0" applyAlignment="0" applyProtection="0"/>
    <xf numFmtId="0" fontId="27" fillId="20" borderId="0" applyNumberFormat="0" applyBorder="0" applyAlignment="0" applyProtection="0"/>
    <xf numFmtId="0" fontId="66" fillId="0" borderId="72" applyNumberFormat="0" applyFill="0" applyAlignment="0" applyProtection="0"/>
    <xf numFmtId="0" fontId="51" fillId="0" borderId="85" applyNumberFormat="0" applyFill="0" applyAlignment="0" applyProtection="0"/>
    <xf numFmtId="0" fontId="46" fillId="56" borderId="71" applyNumberFormat="0" applyAlignment="0" applyProtection="0"/>
    <xf numFmtId="0" fontId="41" fillId="59" borderId="73" applyNumberFormat="0" applyFont="0" applyAlignment="0" applyProtection="0"/>
    <xf numFmtId="0" fontId="27" fillId="18" borderId="0" applyNumberFormat="0" applyBorder="0" applyAlignment="0" applyProtection="0"/>
    <xf numFmtId="0" fontId="49" fillId="35" borderId="0" applyNumberFormat="0" applyFont="0" applyBorder="0" applyAlignment="0" applyProtection="0"/>
    <xf numFmtId="0" fontId="50" fillId="43" borderId="71" applyNumberFormat="0" applyAlignment="0" applyProtection="0"/>
    <xf numFmtId="9" fontId="49" fillId="0" borderId="0" applyFont="0" applyFill="0" applyBorder="0" applyAlignment="0" applyProtection="0"/>
    <xf numFmtId="0" fontId="35" fillId="0" borderId="79" applyNumberFormat="0" applyFill="0" applyAlignment="0" applyProtection="0"/>
    <xf numFmtId="4" fontId="37" fillId="32" borderId="74">
      <alignment horizontal="right" vertical="center"/>
    </xf>
    <xf numFmtId="0" fontId="35" fillId="34" borderId="69">
      <alignment horizontal="left" vertical="center" wrapText="1" indent="2"/>
    </xf>
    <xf numFmtId="0" fontId="35" fillId="0" borderId="69">
      <alignment horizontal="left" vertical="center" wrapText="1" indent="2"/>
    </xf>
    <xf numFmtId="0" fontId="27" fillId="17" borderId="0" applyNumberFormat="0" applyBorder="0" applyAlignment="0" applyProtection="0"/>
    <xf numFmtId="49" fontId="35" fillId="0" borderId="79" applyNumberFormat="0" applyFont="0" applyFill="0" applyBorder="0" applyProtection="0">
      <alignment horizontal="left" vertical="center" indent="2"/>
    </xf>
    <xf numFmtId="0" fontId="35" fillId="0" borderId="79">
      <alignment horizontal="right" vertical="center"/>
    </xf>
    <xf numFmtId="0" fontId="47" fillId="56" borderId="71" applyNumberFormat="0" applyAlignment="0" applyProtection="0"/>
    <xf numFmtId="0" fontId="35" fillId="0" borderId="74" applyNumberFormat="0" applyFill="0" applyAlignment="0" applyProtection="0"/>
    <xf numFmtId="0" fontId="44" fillId="56" borderId="83" applyNumberFormat="0" applyAlignment="0" applyProtection="0"/>
    <xf numFmtId="0" fontId="47" fillId="56" borderId="84" applyNumberFormat="0" applyAlignment="0" applyProtection="0"/>
    <xf numFmtId="0" fontId="35" fillId="34" borderId="122">
      <alignment horizontal="left" vertical="center" wrapText="1" indent="2"/>
    </xf>
    <xf numFmtId="0" fontId="35" fillId="33" borderId="74"/>
    <xf numFmtId="0" fontId="47" fillId="56" borderId="71" applyNumberFormat="0" applyAlignment="0" applyProtection="0"/>
    <xf numFmtId="4" fontId="33" fillId="34" borderId="74">
      <alignment horizontal="right" vertical="center"/>
    </xf>
    <xf numFmtId="0" fontId="35" fillId="34" borderId="82">
      <alignment horizontal="left" vertical="center" wrapText="1" indent="2"/>
    </xf>
    <xf numFmtId="0" fontId="66" fillId="0" borderId="72" applyNumberFormat="0" applyFill="0" applyAlignment="0" applyProtection="0"/>
    <xf numFmtId="0" fontId="33" fillId="34" borderId="75">
      <alignment horizontal="right" vertical="center"/>
    </xf>
    <xf numFmtId="0" fontId="35" fillId="0" borderId="77">
      <alignment horizontal="left" vertical="center" wrapText="1" indent="2"/>
    </xf>
    <xf numFmtId="0" fontId="46" fillId="56" borderId="71" applyNumberFormat="0" applyAlignment="0" applyProtection="0"/>
    <xf numFmtId="0" fontId="35" fillId="0" borderId="106" applyNumberFormat="0" applyFill="0" applyAlignment="0" applyProtection="0"/>
    <xf numFmtId="0" fontId="27" fillId="18" borderId="0" applyNumberFormat="0" applyBorder="0" applyAlignment="0" applyProtection="0"/>
    <xf numFmtId="0" fontId="35" fillId="34" borderId="82">
      <alignment horizontal="left" vertical="center" wrapText="1" indent="2"/>
    </xf>
    <xf numFmtId="0" fontId="33" fillId="34" borderId="74">
      <alignment horizontal="right" vertical="center"/>
    </xf>
    <xf numFmtId="0" fontId="44" fillId="56" borderId="70" applyNumberFormat="0" applyAlignment="0" applyProtection="0"/>
    <xf numFmtId="0" fontId="33" fillId="32" borderId="79">
      <alignment horizontal="right" vertical="center"/>
    </xf>
    <xf numFmtId="173" fontId="35" fillId="60" borderId="74" applyNumberFormat="0" applyFont="0" applyBorder="0" applyAlignment="0" applyProtection="0">
      <alignment horizontal="right" vertical="center"/>
    </xf>
    <xf numFmtId="0" fontId="33" fillId="34" borderId="129">
      <alignment horizontal="right" vertical="center"/>
    </xf>
    <xf numFmtId="4" fontId="35" fillId="33" borderId="74"/>
    <xf numFmtId="4" fontId="33" fillId="34" borderId="74">
      <alignment horizontal="right" vertical="center"/>
    </xf>
    <xf numFmtId="4" fontId="35" fillId="33" borderId="74"/>
    <xf numFmtId="0" fontId="33" fillId="34" borderId="74">
      <alignment horizontal="right" vertical="center"/>
    </xf>
    <xf numFmtId="0" fontId="35" fillId="32" borderId="75">
      <alignment horizontal="left" vertical="center"/>
    </xf>
    <xf numFmtId="0" fontId="1" fillId="0" borderId="0" applyNumberFormat="0" applyFill="0" applyBorder="0" applyAlignment="0" applyProtection="0"/>
    <xf numFmtId="173" fontId="35" fillId="60" borderId="74" applyNumberFormat="0" applyFont="0" applyBorder="0" applyAlignment="0" applyProtection="0">
      <alignment horizontal="right" vertical="center"/>
    </xf>
    <xf numFmtId="4" fontId="35" fillId="0" borderId="66" applyFill="0" applyBorder="0" applyProtection="0">
      <alignment horizontal="right" vertical="center"/>
    </xf>
    <xf numFmtId="0" fontId="47" fillId="56" borderId="71" applyNumberFormat="0" applyAlignment="0" applyProtection="0"/>
    <xf numFmtId="0" fontId="33" fillId="34" borderId="115">
      <alignment horizontal="right" vertical="center"/>
    </xf>
    <xf numFmtId="0" fontId="47" fillId="56" borderId="84" applyNumberFormat="0" applyAlignment="0" applyProtection="0"/>
    <xf numFmtId="0" fontId="27" fillId="27" borderId="0" applyNumberFormat="0" applyBorder="0" applyAlignment="0" applyProtection="0"/>
    <xf numFmtId="0" fontId="33" fillId="34" borderId="79">
      <alignment horizontal="right" vertical="center"/>
    </xf>
    <xf numFmtId="0" fontId="1" fillId="0" borderId="0" applyNumberFormat="0" applyFill="0" applyBorder="0" applyAlignment="0" applyProtection="0"/>
    <xf numFmtId="0" fontId="51" fillId="0" borderId="85" applyNumberFormat="0" applyFill="0" applyAlignment="0" applyProtection="0"/>
    <xf numFmtId="4" fontId="33" fillId="34" borderId="100">
      <alignment horizontal="right" vertical="center"/>
    </xf>
    <xf numFmtId="49" fontId="34" fillId="0" borderId="98" applyNumberFormat="0" applyFill="0" applyBorder="0" applyProtection="0">
      <alignment horizontal="left" vertical="center"/>
    </xf>
    <xf numFmtId="0" fontId="33" fillId="32" borderId="74">
      <alignment horizontal="right" vertical="center"/>
    </xf>
    <xf numFmtId="0" fontId="44" fillId="56" borderId="110" applyNumberFormat="0" applyAlignment="0" applyProtection="0"/>
    <xf numFmtId="4" fontId="37" fillId="32" borderId="79">
      <alignment horizontal="right" vertical="center"/>
    </xf>
    <xf numFmtId="0" fontId="35" fillId="33" borderId="74"/>
    <xf numFmtId="0" fontId="5" fillId="59" borderId="105" applyNumberFormat="0" applyFont="0" applyAlignment="0" applyProtection="0"/>
    <xf numFmtId="0" fontId="1" fillId="0" borderId="0" applyNumberFormat="0" applyFill="0" applyBorder="0" applyAlignment="0" applyProtection="0"/>
    <xf numFmtId="0" fontId="27" fillId="23" borderId="0" applyNumberFormat="0" applyBorder="0" applyAlignment="0" applyProtection="0"/>
    <xf numFmtId="0" fontId="59" fillId="43" borderId="71" applyNumberFormat="0" applyAlignment="0" applyProtection="0"/>
    <xf numFmtId="0" fontId="12" fillId="19" borderId="0" applyNumberFormat="0" applyBorder="0" applyAlignment="0" applyProtection="0"/>
    <xf numFmtId="4" fontId="33" fillId="34" borderId="74">
      <alignment horizontal="right" vertical="center"/>
    </xf>
    <xf numFmtId="0" fontId="12" fillId="28" borderId="0" applyNumberFormat="0" applyBorder="0" applyAlignment="0" applyProtection="0"/>
    <xf numFmtId="0" fontId="50" fillId="43" borderId="84" applyNumberFormat="0" applyAlignment="0" applyProtection="0"/>
    <xf numFmtId="0" fontId="27" fillId="26" borderId="0" applyNumberFormat="0" applyBorder="0" applyAlignment="0" applyProtection="0"/>
    <xf numFmtId="0" fontId="35" fillId="0" borderId="79">
      <alignment horizontal="right" vertical="center"/>
    </xf>
    <xf numFmtId="0" fontId="27" fillId="23" borderId="0" applyNumberFormat="0" applyBorder="0" applyAlignment="0" applyProtection="0"/>
    <xf numFmtId="0" fontId="27" fillId="21" borderId="0" applyNumberFormat="0" applyBorder="0" applyAlignment="0" applyProtection="0"/>
    <xf numFmtId="0" fontId="35" fillId="0" borderId="82">
      <alignment horizontal="left" vertical="center" wrapText="1" indent="2"/>
    </xf>
    <xf numFmtId="0" fontId="2" fillId="0" borderId="15" applyNumberFormat="0" applyFill="0" applyAlignment="0" applyProtection="0"/>
    <xf numFmtId="0" fontId="27" fillId="15" borderId="0" applyNumberFormat="0" applyBorder="0" applyAlignment="0" applyProtection="0"/>
    <xf numFmtId="0" fontId="12" fillId="16" borderId="0" applyNumberFormat="0" applyBorder="0" applyAlignment="0" applyProtection="0"/>
    <xf numFmtId="0" fontId="33" fillId="34" borderId="98">
      <alignment horizontal="right" vertical="center"/>
    </xf>
    <xf numFmtId="0" fontId="27" fillId="20" borderId="0" applyNumberFormat="0" applyBorder="0" applyAlignment="0" applyProtection="0"/>
    <xf numFmtId="0" fontId="1" fillId="0" borderId="0" applyNumberFormat="0" applyFill="0" applyBorder="0" applyAlignment="0" applyProtection="0"/>
    <xf numFmtId="0" fontId="30" fillId="13" borderId="13" applyNumberFormat="0" applyAlignment="0" applyProtection="0"/>
    <xf numFmtId="0" fontId="27" fillId="24" borderId="0" applyNumberFormat="0" applyBorder="0" applyAlignment="0" applyProtection="0"/>
    <xf numFmtId="0" fontId="41" fillId="59" borderId="73" applyNumberFormat="0" applyFont="0" applyAlignment="0" applyProtection="0"/>
    <xf numFmtId="49" fontId="34" fillId="0" borderId="74" applyNumberFormat="0" applyFill="0" applyBorder="0" applyProtection="0">
      <alignment horizontal="left" vertical="center"/>
    </xf>
    <xf numFmtId="0" fontId="5" fillId="59" borderId="105" applyNumberFormat="0" applyFont="0" applyAlignment="0" applyProtection="0"/>
    <xf numFmtId="0" fontId="46" fillId="56" borderId="84" applyNumberFormat="0" applyAlignment="0" applyProtection="0"/>
    <xf numFmtId="0" fontId="59" fillId="43" borderId="71" applyNumberFormat="0" applyAlignment="0" applyProtection="0"/>
    <xf numFmtId="4" fontId="33" fillId="34" borderId="66">
      <alignment horizontal="right" vertical="center"/>
    </xf>
    <xf numFmtId="0" fontId="35" fillId="33" borderId="66"/>
    <xf numFmtId="0" fontId="46" fillId="56" borderId="63" applyNumberFormat="0" applyAlignment="0" applyProtection="0"/>
    <xf numFmtId="0" fontId="33" fillId="32" borderId="66">
      <alignment horizontal="right" vertical="center"/>
    </xf>
    <xf numFmtId="0" fontId="35" fillId="0" borderId="66">
      <alignment horizontal="right" vertical="center"/>
    </xf>
    <xf numFmtId="0" fontId="66" fillId="0" borderId="64" applyNumberFormat="0" applyFill="0" applyAlignment="0" applyProtection="0"/>
    <xf numFmtId="0" fontId="35" fillId="32" borderId="67">
      <alignment horizontal="left" vertical="center"/>
    </xf>
    <xf numFmtId="0" fontId="59" fillId="43" borderId="63" applyNumberFormat="0" applyAlignment="0" applyProtection="0"/>
    <xf numFmtId="173" fontId="35" fillId="60" borderId="66" applyNumberFormat="0" applyFont="0" applyBorder="0" applyAlignment="0" applyProtection="0">
      <alignment horizontal="right" vertical="center"/>
    </xf>
    <xf numFmtId="0" fontId="41" fillId="59" borderId="65" applyNumberFormat="0" applyFont="0" applyAlignment="0" applyProtection="0"/>
    <xf numFmtId="0" fontId="35" fillId="0" borderId="69">
      <alignment horizontal="left" vertical="center" wrapText="1" indent="2"/>
    </xf>
    <xf numFmtId="4" fontId="35" fillId="33" borderId="66"/>
    <xf numFmtId="49" fontId="34" fillId="0" borderId="66" applyNumberFormat="0" applyFill="0" applyBorder="0" applyProtection="0">
      <alignment horizontal="left" vertical="center"/>
    </xf>
    <xf numFmtId="0" fontId="35" fillId="0" borderId="66">
      <alignment horizontal="right" vertical="center"/>
    </xf>
    <xf numFmtId="4" fontId="33" fillId="34" borderId="68">
      <alignment horizontal="right" vertical="center"/>
    </xf>
    <xf numFmtId="4" fontId="33" fillId="34" borderId="66">
      <alignment horizontal="right" vertical="center"/>
    </xf>
    <xf numFmtId="4" fontId="33" fillId="34" borderId="66">
      <alignment horizontal="right" vertical="center"/>
    </xf>
    <xf numFmtId="0" fontId="37" fillId="32" borderId="66">
      <alignment horizontal="right" vertical="center"/>
    </xf>
    <xf numFmtId="0" fontId="33" fillId="32" borderId="66">
      <alignment horizontal="right" vertical="center"/>
    </xf>
    <xf numFmtId="49" fontId="35" fillId="0" borderId="66" applyNumberFormat="0" applyFont="0" applyFill="0" applyBorder="0" applyProtection="0">
      <alignment horizontal="left" vertical="center" indent="2"/>
    </xf>
    <xf numFmtId="0" fontId="59" fillId="43" borderId="63" applyNumberFormat="0" applyAlignment="0" applyProtection="0"/>
    <xf numFmtId="0" fontId="44" fillId="56" borderId="62" applyNumberFormat="0" applyAlignment="0" applyProtection="0"/>
    <xf numFmtId="49" fontId="35" fillId="0" borderId="66" applyNumberFormat="0" applyFont="0" applyFill="0" applyBorder="0" applyProtection="0">
      <alignment horizontal="left" vertical="center" indent="2"/>
    </xf>
    <xf numFmtId="0" fontId="50" fillId="43" borderId="63" applyNumberFormat="0" applyAlignment="0" applyProtection="0"/>
    <xf numFmtId="4" fontId="35" fillId="0" borderId="66" applyFill="0" applyBorder="0" applyProtection="0">
      <alignment horizontal="right" vertical="center"/>
    </xf>
    <xf numFmtId="0" fontId="47" fillId="56" borderId="63" applyNumberFormat="0" applyAlignment="0" applyProtection="0"/>
    <xf numFmtId="0" fontId="66" fillId="0" borderId="64" applyNumberFormat="0" applyFill="0" applyAlignment="0" applyProtection="0"/>
    <xf numFmtId="0" fontId="63" fillId="56" borderId="62" applyNumberFormat="0" applyAlignment="0" applyProtection="0"/>
    <xf numFmtId="0" fontId="35" fillId="0" borderId="66" applyNumberFormat="0" applyFill="0" applyAlignment="0" applyProtection="0"/>
    <xf numFmtId="4" fontId="35" fillId="0" borderId="66">
      <alignment horizontal="right" vertical="center"/>
    </xf>
    <xf numFmtId="0" fontId="35" fillId="0" borderId="66">
      <alignment horizontal="right" vertical="center"/>
    </xf>
    <xf numFmtId="0" fontId="59" fillId="43" borderId="63" applyNumberFormat="0" applyAlignment="0" applyProtection="0"/>
    <xf numFmtId="0" fontId="44" fillId="56" borderId="62" applyNumberFormat="0" applyAlignment="0" applyProtection="0"/>
    <xf numFmtId="0" fontId="46" fillId="56" borderId="63" applyNumberFormat="0" applyAlignment="0" applyProtection="0"/>
    <xf numFmtId="0" fontId="35" fillId="34" borderId="69">
      <alignment horizontal="left" vertical="center" wrapText="1" indent="2"/>
    </xf>
    <xf numFmtId="0" fontId="47" fillId="56" borderId="63" applyNumberFormat="0" applyAlignment="0" applyProtection="0"/>
    <xf numFmtId="0" fontId="47" fillId="56" borderId="63" applyNumberFormat="0" applyAlignment="0" applyProtection="0"/>
    <xf numFmtId="4" fontId="33" fillId="34" borderId="67">
      <alignment horizontal="right" vertical="center"/>
    </xf>
    <xf numFmtId="0" fontId="33" fillId="34" borderId="67">
      <alignment horizontal="right" vertical="center"/>
    </xf>
    <xf numFmtId="0" fontId="33" fillId="34" borderId="66">
      <alignment horizontal="right" vertical="center"/>
    </xf>
    <xf numFmtId="4" fontId="37" fillId="32" borderId="66">
      <alignment horizontal="right" vertical="center"/>
    </xf>
    <xf numFmtId="0" fontId="50" fillId="43" borderId="63" applyNumberFormat="0" applyAlignment="0" applyProtection="0"/>
    <xf numFmtId="0" fontId="51" fillId="0" borderId="64" applyNumberFormat="0" applyFill="0" applyAlignment="0" applyProtection="0"/>
    <xf numFmtId="0" fontId="66" fillId="0" borderId="64" applyNumberFormat="0" applyFill="0" applyAlignment="0" applyProtection="0"/>
    <xf numFmtId="0" fontId="41" fillId="59" borderId="65" applyNumberFormat="0" applyFont="0" applyAlignment="0" applyProtection="0"/>
    <xf numFmtId="0" fontId="59" fillId="43" borderId="63" applyNumberFormat="0" applyAlignment="0" applyProtection="0"/>
    <xf numFmtId="49" fontId="34" fillId="0" borderId="66" applyNumberFormat="0" applyFill="0" applyBorder="0" applyProtection="0">
      <alignment horizontal="left" vertical="center"/>
    </xf>
    <xf numFmtId="0" fontId="35" fillId="34" borderId="69">
      <alignment horizontal="left" vertical="center" wrapText="1" indent="2"/>
    </xf>
    <xf numFmtId="0" fontId="47" fillId="56" borderId="63" applyNumberFormat="0" applyAlignment="0" applyProtection="0"/>
    <xf numFmtId="0" fontId="35" fillId="0" borderId="69">
      <alignment horizontal="left" vertical="center" wrapText="1" indent="2"/>
    </xf>
    <xf numFmtId="0" fontId="41" fillId="59" borderId="65" applyNumberFormat="0" applyFont="0" applyAlignment="0" applyProtection="0"/>
    <xf numFmtId="0" fontId="5" fillId="59" borderId="65" applyNumberFormat="0" applyFont="0" applyAlignment="0" applyProtection="0"/>
    <xf numFmtId="0" fontId="63" fillId="56" borderId="62" applyNumberFormat="0" applyAlignment="0" applyProtection="0"/>
    <xf numFmtId="0" fontId="66" fillId="0" borderId="64" applyNumberFormat="0" applyFill="0" applyAlignment="0" applyProtection="0"/>
    <xf numFmtId="4" fontId="35" fillId="33" borderId="66"/>
    <xf numFmtId="0" fontId="33" fillId="34" borderId="66">
      <alignment horizontal="right" vertical="center"/>
    </xf>
    <xf numFmtId="0" fontId="66" fillId="0" borderId="64" applyNumberFormat="0" applyFill="0" applyAlignment="0" applyProtection="0"/>
    <xf numFmtId="4" fontId="33" fillId="34" borderId="68">
      <alignment horizontal="right" vertical="center"/>
    </xf>
    <xf numFmtId="0" fontId="46" fillId="56" borderId="63" applyNumberFormat="0" applyAlignment="0" applyProtection="0"/>
    <xf numFmtId="0" fontId="33" fillId="34" borderId="67">
      <alignment horizontal="right" vertical="center"/>
    </xf>
    <xf numFmtId="0" fontId="47" fillId="56" borderId="63" applyNumberFormat="0" applyAlignment="0" applyProtection="0"/>
    <xf numFmtId="0" fontId="51" fillId="0" borderId="64" applyNumberFormat="0" applyFill="0" applyAlignment="0" applyProtection="0"/>
    <xf numFmtId="0" fontId="41" fillId="59" borderId="65" applyNumberFormat="0" applyFont="0" applyAlignment="0" applyProtection="0"/>
    <xf numFmtId="4" fontId="33" fillId="34" borderId="67">
      <alignment horizontal="right" vertical="center"/>
    </xf>
    <xf numFmtId="0" fontId="35" fillId="34" borderId="69">
      <alignment horizontal="left" vertical="center" wrapText="1" indent="2"/>
    </xf>
    <xf numFmtId="0" fontId="35" fillId="33" borderId="66"/>
    <xf numFmtId="173" fontId="35" fillId="60" borderId="66" applyNumberFormat="0" applyFont="0" applyBorder="0" applyAlignment="0" applyProtection="0">
      <alignment horizontal="right" vertical="center"/>
    </xf>
    <xf numFmtId="0" fontId="35" fillId="0" borderId="66" applyNumberFormat="0" applyFill="0" applyAlignment="0" applyProtection="0"/>
    <xf numFmtId="4" fontId="35" fillId="0" borderId="66" applyFill="0" applyBorder="0" applyProtection="0">
      <alignment horizontal="right" vertical="center"/>
    </xf>
    <xf numFmtId="4" fontId="33" fillId="32" borderId="66">
      <alignment horizontal="right" vertical="center"/>
    </xf>
    <xf numFmtId="0" fontId="51" fillId="0" borderId="64" applyNumberFormat="0" applyFill="0" applyAlignment="0" applyProtection="0"/>
    <xf numFmtId="49" fontId="34" fillId="0" borderId="66" applyNumberFormat="0" applyFill="0" applyBorder="0" applyProtection="0">
      <alignment horizontal="left" vertical="center"/>
    </xf>
    <xf numFmtId="49" fontId="35" fillId="0" borderId="67" applyNumberFormat="0" applyFont="0" applyFill="0" applyBorder="0" applyProtection="0">
      <alignment horizontal="left" vertical="center" indent="5"/>
    </xf>
    <xf numFmtId="0" fontId="35" fillId="32" borderId="67">
      <alignment horizontal="left" vertical="center"/>
    </xf>
    <xf numFmtId="0" fontId="47" fillId="56" borderId="63" applyNumberFormat="0" applyAlignment="0" applyProtection="0"/>
    <xf numFmtId="4" fontId="33" fillId="34" borderId="68">
      <alignment horizontal="right" vertical="center"/>
    </xf>
    <xf numFmtId="0" fontId="59" fillId="43" borderId="63" applyNumberFormat="0" applyAlignment="0" applyProtection="0"/>
    <xf numFmtId="0" fontId="59" fillId="43" borderId="63" applyNumberFormat="0" applyAlignment="0" applyProtection="0"/>
    <xf numFmtId="0" fontId="41" fillId="59" borderId="65" applyNumberFormat="0" applyFont="0" applyAlignment="0" applyProtection="0"/>
    <xf numFmtId="0" fontId="63" fillId="56" borderId="62" applyNumberFormat="0" applyAlignment="0" applyProtection="0"/>
    <xf numFmtId="0" fontId="66" fillId="0" borderId="64" applyNumberFormat="0" applyFill="0" applyAlignment="0" applyProtection="0"/>
    <xf numFmtId="0" fontId="33" fillId="34" borderId="66">
      <alignment horizontal="right" vertical="center"/>
    </xf>
    <xf numFmtId="0" fontId="5" fillId="59" borderId="65" applyNumberFormat="0" applyFont="0" applyAlignment="0" applyProtection="0"/>
    <xf numFmtId="4" fontId="35" fillId="0" borderId="66">
      <alignment horizontal="right" vertical="center"/>
    </xf>
    <xf numFmtId="0" fontId="66" fillId="0" borderId="64" applyNumberFormat="0" applyFill="0" applyAlignment="0" applyProtection="0"/>
    <xf numFmtId="0" fontId="33" fillId="34" borderId="66">
      <alignment horizontal="right" vertical="center"/>
    </xf>
    <xf numFmtId="0" fontId="33" fillId="34" borderId="66">
      <alignment horizontal="right" vertical="center"/>
    </xf>
    <xf numFmtId="4" fontId="37" fillId="32" borderId="66">
      <alignment horizontal="right" vertical="center"/>
    </xf>
    <xf numFmtId="0" fontId="33" fillId="32" borderId="66">
      <alignment horizontal="right" vertical="center"/>
    </xf>
    <xf numFmtId="4" fontId="33" fillId="32" borderId="66">
      <alignment horizontal="right" vertical="center"/>
    </xf>
    <xf numFmtId="0" fontId="37" fillId="32" borderId="66">
      <alignment horizontal="right" vertical="center"/>
    </xf>
    <xf numFmtId="4" fontId="37" fillId="32" borderId="66">
      <alignment horizontal="right" vertical="center"/>
    </xf>
    <xf numFmtId="0" fontId="33" fillId="34" borderId="66">
      <alignment horizontal="right" vertical="center"/>
    </xf>
    <xf numFmtId="4" fontId="33" fillId="34" borderId="66">
      <alignment horizontal="right" vertical="center"/>
    </xf>
    <xf numFmtId="0" fontId="33" fillId="34" borderId="66">
      <alignment horizontal="right" vertical="center"/>
    </xf>
    <xf numFmtId="4" fontId="33" fillId="34" borderId="66">
      <alignment horizontal="right" vertical="center"/>
    </xf>
    <xf numFmtId="0" fontId="33" fillId="34" borderId="67">
      <alignment horizontal="right" vertical="center"/>
    </xf>
    <xf numFmtId="4" fontId="33" fillId="34" borderId="67">
      <alignment horizontal="right" vertical="center"/>
    </xf>
    <xf numFmtId="0" fontId="33" fillId="34" borderId="68">
      <alignment horizontal="right" vertical="center"/>
    </xf>
    <xf numFmtId="4" fontId="33" fillId="34" borderId="68">
      <alignment horizontal="right" vertical="center"/>
    </xf>
    <xf numFmtId="0" fontId="47" fillId="56" borderId="63" applyNumberFormat="0" applyAlignment="0" applyProtection="0"/>
    <xf numFmtId="0" fontId="35" fillId="34" borderId="69">
      <alignment horizontal="left" vertical="center" wrapText="1" indent="2"/>
    </xf>
    <xf numFmtId="0" fontId="35" fillId="0" borderId="69">
      <alignment horizontal="left" vertical="center" wrapText="1" indent="2"/>
    </xf>
    <xf numFmtId="0" fontId="35" fillId="32" borderId="67">
      <alignment horizontal="left" vertical="center"/>
    </xf>
    <xf numFmtId="0" fontId="59" fillId="43" borderId="63" applyNumberFormat="0" applyAlignment="0" applyProtection="0"/>
    <xf numFmtId="0" fontId="35" fillId="0" borderId="66">
      <alignment horizontal="right" vertical="center"/>
    </xf>
    <xf numFmtId="4" fontId="35" fillId="0" borderId="66">
      <alignment horizontal="right" vertical="center"/>
    </xf>
    <xf numFmtId="0" fontId="35" fillId="0" borderId="66" applyNumberFormat="0" applyFill="0" applyAlignment="0" applyProtection="0"/>
    <xf numFmtId="0" fontId="63" fillId="56" borderId="62" applyNumberFormat="0" applyAlignment="0" applyProtection="0"/>
    <xf numFmtId="173" fontId="35" fillId="60" borderId="66" applyNumberFormat="0" applyFont="0" applyBorder="0" applyAlignment="0" applyProtection="0">
      <alignment horizontal="right" vertical="center"/>
    </xf>
    <xf numFmtId="0" fontId="35" fillId="33" borderId="66"/>
    <xf numFmtId="4" fontId="35" fillId="33" borderId="66"/>
    <xf numFmtId="0" fontId="66" fillId="0" borderId="64" applyNumberFormat="0" applyFill="0" applyAlignment="0" applyProtection="0"/>
    <xf numFmtId="0" fontId="5" fillId="59" borderId="65" applyNumberFormat="0" applyFont="0" applyAlignment="0" applyProtection="0"/>
    <xf numFmtId="0" fontId="41" fillId="59" borderId="65" applyNumberFormat="0" applyFont="0" applyAlignment="0" applyProtection="0"/>
    <xf numFmtId="0" fontId="35" fillId="0" borderId="66" applyNumberFormat="0" applyFill="0" applyAlignment="0" applyProtection="0"/>
    <xf numFmtId="0" fontId="51" fillId="0" borderId="64" applyNumberFormat="0" applyFill="0" applyAlignment="0" applyProtection="0"/>
    <xf numFmtId="0" fontId="66" fillId="0" borderId="64" applyNumberFormat="0" applyFill="0" applyAlignment="0" applyProtection="0"/>
    <xf numFmtId="0" fontId="50" fillId="43" borderId="63" applyNumberFormat="0" applyAlignment="0" applyProtection="0"/>
    <xf numFmtId="0" fontId="47" fillId="56" borderId="63" applyNumberFormat="0" applyAlignment="0" applyProtection="0"/>
    <xf numFmtId="4" fontId="37" fillId="32" borderId="66">
      <alignment horizontal="right" vertical="center"/>
    </xf>
    <xf numFmtId="0" fontId="33" fillId="32" borderId="66">
      <alignment horizontal="right" vertical="center"/>
    </xf>
    <xf numFmtId="173" fontId="35" fillId="60" borderId="66" applyNumberFormat="0" applyFont="0" applyBorder="0" applyAlignment="0" applyProtection="0">
      <alignment horizontal="right" vertical="center"/>
    </xf>
    <xf numFmtId="0" fontId="51" fillId="0" borderId="64" applyNumberFormat="0" applyFill="0" applyAlignment="0" applyProtection="0"/>
    <xf numFmtId="49" fontId="35" fillId="0" borderId="66" applyNumberFormat="0" applyFont="0" applyFill="0" applyBorder="0" applyProtection="0">
      <alignment horizontal="left" vertical="center" indent="2"/>
    </xf>
    <xf numFmtId="49" fontId="35" fillId="0" borderId="67" applyNumberFormat="0" applyFont="0" applyFill="0" applyBorder="0" applyProtection="0">
      <alignment horizontal="left" vertical="center" indent="5"/>
    </xf>
    <xf numFmtId="49" fontId="35" fillId="0" borderId="66" applyNumberFormat="0" applyFont="0" applyFill="0" applyBorder="0" applyProtection="0">
      <alignment horizontal="left" vertical="center" indent="2"/>
    </xf>
    <xf numFmtId="4" fontId="35" fillId="0" borderId="66" applyFill="0" applyBorder="0" applyProtection="0">
      <alignment horizontal="right" vertical="center"/>
    </xf>
    <xf numFmtId="49" fontId="34" fillId="0" borderId="66" applyNumberFormat="0" applyFill="0" applyBorder="0" applyProtection="0">
      <alignment horizontal="left" vertical="center"/>
    </xf>
    <xf numFmtId="0" fontId="35" fillId="0" borderId="69">
      <alignment horizontal="left" vertical="center" wrapText="1" indent="2"/>
    </xf>
    <xf numFmtId="0" fontId="63" fillId="56" borderId="62" applyNumberFormat="0" applyAlignment="0" applyProtection="0"/>
    <xf numFmtId="0" fontId="33" fillId="34" borderId="68">
      <alignment horizontal="right" vertical="center"/>
    </xf>
    <xf numFmtId="0" fontId="50" fillId="43" borderId="63" applyNumberFormat="0" applyAlignment="0" applyProtection="0"/>
    <xf numFmtId="0" fontId="33" fillId="34" borderId="68">
      <alignment horizontal="right" vertical="center"/>
    </xf>
    <xf numFmtId="4" fontId="33" fillId="34" borderId="66">
      <alignment horizontal="right" vertical="center"/>
    </xf>
    <xf numFmtId="0" fontId="33" fillId="34" borderId="66">
      <alignment horizontal="right" vertical="center"/>
    </xf>
    <xf numFmtId="0" fontId="44" fillId="56" borderId="62" applyNumberFormat="0" applyAlignment="0" applyProtection="0"/>
    <xf numFmtId="0" fontId="46" fillId="56" borderId="63" applyNumberFormat="0" applyAlignment="0" applyProtection="0"/>
    <xf numFmtId="0" fontId="51" fillId="0" borderId="64" applyNumberFormat="0" applyFill="0" applyAlignment="0" applyProtection="0"/>
    <xf numFmtId="0" fontId="35" fillId="33" borderId="66"/>
    <xf numFmtId="4" fontId="35" fillId="33" borderId="66"/>
    <xf numFmtId="4" fontId="33" fillId="34" borderId="66">
      <alignment horizontal="right" vertical="center"/>
    </xf>
    <xf numFmtId="0" fontId="37" fillId="32" borderId="66">
      <alignment horizontal="right" vertical="center"/>
    </xf>
    <xf numFmtId="0" fontId="50" fillId="43" borderId="63" applyNumberFormat="0" applyAlignment="0" applyProtection="0"/>
    <xf numFmtId="0" fontId="47" fillId="56" borderId="63" applyNumberFormat="0" applyAlignment="0" applyProtection="0"/>
    <xf numFmtId="4" fontId="35" fillId="0" borderId="66">
      <alignment horizontal="right" vertical="center"/>
    </xf>
    <xf numFmtId="0" fontId="35" fillId="34" borderId="69">
      <alignment horizontal="left" vertical="center" wrapText="1" indent="2"/>
    </xf>
    <xf numFmtId="0" fontId="35" fillId="0" borderId="69">
      <alignment horizontal="left" vertical="center" wrapText="1" indent="2"/>
    </xf>
    <xf numFmtId="0" fontId="63" fillId="56" borderId="62" applyNumberFormat="0" applyAlignment="0" applyProtection="0"/>
    <xf numFmtId="0" fontId="59" fillId="43" borderId="63" applyNumberFormat="0" applyAlignment="0" applyProtection="0"/>
    <xf numFmtId="0" fontId="46" fillId="56" borderId="63" applyNumberFormat="0" applyAlignment="0" applyProtection="0"/>
    <xf numFmtId="0" fontId="44" fillId="56" borderId="62" applyNumberFormat="0" applyAlignment="0" applyProtection="0"/>
    <xf numFmtId="0" fontId="33" fillId="34" borderId="68">
      <alignment horizontal="right" vertical="center"/>
    </xf>
    <xf numFmtId="0" fontId="37" fillId="32" borderId="66">
      <alignment horizontal="right" vertical="center"/>
    </xf>
    <xf numFmtId="4" fontId="33" fillId="32" borderId="66">
      <alignment horizontal="right" vertical="center"/>
    </xf>
    <xf numFmtId="4" fontId="33" fillId="34" borderId="66">
      <alignment horizontal="right" vertical="center"/>
    </xf>
    <xf numFmtId="49" fontId="35" fillId="0" borderId="67" applyNumberFormat="0" applyFont="0" applyFill="0" applyBorder="0" applyProtection="0">
      <alignment horizontal="left" vertical="center" indent="5"/>
    </xf>
    <xf numFmtId="4" fontId="35" fillId="0" borderId="66" applyFill="0" applyBorder="0" applyProtection="0">
      <alignment horizontal="right" vertical="center"/>
    </xf>
    <xf numFmtId="4" fontId="33" fillId="32" borderId="66">
      <alignment horizontal="right" vertical="center"/>
    </xf>
    <xf numFmtId="0" fontId="37" fillId="32" borderId="74">
      <alignment horizontal="right" vertical="center"/>
    </xf>
    <xf numFmtId="0" fontId="59" fillId="43" borderId="63" applyNumberFormat="0" applyAlignment="0" applyProtection="0"/>
    <xf numFmtId="0" fontId="50" fillId="43" borderId="63" applyNumberFormat="0" applyAlignment="0" applyProtection="0"/>
    <xf numFmtId="0" fontId="46" fillId="56" borderId="63" applyNumberFormat="0" applyAlignment="0" applyProtection="0"/>
    <xf numFmtId="0" fontId="35" fillId="34" borderId="69">
      <alignment horizontal="left" vertical="center" wrapText="1" indent="2"/>
    </xf>
    <xf numFmtId="0" fontId="35" fillId="0" borderId="69">
      <alignment horizontal="left" vertical="center" wrapText="1" indent="2"/>
    </xf>
    <xf numFmtId="0" fontId="35" fillId="34" borderId="69">
      <alignment horizontal="left" vertical="center" wrapText="1" indent="2"/>
    </xf>
    <xf numFmtId="0" fontId="35" fillId="0" borderId="69">
      <alignment horizontal="left" vertical="center" wrapText="1" indent="2"/>
    </xf>
    <xf numFmtId="0" fontId="44" fillId="56" borderId="62" applyNumberFormat="0" applyAlignment="0" applyProtection="0"/>
    <xf numFmtId="0" fontId="46" fillId="56" borderId="63" applyNumberFormat="0" applyAlignment="0" applyProtection="0"/>
    <xf numFmtId="0" fontId="47" fillId="56" borderId="63" applyNumberFormat="0" applyAlignment="0" applyProtection="0"/>
    <xf numFmtId="0" fontId="50" fillId="43" borderId="63" applyNumberFormat="0" applyAlignment="0" applyProtection="0"/>
    <xf numFmtId="0" fontId="51" fillId="0" borderId="64" applyNumberFormat="0" applyFill="0" applyAlignment="0" applyProtection="0"/>
    <xf numFmtId="0" fontId="59" fillId="43" borderId="63" applyNumberFormat="0" applyAlignment="0" applyProtection="0"/>
    <xf numFmtId="0" fontId="41" fillId="59" borderId="65" applyNumberFormat="0" applyFont="0" applyAlignment="0" applyProtection="0"/>
    <xf numFmtId="0" fontId="5" fillId="59" borderId="65" applyNumberFormat="0" applyFont="0" applyAlignment="0" applyProtection="0"/>
    <xf numFmtId="0" fontId="63" fillId="56" borderId="62" applyNumberFormat="0" applyAlignment="0" applyProtection="0"/>
    <xf numFmtId="0" fontId="66" fillId="0" borderId="64" applyNumberFormat="0" applyFill="0" applyAlignment="0" applyProtection="0"/>
    <xf numFmtId="0" fontId="47" fillId="56" borderId="63" applyNumberFormat="0" applyAlignment="0" applyProtection="0"/>
    <xf numFmtId="0" fontId="59" fillId="43" borderId="63" applyNumberFormat="0" applyAlignment="0" applyProtection="0"/>
    <xf numFmtId="0" fontId="41" fillId="59" borderId="65" applyNumberFormat="0" applyFont="0" applyAlignment="0" applyProtection="0"/>
    <xf numFmtId="0" fontId="63" fillId="56" borderId="62" applyNumberFormat="0" applyAlignment="0" applyProtection="0"/>
    <xf numFmtId="0" fontId="66" fillId="0" borderId="64" applyNumberFormat="0" applyFill="0" applyAlignment="0" applyProtection="0"/>
    <xf numFmtId="0" fontId="41" fillId="59" borderId="73" applyNumberFormat="0" applyFont="0" applyAlignment="0" applyProtection="0"/>
    <xf numFmtId="0" fontId="35" fillId="0" borderId="74" applyNumberFormat="0" applyFill="0" applyAlignment="0" applyProtection="0"/>
    <xf numFmtId="0" fontId="33" fillId="34" borderId="107">
      <alignment horizontal="right" vertical="center"/>
    </xf>
    <xf numFmtId="4" fontId="35" fillId="0" borderId="74" applyFill="0" applyBorder="0" applyProtection="0">
      <alignment horizontal="right" vertical="center"/>
    </xf>
    <xf numFmtId="0" fontId="47" fillId="56" borderId="63" applyNumberFormat="0" applyAlignment="0" applyProtection="0"/>
    <xf numFmtId="0" fontId="27" fillId="15" borderId="0" applyNumberFormat="0" applyBorder="0" applyAlignment="0" applyProtection="0"/>
    <xf numFmtId="0" fontId="41" fillId="59" borderId="105" applyNumberFormat="0" applyFont="0" applyAlignment="0" applyProtection="0"/>
    <xf numFmtId="0" fontId="33" fillId="34" borderId="76">
      <alignment horizontal="right" vertical="center"/>
    </xf>
    <xf numFmtId="0" fontId="59" fillId="43" borderId="63" applyNumberFormat="0" applyAlignment="0" applyProtection="0"/>
    <xf numFmtId="0" fontId="63" fillId="56" borderId="62" applyNumberFormat="0" applyAlignment="0" applyProtection="0"/>
    <xf numFmtId="0" fontId="66" fillId="0" borderId="64" applyNumberFormat="0" applyFill="0" applyAlignment="0" applyProtection="0"/>
    <xf numFmtId="4" fontId="33" fillId="34" borderId="74">
      <alignment horizontal="right" vertical="center"/>
    </xf>
    <xf numFmtId="0" fontId="44" fillId="56" borderId="62" applyNumberFormat="0" applyAlignment="0" applyProtection="0"/>
    <xf numFmtId="0" fontId="46" fillId="56" borderId="63" applyNumberFormat="0" applyAlignment="0" applyProtection="0"/>
    <xf numFmtId="0" fontId="51" fillId="0" borderId="64" applyNumberFormat="0" applyFill="0" applyAlignment="0" applyProtection="0"/>
    <xf numFmtId="49" fontId="35" fillId="0" borderId="66" applyNumberFormat="0" applyFont="0" applyFill="0" applyBorder="0" applyProtection="0">
      <alignment horizontal="left" vertical="center" indent="2"/>
    </xf>
    <xf numFmtId="0" fontId="33" fillId="32" borderId="66">
      <alignment horizontal="right" vertical="center"/>
    </xf>
    <xf numFmtId="4" fontId="33" fillId="32" borderId="66">
      <alignment horizontal="right" vertical="center"/>
    </xf>
    <xf numFmtId="0" fontId="37" fillId="32" borderId="66">
      <alignment horizontal="right" vertical="center"/>
    </xf>
    <xf numFmtId="4" fontId="37" fillId="32" borderId="66">
      <alignment horizontal="right" vertical="center"/>
    </xf>
    <xf numFmtId="0" fontId="33" fillId="34" borderId="66">
      <alignment horizontal="right" vertical="center"/>
    </xf>
    <xf numFmtId="4" fontId="33" fillId="34" borderId="66">
      <alignment horizontal="right" vertical="center"/>
    </xf>
    <xf numFmtId="0" fontId="33" fillId="34" borderId="66">
      <alignment horizontal="right" vertical="center"/>
    </xf>
    <xf numFmtId="4" fontId="33" fillId="34" borderId="66">
      <alignment horizontal="right" vertical="center"/>
    </xf>
    <xf numFmtId="0" fontId="50" fillId="43" borderId="63" applyNumberFormat="0" applyAlignment="0" applyProtection="0"/>
    <xf numFmtId="0" fontId="35" fillId="0" borderId="66">
      <alignment horizontal="right" vertical="center"/>
    </xf>
    <xf numFmtId="4" fontId="35" fillId="0" borderId="66">
      <alignment horizontal="right" vertical="center"/>
    </xf>
    <xf numFmtId="4" fontId="35" fillId="0" borderId="66" applyFill="0" applyBorder="0" applyProtection="0">
      <alignment horizontal="right" vertical="center"/>
    </xf>
    <xf numFmtId="49" fontId="34" fillId="0" borderId="66" applyNumberFormat="0" applyFill="0" applyBorder="0" applyProtection="0">
      <alignment horizontal="left" vertical="center"/>
    </xf>
    <xf numFmtId="0" fontId="35" fillId="0" borderId="66" applyNumberFormat="0" applyFill="0" applyAlignment="0" applyProtection="0"/>
    <xf numFmtId="173" fontId="35" fillId="60" borderId="66" applyNumberFormat="0" applyFont="0" applyBorder="0" applyAlignment="0" applyProtection="0">
      <alignment horizontal="right" vertical="center"/>
    </xf>
    <xf numFmtId="0" fontId="35" fillId="33" borderId="66"/>
    <xf numFmtId="4" fontId="35" fillId="33" borderId="66"/>
    <xf numFmtId="4" fontId="33" fillId="34" borderId="66">
      <alignment horizontal="right" vertical="center"/>
    </xf>
    <xf numFmtId="0" fontId="35" fillId="33" borderId="66"/>
    <xf numFmtId="0" fontId="46" fillId="56" borderId="63" applyNumberFormat="0" applyAlignment="0" applyProtection="0"/>
    <xf numFmtId="0" fontId="33" fillId="32" borderId="66">
      <alignment horizontal="right" vertical="center"/>
    </xf>
    <xf numFmtId="0" fontId="35" fillId="0" borderId="66">
      <alignment horizontal="right" vertical="center"/>
    </xf>
    <xf numFmtId="0" fontId="66" fillId="0" borderId="64" applyNumberFormat="0" applyFill="0" applyAlignment="0" applyProtection="0"/>
    <xf numFmtId="0" fontId="35" fillId="32" borderId="67">
      <alignment horizontal="left" vertical="center"/>
    </xf>
    <xf numFmtId="0" fontId="59" fillId="43" borderId="63" applyNumberFormat="0" applyAlignment="0" applyProtection="0"/>
    <xf numFmtId="173" fontId="35" fillId="60" borderId="66" applyNumberFormat="0" applyFont="0" applyBorder="0" applyAlignment="0" applyProtection="0">
      <alignment horizontal="right" vertical="center"/>
    </xf>
    <xf numFmtId="0" fontId="41" fillId="59" borderId="65" applyNumberFormat="0" applyFont="0" applyAlignment="0" applyProtection="0"/>
    <xf numFmtId="0" fontId="35" fillId="0" borderId="69">
      <alignment horizontal="left" vertical="center" wrapText="1" indent="2"/>
    </xf>
    <xf numFmtId="4" fontId="35" fillId="33" borderId="66"/>
    <xf numFmtId="49" fontId="34" fillId="0" borderId="66" applyNumberFormat="0" applyFill="0" applyBorder="0" applyProtection="0">
      <alignment horizontal="left" vertical="center"/>
    </xf>
    <xf numFmtId="0" fontId="35" fillId="0" borderId="66">
      <alignment horizontal="right" vertical="center"/>
    </xf>
    <xf numFmtId="4" fontId="33" fillId="34" borderId="68">
      <alignment horizontal="right" vertical="center"/>
    </xf>
    <xf numFmtId="4" fontId="33" fillId="34" borderId="66">
      <alignment horizontal="right" vertical="center"/>
    </xf>
    <xf numFmtId="4" fontId="33" fillId="34" borderId="66">
      <alignment horizontal="right" vertical="center"/>
    </xf>
    <xf numFmtId="0" fontId="37" fillId="32" borderId="66">
      <alignment horizontal="right" vertical="center"/>
    </xf>
    <xf numFmtId="0" fontId="33" fillId="32" borderId="66">
      <alignment horizontal="right" vertical="center"/>
    </xf>
    <xf numFmtId="49" fontId="35" fillId="0" borderId="66" applyNumberFormat="0" applyFont="0" applyFill="0" applyBorder="0" applyProtection="0">
      <alignment horizontal="left" vertical="center" indent="2"/>
    </xf>
    <xf numFmtId="0" fontId="59" fillId="43" borderId="63" applyNumberFormat="0" applyAlignment="0" applyProtection="0"/>
    <xf numFmtId="0" fontId="44" fillId="56" borderId="62" applyNumberFormat="0" applyAlignment="0" applyProtection="0"/>
    <xf numFmtId="49" fontId="35" fillId="0" borderId="66" applyNumberFormat="0" applyFont="0" applyFill="0" applyBorder="0" applyProtection="0">
      <alignment horizontal="left" vertical="center" indent="2"/>
    </xf>
    <xf numFmtId="0" fontId="50" fillId="43" borderId="63" applyNumberFormat="0" applyAlignment="0" applyProtection="0"/>
    <xf numFmtId="4" fontId="35" fillId="0" borderId="66" applyFill="0" applyBorder="0" applyProtection="0">
      <alignment horizontal="right" vertical="center"/>
    </xf>
    <xf numFmtId="0" fontId="47" fillId="56" borderId="63" applyNumberFormat="0" applyAlignment="0" applyProtection="0"/>
    <xf numFmtId="0" fontId="66" fillId="0" borderId="64" applyNumberFormat="0" applyFill="0" applyAlignment="0" applyProtection="0"/>
    <xf numFmtId="0" fontId="63" fillId="56" borderId="62" applyNumberFormat="0" applyAlignment="0" applyProtection="0"/>
    <xf numFmtId="0" fontId="35" fillId="0" borderId="66" applyNumberFormat="0" applyFill="0" applyAlignment="0" applyProtection="0"/>
    <xf numFmtId="4" fontId="35" fillId="0" borderId="66">
      <alignment horizontal="right" vertical="center"/>
    </xf>
    <xf numFmtId="0" fontId="35" fillId="0" borderId="66">
      <alignment horizontal="right" vertical="center"/>
    </xf>
    <xf numFmtId="0" fontId="59" fillId="43" borderId="63" applyNumberFormat="0" applyAlignment="0" applyProtection="0"/>
    <xf numFmtId="0" fontId="44" fillId="56" borderId="62" applyNumberFormat="0" applyAlignment="0" applyProtection="0"/>
    <xf numFmtId="0" fontId="46" fillId="56" borderId="63" applyNumberFormat="0" applyAlignment="0" applyProtection="0"/>
    <xf numFmtId="0" fontId="35" fillId="34" borderId="69">
      <alignment horizontal="left" vertical="center" wrapText="1" indent="2"/>
    </xf>
    <xf numFmtId="0" fontId="47" fillId="56" borderId="63" applyNumberFormat="0" applyAlignment="0" applyProtection="0"/>
    <xf numFmtId="0" fontId="47" fillId="56" borderId="63" applyNumberFormat="0" applyAlignment="0" applyProtection="0"/>
    <xf numFmtId="4" fontId="33" fillId="34" borderId="67">
      <alignment horizontal="right" vertical="center"/>
    </xf>
    <xf numFmtId="0" fontId="33" fillId="34" borderId="67">
      <alignment horizontal="right" vertical="center"/>
    </xf>
    <xf numFmtId="0" fontId="33" fillId="34" borderId="66">
      <alignment horizontal="right" vertical="center"/>
    </xf>
    <xf numFmtId="4" fontId="37" fillId="32" borderId="66">
      <alignment horizontal="right" vertical="center"/>
    </xf>
    <xf numFmtId="0" fontId="50" fillId="43" borderId="63" applyNumberFormat="0" applyAlignment="0" applyProtection="0"/>
    <xf numFmtId="0" fontId="51" fillId="0" borderId="64" applyNumberFormat="0" applyFill="0" applyAlignment="0" applyProtection="0"/>
    <xf numFmtId="0" fontId="66" fillId="0" borderId="64" applyNumberFormat="0" applyFill="0" applyAlignment="0" applyProtection="0"/>
    <xf numFmtId="0" fontId="41" fillId="59" borderId="65" applyNumberFormat="0" applyFont="0" applyAlignment="0" applyProtection="0"/>
    <xf numFmtId="0" fontId="59" fillId="43" borderId="63" applyNumberFormat="0" applyAlignment="0" applyProtection="0"/>
    <xf numFmtId="49" fontId="34" fillId="0" borderId="66" applyNumberFormat="0" applyFill="0" applyBorder="0" applyProtection="0">
      <alignment horizontal="left" vertical="center"/>
    </xf>
    <xf numFmtId="0" fontId="35" fillId="34" borderId="69">
      <alignment horizontal="left" vertical="center" wrapText="1" indent="2"/>
    </xf>
    <xf numFmtId="0" fontId="47" fillId="56" borderId="63" applyNumberFormat="0" applyAlignment="0" applyProtection="0"/>
    <xf numFmtId="0" fontId="35" fillId="0" borderId="69">
      <alignment horizontal="left" vertical="center" wrapText="1" indent="2"/>
    </xf>
    <xf numFmtId="0" fontId="41" fillId="59" borderId="65" applyNumberFormat="0" applyFont="0" applyAlignment="0" applyProtection="0"/>
    <xf numFmtId="0" fontId="5" fillId="59" borderId="65" applyNumberFormat="0" applyFont="0" applyAlignment="0" applyProtection="0"/>
    <xf numFmtId="0" fontId="63" fillId="56" borderId="62" applyNumberFormat="0" applyAlignment="0" applyProtection="0"/>
    <xf numFmtId="0" fontId="66" fillId="0" borderId="64" applyNumberFormat="0" applyFill="0" applyAlignment="0" applyProtection="0"/>
    <xf numFmtId="4" fontId="35" fillId="33" borderId="66"/>
    <xf numFmtId="0" fontId="33" fillId="34" borderId="66">
      <alignment horizontal="right" vertical="center"/>
    </xf>
    <xf numFmtId="0" fontId="66" fillId="0" borderId="64" applyNumberFormat="0" applyFill="0" applyAlignment="0" applyProtection="0"/>
    <xf numFmtId="4" fontId="33" fillId="34" borderId="68">
      <alignment horizontal="right" vertical="center"/>
    </xf>
    <xf numFmtId="0" fontId="46" fillId="56" borderId="63" applyNumberFormat="0" applyAlignment="0" applyProtection="0"/>
    <xf numFmtId="0" fontId="33" fillId="34" borderId="67">
      <alignment horizontal="right" vertical="center"/>
    </xf>
    <xf numFmtId="0" fontId="47" fillId="56" borderId="63" applyNumberFormat="0" applyAlignment="0" applyProtection="0"/>
    <xf numFmtId="0" fontId="51" fillId="0" borderId="64" applyNumberFormat="0" applyFill="0" applyAlignment="0" applyProtection="0"/>
    <xf numFmtId="0" fontId="41" fillId="59" borderId="65" applyNumberFormat="0" applyFont="0" applyAlignment="0" applyProtection="0"/>
    <xf numFmtId="4" fontId="33" fillId="34" borderId="67">
      <alignment horizontal="right" vertical="center"/>
    </xf>
    <xf numFmtId="0" fontId="35" fillId="34" borderId="69">
      <alignment horizontal="left" vertical="center" wrapText="1" indent="2"/>
    </xf>
    <xf numFmtId="0" fontId="35" fillId="33" borderId="66"/>
    <xf numFmtId="173" fontId="35" fillId="60" borderId="66" applyNumberFormat="0" applyFont="0" applyBorder="0" applyAlignment="0" applyProtection="0">
      <alignment horizontal="right" vertical="center"/>
    </xf>
    <xf numFmtId="0" fontId="35" fillId="0" borderId="66" applyNumberFormat="0" applyFill="0" applyAlignment="0" applyProtection="0"/>
    <xf numFmtId="4" fontId="35" fillId="0" borderId="66" applyFill="0" applyBorder="0" applyProtection="0">
      <alignment horizontal="right" vertical="center"/>
    </xf>
    <xf numFmtId="4" fontId="33" fillId="32" borderId="66">
      <alignment horizontal="right" vertical="center"/>
    </xf>
    <xf numFmtId="0" fontId="51" fillId="0" borderId="64" applyNumberFormat="0" applyFill="0" applyAlignment="0" applyProtection="0"/>
    <xf numFmtId="49" fontId="34" fillId="0" borderId="66" applyNumberFormat="0" applyFill="0" applyBorder="0" applyProtection="0">
      <alignment horizontal="left" vertical="center"/>
    </xf>
    <xf numFmtId="49" fontId="35" fillId="0" borderId="67" applyNumberFormat="0" applyFont="0" applyFill="0" applyBorder="0" applyProtection="0">
      <alignment horizontal="left" vertical="center" indent="5"/>
    </xf>
    <xf numFmtId="0" fontId="35" fillId="32" borderId="67">
      <alignment horizontal="left" vertical="center"/>
    </xf>
    <xf numFmtId="0" fontId="47" fillId="56" borderId="63" applyNumberFormat="0" applyAlignment="0" applyProtection="0"/>
    <xf numFmtId="4" fontId="33" fillId="34" borderId="68">
      <alignment horizontal="right" vertical="center"/>
    </xf>
    <xf numFmtId="0" fontId="59" fillId="43" borderId="63" applyNumberFormat="0" applyAlignment="0" applyProtection="0"/>
    <xf numFmtId="0" fontId="59" fillId="43" borderId="63" applyNumberFormat="0" applyAlignment="0" applyProtection="0"/>
    <xf numFmtId="0" fontId="41" fillId="59" borderId="65" applyNumberFormat="0" applyFont="0" applyAlignment="0" applyProtection="0"/>
    <xf numFmtId="0" fontId="63" fillId="56" borderId="62" applyNumberFormat="0" applyAlignment="0" applyProtection="0"/>
    <xf numFmtId="0" fontId="66" fillId="0" borderId="64" applyNumberFormat="0" applyFill="0" applyAlignment="0" applyProtection="0"/>
    <xf numFmtId="0" fontId="33" fillId="34" borderId="66">
      <alignment horizontal="right" vertical="center"/>
    </xf>
    <xf numFmtId="0" fontId="5" fillId="59" borderId="65" applyNumberFormat="0" applyFont="0" applyAlignment="0" applyProtection="0"/>
    <xf numFmtId="4" fontId="35" fillId="0" borderId="66">
      <alignment horizontal="right" vertical="center"/>
    </xf>
    <xf numFmtId="0" fontId="66" fillId="0" borderId="64" applyNumberFormat="0" applyFill="0" applyAlignment="0" applyProtection="0"/>
    <xf numFmtId="0" fontId="33" fillId="34" borderId="66">
      <alignment horizontal="right" vertical="center"/>
    </xf>
    <xf numFmtId="0" fontId="33" fillId="34" borderId="66">
      <alignment horizontal="right" vertical="center"/>
    </xf>
    <xf numFmtId="4" fontId="37" fillId="32" borderId="66">
      <alignment horizontal="right" vertical="center"/>
    </xf>
    <xf numFmtId="0" fontId="33" fillId="32" borderId="66">
      <alignment horizontal="right" vertical="center"/>
    </xf>
    <xf numFmtId="4" fontId="33" fillId="32" borderId="66">
      <alignment horizontal="right" vertical="center"/>
    </xf>
    <xf numFmtId="0" fontId="37" fillId="32" borderId="66">
      <alignment horizontal="right" vertical="center"/>
    </xf>
    <xf numFmtId="4" fontId="37" fillId="32" borderId="66">
      <alignment horizontal="right" vertical="center"/>
    </xf>
    <xf numFmtId="0" fontId="33" fillId="34" borderId="66">
      <alignment horizontal="right" vertical="center"/>
    </xf>
    <xf numFmtId="4" fontId="33" fillId="34" borderId="66">
      <alignment horizontal="right" vertical="center"/>
    </xf>
    <xf numFmtId="0" fontId="33" fillId="34" borderId="66">
      <alignment horizontal="right" vertical="center"/>
    </xf>
    <xf numFmtId="4" fontId="33" fillId="34" borderId="66">
      <alignment horizontal="right" vertical="center"/>
    </xf>
    <xf numFmtId="0" fontId="33" fillId="34" borderId="67">
      <alignment horizontal="right" vertical="center"/>
    </xf>
    <xf numFmtId="4" fontId="33" fillId="34" borderId="67">
      <alignment horizontal="right" vertical="center"/>
    </xf>
    <xf numFmtId="0" fontId="33" fillId="34" borderId="68">
      <alignment horizontal="right" vertical="center"/>
    </xf>
    <xf numFmtId="4" fontId="33" fillId="34" borderId="68">
      <alignment horizontal="right" vertical="center"/>
    </xf>
    <xf numFmtId="0" fontId="47" fillId="56" borderId="63" applyNumberFormat="0" applyAlignment="0" applyProtection="0"/>
    <xf numFmtId="0" fontId="35" fillId="34" borderId="69">
      <alignment horizontal="left" vertical="center" wrapText="1" indent="2"/>
    </xf>
    <xf numFmtId="0" fontId="35" fillId="0" borderId="69">
      <alignment horizontal="left" vertical="center" wrapText="1" indent="2"/>
    </xf>
    <xf numFmtId="0" fontId="35" fillId="32" borderId="67">
      <alignment horizontal="left" vertical="center"/>
    </xf>
    <xf numFmtId="0" fontId="59" fillId="43" borderId="63" applyNumberFormat="0" applyAlignment="0" applyProtection="0"/>
    <xf numFmtId="0" fontId="35" fillId="0" borderId="66">
      <alignment horizontal="right" vertical="center"/>
    </xf>
    <xf numFmtId="4" fontId="35" fillId="0" borderId="66">
      <alignment horizontal="right" vertical="center"/>
    </xf>
    <xf numFmtId="0" fontId="35" fillId="0" borderId="66" applyNumberFormat="0" applyFill="0" applyAlignment="0" applyProtection="0"/>
    <xf numFmtId="0" fontId="63" fillId="56" borderId="62" applyNumberFormat="0" applyAlignment="0" applyProtection="0"/>
    <xf numFmtId="173" fontId="35" fillId="60" borderId="66" applyNumberFormat="0" applyFont="0" applyBorder="0" applyAlignment="0" applyProtection="0">
      <alignment horizontal="right" vertical="center"/>
    </xf>
    <xf numFmtId="0" fontId="35" fillId="33" borderId="66"/>
    <xf numFmtId="4" fontId="35" fillId="33" borderId="66"/>
    <xf numFmtId="0" fontId="66" fillId="0" borderId="64" applyNumberFormat="0" applyFill="0" applyAlignment="0" applyProtection="0"/>
    <xf numFmtId="0" fontId="5" fillId="59" borderId="65" applyNumberFormat="0" applyFont="0" applyAlignment="0" applyProtection="0"/>
    <xf numFmtId="0" fontId="41" fillId="59" borderId="65" applyNumberFormat="0" applyFont="0" applyAlignment="0" applyProtection="0"/>
    <xf numFmtId="0" fontId="35" fillId="0" borderId="66" applyNumberFormat="0" applyFill="0" applyAlignment="0" applyProtection="0"/>
    <xf numFmtId="0" fontId="51" fillId="0" borderId="64" applyNumberFormat="0" applyFill="0" applyAlignment="0" applyProtection="0"/>
    <xf numFmtId="0" fontId="66" fillId="0" borderId="64" applyNumberFormat="0" applyFill="0" applyAlignment="0" applyProtection="0"/>
    <xf numFmtId="0" fontId="50" fillId="43" borderId="63" applyNumberFormat="0" applyAlignment="0" applyProtection="0"/>
    <xf numFmtId="0" fontId="47" fillId="56" borderId="63" applyNumberFormat="0" applyAlignment="0" applyProtection="0"/>
    <xf numFmtId="4" fontId="37" fillId="32" borderId="66">
      <alignment horizontal="right" vertical="center"/>
    </xf>
    <xf numFmtId="0" fontId="33" fillId="32" borderId="66">
      <alignment horizontal="right" vertical="center"/>
    </xf>
    <xf numFmtId="173" fontId="35" fillId="60" borderId="66" applyNumberFormat="0" applyFont="0" applyBorder="0" applyAlignment="0" applyProtection="0">
      <alignment horizontal="right" vertical="center"/>
    </xf>
    <xf numFmtId="0" fontId="51" fillId="0" borderId="64" applyNumberFormat="0" applyFill="0" applyAlignment="0" applyProtection="0"/>
    <xf numFmtId="49" fontId="35" fillId="0" borderId="66" applyNumberFormat="0" applyFont="0" applyFill="0" applyBorder="0" applyProtection="0">
      <alignment horizontal="left" vertical="center" indent="2"/>
    </xf>
    <xf numFmtId="49" fontId="35" fillId="0" borderId="67" applyNumberFormat="0" applyFont="0" applyFill="0" applyBorder="0" applyProtection="0">
      <alignment horizontal="left" vertical="center" indent="5"/>
    </xf>
    <xf numFmtId="49" fontId="35" fillId="0" borderId="66" applyNumberFormat="0" applyFont="0" applyFill="0" applyBorder="0" applyProtection="0">
      <alignment horizontal="left" vertical="center" indent="2"/>
    </xf>
    <xf numFmtId="4" fontId="35" fillId="0" borderId="66" applyFill="0" applyBorder="0" applyProtection="0">
      <alignment horizontal="right" vertical="center"/>
    </xf>
    <xf numFmtId="49" fontId="34" fillId="0" borderId="66" applyNumberFormat="0" applyFill="0" applyBorder="0" applyProtection="0">
      <alignment horizontal="left" vertical="center"/>
    </xf>
    <xf numFmtId="0" fontId="35" fillId="0" borderId="69">
      <alignment horizontal="left" vertical="center" wrapText="1" indent="2"/>
    </xf>
    <xf numFmtId="0" fontId="63" fillId="56" borderId="62" applyNumberFormat="0" applyAlignment="0" applyProtection="0"/>
    <xf numFmtId="0" fontId="33" fillId="34" borderId="68">
      <alignment horizontal="right" vertical="center"/>
    </xf>
    <xf numFmtId="0" fontId="50" fillId="43" borderId="63" applyNumberFormat="0" applyAlignment="0" applyProtection="0"/>
    <xf numFmtId="0" fontId="33" fillId="34" borderId="68">
      <alignment horizontal="right" vertical="center"/>
    </xf>
    <xf numFmtId="4" fontId="33" fillId="34" borderId="66">
      <alignment horizontal="right" vertical="center"/>
    </xf>
    <xf numFmtId="0" fontId="33" fillId="34" borderId="66">
      <alignment horizontal="right" vertical="center"/>
    </xf>
    <xf numFmtId="0" fontId="44" fillId="56" borderId="62" applyNumberFormat="0" applyAlignment="0" applyProtection="0"/>
    <xf numFmtId="0" fontId="46" fillId="56" borderId="63" applyNumberFormat="0" applyAlignment="0" applyProtection="0"/>
    <xf numFmtId="0" fontId="51" fillId="0" borderId="64" applyNumberFormat="0" applyFill="0" applyAlignment="0" applyProtection="0"/>
    <xf numFmtId="0" fontId="35" fillId="33" borderId="66"/>
    <xf numFmtId="4" fontId="35" fillId="33" borderId="66"/>
    <xf numFmtId="4" fontId="33" fillId="34" borderId="66">
      <alignment horizontal="right" vertical="center"/>
    </xf>
    <xf numFmtId="0" fontId="37" fillId="32" borderId="66">
      <alignment horizontal="right" vertical="center"/>
    </xf>
    <xf numFmtId="0" fontId="50" fillId="43" borderId="63" applyNumberFormat="0" applyAlignment="0" applyProtection="0"/>
    <xf numFmtId="0" fontId="47" fillId="56" borderId="63" applyNumberFormat="0" applyAlignment="0" applyProtection="0"/>
    <xf numFmtId="4" fontId="35" fillId="0" borderId="66">
      <alignment horizontal="right" vertical="center"/>
    </xf>
    <xf numFmtId="0" fontId="35" fillId="34" borderId="69">
      <alignment horizontal="left" vertical="center" wrapText="1" indent="2"/>
    </xf>
    <xf numFmtId="0" fontId="35" fillId="0" borderId="69">
      <alignment horizontal="left" vertical="center" wrapText="1" indent="2"/>
    </xf>
    <xf numFmtId="0" fontId="63" fillId="56" borderId="62" applyNumberFormat="0" applyAlignment="0" applyProtection="0"/>
    <xf numFmtId="0" fontId="59" fillId="43" borderId="63" applyNumberFormat="0" applyAlignment="0" applyProtection="0"/>
    <xf numFmtId="0" fontId="46" fillId="56" borderId="63" applyNumberFormat="0" applyAlignment="0" applyProtection="0"/>
    <xf numFmtId="0" fontId="44" fillId="56" borderId="62" applyNumberFormat="0" applyAlignment="0" applyProtection="0"/>
    <xf numFmtId="0" fontId="33" fillId="34" borderId="68">
      <alignment horizontal="right" vertical="center"/>
    </xf>
    <xf numFmtId="0" fontId="37" fillId="32" borderId="66">
      <alignment horizontal="right" vertical="center"/>
    </xf>
    <xf numFmtId="4" fontId="33" fillId="32" borderId="66">
      <alignment horizontal="right" vertical="center"/>
    </xf>
    <xf numFmtId="4" fontId="33" fillId="34" borderId="66">
      <alignment horizontal="right" vertical="center"/>
    </xf>
    <xf numFmtId="49" fontId="35" fillId="0" borderId="67" applyNumberFormat="0" applyFont="0" applyFill="0" applyBorder="0" applyProtection="0">
      <alignment horizontal="left" vertical="center" indent="5"/>
    </xf>
    <xf numFmtId="4" fontId="35" fillId="0" borderId="66" applyFill="0" applyBorder="0" applyProtection="0">
      <alignment horizontal="right" vertical="center"/>
    </xf>
    <xf numFmtId="4" fontId="33" fillId="32" borderId="66">
      <alignment horizontal="right" vertical="center"/>
    </xf>
    <xf numFmtId="0" fontId="59" fillId="43" borderId="63" applyNumberFormat="0" applyAlignment="0" applyProtection="0"/>
    <xf numFmtId="0" fontId="50" fillId="43" borderId="63" applyNumberFormat="0" applyAlignment="0" applyProtection="0"/>
    <xf numFmtId="0" fontId="46" fillId="56" borderId="63" applyNumberFormat="0" applyAlignment="0" applyProtection="0"/>
    <xf numFmtId="0" fontId="35" fillId="34" borderId="69">
      <alignment horizontal="left" vertical="center" wrapText="1" indent="2"/>
    </xf>
    <xf numFmtId="0" fontId="35" fillId="0" borderId="69">
      <alignment horizontal="left" vertical="center" wrapText="1" indent="2"/>
    </xf>
    <xf numFmtId="0" fontId="35" fillId="34" borderId="69">
      <alignment horizontal="left" vertical="center" wrapText="1" indent="2"/>
    </xf>
    <xf numFmtId="0" fontId="33" fillId="34" borderId="74">
      <alignment horizontal="right" vertical="center"/>
    </xf>
    <xf numFmtId="0" fontId="35" fillId="0" borderId="74" applyNumberFormat="0" applyFill="0" applyAlignment="0" applyProtection="0"/>
    <xf numFmtId="0" fontId="35" fillId="0" borderId="79">
      <alignment horizontal="right" vertical="center"/>
    </xf>
    <xf numFmtId="4" fontId="33" fillId="34" borderId="74">
      <alignment horizontal="right" vertical="center"/>
    </xf>
    <xf numFmtId="4" fontId="33" fillId="34" borderId="80">
      <alignment horizontal="right" vertical="center"/>
    </xf>
    <xf numFmtId="0" fontId="41" fillId="59" borderId="73" applyNumberFormat="0" applyFont="0" applyAlignment="0" applyProtection="0"/>
    <xf numFmtId="0" fontId="37" fillId="32" borderId="74">
      <alignment horizontal="right" vertical="center"/>
    </xf>
    <xf numFmtId="4" fontId="35" fillId="33" borderId="74"/>
    <xf numFmtId="0" fontId="63" fillId="56" borderId="70" applyNumberFormat="0" applyAlignment="0" applyProtection="0"/>
    <xf numFmtId="0" fontId="33" fillId="34" borderId="75">
      <alignment horizontal="right" vertical="center"/>
    </xf>
    <xf numFmtId="4" fontId="33" fillId="34" borderId="108">
      <alignment horizontal="right" vertical="center"/>
    </xf>
    <xf numFmtId="0" fontId="33" fillId="34" borderId="79">
      <alignment horizontal="right" vertical="center"/>
    </xf>
    <xf numFmtId="0" fontId="35" fillId="33" borderId="79"/>
    <xf numFmtId="0" fontId="27" fillId="23" borderId="0" applyNumberFormat="0" applyBorder="0" applyAlignment="0" applyProtection="0"/>
    <xf numFmtId="4" fontId="33" fillId="34" borderId="75">
      <alignment horizontal="right" vertical="center"/>
    </xf>
    <xf numFmtId="0" fontId="27" fillId="17" borderId="0" applyNumberFormat="0" applyBorder="0" applyAlignment="0" applyProtection="0"/>
    <xf numFmtId="4" fontId="35" fillId="0" borderId="119">
      <alignment horizontal="right" vertical="center"/>
    </xf>
    <xf numFmtId="4" fontId="37" fillId="32" borderId="98">
      <alignment horizontal="right" vertical="center"/>
    </xf>
    <xf numFmtId="0" fontId="35" fillId="33" borderId="79"/>
    <xf numFmtId="0" fontId="30" fillId="13" borderId="13" applyNumberFormat="0" applyAlignment="0" applyProtection="0"/>
    <xf numFmtId="4" fontId="37" fillId="32" borderId="74">
      <alignment horizontal="right" vertical="center"/>
    </xf>
    <xf numFmtId="0" fontId="35" fillId="34" borderId="77">
      <alignment horizontal="left" vertical="center" wrapText="1" indent="2"/>
    </xf>
    <xf numFmtId="0" fontId="27" fillId="26" borderId="0" applyNumberFormat="0" applyBorder="0" applyAlignment="0" applyProtection="0"/>
    <xf numFmtId="0" fontId="27" fillId="17" borderId="0" applyNumberFormat="0" applyBorder="0" applyAlignment="0" applyProtection="0"/>
    <xf numFmtId="4" fontId="33" fillId="34" borderId="79">
      <alignment horizontal="right" vertical="center"/>
    </xf>
    <xf numFmtId="4" fontId="37" fillId="32" borderId="129">
      <alignment horizontal="right" vertical="center"/>
    </xf>
    <xf numFmtId="0" fontId="66" fillId="0" borderId="72" applyNumberFormat="0" applyFill="0" applyAlignment="0" applyProtection="0"/>
    <xf numFmtId="0" fontId="41" fillId="59" borderId="118" applyNumberFormat="0" applyFont="0" applyAlignment="0" applyProtection="0"/>
    <xf numFmtId="0" fontId="50" fillId="43" borderId="103" applyNumberFormat="0" applyAlignment="0" applyProtection="0"/>
    <xf numFmtId="4" fontId="37" fillId="32" borderId="79">
      <alignment horizontal="right" vertical="center"/>
    </xf>
    <xf numFmtId="4" fontId="33" fillId="34" borderId="76">
      <alignment horizontal="right" vertical="center"/>
    </xf>
    <xf numFmtId="0" fontId="59" fillId="43" borderId="103" applyNumberFormat="0" applyAlignment="0" applyProtection="0"/>
    <xf numFmtId="0" fontId="5" fillId="59" borderId="73" applyNumberFormat="0" applyFont="0" applyAlignment="0" applyProtection="0"/>
    <xf numFmtId="0" fontId="1" fillId="0" borderId="0" applyNumberFormat="0" applyFill="0" applyBorder="0" applyAlignment="0" applyProtection="0"/>
    <xf numFmtId="0" fontId="27" fillId="15" borderId="0" applyNumberFormat="0" applyBorder="0" applyAlignment="0" applyProtection="0"/>
    <xf numFmtId="0" fontId="27" fillId="23" borderId="0" applyNumberFormat="0" applyBorder="0" applyAlignment="0" applyProtection="0"/>
    <xf numFmtId="0" fontId="35" fillId="32" borderId="120">
      <alignment horizontal="left" vertical="center"/>
    </xf>
    <xf numFmtId="0" fontId="63" fillId="56" borderId="94" applyNumberFormat="0" applyAlignment="0" applyProtection="0"/>
    <xf numFmtId="0" fontId="35" fillId="34" borderId="117">
      <alignment horizontal="left" vertical="center" wrapText="1" indent="2"/>
    </xf>
    <xf numFmtId="0" fontId="35" fillId="34" borderId="77">
      <alignment horizontal="left" vertical="center" wrapText="1" indent="2"/>
    </xf>
    <xf numFmtId="4" fontId="33" fillId="34" borderId="76">
      <alignment horizontal="right" vertical="center"/>
    </xf>
    <xf numFmtId="0" fontId="63" fillId="56" borderId="70" applyNumberFormat="0" applyAlignment="0" applyProtection="0"/>
    <xf numFmtId="4" fontId="37" fillId="32" borderId="74">
      <alignment horizontal="right" vertical="center"/>
    </xf>
    <xf numFmtId="4" fontId="33" fillId="34" borderId="74">
      <alignment horizontal="right" vertical="center"/>
    </xf>
    <xf numFmtId="0" fontId="47" fillId="56" borderId="71" applyNumberFormat="0" applyAlignment="0" applyProtection="0"/>
    <xf numFmtId="0" fontId="66" fillId="0" borderId="72" applyNumberFormat="0" applyFill="0" applyAlignment="0" applyProtection="0"/>
    <xf numFmtId="4" fontId="33" fillId="34" borderId="74">
      <alignment horizontal="right" vertical="center"/>
    </xf>
    <xf numFmtId="4" fontId="37" fillId="32" borderId="74">
      <alignment horizontal="right" vertical="center"/>
    </xf>
    <xf numFmtId="0" fontId="31" fillId="0" borderId="0" applyNumberFormat="0" applyFill="0" applyBorder="0" applyAlignment="0" applyProtection="0"/>
    <xf numFmtId="0" fontId="51" fillId="0" borderId="72" applyNumberFormat="0" applyFill="0" applyAlignment="0" applyProtection="0"/>
    <xf numFmtId="0" fontId="50" fillId="43" borderId="71" applyNumberFormat="0" applyAlignment="0" applyProtection="0"/>
    <xf numFmtId="0" fontId="63" fillId="56" borderId="70" applyNumberFormat="0" applyAlignment="0" applyProtection="0"/>
    <xf numFmtId="0" fontId="44" fillId="56" borderId="70" applyNumberFormat="0" applyAlignment="0" applyProtection="0"/>
    <xf numFmtId="0" fontId="27" fillId="15" borderId="0" applyNumberFormat="0" applyBorder="0" applyAlignment="0" applyProtection="0"/>
    <xf numFmtId="4" fontId="35" fillId="0" borderId="106" applyFill="0" applyBorder="0" applyProtection="0">
      <alignment horizontal="right" vertical="center"/>
    </xf>
    <xf numFmtId="0" fontId="41" fillId="59" borderId="105" applyNumberFormat="0" applyFont="0" applyAlignment="0" applyProtection="0"/>
    <xf numFmtId="0" fontId="2" fillId="0" borderId="15" applyNumberFormat="0" applyFill="0" applyAlignment="0" applyProtection="0"/>
    <xf numFmtId="0" fontId="47" fillId="56" borderId="71" applyNumberFormat="0" applyAlignment="0" applyProtection="0"/>
    <xf numFmtId="0" fontId="41" fillId="59" borderId="78" applyNumberFormat="0" applyFont="0" applyAlignment="0" applyProtection="0"/>
    <xf numFmtId="0" fontId="35" fillId="0" borderId="119">
      <alignment horizontal="right" vertical="center"/>
    </xf>
    <xf numFmtId="0" fontId="27" fillId="21" borderId="0" applyNumberFormat="0" applyBorder="0" applyAlignment="0" applyProtection="0"/>
    <xf numFmtId="0" fontId="51" fillId="0" borderId="72" applyNumberFormat="0" applyFill="0" applyAlignment="0" applyProtection="0"/>
    <xf numFmtId="0" fontId="63" fillId="56" borderId="70" applyNumberFormat="0" applyAlignment="0" applyProtection="0"/>
    <xf numFmtId="4" fontId="35" fillId="0" borderId="74" applyFill="0" applyBorder="0" applyProtection="0">
      <alignment horizontal="right" vertical="center"/>
    </xf>
    <xf numFmtId="0" fontId="46" fillId="56" borderId="71" applyNumberFormat="0" applyAlignment="0" applyProtection="0"/>
    <xf numFmtId="0" fontId="63" fillId="56" borderId="70" applyNumberFormat="0" applyAlignment="0" applyProtection="0"/>
    <xf numFmtId="0" fontId="35" fillId="34" borderId="77">
      <alignment horizontal="left" vertical="center" wrapText="1" indent="2"/>
    </xf>
    <xf numFmtId="0" fontId="59" fillId="43" borderId="71" applyNumberFormat="0" applyAlignment="0" applyProtection="0"/>
    <xf numFmtId="0" fontId="5" fillId="59" borderId="73" applyNumberFormat="0" applyFont="0" applyAlignment="0" applyProtection="0"/>
    <xf numFmtId="4" fontId="37" fillId="32" borderId="74">
      <alignment horizontal="right" vertical="center"/>
    </xf>
    <xf numFmtId="0" fontId="33" fillId="34" borderId="74">
      <alignment horizontal="right" vertical="center"/>
    </xf>
    <xf numFmtId="0" fontId="50" fillId="43" borderId="71" applyNumberFormat="0" applyAlignment="0" applyProtection="0"/>
    <xf numFmtId="173" fontId="35" fillId="60" borderId="74" applyNumberFormat="0" applyFont="0" applyBorder="0" applyAlignment="0" applyProtection="0">
      <alignment horizontal="right" vertical="center"/>
    </xf>
    <xf numFmtId="49" fontId="35" fillId="0" borderId="74" applyNumberFormat="0" applyFont="0" applyFill="0" applyBorder="0" applyProtection="0">
      <alignment horizontal="left" vertical="center" indent="2"/>
    </xf>
    <xf numFmtId="0" fontId="50" fillId="43" borderId="84" applyNumberFormat="0" applyAlignment="0" applyProtection="0"/>
    <xf numFmtId="0" fontId="51" fillId="0" borderId="85" applyNumberFormat="0" applyFill="0" applyAlignment="0" applyProtection="0"/>
    <xf numFmtId="4" fontId="33" fillId="34" borderId="108">
      <alignment horizontal="right" vertical="center"/>
    </xf>
    <xf numFmtId="4" fontId="33" fillId="34" borderId="106">
      <alignment horizontal="right" vertical="center"/>
    </xf>
    <xf numFmtId="0" fontId="35" fillId="33" borderId="74"/>
    <xf numFmtId="0" fontId="35" fillId="0" borderId="74">
      <alignment horizontal="right" vertical="center"/>
    </xf>
    <xf numFmtId="0" fontId="47" fillId="56" borderId="95" applyNumberFormat="0" applyAlignment="0" applyProtection="0"/>
    <xf numFmtId="0" fontId="5" fillId="59" borderId="105" applyNumberFormat="0" applyFont="0" applyAlignment="0" applyProtection="0"/>
    <xf numFmtId="0" fontId="47" fillId="56" borderId="95" applyNumberFormat="0" applyAlignment="0" applyProtection="0"/>
    <xf numFmtId="0" fontId="35" fillId="0" borderId="106">
      <alignment horizontal="right" vertical="center"/>
    </xf>
    <xf numFmtId="0" fontId="47" fillId="56" borderId="84" applyNumberFormat="0" applyAlignment="0" applyProtection="0"/>
    <xf numFmtId="0" fontId="47" fillId="56" borderId="103" applyNumberFormat="0" applyAlignment="0" applyProtection="0"/>
    <xf numFmtId="0" fontId="27" fillId="27" borderId="0" applyNumberFormat="0" applyBorder="0" applyAlignment="0" applyProtection="0"/>
    <xf numFmtId="0" fontId="27" fillId="18" borderId="0" applyNumberFormat="0" applyBorder="0" applyAlignment="0" applyProtection="0"/>
    <xf numFmtId="0" fontId="5" fillId="59" borderId="105" applyNumberFormat="0" applyFont="0" applyAlignment="0" applyProtection="0"/>
    <xf numFmtId="0" fontId="12" fillId="19" borderId="0" applyNumberFormat="0" applyBorder="0" applyAlignment="0" applyProtection="0"/>
    <xf numFmtId="0" fontId="33" fillId="34" borderId="80">
      <alignment horizontal="right" vertical="center"/>
    </xf>
    <xf numFmtId="0" fontId="66" fillId="0" borderId="85" applyNumberFormat="0" applyFill="0" applyAlignment="0" applyProtection="0"/>
    <xf numFmtId="0" fontId="27" fillId="30" borderId="0" applyNumberFormat="0" applyBorder="0" applyAlignment="0" applyProtection="0"/>
    <xf numFmtId="4" fontId="33" fillId="34" borderId="74">
      <alignment horizontal="right" vertical="center"/>
    </xf>
    <xf numFmtId="0" fontId="35" fillId="0" borderId="79" applyNumberFormat="0" applyFill="0" applyAlignment="0" applyProtection="0"/>
    <xf numFmtId="0" fontId="47" fillId="56" borderId="84" applyNumberFormat="0" applyAlignment="0" applyProtection="0"/>
    <xf numFmtId="49" fontId="34" fillId="0" borderId="137" applyNumberFormat="0" applyFill="0" applyBorder="0" applyProtection="0">
      <alignment horizontal="left" vertical="center"/>
    </xf>
    <xf numFmtId="0" fontId="41" fillId="59" borderId="89" applyNumberFormat="0" applyFont="0" applyAlignment="0" applyProtection="0"/>
    <xf numFmtId="0" fontId="33" fillId="32" borderId="79">
      <alignment horizontal="right" vertical="center"/>
    </xf>
    <xf numFmtId="0" fontId="47" fillId="56" borderId="84" applyNumberFormat="0" applyAlignment="0" applyProtection="0"/>
    <xf numFmtId="0" fontId="50" fillId="43" borderId="126" applyNumberFormat="0" applyAlignment="0" applyProtection="0"/>
    <xf numFmtId="0" fontId="63" fillId="56" borderId="110" applyNumberFormat="0" applyAlignment="0" applyProtection="0"/>
    <xf numFmtId="0" fontId="51" fillId="0" borderId="72" applyNumberFormat="0" applyFill="0" applyAlignment="0" applyProtection="0"/>
    <xf numFmtId="0" fontId="35" fillId="0" borderId="77">
      <alignment horizontal="left" vertical="center" wrapText="1" indent="2"/>
    </xf>
    <xf numFmtId="4" fontId="35" fillId="33" borderId="79"/>
    <xf numFmtId="0" fontId="27" fillId="21" borderId="0" applyNumberFormat="0" applyBorder="0" applyAlignment="0" applyProtection="0"/>
    <xf numFmtId="0" fontId="66" fillId="0" borderId="72" applyNumberFormat="0" applyFill="0" applyAlignment="0" applyProtection="0"/>
    <xf numFmtId="0" fontId="27" fillId="30" borderId="0" applyNumberFormat="0" applyBorder="0" applyAlignment="0" applyProtection="0"/>
    <xf numFmtId="0" fontId="2" fillId="0" borderId="15" applyNumberFormat="0" applyFill="0" applyAlignment="0" applyProtection="0"/>
    <xf numFmtId="4" fontId="35" fillId="0" borderId="106">
      <alignment horizontal="right" vertical="center"/>
    </xf>
    <xf numFmtId="0" fontId="35" fillId="0" borderId="109">
      <alignment horizontal="left" vertical="center" wrapText="1" indent="2"/>
    </xf>
    <xf numFmtId="0" fontId="63" fillId="56" borderId="70" applyNumberFormat="0" applyAlignment="0" applyProtection="0"/>
    <xf numFmtId="173" fontId="35" fillId="60" borderId="74" applyNumberFormat="0" applyFont="0" applyBorder="0" applyAlignment="0" applyProtection="0">
      <alignment horizontal="right" vertical="center"/>
    </xf>
    <xf numFmtId="0" fontId="35" fillId="0" borderId="82">
      <alignment horizontal="left" vertical="center" wrapText="1" indent="2"/>
    </xf>
    <xf numFmtId="0" fontId="12" fillId="28" borderId="0" applyNumberFormat="0" applyBorder="0" applyAlignment="0" applyProtection="0"/>
    <xf numFmtId="0" fontId="44" fillId="56" borderId="86" applyNumberFormat="0" applyAlignment="0" applyProtection="0"/>
    <xf numFmtId="4" fontId="33" fillId="34" borderId="81">
      <alignment horizontal="right" vertical="center"/>
    </xf>
    <xf numFmtId="0" fontId="27" fillId="18" borderId="0" applyNumberFormat="0" applyBorder="0" applyAlignment="0" applyProtection="0"/>
    <xf numFmtId="0" fontId="35" fillId="0" borderId="79" applyNumberFormat="0" applyFill="0" applyAlignment="0" applyProtection="0"/>
    <xf numFmtId="4" fontId="33" fillId="34" borderId="106">
      <alignment horizontal="right" vertical="center"/>
    </xf>
    <xf numFmtId="0" fontId="27" fillId="29" borderId="0" applyNumberFormat="0" applyBorder="0" applyAlignment="0" applyProtection="0"/>
    <xf numFmtId="0" fontId="51" fillId="0" borderId="85" applyNumberFormat="0" applyFill="0" applyAlignment="0" applyProtection="0"/>
    <xf numFmtId="0" fontId="27" fillId="21" borderId="0" applyNumberFormat="0" applyBorder="0" applyAlignment="0" applyProtection="0"/>
    <xf numFmtId="49" fontId="35" fillId="0" borderId="74" applyNumberFormat="0" applyFont="0" applyFill="0" applyBorder="0" applyProtection="0">
      <alignment horizontal="left" vertical="center" indent="2"/>
    </xf>
    <xf numFmtId="4" fontId="35" fillId="0" borderId="74" applyFill="0" applyBorder="0" applyProtection="0">
      <alignment horizontal="right" vertical="center"/>
    </xf>
    <xf numFmtId="4" fontId="33" fillId="32" borderId="74">
      <alignment horizontal="right" vertical="center"/>
    </xf>
    <xf numFmtId="0" fontId="35" fillId="34" borderId="82">
      <alignment horizontal="left" vertical="center" wrapText="1" indent="2"/>
    </xf>
    <xf numFmtId="0" fontId="27" fillId="26" borderId="0" applyNumberFormat="0" applyBorder="0" applyAlignment="0" applyProtection="0"/>
    <xf numFmtId="0" fontId="44" fillId="56" borderId="123" applyNumberFormat="0" applyAlignment="0" applyProtection="0"/>
    <xf numFmtId="4" fontId="35" fillId="33" borderId="74"/>
    <xf numFmtId="0" fontId="29" fillId="13" borderId="14" applyNumberFormat="0" applyAlignment="0" applyProtection="0"/>
    <xf numFmtId="0" fontId="33" fillId="34" borderId="131">
      <alignment horizontal="right" vertical="center"/>
    </xf>
    <xf numFmtId="0" fontId="27" fillId="21" borderId="0" applyNumberFormat="0" applyBorder="0" applyAlignment="0" applyProtection="0"/>
    <xf numFmtId="0" fontId="33" fillId="34" borderId="76">
      <alignment horizontal="right" vertical="center"/>
    </xf>
    <xf numFmtId="0" fontId="27" fillId="24" borderId="0" applyNumberFormat="0" applyBorder="0" applyAlignment="0" applyProtection="0"/>
    <xf numFmtId="0" fontId="41" fillId="59" borderId="73" applyNumberFormat="0" applyFont="0" applyAlignment="0" applyProtection="0"/>
    <xf numFmtId="0" fontId="12" fillId="25" borderId="0" applyNumberFormat="0" applyBorder="0" applyAlignment="0" applyProtection="0"/>
    <xf numFmtId="0" fontId="35" fillId="0" borderId="74">
      <alignment horizontal="right" vertical="center"/>
    </xf>
    <xf numFmtId="4" fontId="35" fillId="33" borderId="74"/>
    <xf numFmtId="0" fontId="41" fillId="59" borderId="73" applyNumberFormat="0" applyFont="0" applyAlignment="0" applyProtection="0"/>
    <xf numFmtId="4" fontId="33" fillId="34" borderId="74">
      <alignment horizontal="right" vertical="center"/>
    </xf>
    <xf numFmtId="0" fontId="63" fillId="56" borderId="110" applyNumberFormat="0" applyAlignment="0" applyProtection="0"/>
    <xf numFmtId="49" fontId="35" fillId="0" borderId="106" applyNumberFormat="0" applyFont="0" applyFill="0" applyBorder="0" applyProtection="0">
      <alignment horizontal="left" vertical="center" indent="2"/>
    </xf>
    <xf numFmtId="4" fontId="33" fillId="32" borderId="90">
      <alignment horizontal="right" vertical="center"/>
    </xf>
    <xf numFmtId="0" fontId="12" fillId="22" borderId="0" applyNumberFormat="0" applyBorder="0" applyAlignment="0" applyProtection="0"/>
    <xf numFmtId="0" fontId="63" fillId="56" borderId="70" applyNumberFormat="0" applyAlignment="0" applyProtection="0"/>
    <xf numFmtId="49" fontId="35" fillId="0" borderId="75" applyNumberFormat="0" applyFont="0" applyFill="0" applyBorder="0" applyProtection="0">
      <alignment horizontal="left" vertical="center" indent="5"/>
    </xf>
    <xf numFmtId="4" fontId="37" fillId="32" borderId="129">
      <alignment horizontal="right" vertical="center"/>
    </xf>
    <xf numFmtId="49" fontId="35" fillId="0" borderId="75" applyNumberFormat="0" applyFont="0" applyFill="0" applyBorder="0" applyProtection="0">
      <alignment horizontal="left" vertical="center" indent="5"/>
    </xf>
    <xf numFmtId="0" fontId="12" fillId="22" borderId="0" applyNumberFormat="0" applyBorder="0" applyAlignment="0" applyProtection="0"/>
    <xf numFmtId="0" fontId="46" fillId="56" borderId="84" applyNumberFormat="0" applyAlignment="0" applyProtection="0"/>
    <xf numFmtId="0" fontId="33" fillId="32" borderId="74">
      <alignment horizontal="right" vertical="center"/>
    </xf>
    <xf numFmtId="0" fontId="33" fillId="34" borderId="129">
      <alignment horizontal="right" vertical="center"/>
    </xf>
    <xf numFmtId="0" fontId="59" fillId="43" borderId="71" applyNumberFormat="0" applyAlignment="0" applyProtection="0"/>
    <xf numFmtId="0" fontId="47" fillId="56" borderId="71" applyNumberFormat="0" applyAlignment="0" applyProtection="0"/>
    <xf numFmtId="0" fontId="35" fillId="34" borderId="77">
      <alignment horizontal="left" vertical="center" wrapText="1" indent="2"/>
    </xf>
    <xf numFmtId="173" fontId="35" fillId="60" borderId="79" applyNumberFormat="0" applyFont="0" applyBorder="0" applyAlignment="0" applyProtection="0">
      <alignment horizontal="right" vertical="center"/>
    </xf>
    <xf numFmtId="0" fontId="51" fillId="0" borderId="72" applyNumberFormat="0" applyFill="0" applyAlignment="0" applyProtection="0"/>
    <xf numFmtId="0" fontId="41" fillId="59" borderId="97" applyNumberFormat="0" applyFont="0" applyAlignment="0" applyProtection="0"/>
    <xf numFmtId="0" fontId="33" fillId="34" borderId="81">
      <alignment horizontal="right" vertical="center"/>
    </xf>
    <xf numFmtId="0" fontId="35" fillId="33" borderId="79"/>
    <xf numFmtId="0" fontId="30" fillId="13" borderId="13" applyNumberFormat="0" applyAlignment="0" applyProtection="0"/>
    <xf numFmtId="0" fontId="46" fillId="56" borderId="71" applyNumberFormat="0" applyAlignment="0" applyProtection="0"/>
    <xf numFmtId="0" fontId="30" fillId="13" borderId="13" applyNumberFormat="0" applyAlignment="0" applyProtection="0"/>
    <xf numFmtId="0" fontId="37" fillId="32" borderId="74">
      <alignment horizontal="right" vertical="center"/>
    </xf>
    <xf numFmtId="0" fontId="29" fillId="13" borderId="14" applyNumberFormat="0" applyAlignment="0" applyProtection="0"/>
    <xf numFmtId="0" fontId="27" fillId="20" borderId="0" applyNumberFormat="0" applyBorder="0" applyAlignment="0" applyProtection="0"/>
    <xf numFmtId="0" fontId="50" fillId="43" borderId="84" applyNumberFormat="0" applyAlignment="0" applyProtection="0"/>
    <xf numFmtId="0" fontId="33" fillId="34" borderId="75">
      <alignment horizontal="right" vertical="center"/>
    </xf>
    <xf numFmtId="0" fontId="59" fillId="43" borderId="84" applyNumberFormat="0" applyAlignment="0" applyProtection="0"/>
    <xf numFmtId="0" fontId="12" fillId="22" borderId="0" applyNumberFormat="0" applyBorder="0" applyAlignment="0" applyProtection="0"/>
    <xf numFmtId="0" fontId="33" fillId="34" borderId="75">
      <alignment horizontal="right" vertical="center"/>
    </xf>
    <xf numFmtId="0" fontId="35" fillId="0" borderId="109">
      <alignment horizontal="left" vertical="center" wrapText="1" indent="2"/>
    </xf>
    <xf numFmtId="0" fontId="33" fillId="32" borderId="74">
      <alignment horizontal="right" vertical="center"/>
    </xf>
    <xf numFmtId="0" fontId="12" fillId="31" borderId="0" applyNumberFormat="0" applyBorder="0" applyAlignment="0" applyProtection="0"/>
    <xf numFmtId="0" fontId="35" fillId="33" borderId="74"/>
    <xf numFmtId="0" fontId="27" fillId="17" borderId="0" applyNumberFormat="0" applyBorder="0" applyAlignment="0" applyProtection="0"/>
    <xf numFmtId="4" fontId="37" fillId="32" borderId="74">
      <alignment horizontal="right" vertical="center"/>
    </xf>
    <xf numFmtId="0" fontId="35" fillId="32" borderId="75">
      <alignment horizontal="left" vertical="center"/>
    </xf>
    <xf numFmtId="0" fontId="66" fillId="0" borderId="72" applyNumberFormat="0" applyFill="0" applyAlignment="0" applyProtection="0"/>
    <xf numFmtId="0" fontId="50" fillId="43" borderId="84" applyNumberFormat="0" applyAlignment="0" applyProtection="0"/>
    <xf numFmtId="0" fontId="35" fillId="32" borderId="80">
      <alignment horizontal="left" vertical="center"/>
    </xf>
    <xf numFmtId="49" fontId="34" fillId="0" borderId="74" applyNumberFormat="0" applyFill="0" applyBorder="0" applyProtection="0">
      <alignment horizontal="left" vertical="center"/>
    </xf>
    <xf numFmtId="0" fontId="35" fillId="0" borderId="77">
      <alignment horizontal="left" vertical="center" wrapText="1" indent="2"/>
    </xf>
    <xf numFmtId="0" fontId="33" fillId="32" borderId="79">
      <alignment horizontal="right" vertical="center"/>
    </xf>
    <xf numFmtId="0" fontId="51" fillId="0" borderId="127" applyNumberFormat="0" applyFill="0" applyAlignment="0" applyProtection="0"/>
    <xf numFmtId="4" fontId="35" fillId="0" borderId="79">
      <alignment horizontal="right" vertical="center"/>
    </xf>
    <xf numFmtId="0" fontId="66" fillId="0" borderId="72" applyNumberFormat="0" applyFill="0" applyAlignment="0" applyProtection="0"/>
    <xf numFmtId="0" fontId="37" fillId="32" borderId="74">
      <alignment horizontal="right" vertical="center"/>
    </xf>
    <xf numFmtId="0" fontId="35" fillId="0" borderId="77">
      <alignment horizontal="left" vertical="center" wrapText="1" indent="2"/>
    </xf>
    <xf numFmtId="0" fontId="27" fillId="29" borderId="0" applyNumberFormat="0" applyBorder="0" applyAlignment="0" applyProtection="0"/>
    <xf numFmtId="49" fontId="35" fillId="0" borderId="75" applyNumberFormat="0" applyFont="0" applyFill="0" applyBorder="0" applyProtection="0">
      <alignment horizontal="left" vertical="center" indent="5"/>
    </xf>
    <xf numFmtId="0" fontId="1" fillId="0" borderId="0" applyNumberFormat="0" applyFill="0" applyBorder="0" applyAlignment="0" applyProtection="0"/>
    <xf numFmtId="0" fontId="51" fillId="0" borderId="72" applyNumberFormat="0" applyFill="0" applyAlignment="0" applyProtection="0"/>
    <xf numFmtId="4" fontId="37" fillId="32" borderId="79">
      <alignment horizontal="right" vertical="center"/>
    </xf>
    <xf numFmtId="0" fontId="27" fillId="29" borderId="0" applyNumberFormat="0" applyBorder="0" applyAlignment="0" applyProtection="0"/>
    <xf numFmtId="0" fontId="27" fillId="17" borderId="0" applyNumberFormat="0" applyBorder="0" applyAlignment="0" applyProtection="0"/>
    <xf numFmtId="0" fontId="66" fillId="0" borderId="72" applyNumberFormat="0" applyFill="0" applyAlignment="0" applyProtection="0"/>
    <xf numFmtId="0" fontId="33" fillId="34" borderId="74">
      <alignment horizontal="right" vertical="center"/>
    </xf>
    <xf numFmtId="0" fontId="66" fillId="0" borderId="125" applyNumberFormat="0" applyFill="0" applyAlignment="0" applyProtection="0"/>
    <xf numFmtId="0" fontId="66" fillId="0" borderId="85" applyNumberFormat="0" applyFill="0" applyAlignment="0" applyProtection="0"/>
    <xf numFmtId="173" fontId="35" fillId="60" borderId="74" applyNumberFormat="0" applyFont="0" applyBorder="0" applyAlignment="0" applyProtection="0">
      <alignment horizontal="right" vertical="center"/>
    </xf>
    <xf numFmtId="0" fontId="41" fillId="59" borderId="73" applyNumberFormat="0" applyFont="0" applyAlignment="0" applyProtection="0"/>
    <xf numFmtId="4" fontId="33" fillId="34" borderId="108">
      <alignment horizontal="right" vertical="center"/>
    </xf>
    <xf numFmtId="4" fontId="35" fillId="33" borderId="79"/>
    <xf numFmtId="0" fontId="59" fillId="43" borderId="71" applyNumberFormat="0" applyAlignment="0" applyProtection="0"/>
    <xf numFmtId="0" fontId="59" fillId="43" borderId="84" applyNumberFormat="0" applyAlignment="0" applyProtection="0"/>
    <xf numFmtId="0" fontId="47" fillId="56" borderId="71" applyNumberFormat="0" applyAlignment="0" applyProtection="0"/>
    <xf numFmtId="0" fontId="35" fillId="0" borderId="77">
      <alignment horizontal="left" vertical="center" wrapText="1" indent="2"/>
    </xf>
    <xf numFmtId="0" fontId="59" fillId="43" borderId="71" applyNumberFormat="0" applyAlignment="0" applyProtection="0"/>
    <xf numFmtId="0" fontId="44" fillId="56" borderId="70" applyNumberFormat="0" applyAlignment="0" applyProtection="0"/>
    <xf numFmtId="0" fontId="47" fillId="56" borderId="71" applyNumberFormat="0" applyAlignment="0" applyProtection="0"/>
    <xf numFmtId="0" fontId="35" fillId="34" borderId="77">
      <alignment horizontal="left" vertical="center" wrapText="1" indent="2"/>
    </xf>
    <xf numFmtId="0" fontId="5" fillId="59" borderId="78" applyNumberFormat="0" applyFont="0" applyAlignment="0" applyProtection="0"/>
    <xf numFmtId="4" fontId="33" fillId="34" borderId="138">
      <alignment horizontal="right" vertical="center"/>
    </xf>
    <xf numFmtId="0" fontId="35" fillId="34" borderId="77">
      <alignment horizontal="left" vertical="center" wrapText="1" indent="2"/>
    </xf>
    <xf numFmtId="0" fontId="35" fillId="33" borderId="74"/>
    <xf numFmtId="0" fontId="30" fillId="13" borderId="13" applyNumberFormat="0" applyAlignment="0" applyProtection="0"/>
    <xf numFmtId="49" fontId="35" fillId="0" borderId="106" applyNumberFormat="0" applyFont="0" applyFill="0" applyBorder="0" applyProtection="0">
      <alignment horizontal="left" vertical="center" indent="2"/>
    </xf>
    <xf numFmtId="0" fontId="35" fillId="0" borderId="77">
      <alignment horizontal="left" vertical="center" wrapText="1" indent="2"/>
    </xf>
    <xf numFmtId="4" fontId="33" fillId="32" borderId="74">
      <alignment horizontal="right" vertical="center"/>
    </xf>
    <xf numFmtId="0" fontId="35" fillId="0" borderId="106">
      <alignment horizontal="right" vertical="center"/>
    </xf>
    <xf numFmtId="0" fontId="27" fillId="27" borderId="0" applyNumberFormat="0" applyBorder="0" applyAlignment="0" applyProtection="0"/>
    <xf numFmtId="0" fontId="27" fillId="27" borderId="0" applyNumberFormat="0" applyBorder="0" applyAlignment="0" applyProtection="0"/>
    <xf numFmtId="0" fontId="50" fillId="43" borderId="84" applyNumberFormat="0" applyAlignment="0" applyProtection="0"/>
    <xf numFmtId="0" fontId="27" fillId="29" borderId="0" applyNumberFormat="0" applyBorder="0" applyAlignment="0" applyProtection="0"/>
    <xf numFmtId="0" fontId="33" fillId="32" borderId="79">
      <alignment horizontal="right" vertical="center"/>
    </xf>
    <xf numFmtId="0" fontId="12" fillId="28" borderId="0" applyNumberFormat="0" applyBorder="0" applyAlignment="0" applyProtection="0"/>
    <xf numFmtId="0" fontId="5" fillId="59" borderId="73" applyNumberFormat="0" applyFont="0" applyAlignment="0" applyProtection="0"/>
    <xf numFmtId="4" fontId="33" fillId="34" borderId="74">
      <alignment horizontal="right" vertical="center"/>
    </xf>
    <xf numFmtId="49" fontId="35" fillId="0" borderId="74" applyNumberFormat="0" applyFont="0" applyFill="0" applyBorder="0" applyProtection="0">
      <alignment horizontal="left" vertical="center" indent="2"/>
    </xf>
    <xf numFmtId="0" fontId="27" fillId="26" borderId="0" applyNumberFormat="0" applyBorder="0" applyAlignment="0" applyProtection="0"/>
    <xf numFmtId="0" fontId="66" fillId="0" borderId="72" applyNumberFormat="0" applyFill="0" applyAlignment="0" applyProtection="0"/>
    <xf numFmtId="0" fontId="37" fillId="32" borderId="66">
      <alignment horizontal="right" vertical="center"/>
    </xf>
    <xf numFmtId="0" fontId="41" fillId="59" borderId="118" applyNumberFormat="0" applyFont="0" applyAlignment="0" applyProtection="0"/>
    <xf numFmtId="0" fontId="30" fillId="13" borderId="13" applyNumberFormat="0" applyAlignment="0" applyProtection="0"/>
    <xf numFmtId="4" fontId="33" fillId="34" borderId="79">
      <alignment horizontal="right" vertical="center"/>
    </xf>
    <xf numFmtId="0" fontId="35" fillId="0" borderId="79">
      <alignment horizontal="right" vertical="center"/>
    </xf>
    <xf numFmtId="0" fontId="63" fillId="56" borderId="70" applyNumberFormat="0" applyAlignment="0" applyProtection="0"/>
    <xf numFmtId="0" fontId="59" fillId="43" borderId="71" applyNumberFormat="0" applyAlignment="0" applyProtection="0"/>
    <xf numFmtId="4" fontId="35" fillId="0" borderId="79" applyFill="0" applyBorder="0" applyProtection="0">
      <alignment horizontal="right" vertical="center"/>
    </xf>
    <xf numFmtId="49" fontId="34" fillId="0" borderId="79" applyNumberFormat="0" applyFill="0" applyBorder="0" applyProtection="0">
      <alignment horizontal="left" vertical="center"/>
    </xf>
    <xf numFmtId="0" fontId="44" fillId="56" borderId="83" applyNumberFormat="0" applyAlignment="0" applyProtection="0"/>
    <xf numFmtId="173" fontId="35" fillId="60" borderId="79" applyNumberFormat="0" applyFont="0" applyBorder="0" applyAlignment="0" applyProtection="0">
      <alignment horizontal="right" vertical="center"/>
    </xf>
    <xf numFmtId="0" fontId="12" fillId="16" borderId="0" applyNumberFormat="0" applyBorder="0" applyAlignment="0" applyProtection="0"/>
    <xf numFmtId="0" fontId="66" fillId="0" borderId="72" applyNumberFormat="0" applyFill="0" applyAlignment="0" applyProtection="0"/>
    <xf numFmtId="0" fontId="35" fillId="0" borderId="98" applyNumberFormat="0" applyFill="0" applyAlignment="0" applyProtection="0"/>
    <xf numFmtId="0" fontId="27" fillId="29" borderId="0" applyNumberFormat="0" applyBorder="0" applyAlignment="0" applyProtection="0"/>
    <xf numFmtId="0" fontId="5" fillId="59" borderId="78" applyNumberFormat="0" applyFont="0" applyAlignment="0" applyProtection="0"/>
    <xf numFmtId="0" fontId="27" fillId="26" borderId="0" applyNumberFormat="0" applyBorder="0" applyAlignment="0" applyProtection="0"/>
    <xf numFmtId="4" fontId="35" fillId="0" borderId="74">
      <alignment horizontal="right" vertical="center"/>
    </xf>
    <xf numFmtId="4" fontId="33" fillId="34" borderId="79">
      <alignment horizontal="right" vertical="center"/>
    </xf>
    <xf numFmtId="0" fontId="37" fillId="32" borderId="119">
      <alignment horizontal="right" vertical="center"/>
    </xf>
    <xf numFmtId="0" fontId="27" fillId="24" borderId="0" applyNumberFormat="0" applyBorder="0" applyAlignment="0" applyProtection="0"/>
    <xf numFmtId="0" fontId="63" fillId="56" borderId="83" applyNumberFormat="0" applyAlignment="0" applyProtection="0"/>
    <xf numFmtId="0" fontId="41" fillId="59" borderId="128" applyNumberFormat="0" applyFont="0" applyAlignment="0" applyProtection="0"/>
    <xf numFmtId="0" fontId="66" fillId="0" borderId="127" applyNumberFormat="0" applyFill="0" applyAlignment="0" applyProtection="0"/>
    <xf numFmtId="0" fontId="63" fillId="56" borderId="70" applyNumberFormat="0" applyAlignment="0" applyProtection="0"/>
    <xf numFmtId="4" fontId="33" fillId="34" borderId="98">
      <alignment horizontal="right" vertical="center"/>
    </xf>
    <xf numFmtId="0" fontId="66" fillId="0" borderId="85" applyNumberFormat="0" applyFill="0" applyAlignment="0" applyProtection="0"/>
    <xf numFmtId="0" fontId="27" fillId="17" borderId="0" applyNumberFormat="0" applyBorder="0" applyAlignment="0" applyProtection="0"/>
    <xf numFmtId="0" fontId="35" fillId="0" borderId="79">
      <alignment horizontal="right" vertical="center"/>
    </xf>
    <xf numFmtId="4" fontId="33" fillId="32" borderId="74">
      <alignment horizontal="right" vertical="center"/>
    </xf>
    <xf numFmtId="0" fontId="35" fillId="32" borderId="80">
      <alignment horizontal="left" vertical="center"/>
    </xf>
    <xf numFmtId="0" fontId="33" fillId="34" borderId="79">
      <alignment horizontal="right" vertical="center"/>
    </xf>
    <xf numFmtId="0" fontId="35" fillId="0" borderId="82">
      <alignment horizontal="left" vertical="center" wrapText="1" indent="2"/>
    </xf>
    <xf numFmtId="0" fontId="29" fillId="13" borderId="14" applyNumberFormat="0" applyAlignment="0" applyProtection="0"/>
    <xf numFmtId="0" fontId="66" fillId="0" borderId="72" applyNumberFormat="0" applyFill="0" applyAlignment="0" applyProtection="0"/>
    <xf numFmtId="0" fontId="59" fillId="43" borderId="126" applyNumberFormat="0" applyAlignment="0" applyProtection="0"/>
    <xf numFmtId="0" fontId="5" fillId="59" borderId="73" applyNumberFormat="0" applyFont="0" applyAlignment="0" applyProtection="0"/>
    <xf numFmtId="0" fontId="33" fillId="34" borderId="107">
      <alignment horizontal="right" vertical="center"/>
    </xf>
    <xf numFmtId="0" fontId="35" fillId="33" borderId="119"/>
    <xf numFmtId="0" fontId="33" fillId="34" borderId="81">
      <alignment horizontal="right" vertical="center"/>
    </xf>
    <xf numFmtId="0" fontId="33" fillId="32" borderId="74">
      <alignment horizontal="right" vertical="center"/>
    </xf>
    <xf numFmtId="0" fontId="12" fillId="28" borderId="0" applyNumberFormat="0" applyBorder="0" applyAlignment="0" applyProtection="0"/>
    <xf numFmtId="4" fontId="33" fillId="34" borderId="79">
      <alignment horizontal="right" vertical="center"/>
    </xf>
    <xf numFmtId="0" fontId="44" fillId="56" borderId="70" applyNumberFormat="0" applyAlignment="0" applyProtection="0"/>
    <xf numFmtId="0" fontId="66" fillId="0" borderId="85" applyNumberFormat="0" applyFill="0" applyAlignment="0" applyProtection="0"/>
    <xf numFmtId="49" fontId="34" fillId="0" borderId="106" applyNumberFormat="0" applyFill="0" applyBorder="0" applyProtection="0">
      <alignment horizontal="left" vertical="center"/>
    </xf>
    <xf numFmtId="0" fontId="66" fillId="0" borderId="85" applyNumberFormat="0" applyFill="0" applyAlignment="0" applyProtection="0"/>
    <xf numFmtId="0" fontId="59" fillId="43" borderId="71" applyNumberFormat="0" applyAlignment="0" applyProtection="0"/>
    <xf numFmtId="0" fontId="50" fillId="43" borderId="84" applyNumberFormat="0" applyAlignment="0" applyProtection="0"/>
    <xf numFmtId="49" fontId="35" fillId="0" borderId="106" applyNumberFormat="0" applyFont="0" applyFill="0" applyBorder="0" applyProtection="0">
      <alignment horizontal="left" vertical="center" indent="2"/>
    </xf>
    <xf numFmtId="4" fontId="35" fillId="0" borderId="74">
      <alignment horizontal="right" vertical="center"/>
    </xf>
    <xf numFmtId="0" fontId="12" fillId="19" borderId="0" applyNumberFormat="0" applyBorder="0" applyAlignment="0" applyProtection="0"/>
    <xf numFmtId="0" fontId="63" fillId="56" borderId="83" applyNumberFormat="0" applyAlignment="0" applyProtection="0"/>
    <xf numFmtId="0" fontId="66" fillId="0" borderId="72" applyNumberFormat="0" applyFill="0" applyAlignment="0" applyProtection="0"/>
    <xf numFmtId="0" fontId="12" fillId="25" borderId="0" applyNumberFormat="0" applyBorder="0" applyAlignment="0" applyProtection="0"/>
    <xf numFmtId="0" fontId="66" fillId="0" borderId="85" applyNumberFormat="0" applyFill="0" applyAlignment="0" applyProtection="0"/>
    <xf numFmtId="0" fontId="59" fillId="43" borderId="111" applyNumberFormat="0" applyAlignment="0" applyProtection="0"/>
    <xf numFmtId="0" fontId="59" fillId="43" borderId="71" applyNumberFormat="0" applyAlignment="0" applyProtection="0"/>
    <xf numFmtId="0" fontId="35" fillId="33" borderId="106"/>
    <xf numFmtId="0" fontId="50" fillId="43" borderId="71" applyNumberFormat="0" applyAlignment="0" applyProtection="0"/>
    <xf numFmtId="49" fontId="35" fillId="0" borderId="80" applyNumberFormat="0" applyFont="0" applyFill="0" applyBorder="0" applyProtection="0">
      <alignment horizontal="left" vertical="center" indent="5"/>
    </xf>
    <xf numFmtId="0" fontId="63" fillId="56" borderId="102" applyNumberFormat="0" applyAlignment="0" applyProtection="0"/>
    <xf numFmtId="0" fontId="41" fillId="59" borderId="78" applyNumberFormat="0" applyFont="0" applyAlignment="0" applyProtection="0"/>
    <xf numFmtId="0" fontId="59" fillId="43" borderId="71" applyNumberFormat="0" applyAlignment="0" applyProtection="0"/>
    <xf numFmtId="0" fontId="27" fillId="14" borderId="0" applyNumberFormat="0" applyBorder="0" applyAlignment="0" applyProtection="0"/>
    <xf numFmtId="4" fontId="33" fillId="32" borderId="74">
      <alignment horizontal="right" vertical="center"/>
    </xf>
    <xf numFmtId="4" fontId="33" fillId="34" borderId="79">
      <alignment horizontal="right" vertical="center"/>
    </xf>
    <xf numFmtId="0" fontId="51" fillId="0" borderId="85" applyNumberFormat="0" applyFill="0" applyAlignment="0" applyProtection="0"/>
    <xf numFmtId="0" fontId="66" fillId="0" borderId="85" applyNumberFormat="0" applyFill="0" applyAlignment="0" applyProtection="0"/>
    <xf numFmtId="0" fontId="30" fillId="13" borderId="13" applyNumberFormat="0" applyAlignment="0" applyProtection="0"/>
    <xf numFmtId="0" fontId="12" fillId="22" borderId="0" applyNumberFormat="0" applyBorder="0" applyAlignment="0" applyProtection="0"/>
    <xf numFmtId="0" fontId="27" fillId="29" borderId="0" applyNumberFormat="0" applyBorder="0" applyAlignment="0" applyProtection="0"/>
    <xf numFmtId="0" fontId="47" fillId="56" borderId="71" applyNumberFormat="0" applyAlignment="0" applyProtection="0"/>
    <xf numFmtId="0" fontId="27" fillId="24" borderId="0" applyNumberFormat="0" applyBorder="0" applyAlignment="0" applyProtection="0"/>
    <xf numFmtId="0" fontId="35" fillId="0" borderId="82">
      <alignment horizontal="left" vertical="center" wrapText="1" indent="2"/>
    </xf>
    <xf numFmtId="0" fontId="47" fillId="56" borderId="103" applyNumberFormat="0" applyAlignment="0" applyProtection="0"/>
    <xf numFmtId="0" fontId="51" fillId="0" borderId="85" applyNumberFormat="0" applyFill="0" applyAlignment="0" applyProtection="0"/>
    <xf numFmtId="0" fontId="41" fillId="59" borderId="78" applyNumberFormat="0" applyFont="0" applyAlignment="0" applyProtection="0"/>
    <xf numFmtId="0" fontId="44" fillId="56" borderId="70" applyNumberFormat="0" applyAlignment="0" applyProtection="0"/>
    <xf numFmtId="0" fontId="59" fillId="43" borderId="71" applyNumberFormat="0" applyAlignment="0" applyProtection="0"/>
    <xf numFmtId="0" fontId="63" fillId="56" borderId="83" applyNumberFormat="0" applyAlignment="0" applyProtection="0"/>
    <xf numFmtId="0" fontId="37" fillId="32" borderId="74">
      <alignment horizontal="right" vertical="center"/>
    </xf>
    <xf numFmtId="0" fontId="27" fillId="27" borderId="0" applyNumberFormat="0" applyBorder="0" applyAlignment="0" applyProtection="0"/>
    <xf numFmtId="4" fontId="33" fillId="32" borderId="106">
      <alignment horizontal="right" vertical="center"/>
    </xf>
    <xf numFmtId="0" fontId="27" fillId="20" borderId="0" applyNumberFormat="0" applyBorder="0" applyAlignment="0" applyProtection="0"/>
    <xf numFmtId="0" fontId="5" fillId="59" borderId="73" applyNumberFormat="0" applyFont="0" applyAlignment="0" applyProtection="0"/>
    <xf numFmtId="0" fontId="27" fillId="20" borderId="0" applyNumberFormat="0" applyBorder="0" applyAlignment="0" applyProtection="0"/>
    <xf numFmtId="0" fontId="31" fillId="0" borderId="0" applyNumberFormat="0" applyFill="0" applyBorder="0" applyAlignment="0" applyProtection="0"/>
    <xf numFmtId="0" fontId="46" fillId="56" borderId="71" applyNumberFormat="0" applyAlignment="0" applyProtection="0"/>
    <xf numFmtId="0" fontId="59" fillId="43" borderId="84" applyNumberFormat="0" applyAlignment="0" applyProtection="0"/>
    <xf numFmtId="0" fontId="51" fillId="0" borderId="72" applyNumberFormat="0" applyFill="0" applyAlignment="0" applyProtection="0"/>
    <xf numFmtId="0" fontId="59" fillId="43" borderId="95" applyNumberFormat="0" applyAlignment="0" applyProtection="0"/>
    <xf numFmtId="0" fontId="12" fillId="31" borderId="0" applyNumberFormat="0" applyBorder="0" applyAlignment="0" applyProtection="0"/>
    <xf numFmtId="0" fontId="47" fillId="56" borderId="84" applyNumberFormat="0" applyAlignment="0" applyProtection="0"/>
    <xf numFmtId="0" fontId="35" fillId="34" borderId="77">
      <alignment horizontal="left" vertical="center" wrapText="1" indent="2"/>
    </xf>
    <xf numFmtId="0" fontId="63" fillId="56" borderId="83" applyNumberFormat="0" applyAlignment="0" applyProtection="0"/>
    <xf numFmtId="0" fontId="41" fillId="59" borderId="97" applyNumberFormat="0" applyFont="0" applyAlignment="0" applyProtection="0"/>
    <xf numFmtId="0" fontId="66" fillId="0" borderId="85" applyNumberFormat="0" applyFill="0" applyAlignment="0" applyProtection="0"/>
    <xf numFmtId="0" fontId="27" fillId="27" borderId="0" applyNumberFormat="0" applyBorder="0" applyAlignment="0" applyProtection="0"/>
    <xf numFmtId="0" fontId="27" fillId="24" borderId="0" applyNumberFormat="0" applyBorder="0" applyAlignment="0" applyProtection="0"/>
    <xf numFmtId="0" fontId="47" fillId="56" borderId="103" applyNumberFormat="0" applyAlignment="0" applyProtection="0"/>
    <xf numFmtId="0" fontId="46" fillId="56" borderId="84" applyNumberFormat="0" applyAlignment="0" applyProtection="0"/>
    <xf numFmtId="0" fontId="44" fillId="56" borderId="70" applyNumberFormat="0" applyAlignment="0" applyProtection="0"/>
    <xf numFmtId="0" fontId="66" fillId="0" borderId="125" applyNumberFormat="0" applyFill="0" applyAlignment="0" applyProtection="0"/>
    <xf numFmtId="0" fontId="35" fillId="33" borderId="74"/>
    <xf numFmtId="0" fontId="27" fillId="18" borderId="0" applyNumberFormat="0" applyBorder="0" applyAlignment="0" applyProtection="0"/>
    <xf numFmtId="0" fontId="35" fillId="33" borderId="79"/>
    <xf numFmtId="0" fontId="27" fillId="14" borderId="0" applyNumberFormat="0" applyBorder="0" applyAlignment="0" applyProtection="0"/>
    <xf numFmtId="0" fontId="59" fillId="43" borderId="84" applyNumberFormat="0" applyAlignment="0" applyProtection="0"/>
    <xf numFmtId="49" fontId="34" fillId="0" borderId="74" applyNumberFormat="0" applyFill="0" applyBorder="0" applyProtection="0">
      <alignment horizontal="left" vertical="center"/>
    </xf>
    <xf numFmtId="49" fontId="35" fillId="0" borderId="107" applyNumberFormat="0" applyFont="0" applyFill="0" applyBorder="0" applyProtection="0">
      <alignment horizontal="left" vertical="center" indent="5"/>
    </xf>
    <xf numFmtId="0" fontId="2" fillId="0" borderId="15" applyNumberFormat="0" applyFill="0" applyAlignment="0" applyProtection="0"/>
    <xf numFmtId="173" fontId="35" fillId="60" borderId="74" applyNumberFormat="0" applyFont="0" applyBorder="0" applyAlignment="0" applyProtection="0">
      <alignment horizontal="right" vertical="center"/>
    </xf>
    <xf numFmtId="0" fontId="27" fillId="15" borderId="0" applyNumberFormat="0" applyBorder="0" applyAlignment="0" applyProtection="0"/>
    <xf numFmtId="0" fontId="63" fillId="56" borderId="70" applyNumberFormat="0" applyAlignment="0" applyProtection="0"/>
    <xf numFmtId="4" fontId="37" fillId="32" borderId="137">
      <alignment horizontal="right" vertical="center"/>
    </xf>
    <xf numFmtId="173" fontId="35" fillId="60" borderId="74" applyNumberFormat="0" applyFont="0" applyBorder="0" applyAlignment="0" applyProtection="0">
      <alignment horizontal="right" vertical="center"/>
    </xf>
    <xf numFmtId="0" fontId="47" fillId="56" borderId="87" applyNumberFormat="0" applyAlignment="0" applyProtection="0"/>
    <xf numFmtId="4" fontId="35" fillId="0" borderId="74">
      <alignment horizontal="right" vertical="center"/>
    </xf>
    <xf numFmtId="0" fontId="47" fillId="56" borderId="71" applyNumberFormat="0" applyAlignment="0" applyProtection="0"/>
    <xf numFmtId="0" fontId="35" fillId="0" borderId="74" applyNumberFormat="0" applyFill="0" applyAlignment="0" applyProtection="0"/>
    <xf numFmtId="0" fontId="27" fillId="27" borderId="0" applyNumberFormat="0" applyBorder="0" applyAlignment="0" applyProtection="0"/>
    <xf numFmtId="0" fontId="35" fillId="0" borderId="74">
      <alignment horizontal="right" vertical="center"/>
    </xf>
    <xf numFmtId="0" fontId="59" fillId="43" borderId="84" applyNumberFormat="0" applyAlignment="0" applyProtection="0"/>
    <xf numFmtId="4" fontId="33" fillId="34" borderId="107">
      <alignment horizontal="right" vertical="center"/>
    </xf>
    <xf numFmtId="49" fontId="35" fillId="0" borderId="79" applyNumberFormat="0" applyFont="0" applyFill="0" applyBorder="0" applyProtection="0">
      <alignment horizontal="left" vertical="center" indent="2"/>
    </xf>
    <xf numFmtId="4" fontId="33" fillId="34" borderId="76">
      <alignment horizontal="right" vertical="center"/>
    </xf>
    <xf numFmtId="4" fontId="35" fillId="0" borderId="74" applyFill="0" applyBorder="0" applyProtection="0">
      <alignment horizontal="right" vertical="center"/>
    </xf>
    <xf numFmtId="0" fontId="35" fillId="33" borderId="74"/>
    <xf numFmtId="0" fontId="66" fillId="0" borderId="72" applyNumberFormat="0" applyFill="0" applyAlignment="0" applyProtection="0"/>
    <xf numFmtId="4" fontId="35" fillId="33" borderId="106"/>
    <xf numFmtId="0" fontId="47" fillId="56" borderId="84" applyNumberFormat="0" applyAlignment="0" applyProtection="0"/>
    <xf numFmtId="0" fontId="12" fillId="16" borderId="0" applyNumberFormat="0" applyBorder="0" applyAlignment="0" applyProtection="0"/>
    <xf numFmtId="0" fontId="12" fillId="31" borderId="0" applyNumberFormat="0" applyBorder="0" applyAlignment="0" applyProtection="0"/>
    <xf numFmtId="0" fontId="35" fillId="0" borderId="79" applyNumberFormat="0" applyFill="0" applyAlignment="0" applyProtection="0"/>
    <xf numFmtId="0" fontId="46" fillId="56" borderId="71" applyNumberFormat="0" applyAlignment="0" applyProtection="0"/>
    <xf numFmtId="0" fontId="35" fillId="32" borderId="120">
      <alignment horizontal="left" vertical="center"/>
    </xf>
    <xf numFmtId="0" fontId="33" fillId="32" borderId="74">
      <alignment horizontal="right" vertical="center"/>
    </xf>
    <xf numFmtId="0" fontId="47" fillId="56" borderId="71" applyNumberFormat="0" applyAlignment="0" applyProtection="0"/>
    <xf numFmtId="0" fontId="35" fillId="0" borderId="109">
      <alignment horizontal="left" vertical="center" wrapText="1" indent="2"/>
    </xf>
    <xf numFmtId="49" fontId="35" fillId="0" borderId="79" applyNumberFormat="0" applyFont="0" applyFill="0" applyBorder="0" applyProtection="0">
      <alignment horizontal="left" vertical="center" indent="2"/>
    </xf>
    <xf numFmtId="4" fontId="35" fillId="0" borderId="106" applyFill="0" applyBorder="0" applyProtection="0">
      <alignment horizontal="right" vertical="center"/>
    </xf>
    <xf numFmtId="0" fontId="12" fillId="25" borderId="0" applyNumberFormat="0" applyBorder="0" applyAlignment="0" applyProtection="0"/>
    <xf numFmtId="0" fontId="33" fillId="34" borderId="75">
      <alignment horizontal="right" vertical="center"/>
    </xf>
    <xf numFmtId="0" fontId="12" fillId="31" borderId="0" applyNumberFormat="0" applyBorder="0" applyAlignment="0" applyProtection="0"/>
    <xf numFmtId="0" fontId="46" fillId="56" borderId="71" applyNumberFormat="0" applyAlignment="0" applyProtection="0"/>
    <xf numFmtId="0" fontId="12" fillId="25" borderId="0" applyNumberFormat="0" applyBorder="0" applyAlignment="0" applyProtection="0"/>
    <xf numFmtId="0" fontId="27" fillId="14" borderId="0" applyNumberFormat="0" applyBorder="0" applyAlignment="0" applyProtection="0"/>
    <xf numFmtId="0" fontId="46" fillId="56" borderId="71" applyNumberFormat="0" applyAlignment="0" applyProtection="0"/>
    <xf numFmtId="4" fontId="33" fillId="34" borderId="74">
      <alignment horizontal="right" vertical="center"/>
    </xf>
    <xf numFmtId="4" fontId="37" fillId="32" borderId="74">
      <alignment horizontal="right" vertical="center"/>
    </xf>
    <xf numFmtId="0" fontId="59" fillId="43" borderId="71" applyNumberFormat="0" applyAlignment="0" applyProtection="0"/>
    <xf numFmtId="0" fontId="27" fillId="20" borderId="0" applyNumberFormat="0" applyBorder="0" applyAlignment="0" applyProtection="0"/>
    <xf numFmtId="0" fontId="27" fillId="30" borderId="0" applyNumberFormat="0" applyBorder="0" applyAlignment="0" applyProtection="0"/>
    <xf numFmtId="0" fontId="37" fillId="32" borderId="74">
      <alignment horizontal="right" vertical="center"/>
    </xf>
    <xf numFmtId="0" fontId="27" fillId="30" borderId="0" applyNumberFormat="0" applyBorder="0" applyAlignment="0" applyProtection="0"/>
    <xf numFmtId="49" fontId="35" fillId="0" borderId="91" applyNumberFormat="0" applyFont="0" applyFill="0" applyBorder="0" applyProtection="0">
      <alignment horizontal="left" vertical="center" indent="5"/>
    </xf>
    <xf numFmtId="0" fontId="37" fillId="32" borderId="79">
      <alignment horizontal="right" vertical="center"/>
    </xf>
    <xf numFmtId="49" fontId="35" fillId="0" borderId="74" applyNumberFormat="0" applyFont="0" applyFill="0" applyBorder="0" applyProtection="0">
      <alignment horizontal="left" vertical="center" indent="2"/>
    </xf>
    <xf numFmtId="173" fontId="35" fillId="60" borderId="74" applyNumberFormat="0" applyFont="0" applyBorder="0" applyAlignment="0" applyProtection="0">
      <alignment horizontal="right" vertical="center"/>
    </xf>
    <xf numFmtId="0" fontId="66" fillId="0" borderId="85" applyNumberFormat="0" applyFill="0" applyAlignment="0" applyProtection="0"/>
    <xf numFmtId="0" fontId="66" fillId="0" borderId="104" applyNumberFormat="0" applyFill="0" applyAlignment="0" applyProtection="0"/>
    <xf numFmtId="0" fontId="35" fillId="32" borderId="80">
      <alignment horizontal="left" vertical="center"/>
    </xf>
    <xf numFmtId="4" fontId="33" fillId="34" borderId="79">
      <alignment horizontal="right" vertical="center"/>
    </xf>
    <xf numFmtId="0" fontId="37" fillId="32" borderId="74">
      <alignment horizontal="right" vertical="center"/>
    </xf>
    <xf numFmtId="0" fontId="33" fillId="34" borderId="81">
      <alignment horizontal="right" vertical="center"/>
    </xf>
    <xf numFmtId="4" fontId="33" fillId="34" borderId="79">
      <alignment horizontal="right" vertical="center"/>
    </xf>
    <xf numFmtId="49" fontId="35" fillId="0" borderId="74" applyNumberFormat="0" applyFont="0" applyFill="0" applyBorder="0" applyProtection="0">
      <alignment horizontal="left" vertical="center" indent="2"/>
    </xf>
    <xf numFmtId="49" fontId="35" fillId="0" borderId="74" applyNumberFormat="0" applyFont="0" applyFill="0" applyBorder="0" applyProtection="0">
      <alignment horizontal="left" vertical="center" indent="2"/>
    </xf>
    <xf numFmtId="0" fontId="27" fillId="23" borderId="0" applyNumberFormat="0" applyBorder="0" applyAlignment="0" applyProtection="0"/>
    <xf numFmtId="4" fontId="35" fillId="0" borderId="98" applyFill="0" applyBorder="0" applyProtection="0">
      <alignment horizontal="right" vertical="center"/>
    </xf>
    <xf numFmtId="0" fontId="35" fillId="34" borderId="93">
      <alignment horizontal="left" vertical="center" wrapText="1" indent="2"/>
    </xf>
    <xf numFmtId="0" fontId="35" fillId="0" borderId="74" applyNumberFormat="0" applyFill="0" applyAlignment="0" applyProtection="0"/>
    <xf numFmtId="0" fontId="27" fillId="26" borderId="0" applyNumberFormat="0" applyBorder="0" applyAlignment="0" applyProtection="0"/>
    <xf numFmtId="0" fontId="35" fillId="32" borderId="107">
      <alignment horizontal="left" vertical="center"/>
    </xf>
    <xf numFmtId="49" fontId="35" fillId="0" borderId="75" applyNumberFormat="0" applyFont="0" applyFill="0" applyBorder="0" applyProtection="0">
      <alignment horizontal="left" vertical="center" indent="5"/>
    </xf>
    <xf numFmtId="0" fontId="47" fillId="56" borderId="71" applyNumberFormat="0" applyAlignment="0" applyProtection="0"/>
    <xf numFmtId="173" fontId="35" fillId="60" borderId="90" applyNumberFormat="0" applyFont="0" applyBorder="0" applyAlignment="0" applyProtection="0">
      <alignment horizontal="right" vertical="center"/>
    </xf>
    <xf numFmtId="0" fontId="59" fillId="43" borderId="87" applyNumberFormat="0" applyAlignment="0" applyProtection="0"/>
    <xf numFmtId="4" fontId="33" fillId="34" borderId="75">
      <alignment horizontal="right" vertical="center"/>
    </xf>
    <xf numFmtId="0" fontId="27" fillId="17" borderId="0" applyNumberFormat="0" applyBorder="0" applyAlignment="0" applyProtection="0"/>
    <xf numFmtId="0" fontId="12" fillId="16" borderId="0" applyNumberFormat="0" applyBorder="0" applyAlignment="0" applyProtection="0"/>
    <xf numFmtId="49" fontId="34" fillId="0" borderId="74" applyNumberFormat="0" applyFill="0" applyBorder="0" applyProtection="0">
      <alignment horizontal="left" vertical="center"/>
    </xf>
    <xf numFmtId="4" fontId="33" fillId="34" borderId="75">
      <alignment horizontal="right" vertical="center"/>
    </xf>
    <xf numFmtId="0" fontId="33" fillId="34" borderId="131">
      <alignment horizontal="right" vertical="center"/>
    </xf>
    <xf numFmtId="0" fontId="12" fillId="22" borderId="0" applyNumberFormat="0" applyBorder="0" applyAlignment="0" applyProtection="0"/>
    <xf numFmtId="0" fontId="47" fillId="56" borderId="84" applyNumberFormat="0" applyAlignment="0" applyProtection="0"/>
    <xf numFmtId="0" fontId="35" fillId="0" borderId="109">
      <alignment horizontal="left" vertical="center" wrapText="1" indent="2"/>
    </xf>
    <xf numFmtId="0" fontId="33" fillId="34" borderId="74">
      <alignment horizontal="right" vertical="center"/>
    </xf>
    <xf numFmtId="4" fontId="35" fillId="0" borderId="106" applyFill="0" applyBorder="0" applyProtection="0">
      <alignment horizontal="right" vertical="center"/>
    </xf>
    <xf numFmtId="0" fontId="59" fillId="43" borderId="71" applyNumberFormat="0" applyAlignment="0" applyProtection="0"/>
    <xf numFmtId="0" fontId="46" fillId="56" borderId="71" applyNumberFormat="0" applyAlignment="0" applyProtection="0"/>
    <xf numFmtId="0" fontId="5" fillId="59" borderId="73" applyNumberFormat="0" applyFont="0" applyAlignment="0" applyProtection="0"/>
    <xf numFmtId="0" fontId="47" fillId="56" borderId="84" applyNumberFormat="0" applyAlignment="0" applyProtection="0"/>
    <xf numFmtId="0" fontId="41" fillId="59" borderId="73" applyNumberFormat="0" applyFont="0" applyAlignment="0" applyProtection="0"/>
    <xf numFmtId="0" fontId="12" fillId="19" borderId="0" applyNumberFormat="0" applyBorder="0" applyAlignment="0" applyProtection="0"/>
    <xf numFmtId="0" fontId="33" fillId="34" borderId="74">
      <alignment horizontal="right" vertical="center"/>
    </xf>
    <xf numFmtId="4" fontId="33" fillId="34" borderId="74">
      <alignment horizontal="right" vertical="center"/>
    </xf>
    <xf numFmtId="0" fontId="12" fillId="19" borderId="0" applyNumberFormat="0" applyBorder="0" applyAlignment="0" applyProtection="0"/>
    <xf numFmtId="4" fontId="33" fillId="34" borderId="107">
      <alignment horizontal="right" vertical="center"/>
    </xf>
    <xf numFmtId="173" fontId="35" fillId="60" borderId="119" applyNumberFormat="0" applyFont="0" applyBorder="0" applyAlignment="0" applyProtection="0">
      <alignment horizontal="right" vertical="center"/>
    </xf>
    <xf numFmtId="0" fontId="35" fillId="34" borderId="82">
      <alignment horizontal="left" vertical="center" wrapText="1" indent="2"/>
    </xf>
    <xf numFmtId="0" fontId="59" fillId="43" borderId="95" applyNumberFormat="0" applyAlignment="0" applyProtection="0"/>
    <xf numFmtId="0" fontId="2" fillId="0" borderId="15" applyNumberFormat="0" applyFill="0" applyAlignment="0" applyProtection="0"/>
    <xf numFmtId="0" fontId="12" fillId="22" borderId="0" applyNumberFormat="0" applyBorder="0" applyAlignment="0" applyProtection="0"/>
    <xf numFmtId="0" fontId="41" fillId="59" borderId="118" applyNumberFormat="0" applyFont="0" applyAlignment="0" applyProtection="0"/>
    <xf numFmtId="0" fontId="35" fillId="34" borderId="101">
      <alignment horizontal="left" vertical="center" wrapText="1" indent="2"/>
    </xf>
    <xf numFmtId="0" fontId="33" fillId="32" borderId="74">
      <alignment horizontal="right" vertical="center"/>
    </xf>
    <xf numFmtId="0" fontId="27" fillId="14" borderId="0" applyNumberFormat="0" applyBorder="0" applyAlignment="0" applyProtection="0"/>
    <xf numFmtId="0" fontId="35" fillId="0" borderId="74">
      <alignment horizontal="right" vertical="center"/>
    </xf>
    <xf numFmtId="4" fontId="33" fillId="34" borderId="76">
      <alignment horizontal="right" vertical="center"/>
    </xf>
    <xf numFmtId="49" fontId="34" fillId="0" borderId="74" applyNumberFormat="0" applyFill="0" applyBorder="0" applyProtection="0">
      <alignment horizontal="left" vertical="center"/>
    </xf>
    <xf numFmtId="0" fontId="35" fillId="0" borderId="77">
      <alignment horizontal="left" vertical="center" wrapText="1" indent="2"/>
    </xf>
    <xf numFmtId="49" fontId="34" fillId="0" borderId="74" applyNumberFormat="0" applyFill="0" applyBorder="0" applyProtection="0">
      <alignment horizontal="left" vertical="center"/>
    </xf>
    <xf numFmtId="0" fontId="33" fillId="34" borderId="79">
      <alignment horizontal="right" vertical="center"/>
    </xf>
    <xf numFmtId="0" fontId="12" fillId="19" borderId="0" applyNumberFormat="0" applyBorder="0" applyAlignment="0" applyProtection="0"/>
    <xf numFmtId="0" fontId="29" fillId="13" borderId="14" applyNumberFormat="0" applyAlignment="0" applyProtection="0"/>
    <xf numFmtId="0" fontId="59" fillId="43" borderId="103" applyNumberFormat="0" applyAlignment="0" applyProtection="0"/>
    <xf numFmtId="173" fontId="35" fillId="60" borderId="79" applyNumberFormat="0" applyFont="0" applyBorder="0" applyAlignment="0" applyProtection="0">
      <alignment horizontal="right" vertical="center"/>
    </xf>
    <xf numFmtId="0" fontId="35" fillId="34" borderId="77">
      <alignment horizontal="left" vertical="center" wrapText="1" indent="2"/>
    </xf>
    <xf numFmtId="0" fontId="27" fillId="24" borderId="0" applyNumberFormat="0" applyBorder="0" applyAlignment="0" applyProtection="0"/>
    <xf numFmtId="173" fontId="35" fillId="60" borderId="106" applyNumberFormat="0" applyFont="0" applyBorder="0" applyAlignment="0" applyProtection="0">
      <alignment horizontal="right" vertical="center"/>
    </xf>
    <xf numFmtId="0" fontId="35" fillId="32" borderId="107">
      <alignment horizontal="left" vertical="center"/>
    </xf>
    <xf numFmtId="0" fontId="66" fillId="0" borderId="85" applyNumberFormat="0" applyFill="0" applyAlignment="0" applyProtection="0"/>
    <xf numFmtId="4" fontId="35" fillId="0" borderId="74">
      <alignment horizontal="right" vertical="center"/>
    </xf>
    <xf numFmtId="0" fontId="33" fillId="32" borderId="106">
      <alignment horizontal="right" vertical="center"/>
    </xf>
    <xf numFmtId="0" fontId="35" fillId="0" borderId="74">
      <alignment horizontal="right" vertical="center"/>
    </xf>
    <xf numFmtId="4" fontId="35" fillId="33" borderId="79"/>
    <xf numFmtId="0" fontId="35" fillId="0" borderId="82">
      <alignment horizontal="left" vertical="center" wrapText="1" indent="2"/>
    </xf>
    <xf numFmtId="0" fontId="30" fillId="13" borderId="13" applyNumberFormat="0" applyAlignment="0" applyProtection="0"/>
    <xf numFmtId="49" fontId="35" fillId="0" borderId="106" applyNumberFormat="0" applyFont="0" applyFill="0" applyBorder="0" applyProtection="0">
      <alignment horizontal="left" vertical="center" indent="2"/>
    </xf>
    <xf numFmtId="49" fontId="35" fillId="0" borderId="75" applyNumberFormat="0" applyFont="0" applyFill="0" applyBorder="0" applyProtection="0">
      <alignment horizontal="left" vertical="center" indent="5"/>
    </xf>
    <xf numFmtId="0" fontId="41" fillId="59" borderId="128" applyNumberFormat="0" applyFont="0" applyAlignment="0" applyProtection="0"/>
    <xf numFmtId="4" fontId="33" fillId="34" borderId="121">
      <alignment horizontal="right" vertical="center"/>
    </xf>
    <xf numFmtId="0" fontId="27" fillId="23" borderId="0" applyNumberFormat="0" applyBorder="0" applyAlignment="0" applyProtection="0"/>
    <xf numFmtId="49" fontId="35" fillId="0" borderId="99" applyNumberFormat="0" applyFont="0" applyFill="0" applyBorder="0" applyProtection="0">
      <alignment horizontal="left" vertical="center" indent="5"/>
    </xf>
    <xf numFmtId="0" fontId="35" fillId="32" borderId="75">
      <alignment horizontal="left" vertical="center"/>
    </xf>
    <xf numFmtId="0" fontId="35" fillId="0" borderId="77">
      <alignment horizontal="left" vertical="center" wrapText="1" indent="2"/>
    </xf>
    <xf numFmtId="0" fontId="63" fillId="56" borderId="83" applyNumberFormat="0" applyAlignment="0" applyProtection="0"/>
    <xf numFmtId="0" fontId="35" fillId="33" borderId="79"/>
    <xf numFmtId="0" fontId="51" fillId="0" borderId="104" applyNumberFormat="0" applyFill="0" applyAlignment="0" applyProtection="0"/>
    <xf numFmtId="0" fontId="63" fillId="56" borderId="70" applyNumberFormat="0" applyAlignment="0" applyProtection="0"/>
    <xf numFmtId="0" fontId="27" fillId="18" borderId="0" applyNumberFormat="0" applyBorder="0" applyAlignment="0" applyProtection="0"/>
    <xf numFmtId="0" fontId="27" fillId="20" borderId="0" applyNumberFormat="0" applyBorder="0" applyAlignment="0" applyProtection="0"/>
    <xf numFmtId="0" fontId="66" fillId="0" borderId="104" applyNumberFormat="0" applyFill="0" applyAlignment="0" applyProtection="0"/>
    <xf numFmtId="0" fontId="66" fillId="0" borderId="85" applyNumberFormat="0" applyFill="0" applyAlignment="0" applyProtection="0"/>
    <xf numFmtId="0" fontId="27" fillId="21" borderId="0" applyNumberFormat="0" applyBorder="0" applyAlignment="0" applyProtection="0"/>
    <xf numFmtId="4" fontId="33" fillId="34" borderId="80">
      <alignment horizontal="right" vertical="center"/>
    </xf>
    <xf numFmtId="0" fontId="51" fillId="0" borderId="85" applyNumberFormat="0" applyFill="0" applyAlignment="0" applyProtection="0"/>
    <xf numFmtId="0" fontId="33" fillId="32" borderId="74">
      <alignment horizontal="right" vertical="center"/>
    </xf>
    <xf numFmtId="0" fontId="51" fillId="0" borderId="72" applyNumberFormat="0" applyFill="0" applyAlignment="0" applyProtection="0"/>
    <xf numFmtId="0" fontId="35" fillId="0" borderId="74" applyNumberFormat="0" applyFill="0" applyAlignment="0" applyProtection="0"/>
    <xf numFmtId="0" fontId="51" fillId="0" borderId="72" applyNumberFormat="0" applyFill="0" applyAlignment="0" applyProtection="0"/>
    <xf numFmtId="4" fontId="35" fillId="0" borderId="74" applyFill="0" applyBorder="0" applyProtection="0">
      <alignment horizontal="right" vertical="center"/>
    </xf>
    <xf numFmtId="49" fontId="35" fillId="0" borderId="75" applyNumberFormat="0" applyFont="0" applyFill="0" applyBorder="0" applyProtection="0">
      <alignment horizontal="left" vertical="center" indent="5"/>
    </xf>
    <xf numFmtId="0" fontId="35" fillId="0" borderId="74" applyNumberFormat="0" applyFill="0" applyAlignment="0" applyProtection="0"/>
    <xf numFmtId="0" fontId="12" fillId="16" borderId="0" applyNumberFormat="0" applyBorder="0" applyAlignment="0" applyProtection="0"/>
    <xf numFmtId="0" fontId="35" fillId="0" borderId="74" applyNumberFormat="0" applyFill="0" applyAlignment="0" applyProtection="0"/>
    <xf numFmtId="0" fontId="63" fillId="56" borderId="83" applyNumberFormat="0" applyAlignment="0" applyProtection="0"/>
    <xf numFmtId="4" fontId="35" fillId="33" borderId="79"/>
    <xf numFmtId="4" fontId="33" fillId="34" borderId="74">
      <alignment horizontal="right" vertical="center"/>
    </xf>
    <xf numFmtId="173" fontId="35" fillId="60" borderId="106" applyNumberFormat="0" applyFont="0" applyBorder="0" applyAlignment="0" applyProtection="0">
      <alignment horizontal="right" vertical="center"/>
    </xf>
    <xf numFmtId="0" fontId="35" fillId="32" borderId="80">
      <alignment horizontal="left" vertical="center"/>
    </xf>
    <xf numFmtId="0" fontId="12" fillId="19" borderId="0" applyNumberFormat="0" applyBorder="0" applyAlignment="0" applyProtection="0"/>
    <xf numFmtId="0" fontId="27" fillId="21" borderId="0" applyNumberFormat="0" applyBorder="0" applyAlignment="0" applyProtection="0"/>
    <xf numFmtId="0" fontId="50" fillId="43" borderId="71" applyNumberFormat="0" applyAlignment="0" applyProtection="0"/>
    <xf numFmtId="0" fontId="47" fillId="56" borderId="71" applyNumberFormat="0" applyAlignment="0" applyProtection="0"/>
    <xf numFmtId="4" fontId="35" fillId="0" borderId="74">
      <alignment horizontal="right" vertical="center"/>
    </xf>
    <xf numFmtId="0" fontId="35" fillId="34" borderId="77">
      <alignment horizontal="left" vertical="center" wrapText="1" indent="2"/>
    </xf>
    <xf numFmtId="0" fontId="35" fillId="0" borderId="77">
      <alignment horizontal="left" vertical="center" wrapText="1" indent="2"/>
    </xf>
    <xf numFmtId="0" fontId="63" fillId="56" borderId="70" applyNumberFormat="0" applyAlignment="0" applyProtection="0"/>
    <xf numFmtId="0" fontId="59" fillId="43" borderId="71" applyNumberFormat="0" applyAlignment="0" applyProtection="0"/>
    <xf numFmtId="0" fontId="46" fillId="56" borderId="71" applyNumberFormat="0" applyAlignment="0" applyProtection="0"/>
    <xf numFmtId="0" fontId="44" fillId="56" borderId="70" applyNumberFormat="0" applyAlignment="0" applyProtection="0"/>
    <xf numFmtId="0" fontId="33" fillId="34" borderId="76">
      <alignment horizontal="right" vertical="center"/>
    </xf>
    <xf numFmtId="0" fontId="37" fillId="32" borderId="74">
      <alignment horizontal="right" vertical="center"/>
    </xf>
    <xf numFmtId="4" fontId="33" fillId="32" borderId="74">
      <alignment horizontal="right" vertical="center"/>
    </xf>
    <xf numFmtId="4" fontId="33" fillId="34" borderId="74">
      <alignment horizontal="right" vertical="center"/>
    </xf>
    <xf numFmtId="49" fontId="35" fillId="0" borderId="75" applyNumberFormat="0" applyFont="0" applyFill="0" applyBorder="0" applyProtection="0">
      <alignment horizontal="left" vertical="center" indent="5"/>
    </xf>
    <xf numFmtId="4" fontId="35" fillId="0" borderId="74" applyFill="0" applyBorder="0" applyProtection="0">
      <alignment horizontal="right" vertical="center"/>
    </xf>
    <xf numFmtId="4" fontId="33" fillId="32" borderId="74">
      <alignment horizontal="right" vertical="center"/>
    </xf>
    <xf numFmtId="0" fontId="59" fillId="43" borderId="71" applyNumberFormat="0" applyAlignment="0" applyProtection="0"/>
    <xf numFmtId="0" fontId="50" fillId="43" borderId="71" applyNumberFormat="0" applyAlignment="0" applyProtection="0"/>
    <xf numFmtId="0" fontId="46" fillId="56" borderId="71" applyNumberFormat="0" applyAlignment="0" applyProtection="0"/>
    <xf numFmtId="0" fontId="35" fillId="34" borderId="77">
      <alignment horizontal="left" vertical="center" wrapText="1" indent="2"/>
    </xf>
    <xf numFmtId="0" fontId="35" fillId="0" borderId="77">
      <alignment horizontal="left" vertical="center" wrapText="1" indent="2"/>
    </xf>
    <xf numFmtId="0" fontId="35" fillId="34" borderId="77">
      <alignment horizontal="left" vertical="center" wrapText="1" indent="2"/>
    </xf>
    <xf numFmtId="4" fontId="33" fillId="34" borderId="120">
      <alignment horizontal="right" vertical="center"/>
    </xf>
    <xf numFmtId="0" fontId="47" fillId="56" borderId="111" applyNumberFormat="0" applyAlignment="0" applyProtection="0"/>
    <xf numFmtId="0" fontId="35" fillId="32" borderId="130">
      <alignment horizontal="left" vertical="center"/>
    </xf>
    <xf numFmtId="49" fontId="35" fillId="0" borderId="80" applyNumberFormat="0" applyFont="0" applyFill="0" applyBorder="0" applyProtection="0">
      <alignment horizontal="left" vertical="center" indent="5"/>
    </xf>
    <xf numFmtId="0" fontId="63" fillId="56" borderId="83" applyNumberFormat="0" applyAlignment="0" applyProtection="0"/>
    <xf numFmtId="4" fontId="33" fillId="34" borderId="107">
      <alignment horizontal="right" vertical="center"/>
    </xf>
    <xf numFmtId="4" fontId="35" fillId="0" borderId="106">
      <alignment horizontal="right" vertical="center"/>
    </xf>
    <xf numFmtId="0" fontId="35" fillId="32" borderId="80">
      <alignment horizontal="left" vertical="center"/>
    </xf>
    <xf numFmtId="0" fontId="27" fillId="30" borderId="0" applyNumberFormat="0" applyBorder="0" applyAlignment="0" applyProtection="0"/>
    <xf numFmtId="0" fontId="51" fillId="0" borderId="85" applyNumberFormat="0" applyFill="0" applyAlignment="0" applyProtection="0"/>
    <xf numFmtId="4" fontId="37" fillId="32" borderId="79">
      <alignment horizontal="right" vertical="center"/>
    </xf>
    <xf numFmtId="0" fontId="41" fillId="59" borderId="78" applyNumberFormat="0" applyFont="0" applyAlignment="0" applyProtection="0"/>
    <xf numFmtId="0" fontId="66" fillId="0" borderId="96" applyNumberFormat="0" applyFill="0" applyAlignment="0" applyProtection="0"/>
    <xf numFmtId="0" fontId="12" fillId="19" borderId="0" applyNumberFormat="0" applyBorder="0" applyAlignment="0" applyProtection="0"/>
    <xf numFmtId="0" fontId="50" fillId="43" borderId="103" applyNumberFormat="0" applyAlignment="0" applyProtection="0"/>
    <xf numFmtId="0" fontId="66" fillId="0" borderId="104" applyNumberFormat="0" applyFill="0" applyAlignment="0" applyProtection="0"/>
    <xf numFmtId="0" fontId="27" fillId="30" borderId="0" applyNumberFormat="0" applyBorder="0" applyAlignment="0" applyProtection="0"/>
    <xf numFmtId="0" fontId="30" fillId="13" borderId="13" applyNumberFormat="0" applyAlignment="0" applyProtection="0"/>
    <xf numFmtId="0" fontId="33" fillId="34" borderId="80">
      <alignment horizontal="right" vertical="center"/>
    </xf>
    <xf numFmtId="0" fontId="27" fillId="18" borderId="0" applyNumberFormat="0" applyBorder="0" applyAlignment="0" applyProtection="0"/>
    <xf numFmtId="0" fontId="35" fillId="34" borderId="82">
      <alignment horizontal="left" vertical="center" wrapText="1" indent="2"/>
    </xf>
    <xf numFmtId="0" fontId="33" fillId="32" borderId="79">
      <alignment horizontal="right" vertical="center"/>
    </xf>
    <xf numFmtId="0" fontId="50" fillId="43" borderId="84" applyNumberFormat="0" applyAlignment="0" applyProtection="0"/>
    <xf numFmtId="173" fontId="35" fillId="60" borderId="79" applyNumberFormat="0" applyFont="0" applyBorder="0" applyAlignment="0" applyProtection="0">
      <alignment horizontal="right" vertical="center"/>
    </xf>
    <xf numFmtId="0" fontId="47" fillId="56" borderId="84" applyNumberFormat="0" applyAlignment="0" applyProtection="0"/>
    <xf numFmtId="4" fontId="35" fillId="0" borderId="90">
      <alignment horizontal="right" vertical="center"/>
    </xf>
    <xf numFmtId="0" fontId="35" fillId="33" borderId="129"/>
    <xf numFmtId="0" fontId="59" fillId="43" borderId="87" applyNumberFormat="0" applyAlignment="0" applyProtection="0"/>
    <xf numFmtId="0" fontId="46" fillId="56" borderId="84" applyNumberFormat="0" applyAlignment="0" applyProtection="0"/>
    <xf numFmtId="0" fontId="27" fillId="23" borderId="0" applyNumberFormat="0" applyBorder="0" applyAlignment="0" applyProtection="0"/>
    <xf numFmtId="0" fontId="46" fillId="56" borderId="84" applyNumberFormat="0" applyAlignment="0" applyProtection="0"/>
    <xf numFmtId="0" fontId="35" fillId="0" borderId="119">
      <alignment horizontal="right" vertical="center"/>
    </xf>
    <xf numFmtId="0" fontId="27" fillId="17" borderId="0" applyNumberFormat="0" applyBorder="0" applyAlignment="0" applyProtection="0"/>
    <xf numFmtId="0" fontId="33" fillId="34" borderId="107">
      <alignment horizontal="right" vertical="center"/>
    </xf>
    <xf numFmtId="4" fontId="33" fillId="32" borderId="79">
      <alignment horizontal="right" vertical="center"/>
    </xf>
    <xf numFmtId="0" fontId="35" fillId="0" borderId="79" applyNumberFormat="0" applyFill="0" applyAlignment="0" applyProtection="0"/>
    <xf numFmtId="4" fontId="35" fillId="0" borderId="129" applyFill="0" applyBorder="0" applyProtection="0">
      <alignment horizontal="right" vertical="center"/>
    </xf>
    <xf numFmtId="0" fontId="33" fillId="32" borderId="90">
      <alignment horizontal="right" vertical="center"/>
    </xf>
    <xf numFmtId="0" fontId="27" fillId="21" borderId="0" applyNumberFormat="0" applyBorder="0" applyAlignment="0" applyProtection="0"/>
    <xf numFmtId="49" fontId="35" fillId="0" borderId="119" applyNumberFormat="0" applyFont="0" applyFill="0" applyBorder="0" applyProtection="0">
      <alignment horizontal="left" vertical="center" indent="2"/>
    </xf>
    <xf numFmtId="0" fontId="33" fillId="34" borderId="106">
      <alignment horizontal="right" vertical="center"/>
    </xf>
    <xf numFmtId="0" fontId="27" fillId="30" borderId="0" applyNumberFormat="0" applyBorder="0" applyAlignment="0" applyProtection="0"/>
    <xf numFmtId="0" fontId="35" fillId="32" borderId="80">
      <alignment horizontal="left" vertical="center"/>
    </xf>
    <xf numFmtId="0" fontId="46" fillId="56" borderId="124" applyNumberFormat="0" applyAlignment="0" applyProtection="0"/>
    <xf numFmtId="4" fontId="35" fillId="0" borderId="79">
      <alignment horizontal="right" vertical="center"/>
    </xf>
    <xf numFmtId="0" fontId="51" fillId="0" borderId="125" applyNumberFormat="0" applyFill="0" applyAlignment="0" applyProtection="0"/>
    <xf numFmtId="0" fontId="63" fillId="56" borderId="83" applyNumberFormat="0" applyAlignment="0" applyProtection="0"/>
    <xf numFmtId="0" fontId="35" fillId="32" borderId="107">
      <alignment horizontal="left" vertical="center"/>
    </xf>
    <xf numFmtId="0" fontId="27" fillId="14" borderId="0" applyNumberFormat="0" applyBorder="0" applyAlignment="0" applyProtection="0"/>
    <xf numFmtId="0" fontId="35" fillId="0" borderId="106">
      <alignment horizontal="right" vertical="center"/>
    </xf>
    <xf numFmtId="0" fontId="31" fillId="0" borderId="0" applyNumberFormat="0" applyFill="0" applyBorder="0" applyAlignment="0" applyProtection="0"/>
    <xf numFmtId="4" fontId="35" fillId="33" borderId="106"/>
    <xf numFmtId="0" fontId="30" fillId="13" borderId="13" applyNumberFormat="0" applyAlignment="0" applyProtection="0"/>
    <xf numFmtId="4" fontId="33" fillId="34" borderId="81">
      <alignment horizontal="right" vertical="center"/>
    </xf>
    <xf numFmtId="0" fontId="33" fillId="34" borderId="79">
      <alignment horizontal="right" vertical="center"/>
    </xf>
    <xf numFmtId="173" fontId="35" fillId="60" borderId="114" applyNumberFormat="0" applyFont="0" applyBorder="0" applyAlignment="0" applyProtection="0">
      <alignment horizontal="right" vertical="center"/>
    </xf>
    <xf numFmtId="0" fontId="59" fillId="43" borderId="84" applyNumberFormat="0" applyAlignment="0" applyProtection="0"/>
    <xf numFmtId="0" fontId="33" fillId="34" borderId="79">
      <alignment horizontal="right" vertical="center"/>
    </xf>
    <xf numFmtId="0" fontId="35" fillId="0" borderId="82">
      <alignment horizontal="left" vertical="center" wrapText="1" indent="2"/>
    </xf>
    <xf numFmtId="4" fontId="35" fillId="0" borderId="106">
      <alignment horizontal="right" vertical="center"/>
    </xf>
    <xf numFmtId="49" fontId="35" fillId="0" borderId="79" applyNumberFormat="0" applyFont="0" applyFill="0" applyBorder="0" applyProtection="0">
      <alignment horizontal="left" vertical="center" indent="2"/>
    </xf>
    <xf numFmtId="0" fontId="47" fillId="56" borderId="84" applyNumberFormat="0" applyAlignment="0" applyProtection="0"/>
    <xf numFmtId="4" fontId="35" fillId="0" borderId="79" applyFill="0" applyBorder="0" applyProtection="0">
      <alignment horizontal="right" vertical="center"/>
    </xf>
    <xf numFmtId="0" fontId="27" fillId="29" borderId="0" applyNumberFormat="0" applyBorder="0" applyAlignment="0" applyProtection="0"/>
    <xf numFmtId="4" fontId="33" fillId="34" borderId="79">
      <alignment horizontal="right" vertical="center"/>
    </xf>
    <xf numFmtId="0" fontId="46" fillId="56" borderId="84" applyNumberFormat="0" applyAlignment="0" applyProtection="0"/>
    <xf numFmtId="0" fontId="27" fillId="21" borderId="0" applyNumberFormat="0" applyBorder="0" applyAlignment="0" applyProtection="0"/>
    <xf numFmtId="0" fontId="12" fillId="25" borderId="0" applyNumberFormat="0" applyBorder="0" applyAlignment="0" applyProtection="0"/>
    <xf numFmtId="0" fontId="59" fillId="43" borderId="134" applyNumberFormat="0" applyAlignment="0" applyProtection="0"/>
    <xf numFmtId="0" fontId="2" fillId="0" borderId="15" applyNumberFormat="0" applyFill="0" applyAlignment="0" applyProtection="0"/>
    <xf numFmtId="4" fontId="35" fillId="0" borderId="79">
      <alignment horizontal="right" vertical="center"/>
    </xf>
    <xf numFmtId="0" fontId="66" fillId="0" borderId="85" applyNumberFormat="0" applyFill="0" applyAlignment="0" applyProtection="0"/>
    <xf numFmtId="0" fontId="12" fillId="28" borderId="0" applyNumberFormat="0" applyBorder="0" applyAlignment="0" applyProtection="0"/>
    <xf numFmtId="0" fontId="66" fillId="0" borderId="88" applyNumberFormat="0" applyFill="0" applyAlignment="0" applyProtection="0"/>
    <xf numFmtId="0" fontId="47" fillId="56" borderId="87" applyNumberFormat="0" applyAlignment="0" applyProtection="0"/>
    <xf numFmtId="0" fontId="27" fillId="26" borderId="0" applyNumberFormat="0" applyBorder="0" applyAlignment="0" applyProtection="0"/>
    <xf numFmtId="4" fontId="33" fillId="34" borderId="80">
      <alignment horizontal="right" vertical="center"/>
    </xf>
    <xf numFmtId="0" fontId="31" fillId="0" borderId="0" applyNumberFormat="0" applyFill="0" applyBorder="0" applyAlignment="0" applyProtection="0"/>
    <xf numFmtId="4" fontId="33" fillId="34" borderId="106">
      <alignment horizontal="right" vertical="center"/>
    </xf>
    <xf numFmtId="49" fontId="35" fillId="0" borderId="80" applyNumberFormat="0" applyFont="0" applyFill="0" applyBorder="0" applyProtection="0">
      <alignment horizontal="left" vertical="center" indent="5"/>
    </xf>
    <xf numFmtId="0" fontId="47" fillId="56" borderId="84" applyNumberFormat="0" applyAlignment="0" applyProtection="0"/>
    <xf numFmtId="0" fontId="33" fillId="34" borderId="114">
      <alignment horizontal="right" vertical="center"/>
    </xf>
    <xf numFmtId="4" fontId="33" fillId="32" borderId="79">
      <alignment horizontal="right" vertical="center"/>
    </xf>
    <xf numFmtId="4" fontId="33" fillId="34" borderId="108">
      <alignment horizontal="right" vertical="center"/>
    </xf>
    <xf numFmtId="0" fontId="46" fillId="56" borderId="84" applyNumberFormat="0" applyAlignment="0" applyProtection="0"/>
    <xf numFmtId="0" fontId="12" fillId="28" borderId="0" applyNumberFormat="0" applyBorder="0" applyAlignment="0" applyProtection="0"/>
    <xf numFmtId="0" fontId="47" fillId="56" borderId="84" applyNumberFormat="0" applyAlignment="0" applyProtection="0"/>
    <xf numFmtId="0" fontId="31" fillId="0" borderId="0" applyNumberFormat="0" applyFill="0" applyBorder="0" applyAlignment="0" applyProtection="0"/>
    <xf numFmtId="49" fontId="35" fillId="0" borderId="79" applyNumberFormat="0" applyFont="0" applyFill="0" applyBorder="0" applyProtection="0">
      <alignment horizontal="left" vertical="center" indent="2"/>
    </xf>
    <xf numFmtId="0" fontId="12" fillId="25" borderId="0" applyNumberFormat="0" applyBorder="0" applyAlignment="0" applyProtection="0"/>
    <xf numFmtId="0" fontId="66" fillId="0" borderId="85" applyNumberFormat="0" applyFill="0" applyAlignment="0" applyProtection="0"/>
    <xf numFmtId="0" fontId="33" fillId="34" borderId="79">
      <alignment horizontal="right" vertical="center"/>
    </xf>
    <xf numFmtId="0" fontId="33" fillId="32" borderId="106">
      <alignment horizontal="right" vertical="center"/>
    </xf>
    <xf numFmtId="0" fontId="63" fillId="56" borderId="83" applyNumberFormat="0" applyAlignment="0" applyProtection="0"/>
    <xf numFmtId="0" fontId="37" fillId="32" borderId="79">
      <alignment horizontal="right" vertical="center"/>
    </xf>
    <xf numFmtId="0" fontId="33" fillId="32" borderId="106">
      <alignment horizontal="right" vertical="center"/>
    </xf>
    <xf numFmtId="0" fontId="27" fillId="30" borderId="0" applyNumberFormat="0" applyBorder="0" applyAlignment="0" applyProtection="0"/>
    <xf numFmtId="0" fontId="66" fillId="0" borderId="135" applyNumberFormat="0" applyFill="0" applyAlignment="0" applyProtection="0"/>
    <xf numFmtId="0" fontId="33" fillId="32" borderId="119">
      <alignment horizontal="right" vertical="center"/>
    </xf>
    <xf numFmtId="0" fontId="29" fillId="13" borderId="14" applyNumberFormat="0" applyAlignment="0" applyProtection="0"/>
    <xf numFmtId="4" fontId="35" fillId="0" borderId="114" applyFill="0" applyBorder="0" applyProtection="0">
      <alignment horizontal="right" vertical="center"/>
    </xf>
    <xf numFmtId="0" fontId="37" fillId="32" borderId="106">
      <alignment horizontal="right" vertical="center"/>
    </xf>
    <xf numFmtId="0" fontId="50" fillId="43" borderId="84" applyNumberFormat="0" applyAlignment="0" applyProtection="0"/>
    <xf numFmtId="0" fontId="2" fillId="0" borderId="15" applyNumberFormat="0" applyFill="0" applyAlignment="0" applyProtection="0"/>
    <xf numFmtId="173" fontId="35" fillId="60" borderId="79" applyNumberFormat="0" applyFont="0" applyBorder="0" applyAlignment="0" applyProtection="0">
      <alignment horizontal="right" vertical="center"/>
    </xf>
    <xf numFmtId="0" fontId="12" fillId="19" borderId="0" applyNumberFormat="0" applyBorder="0" applyAlignment="0" applyProtection="0"/>
    <xf numFmtId="0" fontId="27" fillId="26" borderId="0" applyNumberFormat="0" applyBorder="0" applyAlignment="0" applyProtection="0"/>
    <xf numFmtId="0" fontId="29" fillId="13" borderId="14" applyNumberFormat="0" applyAlignment="0" applyProtection="0"/>
    <xf numFmtId="0" fontId="35" fillId="33" borderId="106"/>
    <xf numFmtId="0" fontId="35" fillId="32" borderId="80">
      <alignment horizontal="left" vertical="center"/>
    </xf>
    <xf numFmtId="0" fontId="35" fillId="0" borderId="66">
      <alignment horizontal="right" vertical="center"/>
    </xf>
    <xf numFmtId="0" fontId="41" fillId="59" borderId="105" applyNumberFormat="0" applyFont="0" applyAlignment="0" applyProtection="0"/>
    <xf numFmtId="0" fontId="31" fillId="0" borderId="0" applyNumberFormat="0" applyFill="0" applyBorder="0" applyAlignment="0" applyProtection="0"/>
    <xf numFmtId="0" fontId="35" fillId="33" borderId="79"/>
    <xf numFmtId="0" fontId="41" fillId="59" borderId="128" applyNumberFormat="0" applyFont="0" applyAlignment="0" applyProtection="0"/>
    <xf numFmtId="49" fontId="34" fillId="0" borderId="79" applyNumberFormat="0" applyFill="0" applyBorder="0" applyProtection="0">
      <alignment horizontal="left" vertical="center"/>
    </xf>
    <xf numFmtId="4" fontId="33" fillId="34" borderId="81">
      <alignment horizontal="right" vertical="center"/>
    </xf>
    <xf numFmtId="4" fontId="35" fillId="0" borderId="98">
      <alignment horizontal="right" vertical="center"/>
    </xf>
    <xf numFmtId="4" fontId="33" fillId="34" borderId="106">
      <alignment horizontal="right" vertical="center"/>
    </xf>
    <xf numFmtId="0" fontId="33" fillId="34" borderId="79">
      <alignment horizontal="right" vertical="center"/>
    </xf>
    <xf numFmtId="0" fontId="33" fillId="34" borderId="139">
      <alignment horizontal="right" vertical="center"/>
    </xf>
    <xf numFmtId="0" fontId="46" fillId="56" borderId="84" applyNumberFormat="0" applyAlignment="0" applyProtection="0"/>
    <xf numFmtId="0" fontId="41" fillId="59" borderId="105" applyNumberFormat="0" applyFont="0" applyAlignment="0" applyProtection="0"/>
    <xf numFmtId="0" fontId="50" fillId="43" borderId="87" applyNumberFormat="0" applyAlignment="0" applyProtection="0"/>
    <xf numFmtId="0" fontId="51" fillId="0" borderId="85" applyNumberFormat="0" applyFill="0" applyAlignment="0" applyProtection="0"/>
    <xf numFmtId="0" fontId="63" fillId="56" borderId="86" applyNumberFormat="0" applyAlignment="0" applyProtection="0"/>
    <xf numFmtId="0" fontId="41" fillId="59" borderId="78" applyNumberFormat="0" applyFont="0" applyAlignment="0" applyProtection="0"/>
    <xf numFmtId="0" fontId="46" fillId="56" borderId="103" applyNumberFormat="0" applyAlignment="0" applyProtection="0"/>
    <xf numFmtId="49" fontId="35" fillId="0" borderId="79" applyNumberFormat="0" applyFont="0" applyFill="0" applyBorder="0" applyProtection="0">
      <alignment horizontal="left" vertical="center" indent="2"/>
    </xf>
    <xf numFmtId="0" fontId="47" fillId="56" borderId="84" applyNumberFormat="0" applyAlignment="0" applyProtection="0"/>
    <xf numFmtId="49" fontId="35" fillId="0" borderId="106" applyNumberFormat="0" applyFont="0" applyFill="0" applyBorder="0" applyProtection="0">
      <alignment horizontal="left" vertical="center" indent="2"/>
    </xf>
    <xf numFmtId="0" fontId="41" fillId="59" borderId="113" applyNumberFormat="0" applyFont="0" applyAlignment="0" applyProtection="0"/>
    <xf numFmtId="0" fontId="59" fillId="43" borderId="84" applyNumberFormat="0" applyAlignment="0" applyProtection="0"/>
    <xf numFmtId="0" fontId="27" fillId="26" borderId="0" applyNumberFormat="0" applyBorder="0" applyAlignment="0" applyProtection="0"/>
    <xf numFmtId="4" fontId="35" fillId="0" borderId="79" applyFill="0" applyBorder="0" applyProtection="0">
      <alignment horizontal="right" vertical="center"/>
    </xf>
    <xf numFmtId="4" fontId="33" fillId="34" borderId="91">
      <alignment horizontal="right" vertical="center"/>
    </xf>
    <xf numFmtId="0" fontId="12" fillId="31" borderId="0" applyNumberFormat="0" applyBorder="0" applyAlignment="0" applyProtection="0"/>
    <xf numFmtId="0" fontId="66" fillId="0" borderId="112" applyNumberFormat="0" applyFill="0" applyAlignment="0" applyProtection="0"/>
    <xf numFmtId="0" fontId="46" fillId="56" borderId="103" applyNumberFormat="0" applyAlignment="0" applyProtection="0"/>
    <xf numFmtId="0" fontId="33" fillId="34" borderId="106">
      <alignment horizontal="right" vertical="center"/>
    </xf>
    <xf numFmtId="4" fontId="33" fillId="34" borderId="79">
      <alignment horizontal="right" vertical="center"/>
    </xf>
    <xf numFmtId="49" fontId="34" fillId="0" borderId="90" applyNumberFormat="0" applyFill="0" applyBorder="0" applyProtection="0">
      <alignment horizontal="left" vertical="center"/>
    </xf>
    <xf numFmtId="4" fontId="33" fillId="34" borderId="79">
      <alignment horizontal="right" vertical="center"/>
    </xf>
    <xf numFmtId="0" fontId="63" fillId="56" borderId="102" applyNumberFormat="0" applyAlignment="0" applyProtection="0"/>
    <xf numFmtId="4" fontId="33" fillId="34" borderId="80">
      <alignment horizontal="right" vertical="center"/>
    </xf>
    <xf numFmtId="4" fontId="37" fillId="32" borderId="106">
      <alignment horizontal="right" vertical="center"/>
    </xf>
    <xf numFmtId="0" fontId="66" fillId="0" borderId="88" applyNumberFormat="0" applyFill="0" applyAlignment="0" applyProtection="0"/>
    <xf numFmtId="0" fontId="30" fillId="13" borderId="13" applyNumberFormat="0" applyAlignment="0" applyProtection="0"/>
    <xf numFmtId="4" fontId="37" fillId="32" borderId="79">
      <alignment horizontal="right" vertical="center"/>
    </xf>
    <xf numFmtId="0" fontId="51" fillId="0" borderId="85" applyNumberFormat="0" applyFill="0" applyAlignment="0" applyProtection="0"/>
    <xf numFmtId="0" fontId="44" fillId="56" borderId="123" applyNumberFormat="0" applyAlignment="0" applyProtection="0"/>
    <xf numFmtId="0" fontId="51" fillId="0" borderId="112" applyNumberFormat="0" applyFill="0" applyAlignment="0" applyProtection="0"/>
    <xf numFmtId="0" fontId="12" fillId="28" borderId="0" applyNumberFormat="0" applyBorder="0" applyAlignment="0" applyProtection="0"/>
    <xf numFmtId="0" fontId="41" fillId="59" borderId="105" applyNumberFormat="0" applyFont="0" applyAlignment="0" applyProtection="0"/>
    <xf numFmtId="4" fontId="33" fillId="34" borderId="81">
      <alignment horizontal="right" vertical="center"/>
    </xf>
    <xf numFmtId="4" fontId="33" fillId="32" borderId="79">
      <alignment horizontal="right" vertical="center"/>
    </xf>
    <xf numFmtId="49" fontId="35" fillId="0" borderId="79" applyNumberFormat="0" applyFont="0" applyFill="0" applyBorder="0" applyProtection="0">
      <alignment horizontal="left" vertical="center" indent="2"/>
    </xf>
    <xf numFmtId="4" fontId="35" fillId="0" borderId="79" applyFill="0" applyBorder="0" applyProtection="0">
      <alignment horizontal="right" vertical="center"/>
    </xf>
    <xf numFmtId="0" fontId="35" fillId="0" borderId="79" applyNumberFormat="0" applyFill="0" applyAlignment="0" applyProtection="0"/>
    <xf numFmtId="4" fontId="33" fillId="34" borderId="120">
      <alignment horizontal="right" vertical="center"/>
    </xf>
    <xf numFmtId="0" fontId="33" fillId="34" borderId="137">
      <alignment horizontal="right" vertical="center"/>
    </xf>
    <xf numFmtId="0" fontId="41" fillId="59" borderId="78" applyNumberFormat="0" applyFont="0" applyAlignment="0" applyProtection="0"/>
    <xf numFmtId="0" fontId="51" fillId="0" borderId="85" applyNumberFormat="0" applyFill="0" applyAlignment="0" applyProtection="0"/>
    <xf numFmtId="0" fontId="66" fillId="0" borderId="104" applyNumberFormat="0" applyFill="0" applyAlignment="0" applyProtection="0"/>
    <xf numFmtId="0" fontId="27" fillId="21" borderId="0" applyNumberFormat="0" applyBorder="0" applyAlignment="0" applyProtection="0"/>
    <xf numFmtId="4" fontId="33" fillId="34" borderId="120">
      <alignment horizontal="right" vertical="center"/>
    </xf>
    <xf numFmtId="0" fontId="35" fillId="0" borderId="101">
      <alignment horizontal="left" vertical="center" wrapText="1" indent="2"/>
    </xf>
    <xf numFmtId="0" fontId="47" fillId="56" borderId="84" applyNumberFormat="0" applyAlignment="0" applyProtection="0"/>
    <xf numFmtId="0" fontId="66" fillId="0" borderId="96" applyNumberFormat="0" applyFill="0" applyAlignment="0" applyProtection="0"/>
    <xf numFmtId="0" fontId="41" fillId="59" borderId="78" applyNumberFormat="0" applyFont="0" applyAlignment="0" applyProtection="0"/>
    <xf numFmtId="4" fontId="33" fillId="34" borderId="81">
      <alignment horizontal="right" vertical="center"/>
    </xf>
    <xf numFmtId="173" fontId="35" fillId="60" borderId="79" applyNumberFormat="0" applyFont="0" applyBorder="0" applyAlignment="0" applyProtection="0">
      <alignment horizontal="right" vertical="center"/>
    </xf>
    <xf numFmtId="0" fontId="31" fillId="0" borderId="0" applyNumberFormat="0" applyFill="0" applyBorder="0" applyAlignment="0" applyProtection="0"/>
    <xf numFmtId="0" fontId="63" fillId="56" borderId="94" applyNumberFormat="0" applyAlignment="0" applyProtection="0"/>
    <xf numFmtId="0" fontId="51" fillId="0" borderId="85" applyNumberFormat="0" applyFill="0" applyAlignment="0" applyProtection="0"/>
    <xf numFmtId="0" fontId="27" fillId="14" borderId="0" applyNumberFormat="0" applyBorder="0" applyAlignment="0" applyProtection="0"/>
    <xf numFmtId="0" fontId="12" fillId="28" borderId="0" applyNumberFormat="0" applyBorder="0" applyAlignment="0" applyProtection="0"/>
    <xf numFmtId="0" fontId="31" fillId="0" borderId="0" applyNumberFormat="0" applyFill="0" applyBorder="0" applyAlignment="0" applyProtection="0"/>
    <xf numFmtId="4" fontId="33" fillId="34" borderId="107">
      <alignment horizontal="right" vertical="center"/>
    </xf>
    <xf numFmtId="0" fontId="35" fillId="34" borderId="82">
      <alignment horizontal="left" vertical="center" wrapText="1" indent="2"/>
    </xf>
    <xf numFmtId="0" fontId="63" fillId="56" borderId="83" applyNumberFormat="0" applyAlignment="0" applyProtection="0"/>
    <xf numFmtId="0" fontId="59" fillId="43" borderId="103" applyNumberFormat="0" applyAlignment="0" applyProtection="0"/>
    <xf numFmtId="0" fontId="47" fillId="56" borderId="124" applyNumberFormat="0" applyAlignment="0" applyProtection="0"/>
    <xf numFmtId="0" fontId="33" fillId="32" borderId="114">
      <alignment horizontal="right" vertical="center"/>
    </xf>
    <xf numFmtId="0" fontId="2" fillId="0" borderId="15" applyNumberFormat="0" applyFill="0" applyAlignment="0" applyProtection="0"/>
    <xf numFmtId="0" fontId="1" fillId="0" borderId="0" applyNumberFormat="0" applyFill="0" applyBorder="0" applyAlignment="0" applyProtection="0"/>
    <xf numFmtId="4" fontId="33" fillId="32" borderId="137">
      <alignment horizontal="right" vertical="center"/>
    </xf>
    <xf numFmtId="0" fontId="27" fillId="29" borderId="0" applyNumberFormat="0" applyBorder="0" applyAlignment="0" applyProtection="0"/>
    <xf numFmtId="49" fontId="35" fillId="0" borderId="80" applyNumberFormat="0" applyFont="0" applyFill="0" applyBorder="0" applyProtection="0">
      <alignment horizontal="left" vertical="center" indent="5"/>
    </xf>
    <xf numFmtId="0" fontId="44" fillId="56" borderId="83" applyNumberFormat="0" applyAlignment="0" applyProtection="0"/>
    <xf numFmtId="0" fontId="37" fillId="32" borderId="79">
      <alignment horizontal="right" vertical="center"/>
    </xf>
    <xf numFmtId="4" fontId="35" fillId="33" borderId="79"/>
    <xf numFmtId="0" fontId="63" fillId="56" borderId="102" applyNumberFormat="0" applyAlignment="0" applyProtection="0"/>
    <xf numFmtId="0" fontId="63" fillId="56" borderId="83" applyNumberFormat="0" applyAlignment="0" applyProtection="0"/>
    <xf numFmtId="4" fontId="33" fillId="34" borderId="79">
      <alignment horizontal="right" vertical="center"/>
    </xf>
    <xf numFmtId="4" fontId="35" fillId="0" borderId="90" applyFill="0" applyBorder="0" applyProtection="0">
      <alignment horizontal="right" vertical="center"/>
    </xf>
    <xf numFmtId="49" fontId="35" fillId="0" borderId="80" applyNumberFormat="0" applyFont="0" applyFill="0" applyBorder="0" applyProtection="0">
      <alignment horizontal="left" vertical="center" indent="5"/>
    </xf>
    <xf numFmtId="0" fontId="30" fillId="13" borderId="13" applyNumberFormat="0" applyAlignment="0" applyProtection="0"/>
    <xf numFmtId="49" fontId="35" fillId="0" borderId="98" applyNumberFormat="0" applyFont="0" applyFill="0" applyBorder="0" applyProtection="0">
      <alignment horizontal="left" vertical="center" indent="2"/>
    </xf>
    <xf numFmtId="0" fontId="66" fillId="0" borderId="104" applyNumberFormat="0" applyFill="0" applyAlignment="0" applyProtection="0"/>
    <xf numFmtId="4" fontId="37" fillId="32" borderId="106">
      <alignment horizontal="right" vertical="center"/>
    </xf>
    <xf numFmtId="4" fontId="35" fillId="33" borderId="106"/>
    <xf numFmtId="0" fontId="59" fillId="43" borderId="95" applyNumberFormat="0" applyAlignment="0" applyProtection="0"/>
    <xf numFmtId="0" fontId="41" fillId="59" borderId="89" applyNumberFormat="0" applyFont="0" applyAlignment="0" applyProtection="0"/>
    <xf numFmtId="0" fontId="66" fillId="0" borderId="125" applyNumberFormat="0" applyFill="0" applyAlignment="0" applyProtection="0"/>
    <xf numFmtId="0" fontId="41" fillId="59" borderId="105" applyNumberFormat="0" applyFont="0" applyAlignment="0" applyProtection="0"/>
    <xf numFmtId="0" fontId="35" fillId="0" borderId="79">
      <alignment horizontal="right" vertical="center"/>
    </xf>
    <xf numFmtId="0" fontId="41" fillId="59" borderId="113" applyNumberFormat="0" applyFont="0" applyAlignment="0" applyProtection="0"/>
    <xf numFmtId="0" fontId="66" fillId="0" borderId="104" applyNumberFormat="0" applyFill="0" applyAlignment="0" applyProtection="0"/>
    <xf numFmtId="0" fontId="63" fillId="56" borderId="83" applyNumberFormat="0" applyAlignment="0" applyProtection="0"/>
    <xf numFmtId="0" fontId="47" fillId="56" borderId="103" applyNumberFormat="0" applyAlignment="0" applyProtection="0"/>
    <xf numFmtId="0" fontId="35" fillId="0" borderId="98">
      <alignment horizontal="right" vertical="center"/>
    </xf>
    <xf numFmtId="4" fontId="35" fillId="33" borderId="79"/>
    <xf numFmtId="0" fontId="33" fillId="32" borderId="79">
      <alignment horizontal="right" vertical="center"/>
    </xf>
    <xf numFmtId="49" fontId="35" fillId="0" borderId="107" applyNumberFormat="0" applyFont="0" applyFill="0" applyBorder="0" applyProtection="0">
      <alignment horizontal="left" vertical="center" indent="5"/>
    </xf>
    <xf numFmtId="4" fontId="33" fillId="34" borderId="79">
      <alignment horizontal="right" vertical="center"/>
    </xf>
    <xf numFmtId="0" fontId="37" fillId="32" borderId="106">
      <alignment horizontal="right" vertical="center"/>
    </xf>
    <xf numFmtId="0" fontId="27" fillId="27" borderId="0" applyNumberFormat="0" applyBorder="0" applyAlignment="0" applyProtection="0"/>
    <xf numFmtId="0" fontId="66" fillId="0" borderId="125" applyNumberFormat="0" applyFill="0" applyAlignment="0" applyProtection="0"/>
    <xf numFmtId="0" fontId="35" fillId="34" borderId="82">
      <alignment horizontal="left" vertical="center" wrapText="1" indent="2"/>
    </xf>
    <xf numFmtId="0" fontId="59" fillId="43" borderId="84" applyNumberFormat="0" applyAlignment="0" applyProtection="0"/>
    <xf numFmtId="0" fontId="35" fillId="34" borderId="93">
      <alignment horizontal="left" vertical="center" wrapText="1" indent="2"/>
    </xf>
    <xf numFmtId="0" fontId="27" fillId="18" borderId="0" applyNumberFormat="0" applyBorder="0" applyAlignment="0" applyProtection="0"/>
    <xf numFmtId="4" fontId="35" fillId="0" borderId="79" applyFill="0" applyBorder="0" applyProtection="0">
      <alignment horizontal="right" vertical="center"/>
    </xf>
    <xf numFmtId="0" fontId="33" fillId="34" borderId="80">
      <alignment horizontal="right" vertical="center"/>
    </xf>
    <xf numFmtId="4" fontId="37" fillId="32" borderId="114">
      <alignment horizontal="right" vertical="center"/>
    </xf>
    <xf numFmtId="49" fontId="34" fillId="0" borderId="106" applyNumberFormat="0" applyFill="0" applyBorder="0" applyProtection="0">
      <alignment horizontal="left" vertical="center"/>
    </xf>
    <xf numFmtId="0" fontId="47" fillId="56" borderId="134" applyNumberFormat="0" applyAlignment="0" applyProtection="0"/>
    <xf numFmtId="0" fontId="59" fillId="43" borderId="84" applyNumberFormat="0" applyAlignment="0" applyProtection="0"/>
    <xf numFmtId="49" fontId="34" fillId="0" borderId="119" applyNumberFormat="0" applyFill="0" applyBorder="0" applyProtection="0">
      <alignment horizontal="left" vertical="center"/>
    </xf>
    <xf numFmtId="4" fontId="35" fillId="0" borderId="106">
      <alignment horizontal="right" vertical="center"/>
    </xf>
    <xf numFmtId="0" fontId="35" fillId="33" borderId="66"/>
    <xf numFmtId="0" fontId="33" fillId="34" borderId="66">
      <alignment horizontal="right" vertical="center"/>
    </xf>
    <xf numFmtId="0" fontId="35" fillId="0" borderId="79">
      <alignment horizontal="right" vertical="center"/>
    </xf>
    <xf numFmtId="0" fontId="12" fillId="19" borderId="0" applyNumberFormat="0" applyBorder="0" applyAlignment="0" applyProtection="0"/>
    <xf numFmtId="0" fontId="33" fillId="34" borderId="106">
      <alignment horizontal="right" vertical="center"/>
    </xf>
    <xf numFmtId="0" fontId="35" fillId="0" borderId="82">
      <alignment horizontal="left" vertical="center" wrapText="1" indent="2"/>
    </xf>
    <xf numFmtId="0" fontId="12" fillId="28" borderId="0" applyNumberFormat="0" applyBorder="0" applyAlignment="0" applyProtection="0"/>
    <xf numFmtId="0" fontId="12" fillId="28" borderId="0" applyNumberFormat="0" applyBorder="0" applyAlignment="0" applyProtection="0"/>
    <xf numFmtId="0" fontId="44" fillId="56" borderId="123" applyNumberFormat="0" applyAlignment="0" applyProtection="0"/>
    <xf numFmtId="0" fontId="27" fillId="24" borderId="0" applyNumberFormat="0" applyBorder="0" applyAlignment="0" applyProtection="0"/>
    <xf numFmtId="0" fontId="59" fillId="43" borderId="84" applyNumberFormat="0" applyAlignment="0" applyProtection="0"/>
    <xf numFmtId="0" fontId="66" fillId="0" borderId="85" applyNumberFormat="0" applyFill="0" applyAlignment="0" applyProtection="0"/>
    <xf numFmtId="0" fontId="27" fillId="30" borderId="0" applyNumberFormat="0" applyBorder="0" applyAlignment="0" applyProtection="0"/>
    <xf numFmtId="49" fontId="35" fillId="0" borderId="79" applyNumberFormat="0" applyFont="0" applyFill="0" applyBorder="0" applyProtection="0">
      <alignment horizontal="left" vertical="center" indent="2"/>
    </xf>
    <xf numFmtId="4" fontId="35" fillId="33" borderId="79"/>
    <xf numFmtId="0" fontId="59" fillId="43" borderId="103" applyNumberFormat="0" applyAlignment="0" applyProtection="0"/>
    <xf numFmtId="0" fontId="59" fillId="43" borderId="84" applyNumberFormat="0" applyAlignment="0" applyProtection="0"/>
    <xf numFmtId="4" fontId="35" fillId="0" borderId="119">
      <alignment horizontal="right" vertical="center"/>
    </xf>
    <xf numFmtId="0" fontId="27" fillId="23" borderId="0" applyNumberFormat="0" applyBorder="0" applyAlignment="0" applyProtection="0"/>
    <xf numFmtId="0" fontId="33" fillId="34" borderId="79">
      <alignment horizontal="right" vertical="center"/>
    </xf>
    <xf numFmtId="4" fontId="37" fillId="32" borderId="106">
      <alignment horizontal="right" vertical="center"/>
    </xf>
    <xf numFmtId="0" fontId="37" fillId="32" borderId="98">
      <alignment horizontal="right" vertical="center"/>
    </xf>
    <xf numFmtId="0" fontId="30" fillId="13" borderId="13" applyNumberFormat="0" applyAlignment="0" applyProtection="0"/>
    <xf numFmtId="0" fontId="12" fillId="16" borderId="0" applyNumberFormat="0" applyBorder="0" applyAlignment="0" applyProtection="0"/>
    <xf numFmtId="0" fontId="44" fillId="56" borderId="102" applyNumberFormat="0" applyAlignment="0" applyProtection="0"/>
    <xf numFmtId="4" fontId="35" fillId="0" borderId="119">
      <alignment horizontal="right" vertical="center"/>
    </xf>
    <xf numFmtId="0" fontId="41" fillId="59" borderId="78" applyNumberFormat="0" applyFont="0" applyAlignment="0" applyProtection="0"/>
    <xf numFmtId="0" fontId="41" fillId="59" borderId="78" applyNumberFormat="0" applyFont="0" applyAlignment="0" applyProtection="0"/>
    <xf numFmtId="0" fontId="33" fillId="34" borderId="108">
      <alignment horizontal="right" vertical="center"/>
    </xf>
    <xf numFmtId="0" fontId="27" fillId="27" borderId="0" applyNumberFormat="0" applyBorder="0" applyAlignment="0" applyProtection="0"/>
    <xf numFmtId="0" fontId="27" fillId="17" borderId="0" applyNumberFormat="0" applyBorder="0" applyAlignment="0" applyProtection="0"/>
    <xf numFmtId="0" fontId="27" fillId="29" borderId="0" applyNumberFormat="0" applyBorder="0" applyAlignment="0" applyProtection="0"/>
    <xf numFmtId="4" fontId="35" fillId="0" borderId="79">
      <alignment horizontal="right" vertical="center"/>
    </xf>
    <xf numFmtId="0" fontId="27" fillId="21" borderId="0" applyNumberFormat="0" applyBorder="0" applyAlignment="0" applyProtection="0"/>
    <xf numFmtId="49" fontId="35" fillId="0" borderId="79" applyNumberFormat="0" applyFont="0" applyFill="0" applyBorder="0" applyProtection="0">
      <alignment horizontal="left" vertical="center" indent="2"/>
    </xf>
    <xf numFmtId="49" fontId="35" fillId="0" borderId="130" applyNumberFormat="0" applyFont="0" applyFill="0" applyBorder="0" applyProtection="0">
      <alignment horizontal="left" vertical="center" indent="5"/>
    </xf>
    <xf numFmtId="0" fontId="35" fillId="0" borderId="79" applyNumberFormat="0" applyFill="0" applyAlignment="0" applyProtection="0"/>
    <xf numFmtId="0" fontId="27" fillId="24" borderId="0" applyNumberFormat="0" applyBorder="0" applyAlignment="0" applyProtection="0"/>
    <xf numFmtId="0" fontId="35" fillId="33" borderId="106"/>
    <xf numFmtId="0" fontId="30" fillId="13" borderId="13" applyNumberFormat="0" applyAlignment="0" applyProtection="0"/>
    <xf numFmtId="0" fontId="35" fillId="32" borderId="107">
      <alignment horizontal="left" vertical="center"/>
    </xf>
    <xf numFmtId="0" fontId="59" fillId="43" borderId="84" applyNumberFormat="0" applyAlignment="0" applyProtection="0"/>
    <xf numFmtId="0" fontId="35" fillId="33" borderId="106"/>
    <xf numFmtId="0" fontId="33" fillId="34" borderId="81">
      <alignment horizontal="right" vertical="center"/>
    </xf>
    <xf numFmtId="0" fontId="59" fillId="43" borderId="103" applyNumberFormat="0" applyAlignment="0" applyProtection="0"/>
    <xf numFmtId="4" fontId="33" fillId="34" borderId="108">
      <alignment horizontal="right" vertical="center"/>
    </xf>
    <xf numFmtId="0" fontId="27" fillId="20" borderId="0" applyNumberFormat="0" applyBorder="0" applyAlignment="0" applyProtection="0"/>
    <xf numFmtId="4" fontId="33" fillId="34" borderId="120">
      <alignment horizontal="right" vertical="center"/>
    </xf>
    <xf numFmtId="0" fontId="27" fillId="14" borderId="0" applyNumberFormat="0" applyBorder="0" applyAlignment="0" applyProtection="0"/>
    <xf numFmtId="0" fontId="31" fillId="0" borderId="0" applyNumberFormat="0" applyFill="0" applyBorder="0" applyAlignment="0" applyProtection="0"/>
    <xf numFmtId="4" fontId="37" fillId="32" borderId="119">
      <alignment horizontal="right" vertical="center"/>
    </xf>
    <xf numFmtId="0" fontId="30" fillId="13" borderId="13" applyNumberFormat="0" applyAlignment="0" applyProtection="0"/>
    <xf numFmtId="0" fontId="33" fillId="34" borderId="79">
      <alignment horizontal="right" vertical="center"/>
    </xf>
    <xf numFmtId="0" fontId="33" fillId="34" borderId="80">
      <alignment horizontal="right" vertical="center"/>
    </xf>
    <xf numFmtId="4" fontId="33" fillId="34" borderId="90">
      <alignment horizontal="right" vertical="center"/>
    </xf>
    <xf numFmtId="0" fontId="66" fillId="0" borderId="88" applyNumberFormat="0" applyFill="0" applyAlignment="0" applyProtection="0"/>
    <xf numFmtId="4" fontId="33" fillId="34" borderId="81">
      <alignment horizontal="right" vertical="center"/>
    </xf>
    <xf numFmtId="0" fontId="29" fillId="13" borderId="14" applyNumberFormat="0" applyAlignment="0" applyProtection="0"/>
    <xf numFmtId="0" fontId="35" fillId="0" borderId="82">
      <alignment horizontal="left" vertical="center" wrapText="1" indent="2"/>
    </xf>
    <xf numFmtId="0" fontId="44" fillId="56" borderId="102" applyNumberFormat="0" applyAlignment="0" applyProtection="0"/>
    <xf numFmtId="0" fontId="27" fillId="23" borderId="0" applyNumberFormat="0" applyBorder="0" applyAlignment="0" applyProtection="0"/>
    <xf numFmtId="4" fontId="35" fillId="0" borderId="79" applyFill="0" applyBorder="0" applyProtection="0">
      <alignment horizontal="right" vertical="center"/>
    </xf>
    <xf numFmtId="0" fontId="35" fillId="34" borderId="82">
      <alignment horizontal="left" vertical="center" wrapText="1" indent="2"/>
    </xf>
    <xf numFmtId="0" fontId="35" fillId="0" borderId="79" applyNumberFormat="0" applyFill="0" applyAlignment="0" applyProtection="0"/>
    <xf numFmtId="49" fontId="34" fillId="0" borderId="79" applyNumberFormat="0" applyFill="0" applyBorder="0" applyProtection="0">
      <alignment horizontal="left" vertical="center"/>
    </xf>
    <xf numFmtId="0" fontId="47" fillId="56" borderId="84" applyNumberFormat="0" applyAlignment="0" applyProtection="0"/>
    <xf numFmtId="49" fontId="34" fillId="0" borderId="106" applyNumberFormat="0" applyFill="0" applyBorder="0" applyProtection="0">
      <alignment horizontal="left" vertical="center"/>
    </xf>
    <xf numFmtId="0" fontId="63" fillId="56" borderId="83" applyNumberFormat="0" applyAlignment="0" applyProtection="0"/>
    <xf numFmtId="0" fontId="35" fillId="33" borderId="79"/>
    <xf numFmtId="0" fontId="66" fillId="0" borderId="85" applyNumberFormat="0" applyFill="0" applyAlignment="0" applyProtection="0"/>
    <xf numFmtId="0" fontId="35" fillId="0" borderId="82">
      <alignment horizontal="left" vertical="center" wrapText="1" indent="2"/>
    </xf>
    <xf numFmtId="4" fontId="37" fillId="32" borderId="79">
      <alignment horizontal="right" vertical="center"/>
    </xf>
    <xf numFmtId="0" fontId="27" fillId="30" borderId="0" applyNumberFormat="0" applyBorder="0" applyAlignment="0" applyProtection="0"/>
    <xf numFmtId="4" fontId="37" fillId="32" borderId="79">
      <alignment horizontal="right" vertical="center"/>
    </xf>
    <xf numFmtId="173" fontId="35" fillId="60" borderId="106" applyNumberFormat="0" applyFont="0" applyBorder="0" applyAlignment="0" applyProtection="0">
      <alignment horizontal="right" vertical="center"/>
    </xf>
    <xf numFmtId="4" fontId="35" fillId="33" borderId="79"/>
    <xf numFmtId="0" fontId="41" fillId="59" borderId="78" applyNumberFormat="0" applyFont="0" applyAlignment="0" applyProtection="0"/>
    <xf numFmtId="0" fontId="33" fillId="34" borderId="80">
      <alignment horizontal="right" vertical="center"/>
    </xf>
    <xf numFmtId="0" fontId="41" fillId="59" borderId="105" applyNumberFormat="0" applyFont="0" applyAlignment="0" applyProtection="0"/>
    <xf numFmtId="0" fontId="35" fillId="0" borderId="79">
      <alignment horizontal="right" vertical="center"/>
    </xf>
    <xf numFmtId="0" fontId="33" fillId="32" borderId="79">
      <alignment horizontal="right" vertical="center"/>
    </xf>
    <xf numFmtId="0" fontId="44" fillId="56" borderId="83" applyNumberFormat="0" applyAlignment="0" applyProtection="0"/>
    <xf numFmtId="0" fontId="47" fillId="56" borderId="95" applyNumberFormat="0" applyAlignment="0" applyProtection="0"/>
    <xf numFmtId="0" fontId="35" fillId="0" borderId="106">
      <alignment horizontal="right" vertical="center"/>
    </xf>
    <xf numFmtId="0" fontId="33" fillId="34" borderId="107">
      <alignment horizontal="right" vertical="center"/>
    </xf>
    <xf numFmtId="0" fontId="51" fillId="0" borderId="85" applyNumberFormat="0" applyFill="0" applyAlignment="0" applyProtection="0"/>
    <xf numFmtId="0" fontId="33" fillId="34" borderId="79">
      <alignment horizontal="right" vertical="center"/>
    </xf>
    <xf numFmtId="4" fontId="37" fillId="32" borderId="90">
      <alignment horizontal="right" vertical="center"/>
    </xf>
    <xf numFmtId="0" fontId="37" fillId="32" borderId="90">
      <alignment horizontal="right" vertical="center"/>
    </xf>
    <xf numFmtId="0" fontId="35" fillId="0" borderId="106" applyNumberFormat="0" applyFill="0" applyAlignment="0" applyProtection="0"/>
    <xf numFmtId="0" fontId="37" fillId="32" borderId="79">
      <alignment horizontal="right" vertical="center"/>
    </xf>
    <xf numFmtId="0" fontId="59" fillId="43" borderId="84" applyNumberFormat="0" applyAlignment="0" applyProtection="0"/>
    <xf numFmtId="49" fontId="34" fillId="0" borderId="79" applyNumberFormat="0" applyFill="0" applyBorder="0" applyProtection="0">
      <alignment horizontal="left" vertical="center"/>
    </xf>
    <xf numFmtId="0" fontId="27" fillId="29" borderId="0" applyNumberFormat="0" applyBorder="0" applyAlignment="0" applyProtection="0"/>
    <xf numFmtId="0" fontId="2" fillId="0" borderId="15" applyNumberFormat="0" applyFill="0" applyAlignment="0" applyProtection="0"/>
    <xf numFmtId="0" fontId="66" fillId="0" borderId="104" applyNumberFormat="0" applyFill="0" applyAlignment="0" applyProtection="0"/>
    <xf numFmtId="0" fontId="47" fillId="56" borderId="124" applyNumberFormat="0" applyAlignment="0" applyProtection="0"/>
    <xf numFmtId="0" fontId="33" fillId="34" borderId="107">
      <alignment horizontal="right" vertical="center"/>
    </xf>
    <xf numFmtId="0" fontId="5" fillId="59" borderId="78" applyNumberFormat="0" applyFont="0" applyAlignment="0" applyProtection="0"/>
    <xf numFmtId="0" fontId="59" fillId="43" borderId="84" applyNumberFormat="0" applyAlignment="0" applyProtection="0"/>
    <xf numFmtId="0" fontId="5" fillId="59" borderId="97" applyNumberFormat="0" applyFont="0" applyAlignment="0" applyProtection="0"/>
    <xf numFmtId="4" fontId="33" fillId="34" borderId="99">
      <alignment horizontal="right" vertical="center"/>
    </xf>
    <xf numFmtId="0" fontId="12" fillId="25" borderId="0" applyNumberFormat="0" applyBorder="0" applyAlignment="0" applyProtection="0"/>
    <xf numFmtId="49" fontId="34" fillId="0" borderId="106" applyNumberFormat="0" applyFill="0" applyBorder="0" applyProtection="0">
      <alignment horizontal="left" vertical="center"/>
    </xf>
    <xf numFmtId="0" fontId="41" fillId="59" borderId="78" applyNumberFormat="0" applyFont="0" applyAlignment="0" applyProtection="0"/>
    <xf numFmtId="0" fontId="35" fillId="0" borderId="79" applyNumberFormat="0" applyFill="0" applyAlignment="0" applyProtection="0"/>
    <xf numFmtId="0" fontId="33" fillId="34" borderId="129">
      <alignment horizontal="right" vertical="center"/>
    </xf>
    <xf numFmtId="0" fontId="35" fillId="0" borderId="82">
      <alignment horizontal="left" vertical="center" wrapText="1" indent="2"/>
    </xf>
    <xf numFmtId="4" fontId="33" fillId="34" borderId="79">
      <alignment horizontal="right" vertical="center"/>
    </xf>
    <xf numFmtId="173" fontId="35" fillId="60" borderId="98" applyNumberFormat="0" applyFont="0" applyBorder="0" applyAlignment="0" applyProtection="0">
      <alignment horizontal="right" vertical="center"/>
    </xf>
    <xf numFmtId="0" fontId="37" fillId="32" borderId="79">
      <alignment horizontal="right" vertical="center"/>
    </xf>
    <xf numFmtId="0" fontId="44" fillId="56" borderId="83" applyNumberFormat="0" applyAlignment="0" applyProtection="0"/>
    <xf numFmtId="173" fontId="35" fillId="60" borderId="79" applyNumberFormat="0" applyFont="0" applyBorder="0" applyAlignment="0" applyProtection="0">
      <alignment horizontal="right" vertical="center"/>
    </xf>
    <xf numFmtId="0" fontId="66" fillId="0" borderId="104" applyNumberFormat="0" applyFill="0" applyAlignment="0" applyProtection="0"/>
    <xf numFmtId="0" fontId="44" fillId="56" borderId="83" applyNumberFormat="0" applyAlignment="0" applyProtection="0"/>
    <xf numFmtId="0" fontId="27" fillId="30" borderId="0" applyNumberFormat="0" applyBorder="0" applyAlignment="0" applyProtection="0"/>
    <xf numFmtId="0" fontId="41" fillId="59" borderId="78" applyNumberFormat="0" applyFont="0" applyAlignment="0" applyProtection="0"/>
    <xf numFmtId="49" fontId="34" fillId="0" borderId="79" applyNumberFormat="0" applyFill="0" applyBorder="0" applyProtection="0">
      <alignment horizontal="left" vertical="center"/>
    </xf>
    <xf numFmtId="0" fontId="33" fillId="32" borderId="66">
      <alignment horizontal="right" vertical="center"/>
    </xf>
    <xf numFmtId="0" fontId="59" fillId="43" borderId="103" applyNumberFormat="0" applyAlignment="0" applyProtection="0"/>
    <xf numFmtId="0" fontId="35" fillId="34" borderId="82">
      <alignment horizontal="left" vertical="center" wrapText="1" indent="2"/>
    </xf>
    <xf numFmtId="4" fontId="35" fillId="0" borderId="119" applyFill="0" applyBorder="0" applyProtection="0">
      <alignment horizontal="right" vertical="center"/>
    </xf>
    <xf numFmtId="0" fontId="27" fillId="18" borderId="0" applyNumberFormat="0" applyBorder="0" applyAlignment="0" applyProtection="0"/>
    <xf numFmtId="0" fontId="1" fillId="0" borderId="0" applyNumberFormat="0" applyFill="0" applyBorder="0" applyAlignment="0" applyProtection="0"/>
    <xf numFmtId="0" fontId="41" fillId="59" borderId="78" applyNumberFormat="0" applyFont="0" applyAlignment="0" applyProtection="0"/>
    <xf numFmtId="0" fontId="47" fillId="56" borderId="126" applyNumberFormat="0" applyAlignment="0" applyProtection="0"/>
    <xf numFmtId="0" fontId="12" fillId="31" borderId="0" applyNumberFormat="0" applyBorder="0" applyAlignment="0" applyProtection="0"/>
    <xf numFmtId="0" fontId="27" fillId="23" borderId="0" applyNumberFormat="0" applyBorder="0" applyAlignment="0" applyProtection="0"/>
    <xf numFmtId="0" fontId="33" fillId="34" borderId="79">
      <alignment horizontal="right" vertical="center"/>
    </xf>
    <xf numFmtId="0" fontId="33" fillId="34" borderId="106">
      <alignment horizontal="right" vertical="center"/>
    </xf>
    <xf numFmtId="0" fontId="33" fillId="34" borderId="79">
      <alignment horizontal="right" vertical="center"/>
    </xf>
    <xf numFmtId="0" fontId="35" fillId="32" borderId="91">
      <alignment horizontal="left" vertical="center"/>
    </xf>
    <xf numFmtId="0" fontId="33" fillId="32" borderId="79">
      <alignment horizontal="right" vertical="center"/>
    </xf>
    <xf numFmtId="0" fontId="44" fillId="56" borderId="83" applyNumberFormat="0" applyAlignment="0" applyProtection="0"/>
    <xf numFmtId="0" fontId="66" fillId="0" borderId="104" applyNumberFormat="0" applyFill="0" applyAlignment="0" applyProtection="0"/>
    <xf numFmtId="0" fontId="44" fillId="56" borderId="94" applyNumberFormat="0" applyAlignment="0" applyProtection="0"/>
    <xf numFmtId="0" fontId="33" fillId="34" borderId="106">
      <alignment horizontal="right" vertical="center"/>
    </xf>
    <xf numFmtId="0" fontId="59" fillId="43" borderId="84" applyNumberFormat="0" applyAlignment="0" applyProtection="0"/>
    <xf numFmtId="0" fontId="27" fillId="15" borderId="0" applyNumberFormat="0" applyBorder="0" applyAlignment="0" applyProtection="0"/>
    <xf numFmtId="4" fontId="35" fillId="33" borderId="106"/>
    <xf numFmtId="0" fontId="12" fillId="16" borderId="0" applyNumberFormat="0" applyBorder="0" applyAlignment="0" applyProtection="0"/>
    <xf numFmtId="0" fontId="27" fillId="20" borderId="0" applyNumberFormat="0" applyBorder="0" applyAlignment="0" applyProtection="0"/>
    <xf numFmtId="0" fontId="12" fillId="31" borderId="0" applyNumberFormat="0" applyBorder="0" applyAlignment="0" applyProtection="0"/>
    <xf numFmtId="4" fontId="33" fillId="34" borderId="79">
      <alignment horizontal="right" vertical="center"/>
    </xf>
    <xf numFmtId="0" fontId="27" fillId="29" borderId="0" applyNumberFormat="0" applyBorder="0" applyAlignment="0" applyProtection="0"/>
    <xf numFmtId="0" fontId="12" fillId="22" borderId="0" applyNumberFormat="0" applyBorder="0" applyAlignment="0" applyProtection="0"/>
    <xf numFmtId="4" fontId="33" fillId="34" borderId="106">
      <alignment horizontal="right" vertical="center"/>
    </xf>
    <xf numFmtId="0" fontId="31" fillId="0" borderId="0" applyNumberFormat="0" applyFill="0" applyBorder="0" applyAlignment="0" applyProtection="0"/>
    <xf numFmtId="0" fontId="33" fillId="34" borderId="79">
      <alignment horizontal="right" vertical="center"/>
    </xf>
    <xf numFmtId="0" fontId="27" fillId="15" borderId="0" applyNumberFormat="0" applyBorder="0" applyAlignment="0" applyProtection="0"/>
    <xf numFmtId="0" fontId="50" fillId="43" borderId="126" applyNumberFormat="0" applyAlignment="0" applyProtection="0"/>
    <xf numFmtId="0" fontId="27" fillId="24" borderId="0" applyNumberFormat="0" applyBorder="0" applyAlignment="0" applyProtection="0"/>
    <xf numFmtId="49" fontId="35" fillId="0" borderId="80" applyNumberFormat="0" applyFont="0" applyFill="0" applyBorder="0" applyProtection="0">
      <alignment horizontal="left" vertical="center" indent="5"/>
    </xf>
    <xf numFmtId="49" fontId="34" fillId="0" borderId="79" applyNumberFormat="0" applyFill="0" applyBorder="0" applyProtection="0">
      <alignment horizontal="left" vertical="center"/>
    </xf>
    <xf numFmtId="4" fontId="33" fillId="34" borderId="81">
      <alignment horizontal="right" vertical="center"/>
    </xf>
    <xf numFmtId="0" fontId="46" fillId="56" borderId="87" applyNumberFormat="0" applyAlignment="0" applyProtection="0"/>
    <xf numFmtId="0" fontId="33" fillId="34" borderId="79">
      <alignment horizontal="right" vertical="center"/>
    </xf>
    <xf numFmtId="0" fontId="66" fillId="0" borderId="104" applyNumberFormat="0" applyFill="0" applyAlignment="0" applyProtection="0"/>
    <xf numFmtId="0" fontId="12" fillId="19" borderId="0" applyNumberFormat="0" applyBorder="0" applyAlignment="0" applyProtection="0"/>
    <xf numFmtId="0" fontId="33" fillId="34" borderId="99">
      <alignment horizontal="right" vertical="center"/>
    </xf>
    <xf numFmtId="0" fontId="27" fillId="30" borderId="0" applyNumberFormat="0" applyBorder="0" applyAlignment="0" applyProtection="0"/>
    <xf numFmtId="0" fontId="59" fillId="43" borderId="84" applyNumberFormat="0" applyAlignment="0" applyProtection="0"/>
    <xf numFmtId="0" fontId="51" fillId="0" borderId="104" applyNumberFormat="0" applyFill="0" applyAlignment="0" applyProtection="0"/>
    <xf numFmtId="0" fontId="46" fillId="56" borderId="84" applyNumberFormat="0" applyAlignment="0" applyProtection="0"/>
    <xf numFmtId="0" fontId="66" fillId="0" borderId="85" applyNumberFormat="0" applyFill="0" applyAlignment="0" applyProtection="0"/>
    <xf numFmtId="0" fontId="29" fillId="13" borderId="14" applyNumberFormat="0" applyAlignment="0" applyProtection="0"/>
    <xf numFmtId="0" fontId="51" fillId="0" borderId="96" applyNumberFormat="0" applyFill="0" applyAlignment="0" applyProtection="0"/>
    <xf numFmtId="4" fontId="33" fillId="34" borderId="106">
      <alignment horizontal="right" vertical="center"/>
    </xf>
    <xf numFmtId="0" fontId="51" fillId="0" borderId="104" applyNumberFormat="0" applyFill="0" applyAlignment="0" applyProtection="0"/>
    <xf numFmtId="0" fontId="37" fillId="32" borderId="106">
      <alignment horizontal="right" vertical="center"/>
    </xf>
    <xf numFmtId="0" fontId="27" fillId="21" borderId="0" applyNumberFormat="0" applyBorder="0" applyAlignment="0" applyProtection="0"/>
    <xf numFmtId="0" fontId="33" fillId="34" borderId="90">
      <alignment horizontal="right" vertical="center"/>
    </xf>
    <xf numFmtId="0" fontId="1" fillId="0" borderId="0" applyNumberFormat="0" applyFill="0" applyBorder="0" applyAlignment="0" applyProtection="0"/>
    <xf numFmtId="0" fontId="33" fillId="34" borderId="81">
      <alignment horizontal="right" vertical="center"/>
    </xf>
    <xf numFmtId="0" fontId="29" fillId="13" borderId="14" applyNumberFormat="0" applyAlignment="0" applyProtection="0"/>
    <xf numFmtId="0" fontId="27" fillId="26" borderId="0" applyNumberFormat="0" applyBorder="0" applyAlignment="0" applyProtection="0"/>
    <xf numFmtId="0" fontId="33" fillId="34" borderId="81">
      <alignment horizontal="right" vertical="center"/>
    </xf>
    <xf numFmtId="0" fontId="35" fillId="0" borderId="106" applyNumberFormat="0" applyFill="0" applyAlignment="0" applyProtection="0"/>
    <xf numFmtId="0" fontId="5" fillId="59" borderId="78" applyNumberFormat="0" applyFont="0" applyAlignment="0" applyProtection="0"/>
    <xf numFmtId="0" fontId="27" fillId="24" borderId="0" applyNumberFormat="0" applyBorder="0" applyAlignment="0" applyProtection="0"/>
    <xf numFmtId="0" fontId="5" fillId="59" borderId="78" applyNumberFormat="0" applyFont="0" applyAlignment="0" applyProtection="0"/>
    <xf numFmtId="0" fontId="46" fillId="56" borderId="84" applyNumberFormat="0" applyAlignment="0" applyProtection="0"/>
    <xf numFmtId="0" fontId="33" fillId="34" borderId="66">
      <alignment horizontal="right" vertical="center"/>
    </xf>
    <xf numFmtId="0" fontId="44" fillId="56" borderId="102" applyNumberFormat="0" applyAlignment="0" applyProtection="0"/>
    <xf numFmtId="0" fontId="59" fillId="43" borderId="124" applyNumberFormat="0" applyAlignment="0" applyProtection="0"/>
    <xf numFmtId="4" fontId="35" fillId="0" borderId="79" applyFill="0" applyBorder="0" applyProtection="0">
      <alignment horizontal="right" vertical="center"/>
    </xf>
    <xf numFmtId="0" fontId="12" fillId="25" borderId="0" applyNumberFormat="0" applyBorder="0" applyAlignment="0" applyProtection="0"/>
    <xf numFmtId="0" fontId="46" fillId="56" borderId="126" applyNumberFormat="0" applyAlignment="0" applyProtection="0"/>
    <xf numFmtId="0" fontId="47" fillId="56" borderId="84" applyNumberFormat="0" applyAlignment="0" applyProtection="0"/>
    <xf numFmtId="0" fontId="27" fillId="30" borderId="0" applyNumberFormat="0" applyBorder="0" applyAlignment="0" applyProtection="0"/>
    <xf numFmtId="0" fontId="35" fillId="0" borderId="79" applyNumberFormat="0" applyFill="0" applyAlignment="0" applyProtection="0"/>
    <xf numFmtId="0" fontId="33" fillId="34" borderId="79">
      <alignment horizontal="right" vertical="center"/>
    </xf>
    <xf numFmtId="0" fontId="2" fillId="0" borderId="15" applyNumberFormat="0" applyFill="0" applyAlignment="0" applyProtection="0"/>
    <xf numFmtId="0" fontId="50" fillId="43" borderId="103" applyNumberFormat="0" applyAlignment="0" applyProtection="0"/>
    <xf numFmtId="0" fontId="35" fillId="0" borderId="119" applyNumberFormat="0" applyFill="0" applyAlignment="0" applyProtection="0"/>
    <xf numFmtId="0" fontId="47" fillId="56" borderId="103" applyNumberFormat="0" applyAlignment="0" applyProtection="0"/>
    <xf numFmtId="0" fontId="47" fillId="56" borderId="103" applyNumberFormat="0" applyAlignment="0" applyProtection="0"/>
    <xf numFmtId="0" fontId="35" fillId="0" borderId="93">
      <alignment horizontal="left" vertical="center" wrapText="1" indent="2"/>
    </xf>
    <xf numFmtId="49" fontId="35" fillId="0" borderId="119" applyNumberFormat="0" applyFont="0" applyFill="0" applyBorder="0" applyProtection="0">
      <alignment horizontal="left" vertical="center" indent="2"/>
    </xf>
    <xf numFmtId="4" fontId="35" fillId="0" borderId="79" applyFill="0" applyBorder="0" applyProtection="0">
      <alignment horizontal="right" vertical="center"/>
    </xf>
    <xf numFmtId="0" fontId="27" fillId="18" borderId="0" applyNumberFormat="0" applyBorder="0" applyAlignment="0" applyProtection="0"/>
    <xf numFmtId="4" fontId="35" fillId="33" borderId="79"/>
    <xf numFmtId="0" fontId="35" fillId="33" borderId="79"/>
    <xf numFmtId="4" fontId="33" fillId="34" borderId="80">
      <alignment horizontal="right" vertical="center"/>
    </xf>
    <xf numFmtId="0" fontId="2" fillId="0" borderId="15" applyNumberFormat="0" applyFill="0" applyAlignment="0" applyProtection="0"/>
    <xf numFmtId="4" fontId="33" fillId="34" borderId="137">
      <alignment horizontal="right" vertical="center"/>
    </xf>
    <xf numFmtId="0" fontId="33" fillId="34" borderId="106">
      <alignment horizontal="right" vertical="center"/>
    </xf>
    <xf numFmtId="4" fontId="33" fillId="34" borderId="106">
      <alignment horizontal="right" vertical="center"/>
    </xf>
    <xf numFmtId="0" fontId="59" fillId="43" borderId="126" applyNumberFormat="0" applyAlignment="0" applyProtection="0"/>
    <xf numFmtId="49" fontId="34" fillId="0" borderId="106" applyNumberFormat="0" applyFill="0" applyBorder="0" applyProtection="0">
      <alignment horizontal="left" vertical="center"/>
    </xf>
    <xf numFmtId="4" fontId="35" fillId="0" borderId="106" applyFill="0" applyBorder="0" applyProtection="0">
      <alignment horizontal="right" vertical="center"/>
    </xf>
    <xf numFmtId="0" fontId="66" fillId="0" borderId="104" applyNumberFormat="0" applyFill="0" applyAlignment="0" applyProtection="0"/>
    <xf numFmtId="0" fontId="59" fillId="43" borderId="124" applyNumberFormat="0" applyAlignment="0" applyProtection="0"/>
    <xf numFmtId="0" fontId="35" fillId="0" borderId="109">
      <alignment horizontal="left" vertical="center" wrapText="1" indent="2"/>
    </xf>
    <xf numFmtId="0" fontId="66" fillId="0" borderId="85" applyNumberFormat="0" applyFill="0" applyAlignment="0" applyProtection="0"/>
    <xf numFmtId="0" fontId="12" fillId="31" borderId="0" applyNumberFormat="0" applyBorder="0" applyAlignment="0" applyProtection="0"/>
    <xf numFmtId="0" fontId="27" fillId="14" borderId="0" applyNumberFormat="0" applyBorder="0" applyAlignment="0" applyProtection="0"/>
    <xf numFmtId="0" fontId="12" fillId="22" borderId="0" applyNumberFormat="0" applyBorder="0" applyAlignment="0" applyProtection="0"/>
    <xf numFmtId="4" fontId="35" fillId="0" borderId="79">
      <alignment horizontal="right" vertical="center"/>
    </xf>
    <xf numFmtId="0" fontId="33" fillId="34" borderId="81">
      <alignment horizontal="right" vertical="center"/>
    </xf>
    <xf numFmtId="0" fontId="47" fillId="56" borderId="103" applyNumberFormat="0" applyAlignment="0" applyProtection="0"/>
    <xf numFmtId="4" fontId="33" fillId="32" borderId="79">
      <alignment horizontal="right" vertical="center"/>
    </xf>
    <xf numFmtId="0" fontId="27" fillId="24" borderId="0" applyNumberFormat="0" applyBorder="0" applyAlignment="0" applyProtection="0"/>
    <xf numFmtId="0" fontId="35" fillId="33" borderId="98"/>
    <xf numFmtId="0" fontId="33" fillId="34" borderId="79">
      <alignment horizontal="right" vertical="center"/>
    </xf>
    <xf numFmtId="4" fontId="33" fillId="34" borderId="90">
      <alignment horizontal="right" vertical="center"/>
    </xf>
    <xf numFmtId="0" fontId="66" fillId="0" borderId="96" applyNumberFormat="0" applyFill="0" applyAlignment="0" applyProtection="0"/>
    <xf numFmtId="0" fontId="35" fillId="34" borderId="109">
      <alignment horizontal="left" vertical="center" wrapText="1" indent="2"/>
    </xf>
    <xf numFmtId="4" fontId="33" fillId="32" borderId="79">
      <alignment horizontal="right" vertical="center"/>
    </xf>
    <xf numFmtId="0" fontId="63" fillId="56" borderId="86" applyNumberFormat="0" applyAlignment="0" applyProtection="0"/>
    <xf numFmtId="0" fontId="29" fillId="13" borderId="14" applyNumberFormat="0" applyAlignment="0" applyProtection="0"/>
    <xf numFmtId="0" fontId="5" fillId="59" borderId="89" applyNumberFormat="0" applyFont="0" applyAlignment="0" applyProtection="0"/>
    <xf numFmtId="4" fontId="35" fillId="0" borderId="79">
      <alignment horizontal="right" vertical="center"/>
    </xf>
    <xf numFmtId="4" fontId="33" fillId="34" borderId="120">
      <alignment horizontal="right" vertical="center"/>
    </xf>
    <xf numFmtId="0" fontId="59" fillId="43" borderId="103" applyNumberFormat="0" applyAlignment="0" applyProtection="0"/>
    <xf numFmtId="0" fontId="27" fillId="15" borderId="0" applyNumberFormat="0" applyBorder="0" applyAlignment="0" applyProtection="0"/>
    <xf numFmtId="49" fontId="34" fillId="0" borderId="79" applyNumberFormat="0" applyFill="0" applyBorder="0" applyProtection="0">
      <alignment horizontal="left" vertical="center"/>
    </xf>
    <xf numFmtId="173" fontId="35" fillId="60" borderId="106" applyNumberFormat="0" applyFont="0" applyBorder="0" applyAlignment="0" applyProtection="0">
      <alignment horizontal="right" vertical="center"/>
    </xf>
    <xf numFmtId="0" fontId="63" fillId="56" borderId="141" applyNumberFormat="0" applyAlignment="0" applyProtection="0"/>
    <xf numFmtId="0" fontId="37" fillId="32" borderId="79">
      <alignment horizontal="right" vertical="center"/>
    </xf>
    <xf numFmtId="0" fontId="63" fillId="56" borderId="102" applyNumberFormat="0" applyAlignment="0" applyProtection="0"/>
    <xf numFmtId="0" fontId="33" fillId="32" borderId="79">
      <alignment horizontal="right" vertical="center"/>
    </xf>
    <xf numFmtId="4" fontId="33" fillId="34" borderId="81">
      <alignment horizontal="right" vertical="center"/>
    </xf>
    <xf numFmtId="0" fontId="33" fillId="34" borderId="106">
      <alignment horizontal="right" vertical="center"/>
    </xf>
    <xf numFmtId="0" fontId="30" fillId="13" borderId="13" applyNumberFormat="0" applyAlignment="0" applyProtection="0"/>
    <xf numFmtId="4" fontId="35" fillId="0" borderId="79" applyFill="0" applyBorder="0" applyProtection="0">
      <alignment horizontal="right" vertical="center"/>
    </xf>
    <xf numFmtId="0" fontId="46" fillId="56" borderId="84" applyNumberFormat="0" applyAlignment="0" applyProtection="0"/>
    <xf numFmtId="0" fontId="35" fillId="0" borderId="106">
      <alignment horizontal="right" vertical="center"/>
    </xf>
    <xf numFmtId="0" fontId="33" fillId="34" borderId="80">
      <alignment horizontal="right" vertical="center"/>
    </xf>
    <xf numFmtId="4" fontId="33" fillId="34" borderId="80">
      <alignment horizontal="right" vertical="center"/>
    </xf>
    <xf numFmtId="4" fontId="33" fillId="34" borderId="107">
      <alignment horizontal="right" vertical="center"/>
    </xf>
    <xf numFmtId="0" fontId="51" fillId="0" borderId="104" applyNumberFormat="0" applyFill="0" applyAlignment="0" applyProtection="0"/>
    <xf numFmtId="49" fontId="35" fillId="0" borderId="90" applyNumberFormat="0" applyFont="0" applyFill="0" applyBorder="0" applyProtection="0">
      <alignment horizontal="left" vertical="center" indent="2"/>
    </xf>
    <xf numFmtId="4" fontId="33" fillId="32" borderId="119">
      <alignment horizontal="right" vertical="center"/>
    </xf>
    <xf numFmtId="0" fontId="33" fillId="34" borderId="129">
      <alignment horizontal="right" vertical="center"/>
    </xf>
    <xf numFmtId="0" fontId="12" fillId="31" borderId="0" applyNumberFormat="0" applyBorder="0" applyAlignment="0" applyProtection="0"/>
    <xf numFmtId="0" fontId="27" fillId="21" borderId="0" applyNumberFormat="0" applyBorder="0" applyAlignment="0" applyProtection="0"/>
    <xf numFmtId="0" fontId="47" fillId="56" borderId="111" applyNumberFormat="0" applyAlignment="0" applyProtection="0"/>
    <xf numFmtId="0" fontId="27" fillId="15" borderId="0" applyNumberFormat="0" applyBorder="0" applyAlignment="0" applyProtection="0"/>
    <xf numFmtId="0" fontId="35" fillId="0" borderId="129" applyNumberFormat="0" applyFill="0" applyAlignment="0" applyProtection="0"/>
    <xf numFmtId="0" fontId="50" fillId="43" borderId="95" applyNumberFormat="0" applyAlignment="0" applyProtection="0"/>
    <xf numFmtId="0" fontId="47" fillId="56" borderId="84" applyNumberFormat="0" applyAlignment="0" applyProtection="0"/>
    <xf numFmtId="49" fontId="35" fillId="0" borderId="106" applyNumberFormat="0" applyFont="0" applyFill="0" applyBorder="0" applyProtection="0">
      <alignment horizontal="left" vertical="center" indent="2"/>
    </xf>
    <xf numFmtId="0" fontId="50" fillId="43" borderId="84" applyNumberFormat="0" applyAlignment="0" applyProtection="0"/>
    <xf numFmtId="0" fontId="27" fillId="21" borderId="0" applyNumberFormat="0" applyBorder="0" applyAlignment="0" applyProtection="0"/>
    <xf numFmtId="0" fontId="31" fillId="0" borderId="0" applyNumberFormat="0" applyFill="0" applyBorder="0" applyAlignment="0" applyProtection="0"/>
    <xf numFmtId="173" fontId="35" fillId="60" borderId="106" applyNumberFormat="0" applyFont="0" applyBorder="0" applyAlignment="0" applyProtection="0">
      <alignment horizontal="right" vertical="center"/>
    </xf>
    <xf numFmtId="4" fontId="37" fillId="32" borderId="129">
      <alignment horizontal="right" vertical="center"/>
    </xf>
    <xf numFmtId="49" fontId="34" fillId="0" borderId="79" applyNumberFormat="0" applyFill="0" applyBorder="0" applyProtection="0">
      <alignment horizontal="left" vertical="center"/>
    </xf>
    <xf numFmtId="4" fontId="33" fillId="34" borderId="119">
      <alignment horizontal="right" vertical="center"/>
    </xf>
    <xf numFmtId="0" fontId="27" fillId="17" borderId="0" applyNumberFormat="0" applyBorder="0" applyAlignment="0" applyProtection="0"/>
    <xf numFmtId="0" fontId="2" fillId="0" borderId="15" applyNumberFormat="0" applyFill="0" applyAlignment="0" applyProtection="0"/>
    <xf numFmtId="0" fontId="35" fillId="0" borderId="82">
      <alignment horizontal="left" vertical="center" wrapText="1" indent="2"/>
    </xf>
    <xf numFmtId="0" fontId="35" fillId="34" borderId="82">
      <alignment horizontal="left" vertical="center" wrapText="1" indent="2"/>
    </xf>
    <xf numFmtId="0" fontId="27" fillId="30" borderId="0" applyNumberFormat="0" applyBorder="0" applyAlignment="0" applyProtection="0"/>
    <xf numFmtId="4" fontId="35" fillId="33" borderId="90"/>
    <xf numFmtId="4" fontId="35" fillId="0" borderId="106">
      <alignment horizontal="right" vertical="center"/>
    </xf>
    <xf numFmtId="0" fontId="41" fillId="59" borderId="78" applyNumberFormat="0" applyFont="0" applyAlignment="0" applyProtection="0"/>
    <xf numFmtId="0" fontId="35" fillId="33" borderId="106"/>
    <xf numFmtId="4" fontId="33" fillId="34" borderId="92">
      <alignment horizontal="right" vertical="center"/>
    </xf>
    <xf numFmtId="0" fontId="27" fillId="29" borderId="0" applyNumberFormat="0" applyBorder="0" applyAlignment="0" applyProtection="0"/>
    <xf numFmtId="4" fontId="35" fillId="0" borderId="119">
      <alignment horizontal="right" vertical="center"/>
    </xf>
    <xf numFmtId="4" fontId="33" fillId="34" borderId="106">
      <alignment horizontal="right" vertical="center"/>
    </xf>
    <xf numFmtId="0" fontId="63" fillId="56" borderId="133" applyNumberFormat="0" applyAlignment="0" applyProtection="0"/>
    <xf numFmtId="0" fontId="35" fillId="33" borderId="90"/>
    <xf numFmtId="0" fontId="37" fillId="32" borderId="79">
      <alignment horizontal="right" vertical="center"/>
    </xf>
    <xf numFmtId="0" fontId="50" fillId="43" borderId="84" applyNumberFormat="0" applyAlignment="0" applyProtection="0"/>
    <xf numFmtId="173" fontId="35" fillId="60" borderId="79" applyNumberFormat="0" applyFont="0" applyBorder="0" applyAlignment="0" applyProtection="0">
      <alignment horizontal="right" vertical="center"/>
    </xf>
    <xf numFmtId="0" fontId="50" fillId="43" borderId="84" applyNumberFormat="0" applyAlignment="0" applyProtection="0"/>
    <xf numFmtId="4" fontId="35" fillId="0" borderId="79">
      <alignment horizontal="right" vertical="center"/>
    </xf>
    <xf numFmtId="49" fontId="35" fillId="0" borderId="79" applyNumberFormat="0" applyFont="0" applyFill="0" applyBorder="0" applyProtection="0">
      <alignment horizontal="left" vertical="center" indent="2"/>
    </xf>
    <xf numFmtId="173" fontId="35" fillId="60" borderId="79" applyNumberFormat="0" applyFont="0" applyBorder="0" applyAlignment="0" applyProtection="0">
      <alignment horizontal="right" vertical="center"/>
    </xf>
    <xf numFmtId="0" fontId="59" fillId="43" borderId="87" applyNumberFormat="0" applyAlignment="0" applyProtection="0"/>
    <xf numFmtId="49" fontId="34" fillId="0" borderId="79" applyNumberFormat="0" applyFill="0" applyBorder="0" applyProtection="0">
      <alignment horizontal="left" vertical="center"/>
    </xf>
    <xf numFmtId="0" fontId="27" fillId="17" borderId="0" applyNumberFormat="0" applyBorder="0" applyAlignment="0" applyProtection="0"/>
    <xf numFmtId="0" fontId="46" fillId="56" borderId="111" applyNumberFormat="0" applyAlignment="0" applyProtection="0"/>
    <xf numFmtId="4" fontId="33" fillId="34" borderId="79">
      <alignment horizontal="right" vertical="center"/>
    </xf>
    <xf numFmtId="0" fontId="33" fillId="32" borderId="106">
      <alignment horizontal="right" vertical="center"/>
    </xf>
    <xf numFmtId="4" fontId="35" fillId="33" borderId="98"/>
    <xf numFmtId="0" fontId="47" fillId="56" borderId="103" applyNumberFormat="0" applyAlignment="0" applyProtection="0"/>
    <xf numFmtId="0" fontId="33" fillId="34" borderId="100">
      <alignment horizontal="right" vertical="center"/>
    </xf>
    <xf numFmtId="0" fontId="37" fillId="32" borderId="79">
      <alignment horizontal="right" vertical="center"/>
    </xf>
    <xf numFmtId="0" fontId="50" fillId="43" borderId="84" applyNumberFormat="0" applyAlignment="0" applyProtection="0"/>
    <xf numFmtId="0" fontId="47" fillId="56" borderId="84" applyNumberFormat="0" applyAlignment="0" applyProtection="0"/>
    <xf numFmtId="4" fontId="35" fillId="0" borderId="79">
      <alignment horizontal="right" vertical="center"/>
    </xf>
    <xf numFmtId="0" fontId="35" fillId="34" borderId="82">
      <alignment horizontal="left" vertical="center" wrapText="1" indent="2"/>
    </xf>
    <xf numFmtId="0" fontId="35" fillId="0" borderId="82">
      <alignment horizontal="left" vertical="center" wrapText="1" indent="2"/>
    </xf>
    <xf numFmtId="0" fontId="63" fillId="56" borderId="83" applyNumberFormat="0" applyAlignment="0" applyProtection="0"/>
    <xf numFmtId="0" fontId="59" fillId="43" borderId="84" applyNumberFormat="0" applyAlignment="0" applyProtection="0"/>
    <xf numFmtId="0" fontId="46" fillId="56" borderId="84" applyNumberFormat="0" applyAlignment="0" applyProtection="0"/>
    <xf numFmtId="0" fontId="44" fillId="56" borderId="83" applyNumberFormat="0" applyAlignment="0" applyProtection="0"/>
    <xf numFmtId="0" fontId="33" fillId="34" borderId="81">
      <alignment horizontal="right" vertical="center"/>
    </xf>
    <xf numFmtId="0" fontId="37" fillId="32" borderId="79">
      <alignment horizontal="right" vertical="center"/>
    </xf>
    <xf numFmtId="4" fontId="33" fillId="32" borderId="79">
      <alignment horizontal="right" vertical="center"/>
    </xf>
    <xf numFmtId="4" fontId="33" fillId="34" borderId="79">
      <alignment horizontal="right" vertical="center"/>
    </xf>
    <xf numFmtId="49" fontId="35" fillId="0" borderId="80" applyNumberFormat="0" applyFont="0" applyFill="0" applyBorder="0" applyProtection="0">
      <alignment horizontal="left" vertical="center" indent="5"/>
    </xf>
    <xf numFmtId="4" fontId="35" fillId="0" borderId="79" applyFill="0" applyBorder="0" applyProtection="0">
      <alignment horizontal="right" vertical="center"/>
    </xf>
    <xf numFmtId="4" fontId="33" fillId="32" borderId="79">
      <alignment horizontal="right" vertical="center"/>
    </xf>
    <xf numFmtId="0" fontId="59" fillId="43" borderId="84" applyNumberFormat="0" applyAlignment="0" applyProtection="0"/>
    <xf numFmtId="0" fontId="50" fillId="43" borderId="84" applyNumberFormat="0" applyAlignment="0" applyProtection="0"/>
    <xf numFmtId="0" fontId="46" fillId="56" borderId="84" applyNumberFormat="0" applyAlignment="0" applyProtection="0"/>
    <xf numFmtId="0" fontId="35" fillId="34" borderId="82">
      <alignment horizontal="left" vertical="center" wrapText="1" indent="2"/>
    </xf>
    <xf numFmtId="0" fontId="35" fillId="0" borderId="82">
      <alignment horizontal="left" vertical="center" wrapText="1" indent="2"/>
    </xf>
    <xf numFmtId="0" fontId="35" fillId="34" borderId="82">
      <alignment horizontal="left" vertical="center" wrapText="1" indent="2"/>
    </xf>
    <xf numFmtId="0" fontId="33" fillId="34" borderId="92">
      <alignment horizontal="right" vertical="center"/>
    </xf>
    <xf numFmtId="0" fontId="59" fillId="43" borderId="124" applyNumberFormat="0" applyAlignment="0" applyProtection="0"/>
    <xf numFmtId="0" fontId="2" fillId="0" borderId="15" applyNumberFormat="0" applyFill="0" applyAlignment="0" applyProtection="0"/>
    <xf numFmtId="0" fontId="35" fillId="33" borderId="106"/>
    <xf numFmtId="0" fontId="35" fillId="0" borderId="129">
      <alignment horizontal="right" vertical="center"/>
    </xf>
    <xf numFmtId="0" fontId="33" fillId="34" borderId="129">
      <alignment horizontal="right" vertical="center"/>
    </xf>
    <xf numFmtId="4" fontId="33" fillId="34" borderId="129">
      <alignment horizontal="right" vertical="center"/>
    </xf>
    <xf numFmtId="4" fontId="33" fillId="34" borderId="106">
      <alignment horizontal="right" vertical="center"/>
    </xf>
    <xf numFmtId="0" fontId="2" fillId="0" borderId="15" applyNumberFormat="0" applyFill="0" applyAlignment="0" applyProtection="0"/>
    <xf numFmtId="49" fontId="34" fillId="0" borderId="106" applyNumberFormat="0" applyFill="0" applyBorder="0" applyProtection="0">
      <alignment horizontal="left" vertical="center"/>
    </xf>
    <xf numFmtId="0" fontId="33" fillId="32" borderId="106">
      <alignment horizontal="right" vertical="center"/>
    </xf>
    <xf numFmtId="0" fontId="35" fillId="0" borderId="114" applyNumberFormat="0" applyFill="0" applyAlignment="0" applyProtection="0"/>
    <xf numFmtId="4" fontId="33" fillId="32" borderId="137">
      <alignment horizontal="right" vertical="center"/>
    </xf>
    <xf numFmtId="49" fontId="35" fillId="0" borderId="107" applyNumberFormat="0" applyFont="0" applyFill="0" applyBorder="0" applyProtection="0">
      <alignment horizontal="left" vertical="center" indent="5"/>
    </xf>
    <xf numFmtId="0" fontId="63" fillId="56" borderId="141" applyNumberFormat="0" applyAlignment="0" applyProtection="0"/>
    <xf numFmtId="4" fontId="33" fillId="32" borderId="129">
      <alignment horizontal="right" vertical="center"/>
    </xf>
    <xf numFmtId="0" fontId="47" fillId="56" borderId="103" applyNumberFormat="0" applyAlignment="0" applyProtection="0"/>
    <xf numFmtId="0" fontId="59" fillId="43" borderId="103" applyNumberFormat="0" applyAlignment="0" applyProtection="0"/>
    <xf numFmtId="0" fontId="33" fillId="32" borderId="106">
      <alignment horizontal="right" vertical="center"/>
    </xf>
    <xf numFmtId="4" fontId="33" fillId="32" borderId="106">
      <alignment horizontal="right" vertical="center"/>
    </xf>
    <xf numFmtId="0" fontId="12" fillId="19" borderId="0" applyNumberFormat="0" applyBorder="0" applyAlignment="0" applyProtection="0"/>
    <xf numFmtId="0" fontId="12" fillId="31" borderId="0" applyNumberFormat="0" applyBorder="0" applyAlignment="0" applyProtection="0"/>
    <xf numFmtId="0" fontId="66" fillId="0" borderId="125" applyNumberFormat="0" applyFill="0" applyAlignment="0" applyProtection="0"/>
    <xf numFmtId="0" fontId="33" fillId="32" borderId="119">
      <alignment horizontal="right" vertical="center"/>
    </xf>
    <xf numFmtId="0" fontId="35" fillId="33" borderId="119"/>
    <xf numFmtId="0" fontId="35" fillId="32" borderId="107">
      <alignment horizontal="left" vertical="center"/>
    </xf>
    <xf numFmtId="0" fontId="27" fillId="17" borderId="0" applyNumberFormat="0" applyBorder="0" applyAlignment="0" applyProtection="0"/>
    <xf numFmtId="0" fontId="63" fillId="56" borderId="102" applyNumberFormat="0" applyAlignment="0" applyProtection="0"/>
    <xf numFmtId="0" fontId="33" fillId="34" borderId="108">
      <alignment horizontal="right" vertical="center"/>
    </xf>
    <xf numFmtId="0" fontId="12" fillId="25" borderId="0" applyNumberFormat="0" applyBorder="0" applyAlignment="0" applyProtection="0"/>
    <xf numFmtId="0" fontId="27" fillId="27" borderId="0" applyNumberFormat="0" applyBorder="0" applyAlignment="0" applyProtection="0"/>
    <xf numFmtId="0" fontId="12" fillId="28" borderId="0" applyNumberFormat="0" applyBorder="0" applyAlignment="0" applyProtection="0"/>
    <xf numFmtId="0" fontId="12" fillId="22" borderId="0" applyNumberFormat="0" applyBorder="0" applyAlignment="0" applyProtection="0"/>
    <xf numFmtId="0" fontId="41" fillId="59" borderId="136" applyNumberFormat="0" applyFont="0" applyAlignment="0" applyProtection="0"/>
    <xf numFmtId="0" fontId="27" fillId="20" borderId="0" applyNumberFormat="0" applyBorder="0" applyAlignment="0" applyProtection="0"/>
    <xf numFmtId="0" fontId="27" fillId="14" borderId="0" applyNumberFormat="0" applyBorder="0" applyAlignment="0" applyProtection="0"/>
    <xf numFmtId="4" fontId="37" fillId="32" borderId="137">
      <alignment horizontal="right" vertical="center"/>
    </xf>
    <xf numFmtId="4" fontId="37" fillId="32" borderId="106">
      <alignment horizontal="right" vertical="center"/>
    </xf>
    <xf numFmtId="4" fontId="33" fillId="34" borderId="98">
      <alignment horizontal="right" vertical="center"/>
    </xf>
    <xf numFmtId="4" fontId="33" fillId="32" borderId="98">
      <alignment horizontal="right" vertical="center"/>
    </xf>
    <xf numFmtId="49" fontId="35" fillId="0" borderId="129" applyNumberFormat="0" applyFont="0" applyFill="0" applyBorder="0" applyProtection="0">
      <alignment horizontal="left" vertical="center" indent="2"/>
    </xf>
    <xf numFmtId="4" fontId="33" fillId="34" borderId="90">
      <alignment horizontal="right" vertical="center"/>
    </xf>
    <xf numFmtId="0" fontId="35" fillId="33" borderId="90"/>
    <xf numFmtId="0" fontId="46" fillId="56" borderId="87" applyNumberFormat="0" applyAlignment="0" applyProtection="0"/>
    <xf numFmtId="0" fontId="33" fillId="32" borderId="90">
      <alignment horizontal="right" vertical="center"/>
    </xf>
    <xf numFmtId="0" fontId="35" fillId="0" borderId="90">
      <alignment horizontal="right" vertical="center"/>
    </xf>
    <xf numFmtId="0" fontId="66" fillId="0" borderId="88" applyNumberFormat="0" applyFill="0" applyAlignment="0" applyProtection="0"/>
    <xf numFmtId="0" fontId="35" fillId="32" borderId="91">
      <alignment horizontal="left" vertical="center"/>
    </xf>
    <xf numFmtId="0" fontId="59" fillId="43" borderId="87" applyNumberFormat="0" applyAlignment="0" applyProtection="0"/>
    <xf numFmtId="173" fontId="35" fillId="60" borderId="90" applyNumberFormat="0" applyFont="0" applyBorder="0" applyAlignment="0" applyProtection="0">
      <alignment horizontal="right" vertical="center"/>
    </xf>
    <xf numFmtId="0" fontId="41" fillId="59" borderId="89" applyNumberFormat="0" applyFont="0" applyAlignment="0" applyProtection="0"/>
    <xf numFmtId="0" fontId="35" fillId="0" borderId="93">
      <alignment horizontal="left" vertical="center" wrapText="1" indent="2"/>
    </xf>
    <xf numFmtId="4" fontId="35" fillId="33" borderId="90"/>
    <xf numFmtId="49" fontId="34" fillId="0" borderId="90" applyNumberFormat="0" applyFill="0" applyBorder="0" applyProtection="0">
      <alignment horizontal="left" vertical="center"/>
    </xf>
    <xf numFmtId="0" fontId="35" fillId="0" borderId="90">
      <alignment horizontal="right" vertical="center"/>
    </xf>
    <xf numFmtId="4" fontId="33" fillId="34" borderId="92">
      <alignment horizontal="right" vertical="center"/>
    </xf>
    <xf numFmtId="4" fontId="33" fillId="34" borderId="90">
      <alignment horizontal="right" vertical="center"/>
    </xf>
    <xf numFmtId="4" fontId="33" fillId="34" borderId="90">
      <alignment horizontal="right" vertical="center"/>
    </xf>
    <xf numFmtId="0" fontId="37" fillId="32" borderId="90">
      <alignment horizontal="right" vertical="center"/>
    </xf>
    <xf numFmtId="0" fontId="33" fillId="32" borderId="90">
      <alignment horizontal="right" vertical="center"/>
    </xf>
    <xf numFmtId="49" fontId="35" fillId="0" borderId="90" applyNumberFormat="0" applyFont="0" applyFill="0" applyBorder="0" applyProtection="0">
      <alignment horizontal="left" vertical="center" indent="2"/>
    </xf>
    <xf numFmtId="0" fontId="59" fillId="43" borderId="87" applyNumberFormat="0" applyAlignment="0" applyProtection="0"/>
    <xf numFmtId="0" fontId="44" fillId="56" borderId="86" applyNumberFormat="0" applyAlignment="0" applyProtection="0"/>
    <xf numFmtId="49" fontId="35" fillId="0" borderId="90" applyNumberFormat="0" applyFont="0" applyFill="0" applyBorder="0" applyProtection="0">
      <alignment horizontal="left" vertical="center" indent="2"/>
    </xf>
    <xf numFmtId="0" fontId="50" fillId="43" borderId="87" applyNumberFormat="0" applyAlignment="0" applyProtection="0"/>
    <xf numFmtId="4" fontId="35" fillId="0" borderId="90" applyFill="0" applyBorder="0" applyProtection="0">
      <alignment horizontal="right" vertical="center"/>
    </xf>
    <xf numFmtId="0" fontId="47" fillId="56" borderId="87" applyNumberFormat="0" applyAlignment="0" applyProtection="0"/>
    <xf numFmtId="0" fontId="66" fillId="0" borderId="88" applyNumberFormat="0" applyFill="0" applyAlignment="0" applyProtection="0"/>
    <xf numFmtId="0" fontId="63" fillId="56" borderId="86" applyNumberFormat="0" applyAlignment="0" applyProtection="0"/>
    <xf numFmtId="0" fontId="35" fillId="0" borderId="90" applyNumberFormat="0" applyFill="0" applyAlignment="0" applyProtection="0"/>
    <xf numFmtId="4" fontId="35" fillId="0" borderId="90">
      <alignment horizontal="right" vertical="center"/>
    </xf>
    <xf numFmtId="0" fontId="35" fillId="0" borderId="90">
      <alignment horizontal="right" vertical="center"/>
    </xf>
    <xf numFmtId="0" fontId="59" fillId="43" borderId="87" applyNumberFormat="0" applyAlignment="0" applyProtection="0"/>
    <xf numFmtId="0" fontId="44" fillId="56" borderId="86" applyNumberFormat="0" applyAlignment="0" applyProtection="0"/>
    <xf numFmtId="0" fontId="46" fillId="56" borderId="87" applyNumberFormat="0" applyAlignment="0" applyProtection="0"/>
    <xf numFmtId="0" fontId="35" fillId="34" borderId="93">
      <alignment horizontal="left" vertical="center" wrapText="1" indent="2"/>
    </xf>
    <xf numFmtId="0" fontId="47" fillId="56" borderId="87" applyNumberFormat="0" applyAlignment="0" applyProtection="0"/>
    <xf numFmtId="0" fontId="47" fillId="56" borderId="87" applyNumberFormat="0" applyAlignment="0" applyProtection="0"/>
    <xf numFmtId="4" fontId="33" fillId="34" borderId="91">
      <alignment horizontal="right" vertical="center"/>
    </xf>
    <xf numFmtId="0" fontId="33" fillId="34" borderId="91">
      <alignment horizontal="right" vertical="center"/>
    </xf>
    <xf numFmtId="0" fontId="33" fillId="34" borderId="90">
      <alignment horizontal="right" vertical="center"/>
    </xf>
    <xf numFmtId="4" fontId="37" fillId="32" borderId="90">
      <alignment horizontal="right" vertical="center"/>
    </xf>
    <xf numFmtId="0" fontId="50" fillId="43" borderId="87" applyNumberFormat="0" applyAlignment="0" applyProtection="0"/>
    <xf numFmtId="0" fontId="51" fillId="0" borderId="88" applyNumberFormat="0" applyFill="0" applyAlignment="0" applyProtection="0"/>
    <xf numFmtId="0" fontId="66" fillId="0" borderId="88" applyNumberFormat="0" applyFill="0" applyAlignment="0" applyProtection="0"/>
    <xf numFmtId="0" fontId="41" fillId="59" borderId="89" applyNumberFormat="0" applyFont="0" applyAlignment="0" applyProtection="0"/>
    <xf numFmtId="0" fontId="59" fillId="43" borderId="87" applyNumberFormat="0" applyAlignment="0" applyProtection="0"/>
    <xf numFmtId="49" fontId="34" fillId="0" borderId="90" applyNumberFormat="0" applyFill="0" applyBorder="0" applyProtection="0">
      <alignment horizontal="left" vertical="center"/>
    </xf>
    <xf numFmtId="0" fontId="35" fillId="34" borderId="93">
      <alignment horizontal="left" vertical="center" wrapText="1" indent="2"/>
    </xf>
    <xf numFmtId="0" fontId="47" fillId="56" borderId="87" applyNumberFormat="0" applyAlignment="0" applyProtection="0"/>
    <xf numFmtId="0" fontId="35" fillId="0" borderId="93">
      <alignment horizontal="left" vertical="center" wrapText="1" indent="2"/>
    </xf>
    <xf numFmtId="0" fontId="41" fillId="59" borderId="89" applyNumberFormat="0" applyFont="0" applyAlignment="0" applyProtection="0"/>
    <xf numFmtId="0" fontId="5" fillId="59" borderId="89" applyNumberFormat="0" applyFont="0" applyAlignment="0" applyProtection="0"/>
    <xf numFmtId="0" fontId="63" fillId="56" borderId="86" applyNumberFormat="0" applyAlignment="0" applyProtection="0"/>
    <xf numFmtId="0" fontId="66" fillId="0" borderId="88" applyNumberFormat="0" applyFill="0" applyAlignment="0" applyProtection="0"/>
    <xf numFmtId="4" fontId="35" fillId="33" borderId="90"/>
    <xf numFmtId="0" fontId="33" fillId="34" borderId="90">
      <alignment horizontal="right" vertical="center"/>
    </xf>
    <xf numFmtId="0" fontId="66" fillId="0" borderId="88" applyNumberFormat="0" applyFill="0" applyAlignment="0" applyProtection="0"/>
    <xf numFmtId="4" fontId="33" fillId="34" borderId="92">
      <alignment horizontal="right" vertical="center"/>
    </xf>
    <xf numFmtId="0" fontId="46" fillId="56" borderId="87" applyNumberFormat="0" applyAlignment="0" applyProtection="0"/>
    <xf numFmtId="0" fontId="33" fillId="34" borderId="91">
      <alignment horizontal="right" vertical="center"/>
    </xf>
    <xf numFmtId="0" fontId="47" fillId="56" borderId="87" applyNumberFormat="0" applyAlignment="0" applyProtection="0"/>
    <xf numFmtId="0" fontId="51" fillId="0" borderId="88" applyNumberFormat="0" applyFill="0" applyAlignment="0" applyProtection="0"/>
    <xf numFmtId="0" fontId="41" fillId="59" borderId="89" applyNumberFormat="0" applyFont="0" applyAlignment="0" applyProtection="0"/>
    <xf numFmtId="4" fontId="33" fillId="34" borderId="91">
      <alignment horizontal="right" vertical="center"/>
    </xf>
    <xf numFmtId="0" fontId="35" fillId="34" borderId="93">
      <alignment horizontal="left" vertical="center" wrapText="1" indent="2"/>
    </xf>
    <xf numFmtId="0" fontId="35" fillId="33" borderId="90"/>
    <xf numFmtId="173" fontId="35" fillId="60" borderId="90" applyNumberFormat="0" applyFont="0" applyBorder="0" applyAlignment="0" applyProtection="0">
      <alignment horizontal="right" vertical="center"/>
    </xf>
    <xf numFmtId="0" fontId="35" fillId="0" borderId="90" applyNumberFormat="0" applyFill="0" applyAlignment="0" applyProtection="0"/>
    <xf numFmtId="4" fontId="35" fillId="0" borderId="90" applyFill="0" applyBorder="0" applyProtection="0">
      <alignment horizontal="right" vertical="center"/>
    </xf>
    <xf numFmtId="4" fontId="33" fillId="32" borderId="90">
      <alignment horizontal="right" vertical="center"/>
    </xf>
    <xf numFmtId="0" fontId="51" fillId="0" borderId="88" applyNumberFormat="0" applyFill="0" applyAlignment="0" applyProtection="0"/>
    <xf numFmtId="49" fontId="34" fillId="0" borderId="90" applyNumberFormat="0" applyFill="0" applyBorder="0" applyProtection="0">
      <alignment horizontal="left" vertical="center"/>
    </xf>
    <xf numFmtId="49" fontId="35" fillId="0" borderId="91" applyNumberFormat="0" applyFont="0" applyFill="0" applyBorder="0" applyProtection="0">
      <alignment horizontal="left" vertical="center" indent="5"/>
    </xf>
    <xf numFmtId="0" fontId="35" fillId="32" borderId="91">
      <alignment horizontal="left" vertical="center"/>
    </xf>
    <xf numFmtId="0" fontId="47" fillId="56" borderId="87" applyNumberFormat="0" applyAlignment="0" applyProtection="0"/>
    <xf numFmtId="4" fontId="33" fillId="34" borderId="92">
      <alignment horizontal="right" vertical="center"/>
    </xf>
    <xf numFmtId="0" fontId="59" fillId="43" borderId="87" applyNumberFormat="0" applyAlignment="0" applyProtection="0"/>
    <xf numFmtId="0" fontId="59" fillId="43" borderId="87" applyNumberFormat="0" applyAlignment="0" applyProtection="0"/>
    <xf numFmtId="0" fontId="41" fillId="59" borderId="89" applyNumberFormat="0" applyFont="0" applyAlignment="0" applyProtection="0"/>
    <xf numFmtId="0" fontId="63" fillId="56" borderId="86" applyNumberFormat="0" applyAlignment="0" applyProtection="0"/>
    <xf numFmtId="0" fontId="66" fillId="0" borderId="88" applyNumberFormat="0" applyFill="0" applyAlignment="0" applyProtection="0"/>
    <xf numFmtId="0" fontId="33" fillId="34" borderId="90">
      <alignment horizontal="right" vertical="center"/>
    </xf>
    <xf numFmtId="0" fontId="5" fillId="59" borderId="89" applyNumberFormat="0" applyFont="0" applyAlignment="0" applyProtection="0"/>
    <xf numFmtId="4" fontId="35" fillId="0" borderId="90">
      <alignment horizontal="right" vertical="center"/>
    </xf>
    <xf numFmtId="0" fontId="66" fillId="0" borderId="88" applyNumberFormat="0" applyFill="0" applyAlignment="0" applyProtection="0"/>
    <xf numFmtId="0" fontId="33" fillId="34" borderId="90">
      <alignment horizontal="right" vertical="center"/>
    </xf>
    <xf numFmtId="0" fontId="33" fillId="34" borderId="90">
      <alignment horizontal="right" vertical="center"/>
    </xf>
    <xf numFmtId="4" fontId="37" fillId="32" borderId="90">
      <alignment horizontal="right" vertical="center"/>
    </xf>
    <xf numFmtId="0" fontId="33" fillId="32" borderId="90">
      <alignment horizontal="right" vertical="center"/>
    </xf>
    <xf numFmtId="4" fontId="33" fillId="32" borderId="90">
      <alignment horizontal="right" vertical="center"/>
    </xf>
    <xf numFmtId="0" fontId="37" fillId="32" borderId="90">
      <alignment horizontal="right" vertical="center"/>
    </xf>
    <xf numFmtId="4" fontId="37" fillId="32" borderId="90">
      <alignment horizontal="right" vertical="center"/>
    </xf>
    <xf numFmtId="0" fontId="33" fillId="34" borderId="90">
      <alignment horizontal="right" vertical="center"/>
    </xf>
    <xf numFmtId="4" fontId="33" fillId="34" borderId="90">
      <alignment horizontal="right" vertical="center"/>
    </xf>
    <xf numFmtId="0" fontId="33" fillId="34" borderId="90">
      <alignment horizontal="right" vertical="center"/>
    </xf>
    <xf numFmtId="4" fontId="33" fillId="34" borderId="90">
      <alignment horizontal="right" vertical="center"/>
    </xf>
    <xf numFmtId="0" fontId="33" fillId="34" borderId="91">
      <alignment horizontal="right" vertical="center"/>
    </xf>
    <xf numFmtId="4" fontId="33" fillId="34" borderId="91">
      <alignment horizontal="right" vertical="center"/>
    </xf>
    <xf numFmtId="0" fontId="33" fillId="34" borderId="92">
      <alignment horizontal="right" vertical="center"/>
    </xf>
    <xf numFmtId="4" fontId="33" fillId="34" borderId="92">
      <alignment horizontal="right" vertical="center"/>
    </xf>
    <xf numFmtId="0" fontId="47" fillId="56" borderId="87" applyNumberFormat="0" applyAlignment="0" applyProtection="0"/>
    <xf numFmtId="0" fontId="35" fillId="34" borderId="93">
      <alignment horizontal="left" vertical="center" wrapText="1" indent="2"/>
    </xf>
    <xf numFmtId="0" fontId="35" fillId="0" borderId="93">
      <alignment horizontal="left" vertical="center" wrapText="1" indent="2"/>
    </xf>
    <xf numFmtId="0" fontId="35" fillId="32" borderId="91">
      <alignment horizontal="left" vertical="center"/>
    </xf>
    <xf numFmtId="0" fontId="59" fillId="43" borderId="87" applyNumberFormat="0" applyAlignment="0" applyProtection="0"/>
    <xf numFmtId="0" fontId="35" fillId="0" borderId="90">
      <alignment horizontal="right" vertical="center"/>
    </xf>
    <xf numFmtId="4" fontId="35" fillId="0" borderId="90">
      <alignment horizontal="right" vertical="center"/>
    </xf>
    <xf numFmtId="0" fontId="35" fillId="0" borderId="90" applyNumberFormat="0" applyFill="0" applyAlignment="0" applyProtection="0"/>
    <xf numFmtId="0" fontId="63" fillId="56" borderId="86" applyNumberFormat="0" applyAlignment="0" applyProtection="0"/>
    <xf numFmtId="173" fontId="35" fillId="60" borderId="90" applyNumberFormat="0" applyFont="0" applyBorder="0" applyAlignment="0" applyProtection="0">
      <alignment horizontal="right" vertical="center"/>
    </xf>
    <xf numFmtId="0" fontId="35" fillId="33" borderId="90"/>
    <xf numFmtId="4" fontId="35" fillId="33" borderId="90"/>
    <xf numFmtId="0" fontId="66" fillId="0" borderId="88" applyNumberFormat="0" applyFill="0" applyAlignment="0" applyProtection="0"/>
    <xf numFmtId="0" fontId="5" fillId="59" borderId="89" applyNumberFormat="0" applyFont="0" applyAlignment="0" applyProtection="0"/>
    <xf numFmtId="0" fontId="41" fillId="59" borderId="89" applyNumberFormat="0" applyFont="0" applyAlignment="0" applyProtection="0"/>
    <xf numFmtId="0" fontId="35" fillId="0" borderId="90" applyNumberFormat="0" applyFill="0" applyAlignment="0" applyProtection="0"/>
    <xf numFmtId="0" fontId="51" fillId="0" borderId="88" applyNumberFormat="0" applyFill="0" applyAlignment="0" applyProtection="0"/>
    <xf numFmtId="0" fontId="66" fillId="0" borderId="88" applyNumberFormat="0" applyFill="0" applyAlignment="0" applyProtection="0"/>
    <xf numFmtId="0" fontId="50" fillId="43" borderId="87" applyNumberFormat="0" applyAlignment="0" applyProtection="0"/>
    <xf numFmtId="0" fontId="47" fillId="56" borderId="87" applyNumberFormat="0" applyAlignment="0" applyProtection="0"/>
    <xf numFmtId="4" fontId="37" fillId="32" borderId="90">
      <alignment horizontal="right" vertical="center"/>
    </xf>
    <xf numFmtId="0" fontId="33" fillId="32" borderId="90">
      <alignment horizontal="right" vertical="center"/>
    </xf>
    <xf numFmtId="173" fontId="35" fillId="60" borderId="90" applyNumberFormat="0" applyFont="0" applyBorder="0" applyAlignment="0" applyProtection="0">
      <alignment horizontal="right" vertical="center"/>
    </xf>
    <xf numFmtId="0" fontId="51" fillId="0" borderId="88" applyNumberFormat="0" applyFill="0" applyAlignment="0" applyProtection="0"/>
    <xf numFmtId="49" fontId="35" fillId="0" borderId="90" applyNumberFormat="0" applyFont="0" applyFill="0" applyBorder="0" applyProtection="0">
      <alignment horizontal="left" vertical="center" indent="2"/>
    </xf>
    <xf numFmtId="49" fontId="35" fillId="0" borderId="91" applyNumberFormat="0" applyFont="0" applyFill="0" applyBorder="0" applyProtection="0">
      <alignment horizontal="left" vertical="center" indent="5"/>
    </xf>
    <xf numFmtId="49" fontId="35" fillId="0" borderId="90" applyNumberFormat="0" applyFont="0" applyFill="0" applyBorder="0" applyProtection="0">
      <alignment horizontal="left" vertical="center" indent="2"/>
    </xf>
    <xf numFmtId="4" fontId="35" fillId="0" borderId="90" applyFill="0" applyBorder="0" applyProtection="0">
      <alignment horizontal="right" vertical="center"/>
    </xf>
    <xf numFmtId="49" fontId="34" fillId="0" borderId="90" applyNumberFormat="0" applyFill="0" applyBorder="0" applyProtection="0">
      <alignment horizontal="left" vertical="center"/>
    </xf>
    <xf numFmtId="0" fontId="35" fillId="0" borderId="93">
      <alignment horizontal="left" vertical="center" wrapText="1" indent="2"/>
    </xf>
    <xf numFmtId="0" fontId="63" fillId="56" borderId="86" applyNumberFormat="0" applyAlignment="0" applyProtection="0"/>
    <xf numFmtId="0" fontId="33" fillId="34" borderId="92">
      <alignment horizontal="right" vertical="center"/>
    </xf>
    <xf numFmtId="0" fontId="50" fillId="43" borderId="87" applyNumberFormat="0" applyAlignment="0" applyProtection="0"/>
    <xf numFmtId="0" fontId="33" fillId="34" borderId="92">
      <alignment horizontal="right" vertical="center"/>
    </xf>
    <xf numFmtId="4" fontId="33" fillId="34" borderId="90">
      <alignment horizontal="right" vertical="center"/>
    </xf>
    <xf numFmtId="0" fontId="33" fillId="34" borderId="90">
      <alignment horizontal="right" vertical="center"/>
    </xf>
    <xf numFmtId="0" fontId="44" fillId="56" borderId="86" applyNumberFormat="0" applyAlignment="0" applyProtection="0"/>
    <xf numFmtId="0" fontId="46" fillId="56" borderId="87" applyNumberFormat="0" applyAlignment="0" applyProtection="0"/>
    <xf numFmtId="0" fontId="51" fillId="0" borderId="88" applyNumberFormat="0" applyFill="0" applyAlignment="0" applyProtection="0"/>
    <xf numFmtId="0" fontId="35" fillId="33" borderId="90"/>
    <xf numFmtId="4" fontId="35" fillId="33" borderId="90"/>
    <xf numFmtId="4" fontId="33" fillId="34" borderId="90">
      <alignment horizontal="right" vertical="center"/>
    </xf>
    <xf numFmtId="0" fontId="37" fillId="32" borderId="90">
      <alignment horizontal="right" vertical="center"/>
    </xf>
    <xf numFmtId="0" fontId="50" fillId="43" borderId="87" applyNumberFormat="0" applyAlignment="0" applyProtection="0"/>
    <xf numFmtId="0" fontId="47" fillId="56" borderId="87" applyNumberFormat="0" applyAlignment="0" applyProtection="0"/>
    <xf numFmtId="4" fontId="35" fillId="0" borderId="90">
      <alignment horizontal="right" vertical="center"/>
    </xf>
    <xf numFmtId="0" fontId="35" fillId="34" borderId="93">
      <alignment horizontal="left" vertical="center" wrapText="1" indent="2"/>
    </xf>
    <xf numFmtId="0" fontId="35" fillId="0" borderId="93">
      <alignment horizontal="left" vertical="center" wrapText="1" indent="2"/>
    </xf>
    <xf numFmtId="0" fontId="63" fillId="56" borderId="86" applyNumberFormat="0" applyAlignment="0" applyProtection="0"/>
    <xf numFmtId="0" fontId="59" fillId="43" borderId="87" applyNumberFormat="0" applyAlignment="0" applyProtection="0"/>
    <xf numFmtId="0" fontId="46" fillId="56" borderId="87" applyNumberFormat="0" applyAlignment="0" applyProtection="0"/>
    <xf numFmtId="0" fontId="44" fillId="56" borderId="86" applyNumberFormat="0" applyAlignment="0" applyProtection="0"/>
    <xf numFmtId="0" fontId="33" fillId="34" borderId="92">
      <alignment horizontal="right" vertical="center"/>
    </xf>
    <xf numFmtId="0" fontId="37" fillId="32" borderId="90">
      <alignment horizontal="right" vertical="center"/>
    </xf>
    <xf numFmtId="4" fontId="33" fillId="32" borderId="90">
      <alignment horizontal="right" vertical="center"/>
    </xf>
    <xf numFmtId="4" fontId="33" fillId="34" borderId="90">
      <alignment horizontal="right" vertical="center"/>
    </xf>
    <xf numFmtId="49" fontId="35" fillId="0" borderId="91" applyNumberFormat="0" applyFont="0" applyFill="0" applyBorder="0" applyProtection="0">
      <alignment horizontal="left" vertical="center" indent="5"/>
    </xf>
    <xf numFmtId="4" fontId="35" fillId="0" borderId="90" applyFill="0" applyBorder="0" applyProtection="0">
      <alignment horizontal="right" vertical="center"/>
    </xf>
    <xf numFmtId="4" fontId="33" fillId="32" borderId="90">
      <alignment horizontal="right" vertical="center"/>
    </xf>
    <xf numFmtId="4" fontId="33" fillId="34" borderId="121">
      <alignment horizontal="right" vertical="center"/>
    </xf>
    <xf numFmtId="0" fontId="59" fillId="43" borderId="87" applyNumberFormat="0" applyAlignment="0" applyProtection="0"/>
    <xf numFmtId="0" fontId="50" fillId="43" borderId="87" applyNumberFormat="0" applyAlignment="0" applyProtection="0"/>
    <xf numFmtId="0" fontId="46" fillId="56" borderId="87" applyNumberFormat="0" applyAlignment="0" applyProtection="0"/>
    <xf numFmtId="0" fontId="35" fillId="34" borderId="93">
      <alignment horizontal="left" vertical="center" wrapText="1" indent="2"/>
    </xf>
    <xf numFmtId="0" fontId="35" fillId="0" borderId="93">
      <alignment horizontal="left" vertical="center" wrapText="1" indent="2"/>
    </xf>
    <xf numFmtId="0" fontId="35" fillId="34" borderId="93">
      <alignment horizontal="left" vertical="center" wrapText="1" indent="2"/>
    </xf>
    <xf numFmtId="0" fontId="35" fillId="0" borderId="93">
      <alignment horizontal="left" vertical="center" wrapText="1" indent="2"/>
    </xf>
    <xf numFmtId="0" fontId="44" fillId="56" borderId="86" applyNumberFormat="0" applyAlignment="0" applyProtection="0"/>
    <xf numFmtId="0" fontId="46" fillId="56" borderId="87" applyNumberFormat="0" applyAlignment="0" applyProtection="0"/>
    <xf numFmtId="0" fontId="47" fillId="56" borderId="87" applyNumberFormat="0" applyAlignment="0" applyProtection="0"/>
    <xf numFmtId="0" fontId="50" fillId="43" borderId="87" applyNumberFormat="0" applyAlignment="0" applyProtection="0"/>
    <xf numFmtId="0" fontId="51" fillId="0" borderId="88" applyNumberFormat="0" applyFill="0" applyAlignment="0" applyProtection="0"/>
    <xf numFmtId="0" fontId="59" fillId="43" borderId="87" applyNumberFormat="0" applyAlignment="0" applyProtection="0"/>
    <xf numFmtId="0" fontId="41" fillId="59" borderId="89" applyNumberFormat="0" applyFont="0" applyAlignment="0" applyProtection="0"/>
    <xf numFmtId="0" fontId="5" fillId="59" borderId="89" applyNumberFormat="0" applyFont="0" applyAlignment="0" applyProtection="0"/>
    <xf numFmtId="0" fontId="63" fillId="56" borderId="86" applyNumberFormat="0" applyAlignment="0" applyProtection="0"/>
    <xf numFmtId="0" fontId="66" fillId="0" borderId="88" applyNumberFormat="0" applyFill="0" applyAlignment="0" applyProtection="0"/>
    <xf numFmtId="0" fontId="47" fillId="56" borderId="87" applyNumberFormat="0" applyAlignment="0" applyProtection="0"/>
    <xf numFmtId="0" fontId="59" fillId="43" borderId="87" applyNumberFormat="0" applyAlignment="0" applyProtection="0"/>
    <xf numFmtId="0" fontId="41" fillId="59" borderId="89" applyNumberFormat="0" applyFont="0" applyAlignment="0" applyProtection="0"/>
    <xf numFmtId="0" fontId="63" fillId="56" borderId="86" applyNumberFormat="0" applyAlignment="0" applyProtection="0"/>
    <xf numFmtId="0" fontId="66" fillId="0" borderId="88" applyNumberFormat="0" applyFill="0" applyAlignment="0" applyProtection="0"/>
    <xf numFmtId="0" fontId="41" fillId="59" borderId="128" applyNumberFormat="0" applyFont="0" applyAlignment="0" applyProtection="0"/>
    <xf numFmtId="0" fontId="35" fillId="0" borderId="109">
      <alignment horizontal="left" vertical="center" wrapText="1" indent="2"/>
    </xf>
    <xf numFmtId="4" fontId="37" fillId="32" borderId="119">
      <alignment horizontal="right" vertical="center"/>
    </xf>
    <xf numFmtId="0" fontId="47" fillId="56" borderId="103" applyNumberFormat="0" applyAlignment="0" applyProtection="0"/>
    <xf numFmtId="0" fontId="47" fillId="56" borderId="87" applyNumberFormat="0" applyAlignment="0" applyProtection="0"/>
    <xf numFmtId="0" fontId="33" fillId="34" borderId="98">
      <alignment horizontal="right" vertical="center"/>
    </xf>
    <xf numFmtId="0" fontId="33" fillId="32" borderId="106">
      <alignment horizontal="right" vertical="center"/>
    </xf>
    <xf numFmtId="49" fontId="34" fillId="0" borderId="106" applyNumberFormat="0" applyFill="0" applyBorder="0" applyProtection="0">
      <alignment horizontal="left" vertical="center"/>
    </xf>
    <xf numFmtId="0" fontId="59" fillId="43" borderId="87" applyNumberFormat="0" applyAlignment="0" applyProtection="0"/>
    <xf numFmtId="0" fontId="63" fillId="56" borderId="86" applyNumberFormat="0" applyAlignment="0" applyProtection="0"/>
    <xf numFmtId="0" fontId="66" fillId="0" borderId="88" applyNumberFormat="0" applyFill="0" applyAlignment="0" applyProtection="0"/>
    <xf numFmtId="0" fontId="46" fillId="56" borderId="95" applyNumberFormat="0" applyAlignment="0" applyProtection="0"/>
    <xf numFmtId="0" fontId="44" fillId="56" borderId="86" applyNumberFormat="0" applyAlignment="0" applyProtection="0"/>
    <xf numFmtId="0" fontId="46" fillId="56" borderId="87" applyNumberFormat="0" applyAlignment="0" applyProtection="0"/>
    <xf numFmtId="0" fontId="51" fillId="0" borderId="88" applyNumberFormat="0" applyFill="0" applyAlignment="0" applyProtection="0"/>
    <xf numFmtId="49" fontId="35" fillId="0" borderId="90" applyNumberFormat="0" applyFont="0" applyFill="0" applyBorder="0" applyProtection="0">
      <alignment horizontal="left" vertical="center" indent="2"/>
    </xf>
    <xf numFmtId="0" fontId="33" fillId="32" borderId="90">
      <alignment horizontal="right" vertical="center"/>
    </xf>
    <xf numFmtId="4" fontId="33" fillId="32" borderId="90">
      <alignment horizontal="right" vertical="center"/>
    </xf>
    <xf numFmtId="0" fontId="37" fillId="32" borderId="90">
      <alignment horizontal="right" vertical="center"/>
    </xf>
    <xf numFmtId="4" fontId="37" fillId="32" borderId="90">
      <alignment horizontal="right" vertical="center"/>
    </xf>
    <xf numFmtId="0" fontId="33" fillId="34" borderId="90">
      <alignment horizontal="right" vertical="center"/>
    </xf>
    <xf numFmtId="4" fontId="33" fillId="34" borderId="90">
      <alignment horizontal="right" vertical="center"/>
    </xf>
    <xf numFmtId="0" fontId="33" fillId="34" borderId="90">
      <alignment horizontal="right" vertical="center"/>
    </xf>
    <xf numFmtId="4" fontId="33" fillId="34" borderId="90">
      <alignment horizontal="right" vertical="center"/>
    </xf>
    <xf numFmtId="0" fontId="50" fillId="43" borderId="87" applyNumberFormat="0" applyAlignment="0" applyProtection="0"/>
    <xf numFmtId="0" fontId="35" fillId="0" borderId="90">
      <alignment horizontal="right" vertical="center"/>
    </xf>
    <xf numFmtId="4" fontId="35" fillId="0" borderId="90">
      <alignment horizontal="right" vertical="center"/>
    </xf>
    <xf numFmtId="4" fontId="35" fillId="0" borderId="90" applyFill="0" applyBorder="0" applyProtection="0">
      <alignment horizontal="right" vertical="center"/>
    </xf>
    <xf numFmtId="49" fontId="34" fillId="0" borderId="90" applyNumberFormat="0" applyFill="0" applyBorder="0" applyProtection="0">
      <alignment horizontal="left" vertical="center"/>
    </xf>
    <xf numFmtId="0" fontId="35" fillId="0" borderId="90" applyNumberFormat="0" applyFill="0" applyAlignment="0" applyProtection="0"/>
    <xf numFmtId="173" fontId="35" fillId="60" borderId="90" applyNumberFormat="0" applyFont="0" applyBorder="0" applyAlignment="0" applyProtection="0">
      <alignment horizontal="right" vertical="center"/>
    </xf>
    <xf numFmtId="0" fontId="35" fillId="33" borderId="90"/>
    <xf numFmtId="4" fontId="35" fillId="33" borderId="90"/>
    <xf numFmtId="4" fontId="33" fillId="34" borderId="90">
      <alignment horizontal="right" vertical="center"/>
    </xf>
    <xf numFmtId="0" fontId="35" fillId="33" borderId="90"/>
    <xf numFmtId="0" fontId="46" fillId="56" borderId="87" applyNumberFormat="0" applyAlignment="0" applyProtection="0"/>
    <xf numFmtId="0" fontId="33" fillId="32" borderId="90">
      <alignment horizontal="right" vertical="center"/>
    </xf>
    <xf numFmtId="0" fontId="35" fillId="0" borderId="90">
      <alignment horizontal="right" vertical="center"/>
    </xf>
    <xf numFmtId="0" fontId="66" fillId="0" borderId="88" applyNumberFormat="0" applyFill="0" applyAlignment="0" applyProtection="0"/>
    <xf numFmtId="0" fontId="35" fillId="32" borderId="91">
      <alignment horizontal="left" vertical="center"/>
    </xf>
    <xf numFmtId="0" fontId="59" fillId="43" borderId="87" applyNumberFormat="0" applyAlignment="0" applyProtection="0"/>
    <xf numFmtId="173" fontId="35" fillId="60" borderId="90" applyNumberFormat="0" applyFont="0" applyBorder="0" applyAlignment="0" applyProtection="0">
      <alignment horizontal="right" vertical="center"/>
    </xf>
    <xf numFmtId="0" fontId="41" fillId="59" borderId="89" applyNumberFormat="0" applyFont="0" applyAlignment="0" applyProtection="0"/>
    <xf numFmtId="0" fontId="35" fillId="0" borderId="93">
      <alignment horizontal="left" vertical="center" wrapText="1" indent="2"/>
    </xf>
    <xf numFmtId="4" fontId="35" fillId="33" borderId="90"/>
    <xf numFmtId="49" fontId="34" fillId="0" borderId="90" applyNumberFormat="0" applyFill="0" applyBorder="0" applyProtection="0">
      <alignment horizontal="left" vertical="center"/>
    </xf>
    <xf numFmtId="0" fontId="35" fillId="0" borderId="90">
      <alignment horizontal="right" vertical="center"/>
    </xf>
    <xf numFmtId="4" fontId="33" fillId="34" borderId="92">
      <alignment horizontal="right" vertical="center"/>
    </xf>
    <xf numFmtId="4" fontId="33" fillId="34" borderId="90">
      <alignment horizontal="right" vertical="center"/>
    </xf>
    <xf numFmtId="4" fontId="33" fillId="34" borderId="90">
      <alignment horizontal="right" vertical="center"/>
    </xf>
    <xf numFmtId="0" fontId="37" fillId="32" borderId="90">
      <alignment horizontal="right" vertical="center"/>
    </xf>
    <xf numFmtId="0" fontId="33" fillId="32" borderId="90">
      <alignment horizontal="right" vertical="center"/>
    </xf>
    <xf numFmtId="49" fontId="35" fillId="0" borderId="90" applyNumberFormat="0" applyFont="0" applyFill="0" applyBorder="0" applyProtection="0">
      <alignment horizontal="left" vertical="center" indent="2"/>
    </xf>
    <xf numFmtId="0" fontId="59" fillId="43" borderId="87" applyNumberFormat="0" applyAlignment="0" applyProtection="0"/>
    <xf numFmtId="0" fontId="44" fillId="56" borderId="86" applyNumberFormat="0" applyAlignment="0" applyProtection="0"/>
    <xf numFmtId="49" fontId="35" fillId="0" borderId="90" applyNumberFormat="0" applyFont="0" applyFill="0" applyBorder="0" applyProtection="0">
      <alignment horizontal="left" vertical="center" indent="2"/>
    </xf>
    <xf numFmtId="0" fontId="50" fillId="43" borderId="87" applyNumberFormat="0" applyAlignment="0" applyProtection="0"/>
    <xf numFmtId="4" fontId="35" fillId="0" borderId="90" applyFill="0" applyBorder="0" applyProtection="0">
      <alignment horizontal="right" vertical="center"/>
    </xf>
    <xf numFmtId="0" fontId="47" fillId="56" borderId="87" applyNumberFormat="0" applyAlignment="0" applyProtection="0"/>
    <xf numFmtId="0" fontId="66" fillId="0" borderId="88" applyNumberFormat="0" applyFill="0" applyAlignment="0" applyProtection="0"/>
    <xf numFmtId="0" fontId="63" fillId="56" borderId="86" applyNumberFormat="0" applyAlignment="0" applyProtection="0"/>
    <xf numFmtId="0" fontId="35" fillId="0" borderId="90" applyNumberFormat="0" applyFill="0" applyAlignment="0" applyProtection="0"/>
    <xf numFmtId="4" fontId="35" fillId="0" borderId="90">
      <alignment horizontal="right" vertical="center"/>
    </xf>
    <xf numFmtId="0" fontId="35" fillId="0" borderId="90">
      <alignment horizontal="right" vertical="center"/>
    </xf>
    <xf numFmtId="0" fontId="59" fillId="43" borderId="87" applyNumberFormat="0" applyAlignment="0" applyProtection="0"/>
    <xf numFmtId="0" fontId="44" fillId="56" borderId="86" applyNumberFormat="0" applyAlignment="0" applyProtection="0"/>
    <xf numFmtId="0" fontId="46" fillId="56" borderId="87" applyNumberFormat="0" applyAlignment="0" applyProtection="0"/>
    <xf numFmtId="0" fontId="35" fillId="34" borderId="93">
      <alignment horizontal="left" vertical="center" wrapText="1" indent="2"/>
    </xf>
    <xf numFmtId="0" fontId="47" fillId="56" borderId="87" applyNumberFormat="0" applyAlignment="0" applyProtection="0"/>
    <xf numFmtId="0" fontId="47" fillId="56" borderId="87" applyNumberFormat="0" applyAlignment="0" applyProtection="0"/>
    <xf numFmtId="4" fontId="33" fillId="34" borderId="91">
      <alignment horizontal="right" vertical="center"/>
    </xf>
    <xf numFmtId="0" fontId="33" fillId="34" borderId="91">
      <alignment horizontal="right" vertical="center"/>
    </xf>
    <xf numFmtId="0" fontId="33" fillId="34" borderId="90">
      <alignment horizontal="right" vertical="center"/>
    </xf>
    <xf numFmtId="4" fontId="37" fillId="32" borderId="90">
      <alignment horizontal="right" vertical="center"/>
    </xf>
    <xf numFmtId="0" fontId="50" fillId="43" borderId="87" applyNumberFormat="0" applyAlignment="0" applyProtection="0"/>
    <xf numFmtId="0" fontId="51" fillId="0" borderId="88" applyNumberFormat="0" applyFill="0" applyAlignment="0" applyProtection="0"/>
    <xf numFmtId="0" fontId="66" fillId="0" borderId="88" applyNumberFormat="0" applyFill="0" applyAlignment="0" applyProtection="0"/>
    <xf numFmtId="0" fontId="41" fillId="59" borderId="89" applyNumberFormat="0" applyFont="0" applyAlignment="0" applyProtection="0"/>
    <xf numFmtId="0" fontId="59" fillId="43" borderId="87" applyNumberFormat="0" applyAlignment="0" applyProtection="0"/>
    <xf numFmtId="49" fontId="34" fillId="0" borderId="90" applyNumberFormat="0" applyFill="0" applyBorder="0" applyProtection="0">
      <alignment horizontal="left" vertical="center"/>
    </xf>
    <xf numFmtId="0" fontId="35" fillId="34" borderId="93">
      <alignment horizontal="left" vertical="center" wrapText="1" indent="2"/>
    </xf>
    <xf numFmtId="0" fontId="47" fillId="56" borderId="87" applyNumberFormat="0" applyAlignment="0" applyProtection="0"/>
    <xf numFmtId="0" fontId="35" fillId="0" borderId="93">
      <alignment horizontal="left" vertical="center" wrapText="1" indent="2"/>
    </xf>
    <xf numFmtId="0" fontId="41" fillId="59" borderId="89" applyNumberFormat="0" applyFont="0" applyAlignment="0" applyProtection="0"/>
    <xf numFmtId="0" fontId="5" fillId="59" borderId="89" applyNumberFormat="0" applyFont="0" applyAlignment="0" applyProtection="0"/>
    <xf numFmtId="0" fontId="63" fillId="56" borderId="86" applyNumberFormat="0" applyAlignment="0" applyProtection="0"/>
    <xf numFmtId="0" fontId="66" fillId="0" borderId="88" applyNumberFormat="0" applyFill="0" applyAlignment="0" applyProtection="0"/>
    <xf numFmtId="4" fontId="35" fillId="33" borderId="90"/>
    <xf numFmtId="0" fontId="33" fillId="34" borderId="90">
      <alignment horizontal="right" vertical="center"/>
    </xf>
    <xf numFmtId="0" fontId="66" fillId="0" borderId="88" applyNumberFormat="0" applyFill="0" applyAlignment="0" applyProtection="0"/>
    <xf numFmtId="4" fontId="33" fillId="34" borderId="92">
      <alignment horizontal="right" vertical="center"/>
    </xf>
    <xf numFmtId="0" fontId="46" fillId="56" borderId="87" applyNumberFormat="0" applyAlignment="0" applyProtection="0"/>
    <xf numFmtId="0" fontId="33" fillId="34" borderId="91">
      <alignment horizontal="right" vertical="center"/>
    </xf>
    <xf numFmtId="0" fontId="47" fillId="56" borderId="87" applyNumberFormat="0" applyAlignment="0" applyProtection="0"/>
    <xf numFmtId="0" fontId="51" fillId="0" borderId="88" applyNumberFormat="0" applyFill="0" applyAlignment="0" applyProtection="0"/>
    <xf numFmtId="0" fontId="41" fillId="59" borderId="89" applyNumberFormat="0" applyFont="0" applyAlignment="0" applyProtection="0"/>
    <xf numFmtId="4" fontId="33" fillId="34" borderId="91">
      <alignment horizontal="right" vertical="center"/>
    </xf>
    <xf numFmtId="0" fontId="35" fillId="34" borderId="93">
      <alignment horizontal="left" vertical="center" wrapText="1" indent="2"/>
    </xf>
    <xf numFmtId="0" fontId="35" fillId="33" borderId="90"/>
    <xf numFmtId="173" fontId="35" fillId="60" borderId="90" applyNumberFormat="0" applyFont="0" applyBorder="0" applyAlignment="0" applyProtection="0">
      <alignment horizontal="right" vertical="center"/>
    </xf>
    <xf numFmtId="0" fontId="35" fillId="0" borderId="90" applyNumberFormat="0" applyFill="0" applyAlignment="0" applyProtection="0"/>
    <xf numFmtId="4" fontId="35" fillId="0" borderId="90" applyFill="0" applyBorder="0" applyProtection="0">
      <alignment horizontal="right" vertical="center"/>
    </xf>
    <xf numFmtId="4" fontId="33" fillId="32" borderId="90">
      <alignment horizontal="right" vertical="center"/>
    </xf>
    <xf numFmtId="0" fontId="51" fillId="0" borderId="88" applyNumberFormat="0" applyFill="0" applyAlignment="0" applyProtection="0"/>
    <xf numFmtId="49" fontId="34" fillId="0" borderId="90" applyNumberFormat="0" applyFill="0" applyBorder="0" applyProtection="0">
      <alignment horizontal="left" vertical="center"/>
    </xf>
    <xf numFmtId="49" fontId="35" fillId="0" borderId="91" applyNumberFormat="0" applyFont="0" applyFill="0" applyBorder="0" applyProtection="0">
      <alignment horizontal="left" vertical="center" indent="5"/>
    </xf>
    <xf numFmtId="0" fontId="35" fillId="32" borderId="91">
      <alignment horizontal="left" vertical="center"/>
    </xf>
    <xf numFmtId="0" fontId="47" fillId="56" borderId="87" applyNumberFormat="0" applyAlignment="0" applyProtection="0"/>
    <xf numFmtId="4" fontId="33" fillId="34" borderId="92">
      <alignment horizontal="right" vertical="center"/>
    </xf>
    <xf numFmtId="0" fontId="59" fillId="43" borderId="87" applyNumberFormat="0" applyAlignment="0" applyProtection="0"/>
    <xf numFmtId="0" fontId="59" fillId="43" borderId="87" applyNumberFormat="0" applyAlignment="0" applyProtection="0"/>
    <xf numFmtId="0" fontId="41" fillId="59" borderId="89" applyNumberFormat="0" applyFont="0" applyAlignment="0" applyProtection="0"/>
    <xf numFmtId="0" fontId="63" fillId="56" borderId="86" applyNumberFormat="0" applyAlignment="0" applyProtection="0"/>
    <xf numFmtId="0" fontId="66" fillId="0" borderId="88" applyNumberFormat="0" applyFill="0" applyAlignment="0" applyProtection="0"/>
    <xf numFmtId="0" fontId="33" fillId="34" borderId="90">
      <alignment horizontal="right" vertical="center"/>
    </xf>
    <xf numFmtId="0" fontId="5" fillId="59" borderId="89" applyNumberFormat="0" applyFont="0" applyAlignment="0" applyProtection="0"/>
    <xf numFmtId="4" fontId="35" fillId="0" borderId="90">
      <alignment horizontal="right" vertical="center"/>
    </xf>
    <xf numFmtId="0" fontId="66" fillId="0" borderId="88" applyNumberFormat="0" applyFill="0" applyAlignment="0" applyProtection="0"/>
    <xf numFmtId="0" fontId="33" fillId="34" borderId="90">
      <alignment horizontal="right" vertical="center"/>
    </xf>
    <xf numFmtId="0" fontId="33" fillId="34" borderId="90">
      <alignment horizontal="right" vertical="center"/>
    </xf>
    <xf numFmtId="4" fontId="37" fillId="32" borderId="90">
      <alignment horizontal="right" vertical="center"/>
    </xf>
    <xf numFmtId="0" fontId="33" fillId="32" borderId="90">
      <alignment horizontal="right" vertical="center"/>
    </xf>
    <xf numFmtId="4" fontId="33" fillId="32" borderId="90">
      <alignment horizontal="right" vertical="center"/>
    </xf>
    <xf numFmtId="0" fontId="37" fillId="32" borderId="90">
      <alignment horizontal="right" vertical="center"/>
    </xf>
    <xf numFmtId="4" fontId="37" fillId="32" borderId="90">
      <alignment horizontal="right" vertical="center"/>
    </xf>
    <xf numFmtId="0" fontId="33" fillId="34" borderId="90">
      <alignment horizontal="right" vertical="center"/>
    </xf>
    <xf numFmtId="4" fontId="33" fillId="34" borderId="90">
      <alignment horizontal="right" vertical="center"/>
    </xf>
    <xf numFmtId="0" fontId="33" fillId="34" borderId="90">
      <alignment horizontal="right" vertical="center"/>
    </xf>
    <xf numFmtId="4" fontId="33" fillId="34" borderId="90">
      <alignment horizontal="right" vertical="center"/>
    </xf>
    <xf numFmtId="0" fontId="33" fillId="34" borderId="91">
      <alignment horizontal="right" vertical="center"/>
    </xf>
    <xf numFmtId="4" fontId="33" fillId="34" borderId="91">
      <alignment horizontal="right" vertical="center"/>
    </xf>
    <xf numFmtId="0" fontId="33" fillId="34" borderId="92">
      <alignment horizontal="right" vertical="center"/>
    </xf>
    <xf numFmtId="4" fontId="33" fillId="34" borderId="92">
      <alignment horizontal="right" vertical="center"/>
    </xf>
    <xf numFmtId="0" fontId="47" fillId="56" borderId="87" applyNumberFormat="0" applyAlignment="0" applyProtection="0"/>
    <xf numFmtId="0" fontId="35" fillId="34" borderId="93">
      <alignment horizontal="left" vertical="center" wrapText="1" indent="2"/>
    </xf>
    <xf numFmtId="0" fontId="35" fillId="0" borderId="93">
      <alignment horizontal="left" vertical="center" wrapText="1" indent="2"/>
    </xf>
    <xf numFmtId="0" fontId="35" fillId="32" borderId="91">
      <alignment horizontal="left" vertical="center"/>
    </xf>
    <xf numFmtId="0" fontId="59" fillId="43" borderId="87" applyNumberFormat="0" applyAlignment="0" applyProtection="0"/>
    <xf numFmtId="0" fontId="35" fillId="0" borderId="90">
      <alignment horizontal="right" vertical="center"/>
    </xf>
    <xf numFmtId="4" fontId="35" fillId="0" borderId="90">
      <alignment horizontal="right" vertical="center"/>
    </xf>
    <xf numFmtId="0" fontId="35" fillId="0" borderId="90" applyNumberFormat="0" applyFill="0" applyAlignment="0" applyProtection="0"/>
    <xf numFmtId="0" fontId="63" fillId="56" borderId="86" applyNumberFormat="0" applyAlignment="0" applyProtection="0"/>
    <xf numFmtId="173" fontId="35" fillId="60" borderId="90" applyNumberFormat="0" applyFont="0" applyBorder="0" applyAlignment="0" applyProtection="0">
      <alignment horizontal="right" vertical="center"/>
    </xf>
    <xf numFmtId="0" fontId="35" fillId="33" borderId="90"/>
    <xf numFmtId="4" fontId="35" fillId="33" borderId="90"/>
    <xf numFmtId="0" fontId="66" fillId="0" borderId="88" applyNumberFormat="0" applyFill="0" applyAlignment="0" applyProtection="0"/>
    <xf numFmtId="0" fontId="5" fillId="59" borderId="89" applyNumberFormat="0" applyFont="0" applyAlignment="0" applyProtection="0"/>
    <xf numFmtId="0" fontId="41" fillId="59" borderId="89" applyNumberFormat="0" applyFont="0" applyAlignment="0" applyProtection="0"/>
    <xf numFmtId="0" fontId="35" fillId="0" borderId="90" applyNumberFormat="0" applyFill="0" applyAlignment="0" applyProtection="0"/>
    <xf numFmtId="0" fontId="51" fillId="0" borderId="88" applyNumberFormat="0" applyFill="0" applyAlignment="0" applyProtection="0"/>
    <xf numFmtId="0" fontId="66" fillId="0" borderId="88" applyNumberFormat="0" applyFill="0" applyAlignment="0" applyProtection="0"/>
    <xf numFmtId="0" fontId="50" fillId="43" borderId="87" applyNumberFormat="0" applyAlignment="0" applyProtection="0"/>
    <xf numFmtId="0" fontId="47" fillId="56" borderId="87" applyNumberFormat="0" applyAlignment="0" applyProtection="0"/>
    <xf numFmtId="4" fontId="37" fillId="32" borderId="90">
      <alignment horizontal="right" vertical="center"/>
    </xf>
    <xf numFmtId="0" fontId="33" fillId="32" borderId="90">
      <alignment horizontal="right" vertical="center"/>
    </xf>
    <xf numFmtId="173" fontId="35" fillId="60" borderId="90" applyNumberFormat="0" applyFont="0" applyBorder="0" applyAlignment="0" applyProtection="0">
      <alignment horizontal="right" vertical="center"/>
    </xf>
    <xf numFmtId="0" fontId="51" fillId="0" borderId="88" applyNumberFormat="0" applyFill="0" applyAlignment="0" applyProtection="0"/>
    <xf numFmtId="49" fontId="35" fillId="0" borderId="90" applyNumberFormat="0" applyFont="0" applyFill="0" applyBorder="0" applyProtection="0">
      <alignment horizontal="left" vertical="center" indent="2"/>
    </xf>
    <xf numFmtId="49" fontId="35" fillId="0" borderId="91" applyNumberFormat="0" applyFont="0" applyFill="0" applyBorder="0" applyProtection="0">
      <alignment horizontal="left" vertical="center" indent="5"/>
    </xf>
    <xf numFmtId="49" fontId="35" fillId="0" borderId="90" applyNumberFormat="0" applyFont="0" applyFill="0" applyBorder="0" applyProtection="0">
      <alignment horizontal="left" vertical="center" indent="2"/>
    </xf>
    <xf numFmtId="4" fontId="35" fillId="0" borderId="90" applyFill="0" applyBorder="0" applyProtection="0">
      <alignment horizontal="right" vertical="center"/>
    </xf>
    <xf numFmtId="49" fontId="34" fillId="0" borderId="90" applyNumberFormat="0" applyFill="0" applyBorder="0" applyProtection="0">
      <alignment horizontal="left" vertical="center"/>
    </xf>
    <xf numFmtId="0" fontId="35" fillId="0" borderId="93">
      <alignment horizontal="left" vertical="center" wrapText="1" indent="2"/>
    </xf>
    <xf numFmtId="0" fontId="63" fillId="56" borderId="86" applyNumberFormat="0" applyAlignment="0" applyProtection="0"/>
    <xf numFmtId="0" fontId="33" fillId="34" borderId="92">
      <alignment horizontal="right" vertical="center"/>
    </xf>
    <xf numFmtId="0" fontId="50" fillId="43" borderId="87" applyNumberFormat="0" applyAlignment="0" applyProtection="0"/>
    <xf numFmtId="0" fontId="33" fillId="34" borderId="92">
      <alignment horizontal="right" vertical="center"/>
    </xf>
    <xf numFmtId="4" fontId="33" fillId="34" borderId="90">
      <alignment horizontal="right" vertical="center"/>
    </xf>
    <xf numFmtId="0" fontId="33" fillId="34" borderId="90">
      <alignment horizontal="right" vertical="center"/>
    </xf>
    <xf numFmtId="0" fontId="44" fillId="56" borderId="86" applyNumberFormat="0" applyAlignment="0" applyProtection="0"/>
    <xf numFmtId="0" fontId="46" fillId="56" borderId="87" applyNumberFormat="0" applyAlignment="0" applyProtection="0"/>
    <xf numFmtId="0" fontId="51" fillId="0" borderId="88" applyNumberFormat="0" applyFill="0" applyAlignment="0" applyProtection="0"/>
    <xf numFmtId="0" fontId="35" fillId="33" borderId="90"/>
    <xf numFmtId="4" fontId="35" fillId="33" borderId="90"/>
    <xf numFmtId="4" fontId="33" fillId="34" borderId="90">
      <alignment horizontal="right" vertical="center"/>
    </xf>
    <xf numFmtId="0" fontId="37" fillId="32" borderId="90">
      <alignment horizontal="right" vertical="center"/>
    </xf>
    <xf numFmtId="0" fontId="50" fillId="43" borderId="87" applyNumberFormat="0" applyAlignment="0" applyProtection="0"/>
    <xf numFmtId="0" fontId="47" fillId="56" borderId="87" applyNumberFormat="0" applyAlignment="0" applyProtection="0"/>
    <xf numFmtId="4" fontId="35" fillId="0" borderId="90">
      <alignment horizontal="right" vertical="center"/>
    </xf>
    <xf numFmtId="0" fontId="35" fillId="34" borderId="93">
      <alignment horizontal="left" vertical="center" wrapText="1" indent="2"/>
    </xf>
    <xf numFmtId="0" fontId="35" fillId="0" borderId="93">
      <alignment horizontal="left" vertical="center" wrapText="1" indent="2"/>
    </xf>
    <xf numFmtId="0" fontId="63" fillId="56" borderId="86" applyNumberFormat="0" applyAlignment="0" applyProtection="0"/>
    <xf numFmtId="0" fontId="59" fillId="43" borderId="87" applyNumberFormat="0" applyAlignment="0" applyProtection="0"/>
    <xf numFmtId="0" fontId="46" fillId="56" borderId="87" applyNumberFormat="0" applyAlignment="0" applyProtection="0"/>
    <xf numFmtId="0" fontId="44" fillId="56" borderId="86" applyNumberFormat="0" applyAlignment="0" applyProtection="0"/>
    <xf numFmtId="0" fontId="33" fillId="34" borderId="92">
      <alignment horizontal="right" vertical="center"/>
    </xf>
    <xf numFmtId="0" fontId="37" fillId="32" borderId="90">
      <alignment horizontal="right" vertical="center"/>
    </xf>
    <xf numFmtId="4" fontId="33" fillId="32" borderId="90">
      <alignment horizontal="right" vertical="center"/>
    </xf>
    <xf numFmtId="4" fontId="33" fillId="34" borderId="90">
      <alignment horizontal="right" vertical="center"/>
    </xf>
    <xf numFmtId="49" fontId="35" fillId="0" borderId="91" applyNumberFormat="0" applyFont="0" applyFill="0" applyBorder="0" applyProtection="0">
      <alignment horizontal="left" vertical="center" indent="5"/>
    </xf>
    <xf numFmtId="4" fontId="35" fillId="0" borderId="90" applyFill="0" applyBorder="0" applyProtection="0">
      <alignment horizontal="right" vertical="center"/>
    </xf>
    <xf numFmtId="4" fontId="33" fillId="32" borderId="90">
      <alignment horizontal="right" vertical="center"/>
    </xf>
    <xf numFmtId="0" fontId="59" fillId="43" borderId="87" applyNumberFormat="0" applyAlignment="0" applyProtection="0"/>
    <xf numFmtId="0" fontId="50" fillId="43" borderId="87" applyNumberFormat="0" applyAlignment="0" applyProtection="0"/>
    <xf numFmtId="0" fontId="46" fillId="56" borderId="87" applyNumberFormat="0" applyAlignment="0" applyProtection="0"/>
    <xf numFmtId="0" fontId="35" fillId="34" borderId="93">
      <alignment horizontal="left" vertical="center" wrapText="1" indent="2"/>
    </xf>
    <xf numFmtId="0" fontId="35" fillId="0" borderId="93">
      <alignment horizontal="left" vertical="center" wrapText="1" indent="2"/>
    </xf>
    <xf numFmtId="0" fontId="35" fillId="34" borderId="93">
      <alignment horizontal="left" vertical="center" wrapText="1" indent="2"/>
    </xf>
    <xf numFmtId="0" fontId="33" fillId="32" borderId="98">
      <alignment horizontal="right" vertical="center"/>
    </xf>
    <xf numFmtId="0" fontId="33" fillId="34" borderId="106">
      <alignment horizontal="right" vertical="center"/>
    </xf>
    <xf numFmtId="0" fontId="63" fillId="56" borderId="102" applyNumberFormat="0" applyAlignment="0" applyProtection="0"/>
    <xf numFmtId="0" fontId="35" fillId="0" borderId="106" applyNumberFormat="0" applyFill="0" applyAlignment="0" applyProtection="0"/>
    <xf numFmtId="0" fontId="63" fillId="56" borderId="123" applyNumberFormat="0" applyAlignment="0" applyProtection="0"/>
    <xf numFmtId="0" fontId="27" fillId="29" borderId="0" applyNumberFormat="0" applyBorder="0" applyAlignment="0" applyProtection="0"/>
    <xf numFmtId="4" fontId="35" fillId="0" borderId="106" applyFill="0" applyBorder="0" applyProtection="0">
      <alignment horizontal="right" vertical="center"/>
    </xf>
    <xf numFmtId="0" fontId="35" fillId="33" borderId="119"/>
    <xf numFmtId="0" fontId="12" fillId="25" borderId="0" applyNumberFormat="0" applyBorder="0" applyAlignment="0" applyProtection="0"/>
    <xf numFmtId="0" fontId="35" fillId="34" borderId="109">
      <alignment horizontal="left" vertical="center" wrapText="1" indent="2"/>
    </xf>
    <xf numFmtId="0" fontId="27" fillId="27" borderId="0" applyNumberFormat="0" applyBorder="0" applyAlignment="0" applyProtection="0"/>
    <xf numFmtId="0" fontId="27" fillId="18" borderId="0" applyNumberFormat="0" applyBorder="0" applyAlignment="0" applyProtection="0"/>
    <xf numFmtId="0" fontId="33" fillId="32" borderId="129">
      <alignment horizontal="right" vertical="center"/>
    </xf>
    <xf numFmtId="0" fontId="30" fillId="13" borderId="13" applyNumberFormat="0" applyAlignment="0" applyProtection="0"/>
    <xf numFmtId="4" fontId="33" fillId="34" borderId="106">
      <alignment horizontal="right" vertical="center"/>
    </xf>
    <xf numFmtId="0" fontId="33" fillId="34" borderId="129">
      <alignment horizontal="right" vertical="center"/>
    </xf>
    <xf numFmtId="0" fontId="41" fillId="59" borderId="105" applyNumberFormat="0" applyFont="0" applyAlignment="0" applyProtection="0"/>
    <xf numFmtId="49" fontId="34" fillId="0" borderId="106" applyNumberFormat="0" applyFill="0" applyBorder="0" applyProtection="0">
      <alignment horizontal="left" vertical="center"/>
    </xf>
    <xf numFmtId="0" fontId="37" fillId="32" borderId="106">
      <alignment horizontal="right" vertical="center"/>
    </xf>
    <xf numFmtId="0" fontId="35" fillId="0" borderId="106" applyNumberFormat="0" applyFill="0" applyAlignment="0" applyProtection="0"/>
    <xf numFmtId="4" fontId="33" fillId="32" borderId="106">
      <alignment horizontal="right" vertical="center"/>
    </xf>
    <xf numFmtId="173" fontId="35" fillId="60" borderId="106" applyNumberFormat="0" applyFont="0" applyBorder="0" applyAlignment="0" applyProtection="0">
      <alignment horizontal="right" vertical="center"/>
    </xf>
    <xf numFmtId="0" fontId="50" fillId="43" borderId="103" applyNumberFormat="0" applyAlignment="0" applyProtection="0"/>
    <xf numFmtId="173" fontId="35" fillId="60" borderId="106" applyNumberFormat="0" applyFont="0" applyBorder="0" applyAlignment="0" applyProtection="0">
      <alignment horizontal="right" vertical="center"/>
    </xf>
    <xf numFmtId="0" fontId="59" fillId="43" borderId="103" applyNumberFormat="0" applyAlignment="0" applyProtection="0"/>
    <xf numFmtId="4" fontId="33" fillId="34" borderId="108">
      <alignment horizontal="right" vertical="center"/>
    </xf>
    <xf numFmtId="0" fontId="47" fillId="56" borderId="103" applyNumberFormat="0" applyAlignment="0" applyProtection="0"/>
    <xf numFmtId="0" fontId="35" fillId="0" borderId="106">
      <alignment horizontal="right" vertical="center"/>
    </xf>
    <xf numFmtId="0" fontId="35" fillId="0" borderId="106" applyNumberFormat="0" applyFill="0" applyAlignment="0" applyProtection="0"/>
    <xf numFmtId="0" fontId="35" fillId="34" borderId="109">
      <alignment horizontal="left" vertical="center" wrapText="1" indent="2"/>
    </xf>
    <xf numFmtId="4" fontId="33" fillId="34" borderId="107">
      <alignment horizontal="right" vertical="center"/>
    </xf>
    <xf numFmtId="0" fontId="41" fillId="59" borderId="105" applyNumberFormat="0" applyFont="0" applyAlignment="0" applyProtection="0"/>
    <xf numFmtId="4" fontId="35" fillId="0" borderId="106" applyFill="0" applyBorder="0" applyProtection="0">
      <alignment horizontal="right" vertical="center"/>
    </xf>
    <xf numFmtId="49" fontId="35" fillId="0" borderId="107" applyNumberFormat="0" applyFont="0" applyFill="0" applyBorder="0" applyProtection="0">
      <alignment horizontal="left" vertical="center" indent="5"/>
    </xf>
    <xf numFmtId="0" fontId="59" fillId="43" borderId="103" applyNumberFormat="0" applyAlignment="0" applyProtection="0"/>
    <xf numFmtId="0" fontId="35" fillId="34" borderId="109">
      <alignment horizontal="left" vertical="center" wrapText="1" indent="2"/>
    </xf>
    <xf numFmtId="0" fontId="12" fillId="19" borderId="0" applyNumberFormat="0" applyBorder="0" applyAlignment="0" applyProtection="0"/>
    <xf numFmtId="0" fontId="12" fillId="31" borderId="0" applyNumberFormat="0" applyBorder="0" applyAlignment="0" applyProtection="0"/>
    <xf numFmtId="4" fontId="35" fillId="33" borderId="114"/>
    <xf numFmtId="0" fontId="35" fillId="0" borderId="106" applyNumberFormat="0" applyFill="0" applyAlignment="0" applyProtection="0"/>
    <xf numFmtId="0" fontId="5" fillId="59" borderId="105" applyNumberFormat="0" applyFont="0" applyAlignment="0" applyProtection="0"/>
    <xf numFmtId="0" fontId="59" fillId="43" borderId="103" applyNumberFormat="0" applyAlignment="0" applyProtection="0"/>
    <xf numFmtId="0" fontId="5" fillId="59" borderId="105" applyNumberFormat="0" applyFont="0" applyAlignment="0" applyProtection="0"/>
    <xf numFmtId="0" fontId="35" fillId="0" borderId="119" applyNumberFormat="0" applyFill="0" applyAlignment="0" applyProtection="0"/>
    <xf numFmtId="0" fontId="33" fillId="34" borderId="108">
      <alignment horizontal="right" vertical="center"/>
    </xf>
    <xf numFmtId="0" fontId="12" fillId="25" borderId="0" applyNumberFormat="0" applyBorder="0" applyAlignment="0" applyProtection="0"/>
    <xf numFmtId="0" fontId="27" fillId="27" borderId="0" applyNumberFormat="0" applyBorder="0" applyAlignment="0" applyProtection="0"/>
    <xf numFmtId="0" fontId="12" fillId="28" borderId="0" applyNumberFormat="0" applyBorder="0" applyAlignment="0" applyProtection="0"/>
    <xf numFmtId="0" fontId="66" fillId="0" borderId="112" applyNumberFormat="0" applyFill="0" applyAlignment="0" applyProtection="0"/>
    <xf numFmtId="0" fontId="12" fillId="22" borderId="0" applyNumberFormat="0" applyBorder="0" applyAlignment="0" applyProtection="0"/>
    <xf numFmtId="0" fontId="35" fillId="0" borderId="119">
      <alignment horizontal="right" vertical="center"/>
    </xf>
    <xf numFmtId="0" fontId="27" fillId="20" borderId="0" applyNumberFormat="0" applyBorder="0" applyAlignment="0" applyProtection="0"/>
    <xf numFmtId="0" fontId="27" fillId="14" borderId="0" applyNumberFormat="0" applyBorder="0" applyAlignment="0" applyProtection="0"/>
    <xf numFmtId="0" fontId="33" fillId="34" borderId="108">
      <alignment horizontal="right" vertical="center"/>
    </xf>
    <xf numFmtId="0" fontId="63" fillId="56" borderId="102" applyNumberFormat="0" applyAlignment="0" applyProtection="0"/>
    <xf numFmtId="0" fontId="59" fillId="43" borderId="103" applyNumberFormat="0" applyAlignment="0" applyProtection="0"/>
    <xf numFmtId="4" fontId="37" fillId="32" borderId="106">
      <alignment horizontal="right" vertical="center"/>
    </xf>
    <xf numFmtId="0" fontId="35" fillId="34" borderId="140">
      <alignment horizontal="left" vertical="center" wrapText="1" indent="2"/>
    </xf>
    <xf numFmtId="4" fontId="33" fillId="34" borderId="98">
      <alignment horizontal="right" vertical="center"/>
    </xf>
    <xf numFmtId="0" fontId="35" fillId="33" borderId="98"/>
    <xf numFmtId="0" fontId="46" fillId="56" borderId="95" applyNumberFormat="0" applyAlignment="0" applyProtection="0"/>
    <xf numFmtId="0" fontId="33" fillId="32" borderId="98">
      <alignment horizontal="right" vertical="center"/>
    </xf>
    <xf numFmtId="0" fontId="35" fillId="0" borderId="98">
      <alignment horizontal="right" vertical="center"/>
    </xf>
    <xf numFmtId="0" fontId="66" fillId="0" borderId="96" applyNumberFormat="0" applyFill="0" applyAlignment="0" applyProtection="0"/>
    <xf numFmtId="0" fontId="35" fillId="32" borderId="99">
      <alignment horizontal="left" vertical="center"/>
    </xf>
    <xf numFmtId="0" fontId="59" fillId="43" borderId="95" applyNumberFormat="0" applyAlignment="0" applyProtection="0"/>
    <xf numFmtId="173" fontId="35" fillId="60" borderId="98" applyNumberFormat="0" applyFont="0" applyBorder="0" applyAlignment="0" applyProtection="0">
      <alignment horizontal="right" vertical="center"/>
    </xf>
    <xf numFmtId="0" fontId="41" fillId="59" borderId="97" applyNumberFormat="0" applyFont="0" applyAlignment="0" applyProtection="0"/>
    <xf numFmtId="0" fontId="35" fillId="0" borderId="101">
      <alignment horizontal="left" vertical="center" wrapText="1" indent="2"/>
    </xf>
    <xf numFmtId="4" fontId="35" fillId="33" borderId="98"/>
    <xf numFmtId="49" fontId="34" fillId="0" borderId="98" applyNumberFormat="0" applyFill="0" applyBorder="0" applyProtection="0">
      <alignment horizontal="left" vertical="center"/>
    </xf>
    <xf numFmtId="0" fontId="35" fillId="0" borderId="98">
      <alignment horizontal="right" vertical="center"/>
    </xf>
    <xf numFmtId="4" fontId="33" fillId="34" borderId="100">
      <alignment horizontal="right" vertical="center"/>
    </xf>
    <xf numFmtId="4" fontId="33" fillId="34" borderId="98">
      <alignment horizontal="right" vertical="center"/>
    </xf>
    <xf numFmtId="4" fontId="33" fillId="34" borderId="98">
      <alignment horizontal="right" vertical="center"/>
    </xf>
    <xf numFmtId="0" fontId="37" fillId="32" borderId="98">
      <alignment horizontal="right" vertical="center"/>
    </xf>
    <xf numFmtId="0" fontId="33" fillId="32" borderId="98">
      <alignment horizontal="right" vertical="center"/>
    </xf>
    <xf numFmtId="49" fontId="35" fillId="0" borderId="98" applyNumberFormat="0" applyFont="0" applyFill="0" applyBorder="0" applyProtection="0">
      <alignment horizontal="left" vertical="center" indent="2"/>
    </xf>
    <xf numFmtId="0" fontId="59" fillId="43" borderId="95" applyNumberFormat="0" applyAlignment="0" applyProtection="0"/>
    <xf numFmtId="0" fontId="44" fillId="56" borderId="94" applyNumberFormat="0" applyAlignment="0" applyProtection="0"/>
    <xf numFmtId="49" fontId="35" fillId="0" borderId="98" applyNumberFormat="0" applyFont="0" applyFill="0" applyBorder="0" applyProtection="0">
      <alignment horizontal="left" vertical="center" indent="2"/>
    </xf>
    <xf numFmtId="0" fontId="50" fillId="43" borderId="95" applyNumberFormat="0" applyAlignment="0" applyProtection="0"/>
    <xf numFmtId="4" fontId="35" fillId="0" borderId="98" applyFill="0" applyBorder="0" applyProtection="0">
      <alignment horizontal="right" vertical="center"/>
    </xf>
    <xf numFmtId="0" fontId="47" fillId="56" borderId="95" applyNumberFormat="0" applyAlignment="0" applyProtection="0"/>
    <xf numFmtId="0" fontId="66" fillId="0" borderId="96" applyNumberFormat="0" applyFill="0" applyAlignment="0" applyProtection="0"/>
    <xf numFmtId="0" fontId="63" fillId="56" borderId="94" applyNumberFormat="0" applyAlignment="0" applyProtection="0"/>
    <xf numFmtId="0" fontId="35" fillId="0" borderId="98" applyNumberFormat="0" applyFill="0" applyAlignment="0" applyProtection="0"/>
    <xf numFmtId="4" fontId="35" fillId="0" borderId="98">
      <alignment horizontal="right" vertical="center"/>
    </xf>
    <xf numFmtId="0" fontId="35" fillId="0" borderId="98">
      <alignment horizontal="right" vertical="center"/>
    </xf>
    <xf numFmtId="0" fontId="59" fillId="43" borderId="95" applyNumberFormat="0" applyAlignment="0" applyProtection="0"/>
    <xf numFmtId="0" fontId="44" fillId="56" borderId="94" applyNumberFormat="0" applyAlignment="0" applyProtection="0"/>
    <xf numFmtId="0" fontId="46" fillId="56" borderId="95" applyNumberFormat="0" applyAlignment="0" applyProtection="0"/>
    <xf numFmtId="0" fontId="35" fillId="34" borderId="101">
      <alignment horizontal="left" vertical="center" wrapText="1" indent="2"/>
    </xf>
    <xf numFmtId="0" fontId="47" fillId="56" borderId="95" applyNumberFormat="0" applyAlignment="0" applyProtection="0"/>
    <xf numFmtId="0" fontId="47" fillId="56" borderId="95" applyNumberFormat="0" applyAlignment="0" applyProtection="0"/>
    <xf numFmtId="4" fontId="33" fillId="34" borderId="99">
      <alignment horizontal="right" vertical="center"/>
    </xf>
    <xf numFmtId="0" fontId="33" fillId="34" borderId="99">
      <alignment horizontal="right" vertical="center"/>
    </xf>
    <xf numFmtId="0" fontId="33" fillId="34" borderId="98">
      <alignment horizontal="right" vertical="center"/>
    </xf>
    <xf numFmtId="4" fontId="37" fillId="32" borderId="98">
      <alignment horizontal="right" vertical="center"/>
    </xf>
    <xf numFmtId="0" fontId="50" fillId="43" borderId="95" applyNumberFormat="0" applyAlignment="0" applyProtection="0"/>
    <xf numFmtId="0" fontId="51" fillId="0" borderId="96" applyNumberFormat="0" applyFill="0" applyAlignment="0" applyProtection="0"/>
    <xf numFmtId="0" fontId="66" fillId="0" borderId="96" applyNumberFormat="0" applyFill="0" applyAlignment="0" applyProtection="0"/>
    <xf numFmtId="0" fontId="41" fillId="59" borderId="97" applyNumberFormat="0" applyFont="0" applyAlignment="0" applyProtection="0"/>
    <xf numFmtId="0" fontId="59" fillId="43" borderId="95" applyNumberFormat="0" applyAlignment="0" applyProtection="0"/>
    <xf numFmtId="49" fontId="34" fillId="0" borderId="98" applyNumberFormat="0" applyFill="0" applyBorder="0" applyProtection="0">
      <alignment horizontal="left" vertical="center"/>
    </xf>
    <xf numFmtId="0" fontId="35" fillId="34" borderId="101">
      <alignment horizontal="left" vertical="center" wrapText="1" indent="2"/>
    </xf>
    <xf numFmtId="0" fontId="47" fillId="56" borderId="95" applyNumberFormat="0" applyAlignment="0" applyProtection="0"/>
    <xf numFmtId="0" fontId="35" fillId="0" borderId="101">
      <alignment horizontal="left" vertical="center" wrapText="1" indent="2"/>
    </xf>
    <xf numFmtId="0" fontId="41" fillId="59" borderId="97" applyNumberFormat="0" applyFont="0" applyAlignment="0" applyProtection="0"/>
    <xf numFmtId="0" fontId="5" fillId="59" borderId="97" applyNumberFormat="0" applyFont="0" applyAlignment="0" applyProtection="0"/>
    <xf numFmtId="0" fontId="63" fillId="56" borderId="94" applyNumberFormat="0" applyAlignment="0" applyProtection="0"/>
    <xf numFmtId="0" fontId="66" fillId="0" borderId="96" applyNumberFormat="0" applyFill="0" applyAlignment="0" applyProtection="0"/>
    <xf numFmtId="4" fontId="35" fillId="33" borderId="98"/>
    <xf numFmtId="0" fontId="33" fillId="34" borderId="98">
      <alignment horizontal="right" vertical="center"/>
    </xf>
    <xf numFmtId="0" fontId="66" fillId="0" borderId="96" applyNumberFormat="0" applyFill="0" applyAlignment="0" applyProtection="0"/>
    <xf numFmtId="4" fontId="33" fillId="34" borderId="100">
      <alignment horizontal="right" vertical="center"/>
    </xf>
    <xf numFmtId="0" fontId="46" fillId="56" borderId="95" applyNumberFormat="0" applyAlignment="0" applyProtection="0"/>
    <xf numFmtId="0" fontId="33" fillId="34" borderId="99">
      <alignment horizontal="right" vertical="center"/>
    </xf>
    <xf numFmtId="0" fontId="47" fillId="56" borderId="95" applyNumberFormat="0" applyAlignment="0" applyProtection="0"/>
    <xf numFmtId="0" fontId="51" fillId="0" borderId="96" applyNumberFormat="0" applyFill="0" applyAlignment="0" applyProtection="0"/>
    <xf numFmtId="0" fontId="41" fillId="59" borderId="97" applyNumberFormat="0" applyFont="0" applyAlignment="0" applyProtection="0"/>
    <xf numFmtId="4" fontId="33" fillId="34" borderId="99">
      <alignment horizontal="right" vertical="center"/>
    </xf>
    <xf numFmtId="0" fontId="35" fillId="34" borderId="101">
      <alignment horizontal="left" vertical="center" wrapText="1" indent="2"/>
    </xf>
    <xf numFmtId="0" fontId="35" fillId="33" borderId="98"/>
    <xf numFmtId="173" fontId="35" fillId="60" borderId="98" applyNumberFormat="0" applyFont="0" applyBorder="0" applyAlignment="0" applyProtection="0">
      <alignment horizontal="right" vertical="center"/>
    </xf>
    <xf numFmtId="0" fontId="35" fillId="0" borderId="98" applyNumberFormat="0" applyFill="0" applyAlignment="0" applyProtection="0"/>
    <xf numFmtId="4" fontId="35" fillId="0" borderId="98" applyFill="0" applyBorder="0" applyProtection="0">
      <alignment horizontal="right" vertical="center"/>
    </xf>
    <xf numFmtId="4" fontId="33" fillId="32" borderId="98">
      <alignment horizontal="right" vertical="center"/>
    </xf>
    <xf numFmtId="0" fontId="51" fillId="0" borderId="96" applyNumberFormat="0" applyFill="0" applyAlignment="0" applyProtection="0"/>
    <xf numFmtId="49" fontId="34" fillId="0" borderId="98" applyNumberFormat="0" applyFill="0" applyBorder="0" applyProtection="0">
      <alignment horizontal="left" vertical="center"/>
    </xf>
    <xf numFmtId="49" fontId="35" fillId="0" borderId="99" applyNumberFormat="0" applyFont="0" applyFill="0" applyBorder="0" applyProtection="0">
      <alignment horizontal="left" vertical="center" indent="5"/>
    </xf>
    <xf numFmtId="0" fontId="35" fillId="32" borderId="99">
      <alignment horizontal="left" vertical="center"/>
    </xf>
    <xf numFmtId="0" fontId="47" fillId="56" borderId="95" applyNumberFormat="0" applyAlignment="0" applyProtection="0"/>
    <xf numFmtId="4" fontId="33" fillId="34" borderId="100">
      <alignment horizontal="right" vertical="center"/>
    </xf>
    <xf numFmtId="0" fontId="59" fillId="43" borderId="95" applyNumberFormat="0" applyAlignment="0" applyProtection="0"/>
    <xf numFmtId="0" fontId="59" fillId="43" borderId="95" applyNumberFormat="0" applyAlignment="0" applyProtection="0"/>
    <xf numFmtId="0" fontId="41" fillId="59" borderId="97" applyNumberFormat="0" applyFont="0" applyAlignment="0" applyProtection="0"/>
    <xf numFmtId="0" fontId="63" fillId="56" borderId="94" applyNumberFormat="0" applyAlignment="0" applyProtection="0"/>
    <xf numFmtId="0" fontId="66" fillId="0" borderId="96" applyNumberFormat="0" applyFill="0" applyAlignment="0" applyProtection="0"/>
    <xf numFmtId="0" fontId="33" fillId="34" borderId="98">
      <alignment horizontal="right" vertical="center"/>
    </xf>
    <xf numFmtId="0" fontId="5" fillId="59" borderId="97" applyNumberFormat="0" applyFont="0" applyAlignment="0" applyProtection="0"/>
    <xf numFmtId="4" fontId="35" fillId="0" borderId="98">
      <alignment horizontal="right" vertical="center"/>
    </xf>
    <xf numFmtId="0" fontId="66" fillId="0" borderId="96" applyNumberFormat="0" applyFill="0" applyAlignment="0" applyProtection="0"/>
    <xf numFmtId="0" fontId="33" fillId="34" borderId="98">
      <alignment horizontal="right" vertical="center"/>
    </xf>
    <xf numFmtId="0" fontId="33" fillId="34" borderId="98">
      <alignment horizontal="right" vertical="center"/>
    </xf>
    <xf numFmtId="4" fontId="37" fillId="32" borderId="98">
      <alignment horizontal="right" vertical="center"/>
    </xf>
    <xf numFmtId="0" fontId="33" fillId="32" borderId="98">
      <alignment horizontal="right" vertical="center"/>
    </xf>
    <xf numFmtId="4" fontId="33" fillId="32" borderId="98">
      <alignment horizontal="right" vertical="center"/>
    </xf>
    <xf numFmtId="0" fontId="37" fillId="32" borderId="98">
      <alignment horizontal="right" vertical="center"/>
    </xf>
    <xf numFmtId="4" fontId="37" fillId="32" borderId="98">
      <alignment horizontal="right" vertical="center"/>
    </xf>
    <xf numFmtId="0" fontId="33" fillId="34" borderId="98">
      <alignment horizontal="right" vertical="center"/>
    </xf>
    <xf numFmtId="4" fontId="33" fillId="34" borderId="98">
      <alignment horizontal="right" vertical="center"/>
    </xf>
    <xf numFmtId="0" fontId="33" fillId="34" borderId="98">
      <alignment horizontal="right" vertical="center"/>
    </xf>
    <xf numFmtId="4" fontId="33" fillId="34" borderId="98">
      <alignment horizontal="right" vertical="center"/>
    </xf>
    <xf numFmtId="0" fontId="33" fillId="34" borderId="99">
      <alignment horizontal="right" vertical="center"/>
    </xf>
    <xf numFmtId="4" fontId="33" fillId="34" borderId="99">
      <alignment horizontal="right" vertical="center"/>
    </xf>
    <xf numFmtId="0" fontId="33" fillId="34" borderId="100">
      <alignment horizontal="right" vertical="center"/>
    </xf>
    <xf numFmtId="4" fontId="33" fillId="34" borderId="100">
      <alignment horizontal="right" vertical="center"/>
    </xf>
    <xf numFmtId="0" fontId="47" fillId="56" borderId="95" applyNumberFormat="0" applyAlignment="0" applyProtection="0"/>
    <xf numFmtId="0" fontId="35" fillId="34" borderId="101">
      <alignment horizontal="left" vertical="center" wrapText="1" indent="2"/>
    </xf>
    <xf numFmtId="0" fontId="35" fillId="0" borderId="101">
      <alignment horizontal="left" vertical="center" wrapText="1" indent="2"/>
    </xf>
    <xf numFmtId="0" fontId="35" fillId="32" borderId="99">
      <alignment horizontal="left" vertical="center"/>
    </xf>
    <xf numFmtId="0" fontId="59" fillId="43" borderId="95" applyNumberFormat="0" applyAlignment="0" applyProtection="0"/>
    <xf numFmtId="0" fontId="35" fillId="0" borderId="98">
      <alignment horizontal="right" vertical="center"/>
    </xf>
    <xf numFmtId="4" fontId="35" fillId="0" borderId="98">
      <alignment horizontal="right" vertical="center"/>
    </xf>
    <xf numFmtId="0" fontId="35" fillId="0" borderId="98" applyNumberFormat="0" applyFill="0" applyAlignment="0" applyProtection="0"/>
    <xf numFmtId="0" fontId="63" fillId="56" borderId="94" applyNumberFormat="0" applyAlignment="0" applyProtection="0"/>
    <xf numFmtId="173" fontId="35" fillId="60" borderId="98" applyNumberFormat="0" applyFont="0" applyBorder="0" applyAlignment="0" applyProtection="0">
      <alignment horizontal="right" vertical="center"/>
    </xf>
    <xf numFmtId="0" fontId="35" fillId="33" borderId="98"/>
    <xf numFmtId="4" fontId="35" fillId="33" borderId="98"/>
    <xf numFmtId="0" fontId="66" fillId="0" borderId="96" applyNumberFormat="0" applyFill="0" applyAlignment="0" applyProtection="0"/>
    <xf numFmtId="0" fontId="5" fillId="59" borderId="97" applyNumberFormat="0" applyFont="0" applyAlignment="0" applyProtection="0"/>
    <xf numFmtId="0" fontId="41" fillId="59" borderId="97" applyNumberFormat="0" applyFont="0" applyAlignment="0" applyProtection="0"/>
    <xf numFmtId="0" fontId="35" fillId="0" borderId="98" applyNumberFormat="0" applyFill="0" applyAlignment="0" applyProtection="0"/>
    <xf numFmtId="0" fontId="51" fillId="0" borderId="96" applyNumberFormat="0" applyFill="0" applyAlignment="0" applyProtection="0"/>
    <xf numFmtId="0" fontId="66" fillId="0" borderId="96" applyNumberFormat="0" applyFill="0" applyAlignment="0" applyProtection="0"/>
    <xf numFmtId="0" fontId="50" fillId="43" borderId="95" applyNumberFormat="0" applyAlignment="0" applyProtection="0"/>
    <xf numFmtId="0" fontId="47" fillId="56" borderId="95" applyNumberFormat="0" applyAlignment="0" applyProtection="0"/>
    <xf numFmtId="4" fontId="37" fillId="32" borderId="98">
      <alignment horizontal="right" vertical="center"/>
    </xf>
    <xf numFmtId="0" fontId="33" fillId="32" borderId="98">
      <alignment horizontal="right" vertical="center"/>
    </xf>
    <xf numFmtId="173" fontId="35" fillId="60" borderId="98" applyNumberFormat="0" applyFont="0" applyBorder="0" applyAlignment="0" applyProtection="0">
      <alignment horizontal="right" vertical="center"/>
    </xf>
    <xf numFmtId="0" fontId="51" fillId="0" borderId="96" applyNumberFormat="0" applyFill="0" applyAlignment="0" applyProtection="0"/>
    <xf numFmtId="49" fontId="35" fillId="0" borderId="98" applyNumberFormat="0" applyFont="0" applyFill="0" applyBorder="0" applyProtection="0">
      <alignment horizontal="left" vertical="center" indent="2"/>
    </xf>
    <xf numFmtId="49" fontId="35" fillId="0" borderId="99" applyNumberFormat="0" applyFont="0" applyFill="0" applyBorder="0" applyProtection="0">
      <alignment horizontal="left" vertical="center" indent="5"/>
    </xf>
    <xf numFmtId="49" fontId="35" fillId="0" borderId="98" applyNumberFormat="0" applyFont="0" applyFill="0" applyBorder="0" applyProtection="0">
      <alignment horizontal="left" vertical="center" indent="2"/>
    </xf>
    <xf numFmtId="4" fontId="35" fillId="0" borderId="98" applyFill="0" applyBorder="0" applyProtection="0">
      <alignment horizontal="right" vertical="center"/>
    </xf>
    <xf numFmtId="49" fontId="34" fillId="0" borderId="98" applyNumberFormat="0" applyFill="0" applyBorder="0" applyProtection="0">
      <alignment horizontal="left" vertical="center"/>
    </xf>
    <xf numFmtId="0" fontId="35" fillId="0" borderId="101">
      <alignment horizontal="left" vertical="center" wrapText="1" indent="2"/>
    </xf>
    <xf numFmtId="0" fontId="63" fillId="56" borderId="94" applyNumberFormat="0" applyAlignment="0" applyProtection="0"/>
    <xf numFmtId="0" fontId="33" fillId="34" borderId="100">
      <alignment horizontal="right" vertical="center"/>
    </xf>
    <xf numFmtId="0" fontId="50" fillId="43" borderId="95" applyNumberFormat="0" applyAlignment="0" applyProtection="0"/>
    <xf numFmtId="0" fontId="33" fillId="34" borderId="100">
      <alignment horizontal="right" vertical="center"/>
    </xf>
    <xf numFmtId="4" fontId="33" fillId="34" borderId="98">
      <alignment horizontal="right" vertical="center"/>
    </xf>
    <xf numFmtId="0" fontId="33" fillId="34" borderId="98">
      <alignment horizontal="right" vertical="center"/>
    </xf>
    <xf numFmtId="0" fontId="44" fillId="56" borderId="94" applyNumberFormat="0" applyAlignment="0" applyProtection="0"/>
    <xf numFmtId="0" fontId="46" fillId="56" borderId="95" applyNumberFormat="0" applyAlignment="0" applyProtection="0"/>
    <xf numFmtId="0" fontId="51" fillId="0" borderId="96" applyNumberFormat="0" applyFill="0" applyAlignment="0" applyProtection="0"/>
    <xf numFmtId="0" fontId="35" fillId="33" borderId="98"/>
    <xf numFmtId="4" fontId="35" fillId="33" borderId="98"/>
    <xf numFmtId="4" fontId="33" fillId="34" borderId="98">
      <alignment horizontal="right" vertical="center"/>
    </xf>
    <xf numFmtId="0" fontId="37" fillId="32" borderId="98">
      <alignment horizontal="right" vertical="center"/>
    </xf>
    <xf numFmtId="0" fontId="50" fillId="43" borderId="95" applyNumberFormat="0" applyAlignment="0" applyProtection="0"/>
    <xf numFmtId="0" fontId="47" fillId="56" borderId="95" applyNumberFormat="0" applyAlignment="0" applyProtection="0"/>
    <xf numFmtId="4" fontId="35" fillId="0" borderId="98">
      <alignment horizontal="right" vertical="center"/>
    </xf>
    <xf numFmtId="0" fontId="35" fillId="34" borderId="101">
      <alignment horizontal="left" vertical="center" wrapText="1" indent="2"/>
    </xf>
    <xf numFmtId="0" fontId="35" fillId="0" borderId="101">
      <alignment horizontal="left" vertical="center" wrapText="1" indent="2"/>
    </xf>
    <xf numFmtId="0" fontId="63" fillId="56" borderId="94" applyNumberFormat="0" applyAlignment="0" applyProtection="0"/>
    <xf numFmtId="0" fontId="59" fillId="43" borderId="95" applyNumberFormat="0" applyAlignment="0" applyProtection="0"/>
    <xf numFmtId="0" fontId="46" fillId="56" borderId="95" applyNumberFormat="0" applyAlignment="0" applyProtection="0"/>
    <xf numFmtId="0" fontId="44" fillId="56" borderId="94" applyNumberFormat="0" applyAlignment="0" applyProtection="0"/>
    <xf numFmtId="0" fontId="33" fillId="34" borderId="100">
      <alignment horizontal="right" vertical="center"/>
    </xf>
    <xf numFmtId="0" fontId="37" fillId="32" borderId="98">
      <alignment horizontal="right" vertical="center"/>
    </xf>
    <xf numFmtId="4" fontId="33" fillId="32" borderId="98">
      <alignment horizontal="right" vertical="center"/>
    </xf>
    <xf numFmtId="4" fontId="33" fillId="34" borderId="98">
      <alignment horizontal="right" vertical="center"/>
    </xf>
    <xf numFmtId="49" fontId="35" fillId="0" borderId="99" applyNumberFormat="0" applyFont="0" applyFill="0" applyBorder="0" applyProtection="0">
      <alignment horizontal="left" vertical="center" indent="5"/>
    </xf>
    <xf numFmtId="4" fontId="35" fillId="0" borderId="98" applyFill="0" applyBorder="0" applyProtection="0">
      <alignment horizontal="right" vertical="center"/>
    </xf>
    <xf numFmtId="4" fontId="33" fillId="32" borderId="98">
      <alignment horizontal="right" vertical="center"/>
    </xf>
    <xf numFmtId="0" fontId="63" fillId="56" borderId="123" applyNumberFormat="0" applyAlignment="0" applyProtection="0"/>
    <xf numFmtId="0" fontId="59" fillId="43" borderId="95" applyNumberFormat="0" applyAlignment="0" applyProtection="0"/>
    <xf numFmtId="0" fontId="50" fillId="43" borderId="95" applyNumberFormat="0" applyAlignment="0" applyProtection="0"/>
    <xf numFmtId="0" fontId="46" fillId="56" borderId="95" applyNumberFormat="0" applyAlignment="0" applyProtection="0"/>
    <xf numFmtId="0" fontId="35" fillId="34" borderId="101">
      <alignment horizontal="left" vertical="center" wrapText="1" indent="2"/>
    </xf>
    <xf numFmtId="0" fontId="35" fillId="0" borderId="101">
      <alignment horizontal="left" vertical="center" wrapText="1" indent="2"/>
    </xf>
    <xf numFmtId="0" fontId="35" fillId="34" borderId="101">
      <alignment horizontal="left" vertical="center" wrapText="1" indent="2"/>
    </xf>
    <xf numFmtId="0" fontId="35" fillId="0" borderId="101">
      <alignment horizontal="left" vertical="center" wrapText="1" indent="2"/>
    </xf>
    <xf numFmtId="0" fontId="44" fillId="56" borderId="94" applyNumberFormat="0" applyAlignment="0" applyProtection="0"/>
    <xf numFmtId="0" fontId="46" fillId="56" borderId="95" applyNumberFormat="0" applyAlignment="0" applyProtection="0"/>
    <xf numFmtId="0" fontId="47" fillId="56" borderId="95" applyNumberFormat="0" applyAlignment="0" applyProtection="0"/>
    <xf numFmtId="0" fontId="50" fillId="43" borderId="95" applyNumberFormat="0" applyAlignment="0" applyProtection="0"/>
    <xf numFmtId="0" fontId="51" fillId="0" borderId="96" applyNumberFormat="0" applyFill="0" applyAlignment="0" applyProtection="0"/>
    <xf numFmtId="0" fontId="59" fillId="43" borderId="95" applyNumberFormat="0" applyAlignment="0" applyProtection="0"/>
    <xf numFmtId="0" fontId="41" fillId="59" borderId="97" applyNumberFormat="0" applyFont="0" applyAlignment="0" applyProtection="0"/>
    <xf numFmtId="0" fontId="5" fillId="59" borderId="97" applyNumberFormat="0" applyFont="0" applyAlignment="0" applyProtection="0"/>
    <xf numFmtId="0" fontId="63" fillId="56" borderId="94" applyNumberFormat="0" applyAlignment="0" applyProtection="0"/>
    <xf numFmtId="0" fontId="66" fillId="0" borderId="96" applyNumberFormat="0" applyFill="0" applyAlignment="0" applyProtection="0"/>
    <xf numFmtId="0" fontId="47" fillId="56" borderId="95" applyNumberFormat="0" applyAlignment="0" applyProtection="0"/>
    <xf numFmtId="0" fontId="59" fillId="43" borderId="95" applyNumberFormat="0" applyAlignment="0" applyProtection="0"/>
    <xf numFmtId="0" fontId="41" fillId="59" borderId="97" applyNumberFormat="0" applyFont="0" applyAlignment="0" applyProtection="0"/>
    <xf numFmtId="0" fontId="63" fillId="56" borderId="94" applyNumberFormat="0" applyAlignment="0" applyProtection="0"/>
    <xf numFmtId="0" fontId="66" fillId="0" borderId="96" applyNumberFormat="0" applyFill="0" applyAlignment="0" applyProtection="0"/>
    <xf numFmtId="0" fontId="41" fillId="59" borderId="105" applyNumberFormat="0" applyFont="0" applyAlignment="0" applyProtection="0"/>
    <xf numFmtId="49" fontId="35" fillId="0" borderId="114" applyNumberFormat="0" applyFont="0" applyFill="0" applyBorder="0" applyProtection="0">
      <alignment horizontal="left" vertical="center" indent="2"/>
    </xf>
    <xf numFmtId="0" fontId="27" fillId="14" borderId="0" applyNumberFormat="0" applyBorder="0" applyAlignment="0" applyProtection="0"/>
    <xf numFmtId="0" fontId="47" fillId="56" borderId="95" applyNumberFormat="0" applyAlignment="0" applyProtection="0"/>
    <xf numFmtId="0" fontId="51" fillId="0" borderId="104" applyNumberFormat="0" applyFill="0" applyAlignment="0" applyProtection="0"/>
    <xf numFmtId="0" fontId="33" fillId="34" borderId="106">
      <alignment horizontal="right" vertical="center"/>
    </xf>
    <xf numFmtId="0" fontId="35" fillId="34" borderId="109">
      <alignment horizontal="left" vertical="center" wrapText="1" indent="2"/>
    </xf>
    <xf numFmtId="0" fontId="59" fillId="43" borderId="95" applyNumberFormat="0" applyAlignment="0" applyProtection="0"/>
    <xf numFmtId="0" fontId="63" fillId="56" borderId="94" applyNumberFormat="0" applyAlignment="0" applyProtection="0"/>
    <xf numFmtId="0" fontId="66" fillId="0" borderId="96" applyNumberFormat="0" applyFill="0" applyAlignment="0" applyProtection="0"/>
    <xf numFmtId="0" fontId="50" fillId="43" borderId="103" applyNumberFormat="0" applyAlignment="0" applyProtection="0"/>
    <xf numFmtId="0" fontId="44" fillId="56" borderId="94" applyNumberFormat="0" applyAlignment="0" applyProtection="0"/>
    <xf numFmtId="0" fontId="46" fillId="56" borderId="95" applyNumberFormat="0" applyAlignment="0" applyProtection="0"/>
    <xf numFmtId="0" fontId="51" fillId="0" borderId="96" applyNumberFormat="0" applyFill="0" applyAlignment="0" applyProtection="0"/>
    <xf numFmtId="49" fontId="35" fillId="0" borderId="98" applyNumberFormat="0" applyFont="0" applyFill="0" applyBorder="0" applyProtection="0">
      <alignment horizontal="left" vertical="center" indent="2"/>
    </xf>
    <xf numFmtId="0" fontId="33" fillId="32" borderId="98">
      <alignment horizontal="right" vertical="center"/>
    </xf>
    <xf numFmtId="4" fontId="33" fillId="32" borderId="98">
      <alignment horizontal="right" vertical="center"/>
    </xf>
    <xf numFmtId="0" fontId="37" fillId="32" borderId="98">
      <alignment horizontal="right" vertical="center"/>
    </xf>
    <xf numFmtId="4" fontId="37" fillId="32" borderId="98">
      <alignment horizontal="right" vertical="center"/>
    </xf>
    <xf numFmtId="0" fontId="33" fillId="34" borderId="98">
      <alignment horizontal="right" vertical="center"/>
    </xf>
    <xf numFmtId="4" fontId="33" fillId="34" borderId="98">
      <alignment horizontal="right" vertical="center"/>
    </xf>
    <xf numFmtId="0" fontId="33" fillId="34" borderId="98">
      <alignment horizontal="right" vertical="center"/>
    </xf>
    <xf numFmtId="4" fontId="33" fillId="34" borderId="98">
      <alignment horizontal="right" vertical="center"/>
    </xf>
    <xf numFmtId="0" fontId="50" fillId="43" borderId="95" applyNumberFormat="0" applyAlignment="0" applyProtection="0"/>
    <xf numFmtId="0" fontId="35" fillId="0" borderId="98">
      <alignment horizontal="right" vertical="center"/>
    </xf>
    <xf numFmtId="4" fontId="35" fillId="0" borderId="98">
      <alignment horizontal="right" vertical="center"/>
    </xf>
    <xf numFmtId="4" fontId="35" fillId="0" borderId="98" applyFill="0" applyBorder="0" applyProtection="0">
      <alignment horizontal="right" vertical="center"/>
    </xf>
    <xf numFmtId="49" fontId="34" fillId="0" borderId="98" applyNumberFormat="0" applyFill="0" applyBorder="0" applyProtection="0">
      <alignment horizontal="left" vertical="center"/>
    </xf>
    <xf numFmtId="0" fontId="35" fillId="0" borderId="98" applyNumberFormat="0" applyFill="0" applyAlignment="0" applyProtection="0"/>
    <xf numFmtId="173" fontId="35" fillId="60" borderId="98" applyNumberFormat="0" applyFont="0" applyBorder="0" applyAlignment="0" applyProtection="0">
      <alignment horizontal="right" vertical="center"/>
    </xf>
    <xf numFmtId="0" fontId="35" fillId="33" borderId="98"/>
    <xf numFmtId="4" fontId="35" fillId="33" borderId="98"/>
    <xf numFmtId="4" fontId="33" fillId="34" borderId="98">
      <alignment horizontal="right" vertical="center"/>
    </xf>
    <xf numFmtId="0" fontId="35" fillId="33" borderId="98"/>
    <xf numFmtId="0" fontId="46" fillId="56" borderId="95" applyNumberFormat="0" applyAlignment="0" applyProtection="0"/>
    <xf numFmtId="0" fontId="33" fillId="32" borderId="98">
      <alignment horizontal="right" vertical="center"/>
    </xf>
    <xf numFmtId="0" fontId="35" fillId="0" borderId="98">
      <alignment horizontal="right" vertical="center"/>
    </xf>
    <xf numFmtId="0" fontId="66" fillId="0" borderId="96" applyNumberFormat="0" applyFill="0" applyAlignment="0" applyProtection="0"/>
    <xf numFmtId="0" fontId="35" fillId="32" borderId="99">
      <alignment horizontal="left" vertical="center"/>
    </xf>
    <xf numFmtId="0" fontId="59" fillId="43" borderId="95" applyNumberFormat="0" applyAlignment="0" applyProtection="0"/>
    <xf numFmtId="173" fontId="35" fillId="60" borderId="98" applyNumberFormat="0" applyFont="0" applyBorder="0" applyAlignment="0" applyProtection="0">
      <alignment horizontal="right" vertical="center"/>
    </xf>
    <xf numFmtId="0" fontId="41" fillId="59" borderId="97" applyNumberFormat="0" applyFont="0" applyAlignment="0" applyProtection="0"/>
    <xf numFmtId="0" fontId="35" fillId="0" borderId="101">
      <alignment horizontal="left" vertical="center" wrapText="1" indent="2"/>
    </xf>
    <xf numFmtId="4" fontId="35" fillId="33" borderId="98"/>
    <xf numFmtId="49" fontId="34" fillId="0" borderId="98" applyNumberFormat="0" applyFill="0" applyBorder="0" applyProtection="0">
      <alignment horizontal="left" vertical="center"/>
    </xf>
    <xf numFmtId="0" fontId="35" fillId="0" borderId="98">
      <alignment horizontal="right" vertical="center"/>
    </xf>
    <xf numFmtId="4" fontId="33" fillId="34" borderId="100">
      <alignment horizontal="right" vertical="center"/>
    </xf>
    <xf numFmtId="4" fontId="33" fillId="34" borderId="98">
      <alignment horizontal="right" vertical="center"/>
    </xf>
    <xf numFmtId="4" fontId="33" fillId="34" borderId="98">
      <alignment horizontal="right" vertical="center"/>
    </xf>
    <xf numFmtId="0" fontId="37" fillId="32" borderId="98">
      <alignment horizontal="right" vertical="center"/>
    </xf>
    <xf numFmtId="0" fontId="33" fillId="32" borderId="98">
      <alignment horizontal="right" vertical="center"/>
    </xf>
    <xf numFmtId="49" fontId="35" fillId="0" borderId="98" applyNumberFormat="0" applyFont="0" applyFill="0" applyBorder="0" applyProtection="0">
      <alignment horizontal="left" vertical="center" indent="2"/>
    </xf>
    <xf numFmtId="0" fontId="59" fillId="43" borderId="95" applyNumberFormat="0" applyAlignment="0" applyProtection="0"/>
    <xf numFmtId="0" fontId="44" fillId="56" borderId="94" applyNumberFormat="0" applyAlignment="0" applyProtection="0"/>
    <xf numFmtId="49" fontId="35" fillId="0" borderId="98" applyNumberFormat="0" applyFont="0" applyFill="0" applyBorder="0" applyProtection="0">
      <alignment horizontal="left" vertical="center" indent="2"/>
    </xf>
    <xf numFmtId="0" fontId="50" fillId="43" borderId="95" applyNumberFormat="0" applyAlignment="0" applyProtection="0"/>
    <xf numFmtId="4" fontId="35" fillId="0" borderId="98" applyFill="0" applyBorder="0" applyProtection="0">
      <alignment horizontal="right" vertical="center"/>
    </xf>
    <xf numFmtId="0" fontId="47" fillId="56" borderId="95" applyNumberFormat="0" applyAlignment="0" applyProtection="0"/>
    <xf numFmtId="0" fontId="66" fillId="0" borderId="96" applyNumberFormat="0" applyFill="0" applyAlignment="0" applyProtection="0"/>
    <xf numFmtId="0" fontId="63" fillId="56" borderId="94" applyNumberFormat="0" applyAlignment="0" applyProtection="0"/>
    <xf numFmtId="0" fontId="35" fillId="0" borderId="98" applyNumberFormat="0" applyFill="0" applyAlignment="0" applyProtection="0"/>
    <xf numFmtId="4" fontId="35" fillId="0" borderId="98">
      <alignment horizontal="right" vertical="center"/>
    </xf>
    <xf numFmtId="0" fontId="35" fillId="0" borderId="98">
      <alignment horizontal="right" vertical="center"/>
    </xf>
    <xf numFmtId="0" fontId="59" fillId="43" borderId="95" applyNumberFormat="0" applyAlignment="0" applyProtection="0"/>
    <xf numFmtId="0" fontId="44" fillId="56" borderId="94" applyNumberFormat="0" applyAlignment="0" applyProtection="0"/>
    <xf numFmtId="0" fontId="46" fillId="56" borderId="95" applyNumberFormat="0" applyAlignment="0" applyProtection="0"/>
    <xf numFmtId="0" fontId="35" fillId="34" borderId="101">
      <alignment horizontal="left" vertical="center" wrapText="1" indent="2"/>
    </xf>
    <xf numFmtId="0" fontId="47" fillId="56" borderId="95" applyNumberFormat="0" applyAlignment="0" applyProtection="0"/>
    <xf numFmtId="0" fontId="47" fillId="56" borderId="95" applyNumberFormat="0" applyAlignment="0" applyProtection="0"/>
    <xf numFmtId="4" fontId="33" fillId="34" borderId="99">
      <alignment horizontal="right" vertical="center"/>
    </xf>
    <xf numFmtId="0" fontId="33" fillId="34" borderId="99">
      <alignment horizontal="right" vertical="center"/>
    </xf>
    <xf numFmtId="0" fontId="33" fillId="34" borderId="98">
      <alignment horizontal="right" vertical="center"/>
    </xf>
    <xf numFmtId="4" fontId="37" fillId="32" borderId="98">
      <alignment horizontal="right" vertical="center"/>
    </xf>
    <xf numFmtId="0" fontId="50" fillId="43" borderId="95" applyNumberFormat="0" applyAlignment="0" applyProtection="0"/>
    <xf numFmtId="0" fontId="51" fillId="0" borderId="96" applyNumberFormat="0" applyFill="0" applyAlignment="0" applyProtection="0"/>
    <xf numFmtId="0" fontId="66" fillId="0" borderId="96" applyNumberFormat="0" applyFill="0" applyAlignment="0" applyProtection="0"/>
    <xf numFmtId="0" fontId="41" fillId="59" borderId="97" applyNumberFormat="0" applyFont="0" applyAlignment="0" applyProtection="0"/>
    <xf numFmtId="0" fontId="59" fillId="43" borderId="95" applyNumberFormat="0" applyAlignment="0" applyProtection="0"/>
    <xf numFmtId="49" fontId="34" fillId="0" borderId="98" applyNumberFormat="0" applyFill="0" applyBorder="0" applyProtection="0">
      <alignment horizontal="left" vertical="center"/>
    </xf>
    <xf numFmtId="0" fontId="35" fillId="34" borderId="101">
      <alignment horizontal="left" vertical="center" wrapText="1" indent="2"/>
    </xf>
    <xf numFmtId="0" fontId="47" fillId="56" borderId="95" applyNumberFormat="0" applyAlignment="0" applyProtection="0"/>
    <xf numFmtId="0" fontId="35" fillId="0" borderId="101">
      <alignment horizontal="left" vertical="center" wrapText="1" indent="2"/>
    </xf>
    <xf numFmtId="0" fontId="41" fillId="59" borderId="97" applyNumberFormat="0" applyFont="0" applyAlignment="0" applyProtection="0"/>
    <xf numFmtId="0" fontId="5" fillId="59" borderId="97" applyNumberFormat="0" applyFont="0" applyAlignment="0" applyProtection="0"/>
    <xf numFmtId="0" fontId="63" fillId="56" borderId="94" applyNumberFormat="0" applyAlignment="0" applyProtection="0"/>
    <xf numFmtId="0" fontId="66" fillId="0" borderId="96" applyNumberFormat="0" applyFill="0" applyAlignment="0" applyProtection="0"/>
    <xf numFmtId="4" fontId="35" fillId="33" borderId="98"/>
    <xf numFmtId="0" fontId="33" fillId="34" borderId="98">
      <alignment horizontal="right" vertical="center"/>
    </xf>
    <xf numFmtId="0" fontId="66" fillId="0" borderId="96" applyNumberFormat="0" applyFill="0" applyAlignment="0" applyProtection="0"/>
    <xf numFmtId="4" fontId="33" fillId="34" borderId="100">
      <alignment horizontal="right" vertical="center"/>
    </xf>
    <xf numFmtId="0" fontId="46" fillId="56" borderId="95" applyNumberFormat="0" applyAlignment="0" applyProtection="0"/>
    <xf numFmtId="0" fontId="33" fillId="34" borderId="99">
      <alignment horizontal="right" vertical="center"/>
    </xf>
    <xf numFmtId="0" fontId="47" fillId="56" borderId="95" applyNumberFormat="0" applyAlignment="0" applyProtection="0"/>
    <xf numFmtId="0" fontId="51" fillId="0" borderId="96" applyNumberFormat="0" applyFill="0" applyAlignment="0" applyProtection="0"/>
    <xf numFmtId="0" fontId="41" fillId="59" borderId="97" applyNumberFormat="0" applyFont="0" applyAlignment="0" applyProtection="0"/>
    <xf numFmtId="4" fontId="33" fillId="34" borderId="99">
      <alignment horizontal="right" vertical="center"/>
    </xf>
    <xf numFmtId="0" fontId="35" fillId="34" borderId="101">
      <alignment horizontal="left" vertical="center" wrapText="1" indent="2"/>
    </xf>
    <xf numFmtId="0" fontId="35" fillId="33" borderId="98"/>
    <xf numFmtId="173" fontId="35" fillId="60" borderId="98" applyNumberFormat="0" applyFont="0" applyBorder="0" applyAlignment="0" applyProtection="0">
      <alignment horizontal="right" vertical="center"/>
    </xf>
    <xf numFmtId="0" fontId="35" fillId="0" borderId="98" applyNumberFormat="0" applyFill="0" applyAlignment="0" applyProtection="0"/>
    <xf numFmtId="4" fontId="35" fillId="0" borderId="98" applyFill="0" applyBorder="0" applyProtection="0">
      <alignment horizontal="right" vertical="center"/>
    </xf>
    <xf numFmtId="4" fontId="33" fillId="32" borderId="98">
      <alignment horizontal="right" vertical="center"/>
    </xf>
    <xf numFmtId="0" fontId="51" fillId="0" borderId="96" applyNumberFormat="0" applyFill="0" applyAlignment="0" applyProtection="0"/>
    <xf numFmtId="49" fontId="34" fillId="0" borderId="98" applyNumberFormat="0" applyFill="0" applyBorder="0" applyProtection="0">
      <alignment horizontal="left" vertical="center"/>
    </xf>
    <xf numFmtId="49" fontId="35" fillId="0" borderId="99" applyNumberFormat="0" applyFont="0" applyFill="0" applyBorder="0" applyProtection="0">
      <alignment horizontal="left" vertical="center" indent="5"/>
    </xf>
    <xf numFmtId="0" fontId="35" fillId="32" borderId="99">
      <alignment horizontal="left" vertical="center"/>
    </xf>
    <xf numFmtId="0" fontId="47" fillId="56" borderId="95" applyNumberFormat="0" applyAlignment="0" applyProtection="0"/>
    <xf numFmtId="4" fontId="33" fillId="34" borderId="100">
      <alignment horizontal="right" vertical="center"/>
    </xf>
    <xf numFmtId="0" fontId="59" fillId="43" borderId="95" applyNumberFormat="0" applyAlignment="0" applyProtection="0"/>
    <xf numFmtId="0" fontId="59" fillId="43" borderId="95" applyNumberFormat="0" applyAlignment="0" applyProtection="0"/>
    <xf numFmtId="0" fontId="41" fillId="59" borderId="97" applyNumberFormat="0" applyFont="0" applyAlignment="0" applyProtection="0"/>
    <xf numFmtId="0" fontId="63" fillId="56" borderId="94" applyNumberFormat="0" applyAlignment="0" applyProtection="0"/>
    <xf numFmtId="0" fontId="66" fillId="0" borderId="96" applyNumberFormat="0" applyFill="0" applyAlignment="0" applyProtection="0"/>
    <xf numFmtId="0" fontId="33" fillId="34" borderId="98">
      <alignment horizontal="right" vertical="center"/>
    </xf>
    <xf numFmtId="0" fontId="5" fillId="59" borderId="97" applyNumberFormat="0" applyFont="0" applyAlignment="0" applyProtection="0"/>
    <xf numFmtId="4" fontId="35" fillId="0" borderId="98">
      <alignment horizontal="right" vertical="center"/>
    </xf>
    <xf numFmtId="0" fontId="66" fillId="0" borderId="96" applyNumberFormat="0" applyFill="0" applyAlignment="0" applyProtection="0"/>
    <xf numFmtId="0" fontId="33" fillId="34" borderId="98">
      <alignment horizontal="right" vertical="center"/>
    </xf>
    <xf numFmtId="0" fontId="33" fillId="34" borderId="98">
      <alignment horizontal="right" vertical="center"/>
    </xf>
    <xf numFmtId="4" fontId="37" fillId="32" borderId="98">
      <alignment horizontal="right" vertical="center"/>
    </xf>
    <xf numFmtId="0" fontId="33" fillId="32" borderId="98">
      <alignment horizontal="right" vertical="center"/>
    </xf>
    <xf numFmtId="4" fontId="33" fillId="32" borderId="98">
      <alignment horizontal="right" vertical="center"/>
    </xf>
    <xf numFmtId="0" fontId="37" fillId="32" borderId="98">
      <alignment horizontal="right" vertical="center"/>
    </xf>
    <xf numFmtId="4" fontId="37" fillId="32" borderId="98">
      <alignment horizontal="right" vertical="center"/>
    </xf>
    <xf numFmtId="0" fontId="33" fillId="34" borderId="98">
      <alignment horizontal="right" vertical="center"/>
    </xf>
    <xf numFmtId="4" fontId="33" fillId="34" borderId="98">
      <alignment horizontal="right" vertical="center"/>
    </xf>
    <xf numFmtId="0" fontId="33" fillId="34" borderId="98">
      <alignment horizontal="right" vertical="center"/>
    </xf>
    <xf numFmtId="4" fontId="33" fillId="34" borderId="98">
      <alignment horizontal="right" vertical="center"/>
    </xf>
    <xf numFmtId="0" fontId="33" fillId="34" borderId="99">
      <alignment horizontal="right" vertical="center"/>
    </xf>
    <xf numFmtId="4" fontId="33" fillId="34" borderId="99">
      <alignment horizontal="right" vertical="center"/>
    </xf>
    <xf numFmtId="0" fontId="33" fillId="34" borderId="100">
      <alignment horizontal="right" vertical="center"/>
    </xf>
    <xf numFmtId="4" fontId="33" fillId="34" borderId="100">
      <alignment horizontal="right" vertical="center"/>
    </xf>
    <xf numFmtId="0" fontId="47" fillId="56" borderId="95" applyNumberFormat="0" applyAlignment="0" applyProtection="0"/>
    <xf numFmtId="0" fontId="35" fillId="34" borderId="101">
      <alignment horizontal="left" vertical="center" wrapText="1" indent="2"/>
    </xf>
    <xf numFmtId="0" fontId="35" fillId="0" borderId="101">
      <alignment horizontal="left" vertical="center" wrapText="1" indent="2"/>
    </xf>
    <xf numFmtId="0" fontId="35" fillId="32" borderId="99">
      <alignment horizontal="left" vertical="center"/>
    </xf>
    <xf numFmtId="0" fontId="59" fillId="43" borderId="95" applyNumberFormat="0" applyAlignment="0" applyProtection="0"/>
    <xf numFmtId="0" fontId="35" fillId="0" borderId="98">
      <alignment horizontal="right" vertical="center"/>
    </xf>
    <xf numFmtId="4" fontId="35" fillId="0" borderId="98">
      <alignment horizontal="right" vertical="center"/>
    </xf>
    <xf numFmtId="0" fontId="35" fillId="0" borderId="98" applyNumberFormat="0" applyFill="0" applyAlignment="0" applyProtection="0"/>
    <xf numFmtId="0" fontId="63" fillId="56" borderId="94" applyNumberFormat="0" applyAlignment="0" applyProtection="0"/>
    <xf numFmtId="173" fontId="35" fillId="60" borderId="98" applyNumberFormat="0" applyFont="0" applyBorder="0" applyAlignment="0" applyProtection="0">
      <alignment horizontal="right" vertical="center"/>
    </xf>
    <xf numFmtId="0" fontId="35" fillId="33" borderId="98"/>
    <xf numFmtId="4" fontId="35" fillId="33" borderId="98"/>
    <xf numFmtId="0" fontId="66" fillId="0" borderId="96" applyNumberFormat="0" applyFill="0" applyAlignment="0" applyProtection="0"/>
    <xf numFmtId="0" fontId="5" fillId="59" borderId="97" applyNumberFormat="0" applyFont="0" applyAlignment="0" applyProtection="0"/>
    <xf numFmtId="0" fontId="41" fillId="59" borderId="97" applyNumberFormat="0" applyFont="0" applyAlignment="0" applyProtection="0"/>
    <xf numFmtId="0" fontId="35" fillId="0" borderId="98" applyNumberFormat="0" applyFill="0" applyAlignment="0" applyProtection="0"/>
    <xf numFmtId="0" fontId="51" fillId="0" borderId="96" applyNumberFormat="0" applyFill="0" applyAlignment="0" applyProtection="0"/>
    <xf numFmtId="0" fontId="66" fillId="0" borderId="96" applyNumberFormat="0" applyFill="0" applyAlignment="0" applyProtection="0"/>
    <xf numFmtId="0" fontId="50" fillId="43" borderId="95" applyNumberFormat="0" applyAlignment="0" applyProtection="0"/>
    <xf numFmtId="0" fontId="47" fillId="56" borderId="95" applyNumberFormat="0" applyAlignment="0" applyProtection="0"/>
    <xf numFmtId="4" fontId="37" fillId="32" borderId="98">
      <alignment horizontal="right" vertical="center"/>
    </xf>
    <xf numFmtId="0" fontId="33" fillId="32" borderId="98">
      <alignment horizontal="right" vertical="center"/>
    </xf>
    <xf numFmtId="173" fontId="35" fillId="60" borderId="98" applyNumberFormat="0" applyFont="0" applyBorder="0" applyAlignment="0" applyProtection="0">
      <alignment horizontal="right" vertical="center"/>
    </xf>
    <xf numFmtId="0" fontId="51" fillId="0" borderId="96" applyNumberFormat="0" applyFill="0" applyAlignment="0" applyProtection="0"/>
    <xf numFmtId="49" fontId="35" fillId="0" borderId="98" applyNumberFormat="0" applyFont="0" applyFill="0" applyBorder="0" applyProtection="0">
      <alignment horizontal="left" vertical="center" indent="2"/>
    </xf>
    <xf numFmtId="49" fontId="35" fillId="0" borderId="99" applyNumberFormat="0" applyFont="0" applyFill="0" applyBorder="0" applyProtection="0">
      <alignment horizontal="left" vertical="center" indent="5"/>
    </xf>
    <xf numFmtId="49" fontId="35" fillId="0" borderId="98" applyNumberFormat="0" applyFont="0" applyFill="0" applyBorder="0" applyProtection="0">
      <alignment horizontal="left" vertical="center" indent="2"/>
    </xf>
    <xf numFmtId="4" fontId="35" fillId="0" borderId="98" applyFill="0" applyBorder="0" applyProtection="0">
      <alignment horizontal="right" vertical="center"/>
    </xf>
    <xf numFmtId="49" fontId="34" fillId="0" borderId="98" applyNumberFormat="0" applyFill="0" applyBorder="0" applyProtection="0">
      <alignment horizontal="left" vertical="center"/>
    </xf>
    <xf numFmtId="0" fontId="35" fillId="0" borderId="101">
      <alignment horizontal="left" vertical="center" wrapText="1" indent="2"/>
    </xf>
    <xf numFmtId="0" fontId="63" fillId="56" borderId="94" applyNumberFormat="0" applyAlignment="0" applyProtection="0"/>
    <xf numFmtId="0" fontId="33" fillId="34" borderId="100">
      <alignment horizontal="right" vertical="center"/>
    </xf>
    <xf numFmtId="0" fontId="50" fillId="43" borderId="95" applyNumberFormat="0" applyAlignment="0" applyProtection="0"/>
    <xf numFmtId="0" fontId="33" fillId="34" borderId="100">
      <alignment horizontal="right" vertical="center"/>
    </xf>
    <xf numFmtId="4" fontId="33" fillId="34" borderId="98">
      <alignment horizontal="right" vertical="center"/>
    </xf>
    <xf numFmtId="0" fontId="33" fillId="34" borderId="98">
      <alignment horizontal="right" vertical="center"/>
    </xf>
    <xf numFmtId="0" fontId="44" fillId="56" borderId="94" applyNumberFormat="0" applyAlignment="0" applyProtection="0"/>
    <xf numFmtId="0" fontId="46" fillId="56" borderId="95" applyNumberFormat="0" applyAlignment="0" applyProtection="0"/>
    <xf numFmtId="0" fontId="51" fillId="0" borderId="96" applyNumberFormat="0" applyFill="0" applyAlignment="0" applyProtection="0"/>
    <xf numFmtId="0" fontId="35" fillId="33" borderId="98"/>
    <xf numFmtId="4" fontId="35" fillId="33" borderId="98"/>
    <xf numFmtId="4" fontId="33" fillId="34" borderId="98">
      <alignment horizontal="right" vertical="center"/>
    </xf>
    <xf numFmtId="0" fontId="37" fillId="32" borderId="98">
      <alignment horizontal="right" vertical="center"/>
    </xf>
    <xf numFmtId="0" fontId="50" fillId="43" borderId="95" applyNumberFormat="0" applyAlignment="0" applyProtection="0"/>
    <xf numFmtId="0" fontId="47" fillId="56" borderId="95" applyNumberFormat="0" applyAlignment="0" applyProtection="0"/>
    <xf numFmtId="4" fontId="35" fillId="0" borderId="98">
      <alignment horizontal="right" vertical="center"/>
    </xf>
    <xf numFmtId="0" fontId="35" fillId="34" borderId="101">
      <alignment horizontal="left" vertical="center" wrapText="1" indent="2"/>
    </xf>
    <xf numFmtId="0" fontId="35" fillId="0" borderId="101">
      <alignment horizontal="left" vertical="center" wrapText="1" indent="2"/>
    </xf>
    <xf numFmtId="0" fontId="63" fillId="56" borderId="94" applyNumberFormat="0" applyAlignment="0" applyProtection="0"/>
    <xf numFmtId="0" fontId="59" fillId="43" borderId="95" applyNumberFormat="0" applyAlignment="0" applyProtection="0"/>
    <xf numFmtId="0" fontId="46" fillId="56" borderId="95" applyNumberFormat="0" applyAlignment="0" applyProtection="0"/>
    <xf numFmtId="0" fontId="44" fillId="56" borderId="94" applyNumberFormat="0" applyAlignment="0" applyProtection="0"/>
    <xf numFmtId="0" fontId="33" fillId="34" borderId="100">
      <alignment horizontal="right" vertical="center"/>
    </xf>
    <xf numFmtId="0" fontId="37" fillId="32" borderId="98">
      <alignment horizontal="right" vertical="center"/>
    </xf>
    <xf numFmtId="4" fontId="33" fillId="32" borderId="98">
      <alignment horizontal="right" vertical="center"/>
    </xf>
    <xf numFmtId="4" fontId="33" fillId="34" borderId="98">
      <alignment horizontal="right" vertical="center"/>
    </xf>
    <xf numFmtId="49" fontId="35" fillId="0" borderId="99" applyNumberFormat="0" applyFont="0" applyFill="0" applyBorder="0" applyProtection="0">
      <alignment horizontal="left" vertical="center" indent="5"/>
    </xf>
    <xf numFmtId="4" fontId="35" fillId="0" borderId="98" applyFill="0" applyBorder="0" applyProtection="0">
      <alignment horizontal="right" vertical="center"/>
    </xf>
    <xf numFmtId="4" fontId="33" fillId="32" borderId="98">
      <alignment horizontal="right" vertical="center"/>
    </xf>
    <xf numFmtId="0" fontId="59" fillId="43" borderId="95" applyNumberFormat="0" applyAlignment="0" applyProtection="0"/>
    <xf numFmtId="0" fontId="50" fillId="43" borderId="95" applyNumberFormat="0" applyAlignment="0" applyProtection="0"/>
    <xf numFmtId="0" fontId="46" fillId="56" borderId="95" applyNumberFormat="0" applyAlignment="0" applyProtection="0"/>
    <xf numFmtId="0" fontId="35" fillId="34" borderId="101">
      <alignment horizontal="left" vertical="center" wrapText="1" indent="2"/>
    </xf>
    <xf numFmtId="0" fontId="35" fillId="0" borderId="101">
      <alignment horizontal="left" vertical="center" wrapText="1" indent="2"/>
    </xf>
    <xf numFmtId="0" fontId="35" fillId="34" borderId="101">
      <alignment horizontal="left" vertical="center" wrapText="1" indent="2"/>
    </xf>
    <xf numFmtId="0" fontId="59" fillId="43" borderId="103" applyNumberFormat="0" applyAlignment="0" applyProtection="0"/>
    <xf numFmtId="0" fontId="35" fillId="0" borderId="129">
      <alignment horizontal="right" vertical="center"/>
    </xf>
    <xf numFmtId="0" fontId="35" fillId="0" borderId="119">
      <alignment horizontal="right" vertical="center"/>
    </xf>
    <xf numFmtId="0" fontId="35" fillId="0" borderId="129">
      <alignment horizontal="right" vertical="center"/>
    </xf>
    <xf numFmtId="0" fontId="66" fillId="0" borderId="127" applyNumberFormat="0" applyFill="0" applyAlignment="0" applyProtection="0"/>
    <xf numFmtId="0" fontId="41" fillId="59" borderId="118" applyNumberFormat="0" applyFont="0" applyAlignment="0" applyProtection="0"/>
    <xf numFmtId="0" fontId="50" fillId="43" borderId="124" applyNumberFormat="0" applyAlignment="0" applyProtection="0"/>
    <xf numFmtId="0" fontId="33" fillId="34" borderId="120">
      <alignment horizontal="right" vertical="center"/>
    </xf>
    <xf numFmtId="0" fontId="41" fillId="59" borderId="128" applyNumberFormat="0" applyFont="0" applyAlignment="0" applyProtection="0"/>
    <xf numFmtId="0" fontId="66" fillId="0" borderId="104" applyNumberFormat="0" applyFill="0" applyAlignment="0" applyProtection="0"/>
    <xf numFmtId="0" fontId="29" fillId="13" borderId="14" applyNumberFormat="0" applyAlignment="0" applyProtection="0"/>
    <xf numFmtId="0" fontId="59" fillId="43" borderId="103" applyNumberFormat="0" applyAlignment="0" applyProtection="0"/>
    <xf numFmtId="49" fontId="35" fillId="0" borderId="119" applyNumberFormat="0" applyFont="0" applyFill="0" applyBorder="0" applyProtection="0">
      <alignment horizontal="left" vertical="center" indent="2"/>
    </xf>
    <xf numFmtId="0" fontId="29" fillId="13" borderId="14" applyNumberFormat="0" applyAlignment="0" applyProtection="0"/>
    <xf numFmtId="4" fontId="33" fillId="32" borderId="114">
      <alignment horizontal="right" vertical="center"/>
    </xf>
    <xf numFmtId="0" fontId="35" fillId="34" borderId="132">
      <alignment horizontal="left" vertical="center" wrapText="1" indent="2"/>
    </xf>
    <xf numFmtId="4" fontId="33" fillId="34" borderId="114">
      <alignment horizontal="right" vertical="center"/>
    </xf>
    <xf numFmtId="0" fontId="12" fillId="19" borderId="0" applyNumberFormat="0" applyBorder="0" applyAlignment="0" applyProtection="0"/>
    <xf numFmtId="0" fontId="33" fillId="34" borderId="119">
      <alignment horizontal="right" vertical="center"/>
    </xf>
    <xf numFmtId="0" fontId="47" fillId="56" borderId="126" applyNumberFormat="0" applyAlignment="0" applyProtection="0"/>
    <xf numFmtId="173" fontId="35" fillId="60" borderId="129" applyNumberFormat="0" applyFont="0" applyBorder="0" applyAlignment="0" applyProtection="0">
      <alignment horizontal="right" vertical="center"/>
    </xf>
    <xf numFmtId="49" fontId="34" fillId="0" borderId="114" applyNumberFormat="0" applyFill="0" applyBorder="0" applyProtection="0">
      <alignment horizontal="left" vertical="center"/>
    </xf>
    <xf numFmtId="0" fontId="59" fillId="43" borderId="124" applyNumberFormat="0" applyAlignment="0" applyProtection="0"/>
    <xf numFmtId="49" fontId="35" fillId="0" borderId="120" applyNumberFormat="0" applyFont="0" applyFill="0" applyBorder="0" applyProtection="0">
      <alignment horizontal="left" vertical="center" indent="5"/>
    </xf>
    <xf numFmtId="4" fontId="35" fillId="0" borderId="119">
      <alignment horizontal="right" vertical="center"/>
    </xf>
    <xf numFmtId="173" fontId="35" fillId="60" borderId="119" applyNumberFormat="0" applyFont="0" applyBorder="0" applyAlignment="0" applyProtection="0">
      <alignment horizontal="right" vertical="center"/>
    </xf>
    <xf numFmtId="0" fontId="50" fillId="43" borderId="124" applyNumberFormat="0" applyAlignment="0" applyProtection="0"/>
    <xf numFmtId="0" fontId="35" fillId="0" borderId="129" applyNumberFormat="0" applyFill="0" applyAlignment="0" applyProtection="0"/>
    <xf numFmtId="4" fontId="37" fillId="32" borderId="119">
      <alignment horizontal="right" vertical="center"/>
    </xf>
    <xf numFmtId="0" fontId="27" fillId="30" borderId="0" applyNumberFormat="0" applyBorder="0" applyAlignment="0" applyProtection="0"/>
    <xf numFmtId="0" fontId="51" fillId="0" borderId="125" applyNumberFormat="0" applyFill="0" applyAlignment="0" applyProtection="0"/>
    <xf numFmtId="0" fontId="30" fillId="13" borderId="13" applyNumberFormat="0" applyAlignment="0" applyProtection="0"/>
    <xf numFmtId="0" fontId="47" fillId="56" borderId="124" applyNumberFormat="0" applyAlignment="0" applyProtection="0"/>
    <xf numFmtId="0" fontId="35" fillId="0" borderId="119">
      <alignment horizontal="right" vertical="center"/>
    </xf>
    <xf numFmtId="0" fontId="59" fillId="43" borderId="124" applyNumberFormat="0" applyAlignment="0" applyProtection="0"/>
    <xf numFmtId="0" fontId="33" fillId="34" borderId="121">
      <alignment horizontal="right" vertical="center"/>
    </xf>
    <xf numFmtId="0" fontId="35" fillId="34" borderId="122">
      <alignment horizontal="left" vertical="center" wrapText="1" indent="2"/>
    </xf>
    <xf numFmtId="0" fontId="35" fillId="32" borderId="130">
      <alignment horizontal="left" vertical="center"/>
    </xf>
    <xf numFmtId="0" fontId="35" fillId="0" borderId="119">
      <alignment horizontal="right" vertical="center"/>
    </xf>
    <xf numFmtId="0" fontId="41" fillId="59" borderId="105" applyNumberFormat="0" applyFont="0" applyAlignment="0" applyProtection="0"/>
    <xf numFmtId="0" fontId="41" fillId="59" borderId="118" applyNumberFormat="0" applyFont="0" applyAlignment="0" applyProtection="0"/>
    <xf numFmtId="0" fontId="63" fillId="56" borderId="123" applyNumberFormat="0" applyAlignment="0" applyProtection="0"/>
    <xf numFmtId="0" fontId="33" fillId="34" borderId="131">
      <alignment horizontal="right" vertical="center"/>
    </xf>
    <xf numFmtId="0" fontId="33" fillId="32" borderId="137">
      <alignment horizontal="right" vertical="center"/>
    </xf>
    <xf numFmtId="49" fontId="35" fillId="0" borderId="120" applyNumberFormat="0" applyFont="0" applyFill="0" applyBorder="0" applyProtection="0">
      <alignment horizontal="left" vertical="center" indent="5"/>
    </xf>
    <xf numFmtId="0" fontId="1" fillId="0" borderId="0" applyNumberFormat="0" applyFill="0" applyBorder="0" applyAlignment="0" applyProtection="0"/>
    <xf numFmtId="0" fontId="12" fillId="22" borderId="0" applyNumberFormat="0" applyBorder="0" applyAlignment="0" applyProtection="0"/>
    <xf numFmtId="4" fontId="33" fillId="34" borderId="130">
      <alignment horizontal="right" vertical="center"/>
    </xf>
    <xf numFmtId="0" fontId="35" fillId="34" borderId="140">
      <alignment horizontal="left" vertical="center" wrapText="1" indent="2"/>
    </xf>
    <xf numFmtId="4" fontId="33" fillId="32" borderId="129">
      <alignment horizontal="right" vertical="center"/>
    </xf>
    <xf numFmtId="0" fontId="66" fillId="0" borderId="125" applyNumberFormat="0" applyFill="0" applyAlignment="0" applyProtection="0"/>
    <xf numFmtId="0" fontId="33" fillId="34" borderId="130">
      <alignment horizontal="right" vertical="center"/>
    </xf>
    <xf numFmtId="0" fontId="35" fillId="34" borderId="109">
      <alignment horizontal="left" vertical="center" wrapText="1" indent="2"/>
    </xf>
    <xf numFmtId="0" fontId="27" fillId="30" borderId="0" applyNumberFormat="0" applyBorder="0" applyAlignment="0" applyProtection="0"/>
    <xf numFmtId="0" fontId="59" fillId="43" borderId="103" applyNumberFormat="0" applyAlignment="0" applyProtection="0"/>
    <xf numFmtId="0" fontId="37" fillId="32" borderId="119">
      <alignment horizontal="right" vertical="center"/>
    </xf>
    <xf numFmtId="0" fontId="5" fillId="59" borderId="118" applyNumberFormat="0" applyFont="0" applyAlignment="0" applyProtection="0"/>
    <xf numFmtId="4" fontId="35" fillId="33" borderId="119"/>
    <xf numFmtId="0" fontId="46" fillId="56" borderId="134" applyNumberFormat="0" applyAlignment="0" applyProtection="0"/>
    <xf numFmtId="0" fontId="50" fillId="43" borderId="103" applyNumberFormat="0" applyAlignment="0" applyProtection="0"/>
    <xf numFmtId="0" fontId="1" fillId="0" borderId="0" applyNumberFormat="0" applyFill="0" applyBorder="0" applyAlignment="0" applyProtection="0"/>
    <xf numFmtId="0" fontId="44" fillId="56" borderId="133" applyNumberFormat="0" applyAlignment="0" applyProtection="0"/>
    <xf numFmtId="0" fontId="29" fillId="13" borderId="14" applyNumberFormat="0" applyAlignment="0" applyProtection="0"/>
    <xf numFmtId="4" fontId="33" fillId="34" borderId="115">
      <alignment horizontal="right" vertical="center"/>
    </xf>
    <xf numFmtId="0" fontId="35" fillId="32" borderId="107">
      <alignment horizontal="left" vertical="center"/>
    </xf>
    <xf numFmtId="0" fontId="47" fillId="56" borderId="103" applyNumberFormat="0" applyAlignment="0" applyProtection="0"/>
    <xf numFmtId="0" fontId="33" fillId="34" borderId="108">
      <alignment horizontal="right" vertical="center"/>
    </xf>
    <xf numFmtId="0" fontId="35" fillId="0" borderId="109">
      <alignment horizontal="left" vertical="center" wrapText="1" indent="2"/>
    </xf>
    <xf numFmtId="0" fontId="35" fillId="34" borderId="132">
      <alignment horizontal="left" vertical="center" wrapText="1" indent="2"/>
    </xf>
    <xf numFmtId="0" fontId="33" fillId="34" borderId="108">
      <alignment horizontal="right" vertical="center"/>
    </xf>
    <xf numFmtId="4" fontId="33" fillId="32" borderId="137">
      <alignment horizontal="right" vertical="center"/>
    </xf>
    <xf numFmtId="4" fontId="37" fillId="32" borderId="106">
      <alignment horizontal="right" vertical="center"/>
    </xf>
    <xf numFmtId="0" fontId="37" fillId="32" borderId="106">
      <alignment horizontal="right" vertical="center"/>
    </xf>
    <xf numFmtId="0" fontId="35" fillId="0" borderId="119" applyNumberFormat="0" applyFill="0" applyAlignment="0" applyProtection="0"/>
    <xf numFmtId="0" fontId="47" fillId="56" borderId="124" applyNumberFormat="0" applyAlignment="0" applyProtection="0"/>
    <xf numFmtId="0" fontId="33" fillId="34" borderId="139">
      <alignment horizontal="right" vertical="center"/>
    </xf>
    <xf numFmtId="4" fontId="33" fillId="34" borderId="131">
      <alignment horizontal="right" vertical="center"/>
    </xf>
    <xf numFmtId="0" fontId="35" fillId="34" borderId="109">
      <alignment horizontal="left" vertical="center" wrapText="1" indent="2"/>
    </xf>
    <xf numFmtId="4" fontId="33" fillId="34" borderId="129">
      <alignment horizontal="right" vertical="center"/>
    </xf>
    <xf numFmtId="0" fontId="35" fillId="34" borderId="122">
      <alignment horizontal="left" vertical="center" wrapText="1" indent="2"/>
    </xf>
    <xf numFmtId="0" fontId="59" fillId="43" borderId="134" applyNumberFormat="0" applyAlignment="0" applyProtection="0"/>
    <xf numFmtId="0" fontId="63" fillId="56" borderId="141" applyNumberFormat="0" applyAlignment="0" applyProtection="0"/>
    <xf numFmtId="0" fontId="59" fillId="43" borderId="103" applyNumberFormat="0" applyAlignment="0" applyProtection="0"/>
    <xf numFmtId="0" fontId="59" fillId="43" borderId="103" applyNumberFormat="0" applyAlignment="0" applyProtection="0"/>
    <xf numFmtId="0" fontId="66" fillId="0" borderId="127" applyNumberFormat="0" applyFill="0" applyAlignment="0" applyProtection="0"/>
    <xf numFmtId="0" fontId="66" fillId="0" borderId="125" applyNumberFormat="0" applyFill="0" applyAlignment="0" applyProtection="0"/>
    <xf numFmtId="49" fontId="34" fillId="0" borderId="106" applyNumberFormat="0" applyFill="0" applyBorder="0" applyProtection="0">
      <alignment horizontal="left" vertical="center"/>
    </xf>
    <xf numFmtId="4" fontId="37" fillId="32" borderId="106">
      <alignment horizontal="right" vertical="center"/>
    </xf>
    <xf numFmtId="0" fontId="5" fillId="59" borderId="105" applyNumberFormat="0" applyFont="0" applyAlignment="0" applyProtection="0"/>
    <xf numFmtId="0" fontId="35" fillId="32" borderId="107">
      <alignment horizontal="left" vertical="center"/>
    </xf>
    <xf numFmtId="0" fontId="51" fillId="0" borderId="104" applyNumberFormat="0" applyFill="0" applyAlignment="0" applyProtection="0"/>
    <xf numFmtId="0" fontId="46" fillId="56" borderId="126" applyNumberFormat="0" applyAlignment="0" applyProtection="0"/>
    <xf numFmtId="0" fontId="12" fillId="16" borderId="0" applyNumberFormat="0" applyBorder="0" applyAlignment="0" applyProtection="0"/>
    <xf numFmtId="0" fontId="41" fillId="59" borderId="128" applyNumberFormat="0" applyFont="0" applyAlignment="0" applyProtection="0"/>
    <xf numFmtId="0" fontId="35" fillId="0" borderId="119" applyNumberFormat="0" applyFill="0" applyAlignment="0" applyProtection="0"/>
    <xf numFmtId="0" fontId="33" fillId="34" borderId="107">
      <alignment horizontal="right" vertical="center"/>
    </xf>
    <xf numFmtId="4" fontId="33" fillId="34" borderId="129">
      <alignment horizontal="right" vertical="center"/>
    </xf>
    <xf numFmtId="4" fontId="35" fillId="0" borderId="129">
      <alignment horizontal="right" vertical="center"/>
    </xf>
    <xf numFmtId="0" fontId="35" fillId="0" borderId="109">
      <alignment horizontal="left" vertical="center" wrapText="1" indent="2"/>
    </xf>
    <xf numFmtId="0" fontId="35" fillId="34" borderId="122">
      <alignment horizontal="left" vertical="center" wrapText="1" indent="2"/>
    </xf>
    <xf numFmtId="0" fontId="66" fillId="0" borderId="125" applyNumberFormat="0" applyFill="0" applyAlignment="0" applyProtection="0"/>
    <xf numFmtId="0" fontId="12" fillId="31" borderId="0" applyNumberFormat="0" applyBorder="0" applyAlignment="0" applyProtection="0"/>
    <xf numFmtId="0" fontId="12" fillId="25" borderId="0" applyNumberFormat="0" applyBorder="0" applyAlignment="0" applyProtection="0"/>
    <xf numFmtId="0" fontId="46" fillId="56" borderId="103" applyNumberFormat="0" applyAlignment="0" applyProtection="0"/>
    <xf numFmtId="0" fontId="33" fillId="34" borderId="108">
      <alignment horizontal="right" vertical="center"/>
    </xf>
    <xf numFmtId="173" fontId="35" fillId="60" borderId="106" applyNumberFormat="0" applyFont="0" applyBorder="0" applyAlignment="0" applyProtection="0">
      <alignment horizontal="right" vertical="center"/>
    </xf>
    <xf numFmtId="0" fontId="33" fillId="32" borderId="106">
      <alignment horizontal="right" vertical="center"/>
    </xf>
    <xf numFmtId="0" fontId="66" fillId="0" borderId="104" applyNumberFormat="0" applyFill="0" applyAlignment="0" applyProtection="0"/>
    <xf numFmtId="4" fontId="33" fillId="32" borderId="119">
      <alignment horizontal="right" vertical="center"/>
    </xf>
    <xf numFmtId="0" fontId="12" fillId="25" borderId="0" applyNumberFormat="0" applyBorder="0" applyAlignment="0" applyProtection="0"/>
    <xf numFmtId="4" fontId="33" fillId="32" borderId="106">
      <alignment horizontal="right" vertical="center"/>
    </xf>
    <xf numFmtId="0" fontId="37" fillId="32" borderId="119">
      <alignment horizontal="right" vertical="center"/>
    </xf>
    <xf numFmtId="0" fontId="59" fillId="43" borderId="124" applyNumberFormat="0" applyAlignment="0" applyProtection="0"/>
    <xf numFmtId="0" fontId="27" fillId="15" borderId="0" applyNumberFormat="0" applyBorder="0" applyAlignment="0" applyProtection="0"/>
    <xf numFmtId="4" fontId="33" fillId="34" borderId="121">
      <alignment horizontal="right" vertical="center"/>
    </xf>
    <xf numFmtId="49" fontId="34" fillId="0" borderId="119" applyNumberFormat="0" applyFill="0" applyBorder="0" applyProtection="0">
      <alignment horizontal="left" vertical="center"/>
    </xf>
    <xf numFmtId="0" fontId="33" fillId="34" borderId="106">
      <alignment horizontal="right" vertical="center"/>
    </xf>
    <xf numFmtId="0" fontId="35" fillId="34" borderId="122">
      <alignment horizontal="left" vertical="center" wrapText="1" indent="2"/>
    </xf>
    <xf numFmtId="0" fontId="66" fillId="0" borderId="104" applyNumberFormat="0" applyFill="0" applyAlignment="0" applyProtection="0"/>
    <xf numFmtId="0" fontId="35" fillId="0" borderId="109">
      <alignment horizontal="left" vertical="center" wrapText="1" indent="2"/>
    </xf>
    <xf numFmtId="0" fontId="27" fillId="15" borderId="0" applyNumberFormat="0" applyBorder="0" applyAlignment="0" applyProtection="0"/>
    <xf numFmtId="4" fontId="35" fillId="0" borderId="106" applyFill="0" applyBorder="0" applyProtection="0">
      <alignment horizontal="right" vertical="center"/>
    </xf>
    <xf numFmtId="49" fontId="35" fillId="0" borderId="107" applyNumberFormat="0" applyFont="0" applyFill="0" applyBorder="0" applyProtection="0">
      <alignment horizontal="left" vertical="center" indent="5"/>
    </xf>
    <xf numFmtId="0" fontId="31" fillId="0" borderId="0" applyNumberFormat="0" applyFill="0" applyBorder="0" applyAlignment="0" applyProtection="0"/>
    <xf numFmtId="0" fontId="27" fillId="14" borderId="0" applyNumberFormat="0" applyBorder="0" applyAlignment="0" applyProtection="0"/>
    <xf numFmtId="0" fontId="27" fillId="20" borderId="0" applyNumberFormat="0" applyBorder="0" applyAlignment="0" applyProtection="0"/>
    <xf numFmtId="4" fontId="33" fillId="34" borderId="119">
      <alignment horizontal="right" vertical="center"/>
    </xf>
    <xf numFmtId="0" fontId="33" fillId="34" borderId="106">
      <alignment horizontal="right" vertical="center"/>
    </xf>
    <xf numFmtId="0" fontId="12" fillId="28" borderId="0" applyNumberFormat="0" applyBorder="0" applyAlignment="0" applyProtection="0"/>
    <xf numFmtId="0" fontId="27" fillId="23" borderId="0" applyNumberFormat="0" applyBorder="0" applyAlignment="0" applyProtection="0"/>
    <xf numFmtId="0" fontId="59" fillId="43" borderId="126" applyNumberFormat="0" applyAlignment="0" applyProtection="0"/>
    <xf numFmtId="0" fontId="35" fillId="34" borderId="109">
      <alignment horizontal="left" vertical="center" wrapText="1" indent="2"/>
    </xf>
    <xf numFmtId="173" fontId="35" fillId="60" borderId="106" applyNumberFormat="0" applyFont="0" applyBorder="0" applyAlignment="0" applyProtection="0">
      <alignment horizontal="right" vertical="center"/>
    </xf>
    <xf numFmtId="0" fontId="47" fillId="56" borderId="103" applyNumberFormat="0" applyAlignment="0" applyProtection="0"/>
    <xf numFmtId="0" fontId="66" fillId="0" borderId="135" applyNumberFormat="0" applyFill="0" applyAlignment="0" applyProtection="0"/>
    <xf numFmtId="0" fontId="37" fillId="32" borderId="106">
      <alignment horizontal="right" vertical="center"/>
    </xf>
    <xf numFmtId="0" fontId="46" fillId="56" borderId="103" applyNumberFormat="0" applyAlignment="0" applyProtection="0"/>
    <xf numFmtId="0" fontId="41" fillId="59" borderId="105" applyNumberFormat="0" applyFont="0" applyAlignment="0" applyProtection="0"/>
    <xf numFmtId="0" fontId="46" fillId="56" borderId="103" applyNumberFormat="0" applyAlignment="0" applyProtection="0"/>
    <xf numFmtId="0" fontId="63" fillId="56" borderId="102" applyNumberFormat="0" applyAlignment="0" applyProtection="0"/>
    <xf numFmtId="0" fontId="35" fillId="0" borderId="106">
      <alignment horizontal="right" vertical="center"/>
    </xf>
    <xf numFmtId="0" fontId="51" fillId="0" borderId="104" applyNumberFormat="0" applyFill="0" applyAlignment="0" applyProtection="0"/>
    <xf numFmtId="0" fontId="66" fillId="0" borderId="104" applyNumberFormat="0" applyFill="0" applyAlignment="0" applyProtection="0"/>
    <xf numFmtId="4" fontId="33" fillId="34" borderId="106">
      <alignment horizontal="right" vertical="center"/>
    </xf>
    <xf numFmtId="0" fontId="46" fillId="56" borderId="103" applyNumberFormat="0" applyAlignment="0" applyProtection="0"/>
    <xf numFmtId="0" fontId="51" fillId="0" borderId="104" applyNumberFormat="0" applyFill="0" applyAlignment="0" applyProtection="0"/>
    <xf numFmtId="4" fontId="33" fillId="34" borderId="108">
      <alignment horizontal="right" vertical="center"/>
    </xf>
    <xf numFmtId="4" fontId="33" fillId="34" borderId="119">
      <alignment horizontal="right" vertical="center"/>
    </xf>
    <xf numFmtId="4" fontId="37" fillId="32" borderId="119">
      <alignment horizontal="right" vertical="center"/>
    </xf>
    <xf numFmtId="0" fontId="66" fillId="0" borderId="125" applyNumberFormat="0" applyFill="0" applyAlignment="0" applyProtection="0"/>
    <xf numFmtId="0" fontId="27" fillId="27" borderId="0" applyNumberFormat="0" applyBorder="0" applyAlignment="0" applyProtection="0"/>
    <xf numFmtId="173" fontId="35" fillId="60" borderId="119" applyNumberFormat="0" applyFont="0" applyBorder="0" applyAlignment="0" applyProtection="0">
      <alignment horizontal="right" vertical="center"/>
    </xf>
    <xf numFmtId="0" fontId="35" fillId="34" borderId="122">
      <alignment horizontal="left" vertical="center" wrapText="1" indent="2"/>
    </xf>
    <xf numFmtId="0" fontId="27" fillId="21" borderId="0" applyNumberFormat="0" applyBorder="0" applyAlignment="0" applyProtection="0"/>
    <xf numFmtId="0" fontId="47" fillId="56" borderId="103" applyNumberFormat="0" applyAlignment="0" applyProtection="0"/>
    <xf numFmtId="0" fontId="31" fillId="0" borderId="0" applyNumberFormat="0" applyFill="0" applyBorder="0" applyAlignment="0" applyProtection="0"/>
    <xf numFmtId="0" fontId="35" fillId="32" borderId="130">
      <alignment horizontal="left" vertical="center"/>
    </xf>
    <xf numFmtId="4" fontId="33" fillId="34" borderId="119">
      <alignment horizontal="right" vertical="center"/>
    </xf>
    <xf numFmtId="0" fontId="27" fillId="29" borderId="0" applyNumberFormat="0" applyBorder="0" applyAlignment="0" applyProtection="0"/>
    <xf numFmtId="49" fontId="34" fillId="0" borderId="119" applyNumberFormat="0" applyFill="0" applyBorder="0" applyProtection="0">
      <alignment horizontal="left" vertical="center"/>
    </xf>
    <xf numFmtId="0" fontId="35" fillId="0" borderId="137">
      <alignment horizontal="right" vertical="center"/>
    </xf>
    <xf numFmtId="0" fontId="51" fillId="0" borderId="125" applyNumberFormat="0" applyFill="0" applyAlignment="0" applyProtection="0"/>
    <xf numFmtId="4" fontId="35" fillId="0" borderId="114">
      <alignment horizontal="right" vertical="center"/>
    </xf>
    <xf numFmtId="173" fontId="35" fillId="60" borderId="119" applyNumberFormat="0" applyFont="0" applyBorder="0" applyAlignment="0" applyProtection="0">
      <alignment horizontal="right" vertical="center"/>
    </xf>
    <xf numFmtId="0" fontId="47" fillId="56" borderId="103" applyNumberFormat="0" applyAlignment="0" applyProtection="0"/>
    <xf numFmtId="0" fontId="35" fillId="0" borderId="114">
      <alignment horizontal="right" vertical="center"/>
    </xf>
    <xf numFmtId="4" fontId="33" fillId="34" borderId="120">
      <alignment horizontal="right" vertical="center"/>
    </xf>
    <xf numFmtId="0" fontId="33" fillId="34" borderId="106">
      <alignment horizontal="right" vertical="center"/>
    </xf>
    <xf numFmtId="0" fontId="46" fillId="56" borderId="103" applyNumberFormat="0" applyAlignment="0" applyProtection="0"/>
    <xf numFmtId="0" fontId="33" fillId="34" borderId="106">
      <alignment horizontal="right" vertical="center"/>
    </xf>
    <xf numFmtId="0" fontId="35" fillId="0" borderId="132">
      <alignment horizontal="left" vertical="center" wrapText="1" indent="2"/>
    </xf>
    <xf numFmtId="4" fontId="37" fillId="32" borderId="119">
      <alignment horizontal="right" vertical="center"/>
    </xf>
    <xf numFmtId="4" fontId="33" fillId="34" borderId="131">
      <alignment horizontal="right" vertical="center"/>
    </xf>
    <xf numFmtId="0" fontId="12" fillId="19" borderId="0" applyNumberFormat="0" applyBorder="0" applyAlignment="0" applyProtection="0"/>
    <xf numFmtId="0" fontId="66" fillId="0" borderId="104" applyNumberFormat="0" applyFill="0" applyAlignment="0" applyProtection="0"/>
    <xf numFmtId="0" fontId="41" fillId="59" borderId="128" applyNumberFormat="0" applyFont="0" applyAlignment="0" applyProtection="0"/>
    <xf numFmtId="0" fontId="51" fillId="0" borderId="104" applyNumberFormat="0" applyFill="0" applyAlignment="0" applyProtection="0"/>
    <xf numFmtId="4" fontId="37" fillId="32" borderId="106">
      <alignment horizontal="right" vertical="center"/>
    </xf>
    <xf numFmtId="4" fontId="33" fillId="34" borderId="106">
      <alignment horizontal="right" vertical="center"/>
    </xf>
    <xf numFmtId="0" fontId="51" fillId="0" borderId="104" applyNumberFormat="0" applyFill="0" applyAlignment="0" applyProtection="0"/>
    <xf numFmtId="49" fontId="35" fillId="0" borderId="106" applyNumberFormat="0" applyFont="0" applyFill="0" applyBorder="0" applyProtection="0">
      <alignment horizontal="left" vertical="center" indent="2"/>
    </xf>
    <xf numFmtId="0" fontId="33" fillId="32" borderId="119">
      <alignment horizontal="right" vertical="center"/>
    </xf>
    <xf numFmtId="0" fontId="41" fillId="59" borderId="136" applyNumberFormat="0" applyFont="0" applyAlignment="0" applyProtection="0"/>
    <xf numFmtId="0" fontId="41" fillId="59" borderId="105" applyNumberFormat="0" applyFont="0" applyAlignment="0" applyProtection="0"/>
    <xf numFmtId="0" fontId="59" fillId="43" borderId="103" applyNumberFormat="0" applyAlignment="0" applyProtection="0"/>
    <xf numFmtId="0" fontId="35" fillId="0" borderId="129" applyNumberFormat="0" applyFill="0" applyAlignment="0" applyProtection="0"/>
    <xf numFmtId="0" fontId="27" fillId="21" borderId="0" applyNumberFormat="0" applyBorder="0" applyAlignment="0" applyProtection="0"/>
    <xf numFmtId="0" fontId="33" fillId="32" borderId="119">
      <alignment horizontal="right" vertical="center"/>
    </xf>
    <xf numFmtId="4" fontId="35" fillId="0" borderId="137">
      <alignment horizontal="right" vertical="center"/>
    </xf>
    <xf numFmtId="4" fontId="33" fillId="34" borderId="130">
      <alignment horizontal="right" vertical="center"/>
    </xf>
    <xf numFmtId="0" fontId="27" fillId="23" borderId="0" applyNumberFormat="0" applyBorder="0" applyAlignment="0" applyProtection="0"/>
    <xf numFmtId="0" fontId="5" fillId="59" borderId="113" applyNumberFormat="0" applyFont="0" applyAlignment="0" applyProtection="0"/>
    <xf numFmtId="0" fontId="66" fillId="0" borderId="104" applyNumberFormat="0" applyFill="0" applyAlignment="0" applyProtection="0"/>
    <xf numFmtId="4" fontId="35" fillId="0" borderId="106">
      <alignment horizontal="right" vertical="center"/>
    </xf>
    <xf numFmtId="4" fontId="35" fillId="33" borderId="106"/>
    <xf numFmtId="4" fontId="33" fillId="32" borderId="106">
      <alignment horizontal="right" vertical="center"/>
    </xf>
    <xf numFmtId="0" fontId="51" fillId="0" borderId="104" applyNumberFormat="0" applyFill="0" applyAlignment="0" applyProtection="0"/>
    <xf numFmtId="0" fontId="66" fillId="0" borderId="104" applyNumberFormat="0" applyFill="0" applyAlignment="0" applyProtection="0"/>
    <xf numFmtId="4" fontId="35" fillId="33" borderId="106"/>
    <xf numFmtId="0" fontId="35" fillId="32" borderId="130">
      <alignment horizontal="left" vertical="center"/>
    </xf>
    <xf numFmtId="0" fontId="33" fillId="32" borderId="106">
      <alignment horizontal="right" vertical="center"/>
    </xf>
    <xf numFmtId="0" fontId="33" fillId="34" borderId="131">
      <alignment horizontal="right" vertical="center"/>
    </xf>
    <xf numFmtId="0" fontId="27" fillId="26" borderId="0" applyNumberFormat="0" applyBorder="0" applyAlignment="0" applyProtection="0"/>
    <xf numFmtId="0" fontId="66" fillId="0" borderId="112" applyNumberFormat="0" applyFill="0" applyAlignment="0" applyProtection="0"/>
    <xf numFmtId="0" fontId="33" fillId="32" borderId="106">
      <alignment horizontal="right" vertical="center"/>
    </xf>
    <xf numFmtId="0" fontId="33" fillId="34" borderId="119">
      <alignment horizontal="right" vertical="center"/>
    </xf>
    <xf numFmtId="0" fontId="33" fillId="34" borderId="121">
      <alignment horizontal="right" vertical="center"/>
    </xf>
    <xf numFmtId="0" fontId="41" fillId="59" borderId="118" applyNumberFormat="0" applyFont="0" applyAlignment="0" applyProtection="0"/>
    <xf numFmtId="0" fontId="66" fillId="0" borderId="125" applyNumberFormat="0" applyFill="0" applyAlignment="0" applyProtection="0"/>
    <xf numFmtId="0" fontId="63" fillId="56" borderId="102" applyNumberFormat="0" applyAlignment="0" applyProtection="0"/>
    <xf numFmtId="0" fontId="35" fillId="33" borderId="106"/>
    <xf numFmtId="0" fontId="31" fillId="0" borderId="0" applyNumberFormat="0" applyFill="0" applyBorder="0" applyAlignment="0" applyProtection="0"/>
    <xf numFmtId="49" fontId="35" fillId="0" borderId="120" applyNumberFormat="0" applyFont="0" applyFill="0" applyBorder="0" applyProtection="0">
      <alignment horizontal="left" vertical="center" indent="5"/>
    </xf>
    <xf numFmtId="0" fontId="2" fillId="0" borderId="15" applyNumberFormat="0" applyFill="0" applyAlignment="0" applyProtection="0"/>
    <xf numFmtId="0" fontId="12" fillId="16" borderId="0" applyNumberFormat="0" applyBorder="0" applyAlignment="0" applyProtection="0"/>
    <xf numFmtId="0" fontId="63" fillId="56" borderId="110" applyNumberFormat="0" applyAlignment="0" applyProtection="0"/>
    <xf numFmtId="0" fontId="27" fillId="26" borderId="0" applyNumberFormat="0" applyBorder="0" applyAlignment="0" applyProtection="0"/>
    <xf numFmtId="0" fontId="12" fillId="22" borderId="0" applyNumberFormat="0" applyBorder="0" applyAlignment="0" applyProtection="0"/>
    <xf numFmtId="4" fontId="35" fillId="33" borderId="119"/>
    <xf numFmtId="0" fontId="12" fillId="25" borderId="0" applyNumberFormat="0" applyBorder="0" applyAlignment="0" applyProtection="0"/>
    <xf numFmtId="0" fontId="51" fillId="0" borderId="127" applyNumberFormat="0" applyFill="0" applyAlignment="0" applyProtection="0"/>
    <xf numFmtId="0" fontId="50" fillId="43" borderId="124" applyNumberFormat="0" applyAlignment="0" applyProtection="0"/>
    <xf numFmtId="0" fontId="27" fillId="17" borderId="0" applyNumberFormat="0" applyBorder="0" applyAlignment="0" applyProtection="0"/>
    <xf numFmtId="0" fontId="44" fillId="56" borderId="123" applyNumberFormat="0" applyAlignment="0" applyProtection="0"/>
    <xf numFmtId="0" fontId="41" fillId="59" borderId="105" applyNumberFormat="0" applyFont="0" applyAlignment="0" applyProtection="0"/>
    <xf numFmtId="4" fontId="37" fillId="32" borderId="106">
      <alignment horizontal="right" vertical="center"/>
    </xf>
    <xf numFmtId="0" fontId="63" fillId="56" borderId="102" applyNumberFormat="0" applyAlignment="0" applyProtection="0"/>
    <xf numFmtId="0" fontId="35" fillId="34" borderId="109">
      <alignment horizontal="left" vertical="center" wrapText="1" indent="2"/>
    </xf>
    <xf numFmtId="173" fontId="35" fillId="60" borderId="106" applyNumberFormat="0" applyFont="0" applyBorder="0" applyAlignment="0" applyProtection="0">
      <alignment horizontal="right" vertical="center"/>
    </xf>
    <xf numFmtId="0" fontId="33" fillId="34" borderId="121">
      <alignment horizontal="right" vertical="center"/>
    </xf>
    <xf numFmtId="0" fontId="5" fillId="59" borderId="128" applyNumberFormat="0" applyFont="0" applyAlignment="0" applyProtection="0"/>
    <xf numFmtId="0" fontId="35" fillId="0" borderId="122">
      <alignment horizontal="left" vertical="center" wrapText="1" indent="2"/>
    </xf>
    <xf numFmtId="0" fontId="47" fillId="56" borderId="126" applyNumberFormat="0" applyAlignment="0" applyProtection="0"/>
    <xf numFmtId="0" fontId="44" fillId="56" borderId="102" applyNumberFormat="0" applyAlignment="0" applyProtection="0"/>
    <xf numFmtId="0" fontId="35" fillId="34" borderId="132">
      <alignment horizontal="left" vertical="center" wrapText="1" indent="2"/>
    </xf>
    <xf numFmtId="0" fontId="63" fillId="56" borderId="102" applyNumberFormat="0" applyAlignment="0" applyProtection="0"/>
    <xf numFmtId="0" fontId="33" fillId="34" borderId="107">
      <alignment horizontal="right" vertical="center"/>
    </xf>
    <xf numFmtId="4" fontId="33" fillId="34" borderId="106">
      <alignment horizontal="right" vertical="center"/>
    </xf>
    <xf numFmtId="0" fontId="35" fillId="0" borderId="106">
      <alignment horizontal="right" vertical="center"/>
    </xf>
    <xf numFmtId="0" fontId="33" fillId="34" borderId="107">
      <alignment horizontal="right" vertical="center"/>
    </xf>
    <xf numFmtId="0" fontId="63" fillId="56" borderId="102" applyNumberFormat="0" applyAlignment="0" applyProtection="0"/>
    <xf numFmtId="0" fontId="33" fillId="34" borderId="106">
      <alignment horizontal="right" vertical="center"/>
    </xf>
    <xf numFmtId="0" fontId="35" fillId="0" borderId="109">
      <alignment horizontal="left" vertical="center" wrapText="1" indent="2"/>
    </xf>
    <xf numFmtId="0" fontId="63" fillId="56" borderId="102" applyNumberFormat="0" applyAlignment="0" applyProtection="0"/>
    <xf numFmtId="0" fontId="35" fillId="33" borderId="106"/>
    <xf numFmtId="0" fontId="46" fillId="56" borderId="103" applyNumberFormat="0" applyAlignment="0" applyProtection="0"/>
    <xf numFmtId="0" fontId="35" fillId="0" borderId="106" applyNumberFormat="0" applyFill="0" applyAlignment="0" applyProtection="0"/>
    <xf numFmtId="0" fontId="50" fillId="43" borderId="103" applyNumberFormat="0" applyAlignment="0" applyProtection="0"/>
    <xf numFmtId="0" fontId="33" fillId="34" borderId="129">
      <alignment horizontal="right" vertical="center"/>
    </xf>
    <xf numFmtId="0" fontId="51" fillId="0" borderId="125" applyNumberFormat="0" applyFill="0" applyAlignment="0" applyProtection="0"/>
    <xf numFmtId="0" fontId="33" fillId="34" borderId="120">
      <alignment horizontal="right" vertical="center"/>
    </xf>
    <xf numFmtId="0" fontId="27" fillId="21" borderId="0" applyNumberFormat="0" applyBorder="0" applyAlignment="0" applyProtection="0"/>
    <xf numFmtId="4" fontId="33" fillId="34" borderId="116">
      <alignment horizontal="right" vertical="center"/>
    </xf>
    <xf numFmtId="0" fontId="35" fillId="32" borderId="130">
      <alignment horizontal="left" vertical="center"/>
    </xf>
    <xf numFmtId="4" fontId="35" fillId="0" borderId="129" applyFill="0" applyBorder="0" applyProtection="0">
      <alignment horizontal="right" vertical="center"/>
    </xf>
    <xf numFmtId="0" fontId="12" fillId="28" borderId="0" applyNumberFormat="0" applyBorder="0" applyAlignment="0" applyProtection="0"/>
    <xf numFmtId="0" fontId="33" fillId="34" borderId="137">
      <alignment horizontal="right" vertical="center"/>
    </xf>
    <xf numFmtId="4" fontId="35" fillId="0" borderId="106">
      <alignment horizontal="right" vertical="center"/>
    </xf>
    <xf numFmtId="4" fontId="33" fillId="34" borderId="119">
      <alignment horizontal="right" vertical="center"/>
    </xf>
    <xf numFmtId="49" fontId="35" fillId="0" borderId="106" applyNumberFormat="0" applyFont="0" applyFill="0" applyBorder="0" applyProtection="0">
      <alignment horizontal="left" vertical="center" indent="2"/>
    </xf>
    <xf numFmtId="0" fontId="47" fillId="56" borderId="103" applyNumberFormat="0" applyAlignment="0" applyProtection="0"/>
    <xf numFmtId="0" fontId="27" fillId="23" borderId="0" applyNumberFormat="0" applyBorder="0" applyAlignment="0" applyProtection="0"/>
    <xf numFmtId="0" fontId="59" fillId="43" borderId="124" applyNumberFormat="0" applyAlignment="0" applyProtection="0"/>
    <xf numFmtId="0" fontId="46" fillId="56" borderId="124" applyNumberFormat="0" applyAlignment="0" applyProtection="0"/>
    <xf numFmtId="4" fontId="35" fillId="0" borderId="119">
      <alignment horizontal="right" vertical="center"/>
    </xf>
    <xf numFmtId="0" fontId="33" fillId="34" borderId="116">
      <alignment horizontal="right" vertical="center"/>
    </xf>
    <xf numFmtId="0" fontId="35" fillId="0" borderId="122">
      <alignment horizontal="left" vertical="center" wrapText="1" indent="2"/>
    </xf>
    <xf numFmtId="49" fontId="35" fillId="0" borderId="107" applyNumberFormat="0" applyFont="0" applyFill="0" applyBorder="0" applyProtection="0">
      <alignment horizontal="left" vertical="center" indent="5"/>
    </xf>
    <xf numFmtId="0" fontId="50" fillId="43" borderId="103" applyNumberFormat="0" applyAlignment="0" applyProtection="0"/>
    <xf numFmtId="0" fontId="44" fillId="56" borderId="102" applyNumberFormat="0" applyAlignment="0" applyProtection="0"/>
    <xf numFmtId="0" fontId="35" fillId="34" borderId="109">
      <alignment horizontal="left" vertical="center" wrapText="1" indent="2"/>
    </xf>
    <xf numFmtId="0" fontId="66" fillId="0" borderId="104" applyNumberFormat="0" applyFill="0" applyAlignment="0" applyProtection="0"/>
    <xf numFmtId="4" fontId="33" fillId="34" borderId="107">
      <alignment horizontal="right" vertical="center"/>
    </xf>
    <xf numFmtId="49" fontId="35" fillId="0" borderId="119" applyNumberFormat="0" applyFont="0" applyFill="0" applyBorder="0" applyProtection="0">
      <alignment horizontal="left" vertical="center" indent="2"/>
    </xf>
    <xf numFmtId="0" fontId="33" fillId="34" borderId="106">
      <alignment horizontal="right" vertical="center"/>
    </xf>
    <xf numFmtId="4" fontId="33" fillId="32" borderId="106">
      <alignment horizontal="right" vertical="center"/>
    </xf>
    <xf numFmtId="0" fontId="47" fillId="56" borderId="111" applyNumberFormat="0" applyAlignment="0" applyProtection="0"/>
    <xf numFmtId="0" fontId="2" fillId="0" borderId="15" applyNumberFormat="0" applyFill="0" applyAlignment="0" applyProtection="0"/>
    <xf numFmtId="0" fontId="51" fillId="0" borderId="125" applyNumberFormat="0" applyFill="0" applyAlignment="0" applyProtection="0"/>
    <xf numFmtId="0" fontId="51" fillId="0" borderId="104" applyNumberFormat="0" applyFill="0" applyAlignment="0" applyProtection="0"/>
    <xf numFmtId="0" fontId="46" fillId="56" borderId="103" applyNumberFormat="0" applyAlignment="0" applyProtection="0"/>
    <xf numFmtId="49" fontId="35" fillId="0" borderId="115" applyNumberFormat="0" applyFont="0" applyFill="0" applyBorder="0" applyProtection="0">
      <alignment horizontal="left" vertical="center" indent="5"/>
    </xf>
    <xf numFmtId="4" fontId="37" fillId="32" borderId="129">
      <alignment horizontal="right" vertical="center"/>
    </xf>
    <xf numFmtId="4" fontId="35" fillId="33" borderId="119"/>
    <xf numFmtId="0" fontId="50" fillId="43" borderId="126" applyNumberFormat="0" applyAlignment="0" applyProtection="0"/>
    <xf numFmtId="0" fontId="35" fillId="0" borderId="106">
      <alignment horizontal="right" vertical="center"/>
    </xf>
    <xf numFmtId="0" fontId="35" fillId="32" borderId="107">
      <alignment horizontal="left" vertical="center"/>
    </xf>
    <xf numFmtId="0" fontId="27" fillId="24" borderId="0" applyNumberFormat="0" applyBorder="0" applyAlignment="0" applyProtection="0"/>
    <xf numFmtId="4" fontId="35" fillId="33" borderId="106"/>
    <xf numFmtId="0" fontId="37" fillId="32" borderId="106">
      <alignment horizontal="right" vertical="center"/>
    </xf>
    <xf numFmtId="0" fontId="33" fillId="34" borderId="106">
      <alignment horizontal="right" vertical="center"/>
    </xf>
    <xf numFmtId="0" fontId="35" fillId="0" borderId="109">
      <alignment horizontal="left" vertical="center" wrapText="1" indent="2"/>
    </xf>
    <xf numFmtId="0" fontId="50" fillId="43" borderId="103" applyNumberFormat="0" applyAlignment="0" applyProtection="0"/>
    <xf numFmtId="4" fontId="33" fillId="34" borderId="119">
      <alignment horizontal="right" vertical="center"/>
    </xf>
    <xf numFmtId="0" fontId="35" fillId="0" borderId="129">
      <alignment horizontal="right" vertical="center"/>
    </xf>
    <xf numFmtId="0" fontId="35" fillId="34" borderId="122">
      <alignment horizontal="left" vertical="center" wrapText="1" indent="2"/>
    </xf>
    <xf numFmtId="0" fontId="35" fillId="0" borderId="117">
      <alignment horizontal="left" vertical="center" wrapText="1" indent="2"/>
    </xf>
    <xf numFmtId="0" fontId="47" fillId="56" borderId="126" applyNumberFormat="0" applyAlignment="0" applyProtection="0"/>
    <xf numFmtId="0" fontId="27" fillId="15" borderId="0" applyNumberFormat="0" applyBorder="0" applyAlignment="0" applyProtection="0"/>
    <xf numFmtId="0" fontId="41" fillId="59" borderId="105" applyNumberFormat="0" applyFont="0" applyAlignment="0" applyProtection="0"/>
    <xf numFmtId="0" fontId="27" fillId="27" borderId="0" applyNumberFormat="0" applyBorder="0" applyAlignment="0" applyProtection="0"/>
    <xf numFmtId="0" fontId="50" fillId="43" borderId="111" applyNumberFormat="0" applyAlignment="0" applyProtection="0"/>
    <xf numFmtId="0" fontId="27" fillId="30" borderId="0" applyNumberFormat="0" applyBorder="0" applyAlignment="0" applyProtection="0"/>
    <xf numFmtId="0" fontId="27" fillId="24" borderId="0" applyNumberFormat="0" applyBorder="0" applyAlignment="0" applyProtection="0"/>
    <xf numFmtId="0" fontId="44" fillId="56" borderId="102" applyNumberFormat="0" applyAlignment="0" applyProtection="0"/>
    <xf numFmtId="0" fontId="50" fillId="43" borderId="103" applyNumberFormat="0" applyAlignment="0" applyProtection="0"/>
    <xf numFmtId="0" fontId="35" fillId="33" borderId="106"/>
    <xf numFmtId="0" fontId="37" fillId="32" borderId="106">
      <alignment horizontal="right" vertical="center"/>
    </xf>
    <xf numFmtId="0" fontId="63" fillId="56" borderId="102" applyNumberFormat="0" applyAlignment="0" applyProtection="0"/>
    <xf numFmtId="0" fontId="27" fillId="14" borderId="0" applyNumberFormat="0" applyBorder="0" applyAlignment="0" applyProtection="0"/>
    <xf numFmtId="0" fontId="12" fillId="28" borderId="0" applyNumberFormat="0" applyBorder="0" applyAlignment="0" applyProtection="0"/>
    <xf numFmtId="0" fontId="35" fillId="0" borderId="122">
      <alignment horizontal="left" vertical="center" wrapText="1" indent="2"/>
    </xf>
    <xf numFmtId="0" fontId="33" fillId="32" borderId="106">
      <alignment horizontal="right" vertical="center"/>
    </xf>
    <xf numFmtId="0" fontId="47" fillId="56" borderId="126" applyNumberFormat="0" applyAlignment="0" applyProtection="0"/>
    <xf numFmtId="0" fontId="27" fillId="14" borderId="0" applyNumberFormat="0" applyBorder="0" applyAlignment="0" applyProtection="0"/>
    <xf numFmtId="4" fontId="35" fillId="33" borderId="119"/>
    <xf numFmtId="49" fontId="34" fillId="0" borderId="119" applyNumberFormat="0" applyFill="0" applyBorder="0" applyProtection="0">
      <alignment horizontal="left" vertical="center"/>
    </xf>
    <xf numFmtId="4" fontId="33" fillId="34" borderId="106">
      <alignment horizontal="right" vertical="center"/>
    </xf>
    <xf numFmtId="0" fontId="35" fillId="34" borderId="122">
      <alignment horizontal="left" vertical="center" wrapText="1" indent="2"/>
    </xf>
    <xf numFmtId="0" fontId="66" fillId="0" borderId="125" applyNumberFormat="0" applyFill="0" applyAlignment="0" applyProtection="0"/>
    <xf numFmtId="0" fontId="33" fillId="34" borderId="106">
      <alignment horizontal="right" vertical="center"/>
    </xf>
    <xf numFmtId="0" fontId="35" fillId="34" borderId="109">
      <alignment horizontal="left" vertical="center" wrapText="1" indent="2"/>
    </xf>
    <xf numFmtId="0" fontId="27" fillId="17" borderId="0" applyNumberFormat="0" applyBorder="0" applyAlignment="0" applyProtection="0"/>
    <xf numFmtId="0" fontId="35" fillId="0" borderId="106" applyNumberFormat="0" applyFill="0" applyAlignment="0" applyProtection="0"/>
    <xf numFmtId="49" fontId="35" fillId="0" borderId="106" applyNumberFormat="0" applyFont="0" applyFill="0" applyBorder="0" applyProtection="0">
      <alignment horizontal="left" vertical="center" indent="2"/>
    </xf>
    <xf numFmtId="0" fontId="47" fillId="56" borderId="126" applyNumberFormat="0" applyAlignment="0" applyProtection="0"/>
    <xf numFmtId="0" fontId="27" fillId="30" borderId="0" applyNumberFormat="0" applyBorder="0" applyAlignment="0" applyProtection="0"/>
    <xf numFmtId="0" fontId="27" fillId="17" borderId="0" applyNumberFormat="0" applyBorder="0" applyAlignment="0" applyProtection="0"/>
    <xf numFmtId="0" fontId="1" fillId="0" borderId="0" applyNumberFormat="0" applyFill="0" applyBorder="0" applyAlignment="0" applyProtection="0"/>
    <xf numFmtId="4" fontId="33" fillId="34" borderId="106">
      <alignment horizontal="right" vertical="center"/>
    </xf>
    <xf numFmtId="0" fontId="27" fillId="27" borderId="0" applyNumberFormat="0" applyBorder="0" applyAlignment="0" applyProtection="0"/>
    <xf numFmtId="0" fontId="1" fillId="0" borderId="0" applyNumberFormat="0" applyFill="0" applyBorder="0" applyAlignment="0" applyProtection="0"/>
    <xf numFmtId="0" fontId="51" fillId="0" borderId="125" applyNumberFormat="0" applyFill="0" applyAlignment="0" applyProtection="0"/>
    <xf numFmtId="0" fontId="47" fillId="56" borderId="103" applyNumberFormat="0" applyAlignment="0" applyProtection="0"/>
    <xf numFmtId="0" fontId="63" fillId="56" borderId="102" applyNumberFormat="0" applyAlignment="0" applyProtection="0"/>
    <xf numFmtId="0" fontId="66" fillId="0" borderId="104" applyNumberFormat="0" applyFill="0" applyAlignment="0" applyProtection="0"/>
    <xf numFmtId="0" fontId="1" fillId="0" borderId="0" applyNumberFormat="0" applyFill="0" applyBorder="0" applyAlignment="0" applyProtection="0"/>
    <xf numFmtId="4" fontId="33" fillId="32" borderId="106">
      <alignment horizontal="right" vertical="center"/>
    </xf>
    <xf numFmtId="0" fontId="50" fillId="43" borderId="103" applyNumberFormat="0" applyAlignment="0" applyProtection="0"/>
    <xf numFmtId="0" fontId="59" fillId="43" borderId="103" applyNumberFormat="0" applyAlignment="0" applyProtection="0"/>
    <xf numFmtId="0" fontId="44" fillId="56" borderId="102" applyNumberFormat="0" applyAlignment="0" applyProtection="0"/>
    <xf numFmtId="0" fontId="35" fillId="0" borderId="109">
      <alignment horizontal="left" vertical="center" wrapText="1" indent="2"/>
    </xf>
    <xf numFmtId="0" fontId="59" fillId="43" borderId="103" applyNumberFormat="0" applyAlignment="0" applyProtection="0"/>
    <xf numFmtId="0" fontId="35" fillId="0" borderId="106" applyNumberFormat="0" applyFill="0" applyAlignment="0" applyProtection="0"/>
    <xf numFmtId="4" fontId="35" fillId="0" borderId="106">
      <alignment horizontal="right" vertical="center"/>
    </xf>
    <xf numFmtId="0" fontId="33" fillId="34" borderId="106">
      <alignment horizontal="right" vertical="center"/>
    </xf>
    <xf numFmtId="4" fontId="33" fillId="34" borderId="108">
      <alignment horizontal="right" vertical="center"/>
    </xf>
    <xf numFmtId="4" fontId="33" fillId="32" borderId="106">
      <alignment horizontal="right" vertical="center"/>
    </xf>
    <xf numFmtId="0" fontId="35" fillId="0" borderId="106">
      <alignment horizontal="right" vertical="center"/>
    </xf>
    <xf numFmtId="0" fontId="35" fillId="33" borderId="129"/>
    <xf numFmtId="4" fontId="35" fillId="33" borderId="129"/>
    <xf numFmtId="0" fontId="50" fillId="43" borderId="124" applyNumberFormat="0" applyAlignment="0" applyProtection="0"/>
    <xf numFmtId="0" fontId="47" fillId="56" borderId="124" applyNumberFormat="0" applyAlignment="0" applyProtection="0"/>
    <xf numFmtId="0" fontId="33" fillId="32" borderId="119">
      <alignment horizontal="right" vertical="center"/>
    </xf>
    <xf numFmtId="0" fontId="66" fillId="0" borderId="125" applyNumberFormat="0" applyFill="0" applyAlignment="0" applyProtection="0"/>
    <xf numFmtId="0" fontId="63" fillId="56" borderId="123" applyNumberFormat="0" applyAlignment="0" applyProtection="0"/>
    <xf numFmtId="0" fontId="47" fillId="56" borderId="103" applyNumberFormat="0" applyAlignment="0" applyProtection="0"/>
    <xf numFmtId="0" fontId="33" fillId="32" borderId="119">
      <alignment horizontal="right" vertical="center"/>
    </xf>
    <xf numFmtId="0" fontId="63" fillId="56" borderId="123" applyNumberFormat="0" applyAlignment="0" applyProtection="0"/>
    <xf numFmtId="0" fontId="35" fillId="33" borderId="106"/>
    <xf numFmtId="0" fontId="27" fillId="30" borderId="0" applyNumberFormat="0" applyBorder="0" applyAlignment="0" applyProtection="0"/>
    <xf numFmtId="4" fontId="33" fillId="34" borderId="130">
      <alignment horizontal="right" vertical="center"/>
    </xf>
    <xf numFmtId="0" fontId="35" fillId="33" borderId="119"/>
    <xf numFmtId="0" fontId="59" fillId="43" borderId="111" applyNumberFormat="0" applyAlignment="0" applyProtection="0"/>
    <xf numFmtId="0" fontId="33" fillId="34" borderId="119">
      <alignment horizontal="right" vertical="center"/>
    </xf>
    <xf numFmtId="0" fontId="46" fillId="56" borderId="103" applyNumberFormat="0" applyAlignment="0" applyProtection="0"/>
    <xf numFmtId="0" fontId="35" fillId="32" borderId="115">
      <alignment horizontal="left" vertical="center"/>
    </xf>
    <xf numFmtId="0" fontId="30" fillId="13" borderId="13" applyNumberFormat="0" applyAlignment="0" applyProtection="0"/>
    <xf numFmtId="0" fontId="27" fillId="14" borderId="0" applyNumberFormat="0" applyBorder="0" applyAlignment="0" applyProtection="0"/>
    <xf numFmtId="4" fontId="33" fillId="34" borderId="106">
      <alignment horizontal="right" vertical="center"/>
    </xf>
    <xf numFmtId="4" fontId="33" fillId="34" borderId="108">
      <alignment horizontal="right" vertical="center"/>
    </xf>
    <xf numFmtId="4" fontId="37" fillId="32" borderId="106">
      <alignment horizontal="right" vertical="center"/>
    </xf>
    <xf numFmtId="0" fontId="66" fillId="0" borderId="125" applyNumberFormat="0" applyFill="0" applyAlignment="0" applyProtection="0"/>
    <xf numFmtId="49" fontId="35" fillId="0" borderId="119" applyNumberFormat="0" applyFont="0" applyFill="0" applyBorder="0" applyProtection="0">
      <alignment horizontal="left" vertical="center" indent="2"/>
    </xf>
    <xf numFmtId="0" fontId="33" fillId="34" borderId="121">
      <alignment horizontal="right" vertical="center"/>
    </xf>
    <xf numFmtId="0" fontId="27" fillId="18" borderId="0" applyNumberFormat="0" applyBorder="0" applyAlignment="0" applyProtection="0"/>
    <xf numFmtId="0" fontId="33" fillId="34" borderId="106">
      <alignment horizontal="right" vertical="center"/>
    </xf>
    <xf numFmtId="0" fontId="12" fillId="22" borderId="0" applyNumberFormat="0" applyBorder="0" applyAlignment="0" applyProtection="0"/>
    <xf numFmtId="0" fontId="47" fillId="56" borderId="103" applyNumberFormat="0" applyAlignment="0" applyProtection="0"/>
    <xf numFmtId="0" fontId="47" fillId="56" borderId="103" applyNumberFormat="0" applyAlignment="0" applyProtection="0"/>
    <xf numFmtId="4" fontId="35" fillId="33" borderId="106"/>
    <xf numFmtId="0" fontId="50" fillId="43" borderId="103" applyNumberFormat="0" applyAlignment="0" applyProtection="0"/>
    <xf numFmtId="0" fontId="44" fillId="56" borderId="102" applyNumberFormat="0" applyAlignment="0" applyProtection="0"/>
    <xf numFmtId="0" fontId="35" fillId="34" borderId="132">
      <alignment horizontal="left" vertical="center" wrapText="1" indent="2"/>
    </xf>
    <xf numFmtId="0" fontId="37" fillId="32" borderId="119">
      <alignment horizontal="right" vertical="center"/>
    </xf>
    <xf numFmtId="0" fontId="5" fillId="59" borderId="105" applyNumberFormat="0" applyFont="0" applyAlignment="0" applyProtection="0"/>
    <xf numFmtId="0" fontId="51" fillId="0" borderId="125" applyNumberFormat="0" applyFill="0" applyAlignment="0" applyProtection="0"/>
    <xf numFmtId="4" fontId="33" fillId="34" borderId="119">
      <alignment horizontal="right" vertical="center"/>
    </xf>
    <xf numFmtId="0" fontId="47" fillId="56" borderId="124" applyNumberFormat="0" applyAlignment="0" applyProtection="0"/>
    <xf numFmtId="4" fontId="33" fillId="34" borderId="129">
      <alignment horizontal="right" vertical="center"/>
    </xf>
    <xf numFmtId="4" fontId="33" fillId="34" borderId="119">
      <alignment horizontal="right" vertical="center"/>
    </xf>
    <xf numFmtId="173" fontId="35" fillId="60" borderId="119" applyNumberFormat="0" applyFont="0" applyBorder="0" applyAlignment="0" applyProtection="0">
      <alignment horizontal="right" vertical="center"/>
    </xf>
    <xf numFmtId="0" fontId="35" fillId="0" borderId="132">
      <alignment horizontal="left" vertical="center" wrapText="1" indent="2"/>
    </xf>
    <xf numFmtId="4" fontId="35" fillId="0" borderId="129" applyFill="0" applyBorder="0" applyProtection="0">
      <alignment horizontal="right" vertical="center"/>
    </xf>
    <xf numFmtId="0" fontId="35" fillId="0" borderId="106">
      <alignment horizontal="right" vertical="center"/>
    </xf>
    <xf numFmtId="0" fontId="35" fillId="0" borderId="106" applyNumberFormat="0" applyFill="0" applyAlignment="0" applyProtection="0"/>
    <xf numFmtId="0" fontId="66" fillId="0" borderId="104" applyNumberFormat="0" applyFill="0" applyAlignment="0" applyProtection="0"/>
    <xf numFmtId="4" fontId="35" fillId="0" borderId="106" applyFill="0" applyBorder="0" applyProtection="0">
      <alignment horizontal="right" vertical="center"/>
    </xf>
    <xf numFmtId="0" fontId="46" fillId="56" borderId="103" applyNumberFormat="0" applyAlignment="0" applyProtection="0"/>
    <xf numFmtId="4" fontId="35" fillId="33" borderId="106"/>
    <xf numFmtId="0" fontId="66" fillId="0" borderId="104" applyNumberFormat="0" applyFill="0" applyAlignment="0" applyProtection="0"/>
    <xf numFmtId="0" fontId="37" fillId="32" borderId="114">
      <alignment horizontal="right" vertical="center"/>
    </xf>
    <xf numFmtId="49" fontId="35" fillId="0" borderId="106" applyNumberFormat="0" applyFont="0" applyFill="0" applyBorder="0" applyProtection="0">
      <alignment horizontal="left" vertical="center" indent="2"/>
    </xf>
    <xf numFmtId="0" fontId="50" fillId="43" borderId="124" applyNumberFormat="0" applyAlignment="0" applyProtection="0"/>
    <xf numFmtId="0" fontId="35" fillId="33" borderId="114"/>
    <xf numFmtId="0" fontId="46" fillId="56" borderId="103" applyNumberFormat="0" applyAlignment="0" applyProtection="0"/>
    <xf numFmtId="0" fontId="41" fillId="59" borderId="118" applyNumberFormat="0" applyFont="0" applyAlignment="0" applyProtection="0"/>
    <xf numFmtId="49" fontId="35" fillId="0" borderId="129" applyNumberFormat="0" applyFont="0" applyFill="0" applyBorder="0" applyProtection="0">
      <alignment horizontal="left" vertical="center" indent="2"/>
    </xf>
    <xf numFmtId="0" fontId="50" fillId="43" borderId="126" applyNumberFormat="0" applyAlignment="0" applyProtection="0"/>
    <xf numFmtId="0" fontId="27" fillId="21" borderId="0" applyNumberFormat="0" applyBorder="0" applyAlignment="0" applyProtection="0"/>
    <xf numFmtId="0" fontId="35" fillId="0" borderId="109">
      <alignment horizontal="left" vertical="center" wrapText="1" indent="2"/>
    </xf>
    <xf numFmtId="0" fontId="63" fillId="56" borderId="102" applyNumberFormat="0" applyAlignment="0" applyProtection="0"/>
    <xf numFmtId="0" fontId="33" fillId="34" borderId="108">
      <alignment horizontal="right" vertical="center"/>
    </xf>
    <xf numFmtId="0" fontId="50" fillId="43" borderId="103" applyNumberFormat="0" applyAlignment="0" applyProtection="0"/>
    <xf numFmtId="0" fontId="33" fillId="34" borderId="108">
      <alignment horizontal="right" vertical="center"/>
    </xf>
    <xf numFmtId="4" fontId="33" fillId="34" borderId="106">
      <alignment horizontal="right" vertical="center"/>
    </xf>
    <xf numFmtId="0" fontId="33" fillId="34" borderId="106">
      <alignment horizontal="right" vertical="center"/>
    </xf>
    <xf numFmtId="0" fontId="44" fillId="56" borderId="102" applyNumberFormat="0" applyAlignment="0" applyProtection="0"/>
    <xf numFmtId="0" fontId="46" fillId="56" borderId="103" applyNumberFormat="0" applyAlignment="0" applyProtection="0"/>
    <xf numFmtId="0" fontId="51" fillId="0" borderId="104" applyNumberFormat="0" applyFill="0" applyAlignment="0" applyProtection="0"/>
    <xf numFmtId="0" fontId="35" fillId="33" borderId="106"/>
    <xf numFmtId="4" fontId="35" fillId="33" borderId="106"/>
    <xf numFmtId="4" fontId="33" fillId="34" borderId="106">
      <alignment horizontal="right" vertical="center"/>
    </xf>
    <xf numFmtId="0" fontId="37" fillId="32" borderId="106">
      <alignment horizontal="right" vertical="center"/>
    </xf>
    <xf numFmtId="0" fontId="50" fillId="43" borderId="103" applyNumberFormat="0" applyAlignment="0" applyProtection="0"/>
    <xf numFmtId="0" fontId="47" fillId="56" borderId="103" applyNumberFormat="0" applyAlignment="0" applyProtection="0"/>
    <xf numFmtId="4" fontId="35" fillId="0" borderId="106">
      <alignment horizontal="right" vertical="center"/>
    </xf>
    <xf numFmtId="0" fontId="35" fillId="34" borderId="109">
      <alignment horizontal="left" vertical="center" wrapText="1" indent="2"/>
    </xf>
    <xf numFmtId="0" fontId="35" fillId="0" borderId="109">
      <alignment horizontal="left" vertical="center" wrapText="1" indent="2"/>
    </xf>
    <xf numFmtId="0" fontId="63" fillId="56" borderId="102" applyNumberFormat="0" applyAlignment="0" applyProtection="0"/>
    <xf numFmtId="0" fontId="59" fillId="43" borderId="103" applyNumberFormat="0" applyAlignment="0" applyProtection="0"/>
    <xf numFmtId="0" fontId="46" fillId="56" borderId="103" applyNumberFormat="0" applyAlignment="0" applyProtection="0"/>
    <xf numFmtId="0" fontId="44" fillId="56" borderId="102" applyNumberFormat="0" applyAlignment="0" applyProtection="0"/>
    <xf numFmtId="0" fontId="33" fillId="34" borderId="108">
      <alignment horizontal="right" vertical="center"/>
    </xf>
    <xf numFmtId="0" fontId="37" fillId="32" borderId="106">
      <alignment horizontal="right" vertical="center"/>
    </xf>
    <xf numFmtId="4" fontId="33" fillId="32" borderId="106">
      <alignment horizontal="right" vertical="center"/>
    </xf>
    <xf numFmtId="4" fontId="33" fillId="34" borderId="106">
      <alignment horizontal="right" vertical="center"/>
    </xf>
    <xf numFmtId="49" fontId="35" fillId="0" borderId="107" applyNumberFormat="0" applyFont="0" applyFill="0" applyBorder="0" applyProtection="0">
      <alignment horizontal="left" vertical="center" indent="5"/>
    </xf>
    <xf numFmtId="4" fontId="35" fillId="0" borderId="106" applyFill="0" applyBorder="0" applyProtection="0">
      <alignment horizontal="right" vertical="center"/>
    </xf>
    <xf numFmtId="4" fontId="33" fillId="32" borderId="106">
      <alignment horizontal="right" vertical="center"/>
    </xf>
    <xf numFmtId="0" fontId="59" fillId="43" borderId="103" applyNumberFormat="0" applyAlignment="0" applyProtection="0"/>
    <xf numFmtId="0" fontId="50" fillId="43" borderId="103" applyNumberFormat="0" applyAlignment="0" applyProtection="0"/>
    <xf numFmtId="0" fontId="46" fillId="56" borderId="103" applyNumberFormat="0" applyAlignment="0" applyProtection="0"/>
    <xf numFmtId="0" fontId="35" fillId="34" borderId="109">
      <alignment horizontal="left" vertical="center" wrapText="1" indent="2"/>
    </xf>
    <xf numFmtId="0" fontId="35" fillId="0" borderId="109">
      <alignment horizontal="left" vertical="center" wrapText="1" indent="2"/>
    </xf>
    <xf numFmtId="0" fontId="35" fillId="34" borderId="109">
      <alignment horizontal="left" vertical="center" wrapText="1" indent="2"/>
    </xf>
    <xf numFmtId="0" fontId="35" fillId="34" borderId="117">
      <alignment horizontal="left" vertical="center" wrapText="1" indent="2"/>
    </xf>
    <xf numFmtId="0" fontId="35" fillId="0" borderId="117">
      <alignment horizontal="left" vertical="center" wrapText="1" indent="2"/>
    </xf>
    <xf numFmtId="0" fontId="37" fillId="32" borderId="119">
      <alignment horizontal="right" vertical="center"/>
    </xf>
    <xf numFmtId="49" fontId="35" fillId="0" borderId="119" applyNumberFormat="0" applyFont="0" applyFill="0" applyBorder="0" applyProtection="0">
      <alignment horizontal="left" vertical="center" indent="2"/>
    </xf>
    <xf numFmtId="0" fontId="33" fillId="34" borderId="129">
      <alignment horizontal="right" vertical="center"/>
    </xf>
    <xf numFmtId="0" fontId="27" fillId="14" borderId="0" applyNumberFormat="0" applyBorder="0" applyAlignment="0" applyProtection="0"/>
    <xf numFmtId="0" fontId="27" fillId="14" borderId="0" applyNumberFormat="0" applyBorder="0" applyAlignment="0" applyProtection="0"/>
    <xf numFmtId="0" fontId="35" fillId="0" borderId="122">
      <alignment horizontal="left" vertical="center" wrapText="1" indent="2"/>
    </xf>
    <xf numFmtId="0" fontId="33" fillId="34" borderId="120">
      <alignment horizontal="right" vertical="center"/>
    </xf>
    <xf numFmtId="0" fontId="27" fillId="26" borderId="0" applyNumberFormat="0" applyBorder="0" applyAlignment="0" applyProtection="0"/>
    <xf numFmtId="0" fontId="35" fillId="0" borderId="122">
      <alignment horizontal="left" vertical="center" wrapText="1" indent="2"/>
    </xf>
    <xf numFmtId="0" fontId="66" fillId="0" borderId="127" applyNumberFormat="0" applyFill="0" applyAlignment="0" applyProtection="0"/>
    <xf numFmtId="173" fontId="35" fillId="60" borderId="129" applyNumberFormat="0" applyFont="0" applyBorder="0" applyAlignment="0" applyProtection="0">
      <alignment horizontal="right" vertical="center"/>
    </xf>
    <xf numFmtId="0" fontId="66" fillId="0" borderId="125" applyNumberFormat="0" applyFill="0" applyAlignment="0" applyProtection="0"/>
    <xf numFmtId="0" fontId="35" fillId="34" borderId="122">
      <alignment horizontal="left" vertical="center" wrapText="1" indent="2"/>
    </xf>
    <xf numFmtId="0" fontId="47" fillId="56" borderId="126" applyNumberFormat="0" applyAlignment="0" applyProtection="0"/>
    <xf numFmtId="4" fontId="35" fillId="0" borderId="129">
      <alignment horizontal="right" vertical="center"/>
    </xf>
    <xf numFmtId="0" fontId="35" fillId="34" borderId="140">
      <alignment horizontal="left" vertical="center" wrapText="1" indent="2"/>
    </xf>
    <xf numFmtId="0" fontId="35" fillId="32" borderId="120">
      <alignment horizontal="left" vertical="center"/>
    </xf>
    <xf numFmtId="0" fontId="33" fillId="34" borderId="139">
      <alignment horizontal="right" vertical="center"/>
    </xf>
    <xf numFmtId="0" fontId="51" fillId="0" borderId="135" applyNumberFormat="0" applyFill="0" applyAlignment="0" applyProtection="0"/>
    <xf numFmtId="0" fontId="29" fillId="13" borderId="14" applyNumberFormat="0" applyAlignment="0" applyProtection="0"/>
    <xf numFmtId="4" fontId="35" fillId="0" borderId="129">
      <alignment horizontal="right" vertical="center"/>
    </xf>
    <xf numFmtId="4" fontId="33" fillId="32" borderId="119">
      <alignment horizontal="right" vertical="center"/>
    </xf>
    <xf numFmtId="0" fontId="33" fillId="34" borderId="120">
      <alignment horizontal="right" vertical="center"/>
    </xf>
    <xf numFmtId="0" fontId="50" fillId="43" borderId="124" applyNumberFormat="0" applyAlignment="0" applyProtection="0"/>
    <xf numFmtId="0" fontId="47" fillId="56" borderId="126" applyNumberFormat="0" applyAlignment="0" applyProtection="0"/>
    <xf numFmtId="0" fontId="59" fillId="43" borderId="124" applyNumberFormat="0" applyAlignment="0" applyProtection="0"/>
    <xf numFmtId="0" fontId="12" fillId="16" borderId="0" applyNumberFormat="0" applyBorder="0" applyAlignment="0" applyProtection="0"/>
    <xf numFmtId="0" fontId="63" fillId="56" borderId="141" applyNumberFormat="0" applyAlignment="0" applyProtection="0"/>
    <xf numFmtId="0" fontId="12" fillId="22" borderId="0" applyNumberFormat="0" applyBorder="0" applyAlignment="0" applyProtection="0"/>
    <xf numFmtId="0" fontId="27" fillId="30" borderId="0" applyNumberFormat="0" applyBorder="0" applyAlignment="0" applyProtection="0"/>
    <xf numFmtId="0" fontId="12" fillId="31" borderId="0" applyNumberFormat="0" applyBorder="0" applyAlignment="0" applyProtection="0"/>
    <xf numFmtId="0" fontId="41" fillId="59" borderId="128" applyNumberFormat="0" applyFont="0" applyAlignment="0" applyProtection="0"/>
    <xf numFmtId="0" fontId="27" fillId="26" borderId="0" applyNumberFormat="0" applyBorder="0" applyAlignment="0" applyProtection="0"/>
    <xf numFmtId="0" fontId="35" fillId="0" borderId="119">
      <alignment horizontal="right" vertical="center"/>
    </xf>
    <xf numFmtId="0" fontId="41" fillId="59" borderId="128" applyNumberFormat="0" applyFont="0" applyAlignment="0" applyProtection="0"/>
    <xf numFmtId="0" fontId="27" fillId="23" borderId="0" applyNumberFormat="0" applyBorder="0" applyAlignment="0" applyProtection="0"/>
    <xf numFmtId="0" fontId="37" fillId="32" borderId="119">
      <alignment horizontal="right" vertical="center"/>
    </xf>
    <xf numFmtId="0" fontId="59" fillId="43" borderId="124" applyNumberFormat="0" applyAlignment="0" applyProtection="0"/>
    <xf numFmtId="0" fontId="59" fillId="43" borderId="124" applyNumberFormat="0" applyAlignment="0" applyProtection="0"/>
    <xf numFmtId="0" fontId="59" fillId="43" borderId="126" applyNumberFormat="0" applyAlignment="0" applyProtection="0"/>
    <xf numFmtId="0" fontId="51" fillId="0" borderId="127" applyNumberFormat="0" applyFill="0" applyAlignment="0" applyProtection="0"/>
    <xf numFmtId="0" fontId="29" fillId="13" borderId="14" applyNumberFormat="0" applyAlignment="0" applyProtection="0"/>
    <xf numFmtId="4" fontId="33" fillId="34" borderId="131">
      <alignment horizontal="right" vertical="center"/>
    </xf>
    <xf numFmtId="0" fontId="46" fillId="56" borderId="126" applyNumberFormat="0" applyAlignment="0" applyProtection="0"/>
    <xf numFmtId="0" fontId="27" fillId="23" borderId="0" applyNumberFormat="0" applyBorder="0" applyAlignment="0" applyProtection="0"/>
    <xf numFmtId="0" fontId="27" fillId="30" borderId="0" applyNumberFormat="0" applyBorder="0" applyAlignment="0" applyProtection="0"/>
    <xf numFmtId="0" fontId="46" fillId="56" borderId="124" applyNumberFormat="0" applyAlignment="0" applyProtection="0"/>
    <xf numFmtId="0" fontId="59" fillId="43" borderId="126" applyNumberFormat="0" applyAlignment="0" applyProtection="0"/>
    <xf numFmtId="0" fontId="12" fillId="31" borderId="0" applyNumberFormat="0" applyBorder="0" applyAlignment="0" applyProtection="0"/>
    <xf numFmtId="0" fontId="27" fillId="27" borderId="0" applyNumberFormat="0" applyBorder="0" applyAlignment="0" applyProtection="0"/>
    <xf numFmtId="0" fontId="12" fillId="28" borderId="0" applyNumberFormat="0" applyBorder="0" applyAlignment="0" applyProtection="0"/>
    <xf numFmtId="0" fontId="33" fillId="32" borderId="137">
      <alignment horizontal="right" vertical="center"/>
    </xf>
    <xf numFmtId="0" fontId="27" fillId="24" borderId="0" applyNumberFormat="0" applyBorder="0" applyAlignment="0" applyProtection="0"/>
    <xf numFmtId="0" fontId="27" fillId="17" borderId="0" applyNumberFormat="0" applyBorder="0" applyAlignment="0" applyProtection="0"/>
    <xf numFmtId="0" fontId="27" fillId="17" borderId="0" applyNumberFormat="0" applyBorder="0" applyAlignment="0" applyProtection="0"/>
    <xf numFmtId="0" fontId="27" fillId="20" borderId="0" applyNumberFormat="0" applyBorder="0" applyAlignment="0" applyProtection="0"/>
    <xf numFmtId="0" fontId="27" fillId="18" borderId="0" applyNumberFormat="0" applyBorder="0" applyAlignment="0" applyProtection="0"/>
    <xf numFmtId="0" fontId="27" fillId="14" borderId="0" applyNumberFormat="0" applyBorder="0" applyAlignment="0" applyProtection="0"/>
    <xf numFmtId="0" fontId="27" fillId="15" borderId="0" applyNumberFormat="0" applyBorder="0" applyAlignment="0" applyProtection="0"/>
    <xf numFmtId="0" fontId="2" fillId="0" borderId="15" applyNumberFormat="0" applyFill="0" applyAlignment="0" applyProtection="0"/>
    <xf numFmtId="0" fontId="46" fillId="56" borderId="126" applyNumberFormat="0" applyAlignment="0" applyProtection="0"/>
    <xf numFmtId="0" fontId="37" fillId="32" borderId="119">
      <alignment horizontal="right" vertical="center"/>
    </xf>
    <xf numFmtId="0" fontId="35" fillId="32" borderId="120">
      <alignment horizontal="left" vertical="center"/>
    </xf>
    <xf numFmtId="0" fontId="51" fillId="0" borderId="127" applyNumberFormat="0" applyFill="0" applyAlignment="0" applyProtection="0"/>
    <xf numFmtId="0" fontId="63" fillId="56" borderId="133" applyNumberFormat="0" applyAlignment="0" applyProtection="0"/>
    <xf numFmtId="4" fontId="33" fillId="34" borderId="114">
      <alignment horizontal="right" vertical="center"/>
    </xf>
    <xf numFmtId="0" fontId="35" fillId="33" borderId="114"/>
    <xf numFmtId="0" fontId="46" fillId="56" borderId="111" applyNumberFormat="0" applyAlignment="0" applyProtection="0"/>
    <xf numFmtId="0" fontId="33" fillId="32" borderId="114">
      <alignment horizontal="right" vertical="center"/>
    </xf>
    <xf numFmtId="0" fontId="35" fillId="0" borderId="114">
      <alignment horizontal="right" vertical="center"/>
    </xf>
    <xf numFmtId="0" fontId="66" fillId="0" borderId="112" applyNumberFormat="0" applyFill="0" applyAlignment="0" applyProtection="0"/>
    <xf numFmtId="0" fontId="35" fillId="32" borderId="115">
      <alignment horizontal="left" vertical="center"/>
    </xf>
    <xf numFmtId="0" fontId="59" fillId="43" borderId="111" applyNumberFormat="0" applyAlignment="0" applyProtection="0"/>
    <xf numFmtId="173" fontId="35" fillId="60" borderId="114" applyNumberFormat="0" applyFont="0" applyBorder="0" applyAlignment="0" applyProtection="0">
      <alignment horizontal="right" vertical="center"/>
    </xf>
    <xf numFmtId="0" fontId="41" fillId="59" borderId="113" applyNumberFormat="0" applyFont="0" applyAlignment="0" applyProtection="0"/>
    <xf numFmtId="0" fontId="35" fillId="0" borderId="117">
      <alignment horizontal="left" vertical="center" wrapText="1" indent="2"/>
    </xf>
    <xf numFmtId="4" fontId="35" fillId="33" borderId="114"/>
    <xf numFmtId="49" fontId="34" fillId="0" borderId="114" applyNumberFormat="0" applyFill="0" applyBorder="0" applyProtection="0">
      <alignment horizontal="left" vertical="center"/>
    </xf>
    <xf numFmtId="0" fontId="35" fillId="0" borderId="114">
      <alignment horizontal="right" vertical="center"/>
    </xf>
    <xf numFmtId="4" fontId="33" fillId="34" borderId="116">
      <alignment horizontal="right" vertical="center"/>
    </xf>
    <xf numFmtId="4" fontId="33" fillId="34" borderId="114">
      <alignment horizontal="right" vertical="center"/>
    </xf>
    <xf numFmtId="4" fontId="33" fillId="34" borderId="114">
      <alignment horizontal="right" vertical="center"/>
    </xf>
    <xf numFmtId="0" fontId="37" fillId="32" borderId="114">
      <alignment horizontal="right" vertical="center"/>
    </xf>
    <xf numFmtId="0" fontId="33" fillId="32" borderId="114">
      <alignment horizontal="right" vertical="center"/>
    </xf>
    <xf numFmtId="49" fontId="35" fillId="0" borderId="114" applyNumberFormat="0" applyFont="0" applyFill="0" applyBorder="0" applyProtection="0">
      <alignment horizontal="left" vertical="center" indent="2"/>
    </xf>
    <xf numFmtId="0" fontId="59" fillId="43" borderId="111" applyNumberFormat="0" applyAlignment="0" applyProtection="0"/>
    <xf numFmtId="0" fontId="44" fillId="56" borderId="110" applyNumberFormat="0" applyAlignment="0" applyProtection="0"/>
    <xf numFmtId="49" fontId="35" fillId="0" borderId="114" applyNumberFormat="0" applyFont="0" applyFill="0" applyBorder="0" applyProtection="0">
      <alignment horizontal="left" vertical="center" indent="2"/>
    </xf>
    <xf numFmtId="0" fontId="50" fillId="43" borderId="111" applyNumberFormat="0" applyAlignment="0" applyProtection="0"/>
    <xf numFmtId="4" fontId="35" fillId="0" borderId="114" applyFill="0" applyBorder="0" applyProtection="0">
      <alignment horizontal="right" vertical="center"/>
    </xf>
    <xf numFmtId="0" fontId="47" fillId="56" borderId="111" applyNumberFormat="0" applyAlignment="0" applyProtection="0"/>
    <xf numFmtId="0" fontId="66" fillId="0" borderId="112" applyNumberFormat="0" applyFill="0" applyAlignment="0" applyProtection="0"/>
    <xf numFmtId="0" fontId="63" fillId="56" borderId="110" applyNumberFormat="0" applyAlignment="0" applyProtection="0"/>
    <xf numFmtId="0" fontId="35" fillId="0" borderId="114" applyNumberFormat="0" applyFill="0" applyAlignment="0" applyProtection="0"/>
    <xf numFmtId="4" fontId="35" fillId="0" borderId="114">
      <alignment horizontal="right" vertical="center"/>
    </xf>
    <xf numFmtId="0" fontId="35" fillId="0" borderId="114">
      <alignment horizontal="right" vertical="center"/>
    </xf>
    <xf numFmtId="0" fontId="59" fillId="43" borderId="111" applyNumberFormat="0" applyAlignment="0" applyProtection="0"/>
    <xf numFmtId="0" fontId="44" fillId="56" borderId="110" applyNumberFormat="0" applyAlignment="0" applyProtection="0"/>
    <xf numFmtId="0" fontId="46" fillId="56" borderId="111" applyNumberFormat="0" applyAlignment="0" applyProtection="0"/>
    <xf numFmtId="0" fontId="35" fillId="34" borderId="117">
      <alignment horizontal="left" vertical="center" wrapText="1" indent="2"/>
    </xf>
    <xf numFmtId="0" fontId="47" fillId="56" borderId="111" applyNumberFormat="0" applyAlignment="0" applyProtection="0"/>
    <xf numFmtId="0" fontId="47" fillId="56" borderId="111" applyNumberFormat="0" applyAlignment="0" applyProtection="0"/>
    <xf numFmtId="4" fontId="33" fillId="34" borderId="115">
      <alignment horizontal="right" vertical="center"/>
    </xf>
    <xf numFmtId="0" fontId="33" fillId="34" borderId="115">
      <alignment horizontal="right" vertical="center"/>
    </xf>
    <xf numFmtId="0" fontId="33" fillId="34" borderId="114">
      <alignment horizontal="right" vertical="center"/>
    </xf>
    <xf numFmtId="4" fontId="37" fillId="32" borderId="114">
      <alignment horizontal="right" vertical="center"/>
    </xf>
    <xf numFmtId="0" fontId="50" fillId="43" borderId="111" applyNumberFormat="0" applyAlignment="0" applyProtection="0"/>
    <xf numFmtId="0" fontId="51" fillId="0" borderId="112" applyNumberFormat="0" applyFill="0" applyAlignment="0" applyProtection="0"/>
    <xf numFmtId="0" fontId="66" fillId="0" borderId="112" applyNumberFormat="0" applyFill="0" applyAlignment="0" applyProtection="0"/>
    <xf numFmtId="0" fontId="41" fillId="59" borderId="113" applyNumberFormat="0" applyFont="0" applyAlignment="0" applyProtection="0"/>
    <xf numFmtId="0" fontId="59" fillId="43" borderId="111" applyNumberFormat="0" applyAlignment="0" applyProtection="0"/>
    <xf numFmtId="49" fontId="34" fillId="0" borderId="114" applyNumberFormat="0" applyFill="0" applyBorder="0" applyProtection="0">
      <alignment horizontal="left" vertical="center"/>
    </xf>
    <xf numFmtId="0" fontId="35" fillId="34" borderId="117">
      <alignment horizontal="left" vertical="center" wrapText="1" indent="2"/>
    </xf>
    <xf numFmtId="0" fontId="47" fillId="56" borderId="111" applyNumberFormat="0" applyAlignment="0" applyProtection="0"/>
    <xf numFmtId="0" fontId="35" fillId="0" borderId="117">
      <alignment horizontal="left" vertical="center" wrapText="1" indent="2"/>
    </xf>
    <xf numFmtId="0" fontId="41" fillId="59" borderId="113" applyNumberFormat="0" applyFont="0" applyAlignment="0" applyProtection="0"/>
    <xf numFmtId="0" fontId="5" fillId="59" borderId="113" applyNumberFormat="0" applyFont="0" applyAlignment="0" applyProtection="0"/>
    <xf numFmtId="0" fontId="63" fillId="56" borderId="110" applyNumberFormat="0" applyAlignment="0" applyProtection="0"/>
    <xf numFmtId="0" fontId="66" fillId="0" borderId="112" applyNumberFormat="0" applyFill="0" applyAlignment="0" applyProtection="0"/>
    <xf numFmtId="4" fontId="35" fillId="33" borderId="114"/>
    <xf numFmtId="0" fontId="33" fillId="34" borderId="114">
      <alignment horizontal="right" vertical="center"/>
    </xf>
    <xf numFmtId="0" fontId="66" fillId="0" borderId="112" applyNumberFormat="0" applyFill="0" applyAlignment="0" applyProtection="0"/>
    <xf numFmtId="4" fontId="33" fillId="34" borderId="116">
      <alignment horizontal="right" vertical="center"/>
    </xf>
    <xf numFmtId="0" fontId="46" fillId="56" borderId="111" applyNumberFormat="0" applyAlignment="0" applyProtection="0"/>
    <xf numFmtId="0" fontId="33" fillId="34" borderId="115">
      <alignment horizontal="right" vertical="center"/>
    </xf>
    <xf numFmtId="0" fontId="47" fillId="56" borderId="111" applyNumberFormat="0" applyAlignment="0" applyProtection="0"/>
    <xf numFmtId="0" fontId="51" fillId="0" borderId="112" applyNumberFormat="0" applyFill="0" applyAlignment="0" applyProtection="0"/>
    <xf numFmtId="0" fontId="41" fillId="59" borderId="113" applyNumberFormat="0" applyFont="0" applyAlignment="0" applyProtection="0"/>
    <xf numFmtId="4" fontId="33" fillId="34" borderId="115">
      <alignment horizontal="right" vertical="center"/>
    </xf>
    <xf numFmtId="0" fontId="35" fillId="34" borderId="117">
      <alignment horizontal="left" vertical="center" wrapText="1" indent="2"/>
    </xf>
    <xf numFmtId="0" fontId="35" fillId="33" borderId="114"/>
    <xf numFmtId="173" fontId="35" fillId="60" borderId="114" applyNumberFormat="0" applyFont="0" applyBorder="0" applyAlignment="0" applyProtection="0">
      <alignment horizontal="right" vertical="center"/>
    </xf>
    <xf numFmtId="0" fontId="35" fillId="0" borderId="114" applyNumberFormat="0" applyFill="0" applyAlignment="0" applyProtection="0"/>
    <xf numFmtId="4" fontId="35" fillId="0" borderId="114" applyFill="0" applyBorder="0" applyProtection="0">
      <alignment horizontal="right" vertical="center"/>
    </xf>
    <xf numFmtId="4" fontId="33" fillId="32" borderId="114">
      <alignment horizontal="right" vertical="center"/>
    </xf>
    <xf numFmtId="0" fontId="51" fillId="0" borderId="112" applyNumberFormat="0" applyFill="0" applyAlignment="0" applyProtection="0"/>
    <xf numFmtId="49" fontId="34" fillId="0" borderId="114" applyNumberFormat="0" applyFill="0" applyBorder="0" applyProtection="0">
      <alignment horizontal="left" vertical="center"/>
    </xf>
    <xf numFmtId="49" fontId="35" fillId="0" borderId="115" applyNumberFormat="0" applyFont="0" applyFill="0" applyBorder="0" applyProtection="0">
      <alignment horizontal="left" vertical="center" indent="5"/>
    </xf>
    <xf numFmtId="0" fontId="35" fillId="32" borderId="115">
      <alignment horizontal="left" vertical="center"/>
    </xf>
    <xf numFmtId="0" fontId="47" fillId="56" borderId="111" applyNumberFormat="0" applyAlignment="0" applyProtection="0"/>
    <xf numFmtId="4" fontId="33" fillId="34" borderId="116">
      <alignment horizontal="right" vertical="center"/>
    </xf>
    <xf numFmtId="0" fontId="59" fillId="43" borderId="111" applyNumberFormat="0" applyAlignment="0" applyProtection="0"/>
    <xf numFmtId="0" fontId="59" fillId="43" borderId="111" applyNumberFormat="0" applyAlignment="0" applyProtection="0"/>
    <xf numFmtId="0" fontId="41" fillId="59" borderId="113" applyNumberFormat="0" applyFont="0" applyAlignment="0" applyProtection="0"/>
    <xf numFmtId="0" fontId="63" fillId="56" borderId="110" applyNumberFormat="0" applyAlignment="0" applyProtection="0"/>
    <xf numFmtId="0" fontId="66" fillId="0" borderId="112" applyNumberFormat="0" applyFill="0" applyAlignment="0" applyProtection="0"/>
    <xf numFmtId="0" fontId="33" fillId="34" borderId="114">
      <alignment horizontal="right" vertical="center"/>
    </xf>
    <xf numFmtId="0" fontId="5" fillId="59" borderId="113" applyNumberFormat="0" applyFont="0" applyAlignment="0" applyProtection="0"/>
    <xf numFmtId="4" fontId="35" fillId="0" borderId="114">
      <alignment horizontal="right" vertical="center"/>
    </xf>
    <xf numFmtId="0" fontId="66" fillId="0" borderId="112" applyNumberFormat="0" applyFill="0" applyAlignment="0" applyProtection="0"/>
    <xf numFmtId="0" fontId="33" fillId="34" borderId="114">
      <alignment horizontal="right" vertical="center"/>
    </xf>
    <xf numFmtId="0" fontId="33" fillId="34" borderId="114">
      <alignment horizontal="right" vertical="center"/>
    </xf>
    <xf numFmtId="4" fontId="37" fillId="32" borderId="114">
      <alignment horizontal="right" vertical="center"/>
    </xf>
    <xf numFmtId="0" fontId="33" fillId="32" borderId="114">
      <alignment horizontal="right" vertical="center"/>
    </xf>
    <xf numFmtId="4" fontId="33" fillId="32" borderId="114">
      <alignment horizontal="right" vertical="center"/>
    </xf>
    <xf numFmtId="0" fontId="37" fillId="32" borderId="114">
      <alignment horizontal="right" vertical="center"/>
    </xf>
    <xf numFmtId="4" fontId="37" fillId="32" borderId="114">
      <alignment horizontal="right" vertical="center"/>
    </xf>
    <xf numFmtId="0" fontId="33" fillId="34" borderId="114">
      <alignment horizontal="right" vertical="center"/>
    </xf>
    <xf numFmtId="4" fontId="33" fillId="34" borderId="114">
      <alignment horizontal="right" vertical="center"/>
    </xf>
    <xf numFmtId="0" fontId="33" fillId="34" borderId="114">
      <alignment horizontal="right" vertical="center"/>
    </xf>
    <xf numFmtId="4" fontId="33" fillId="34" borderId="114">
      <alignment horizontal="right" vertical="center"/>
    </xf>
    <xf numFmtId="0" fontId="33" fillId="34" borderId="115">
      <alignment horizontal="right" vertical="center"/>
    </xf>
    <xf numFmtId="4" fontId="33" fillId="34" borderId="115">
      <alignment horizontal="right" vertical="center"/>
    </xf>
    <xf numFmtId="0" fontId="33" fillId="34" borderId="116">
      <alignment horizontal="right" vertical="center"/>
    </xf>
    <xf numFmtId="4" fontId="33" fillId="34" borderId="116">
      <alignment horizontal="right" vertical="center"/>
    </xf>
    <xf numFmtId="0" fontId="47" fillId="56" borderId="111" applyNumberFormat="0" applyAlignment="0" applyProtection="0"/>
    <xf numFmtId="0" fontId="35" fillId="34" borderId="117">
      <alignment horizontal="left" vertical="center" wrapText="1" indent="2"/>
    </xf>
    <xf numFmtId="0" fontId="35" fillId="0" borderId="117">
      <alignment horizontal="left" vertical="center" wrapText="1" indent="2"/>
    </xf>
    <xf numFmtId="0" fontId="35" fillId="32" borderId="115">
      <alignment horizontal="left" vertical="center"/>
    </xf>
    <xf numFmtId="0" fontId="59" fillId="43" borderId="111" applyNumberFormat="0" applyAlignment="0" applyProtection="0"/>
    <xf numFmtId="0" fontId="35" fillId="0" borderId="114">
      <alignment horizontal="right" vertical="center"/>
    </xf>
    <xf numFmtId="4" fontId="35" fillId="0" borderId="114">
      <alignment horizontal="right" vertical="center"/>
    </xf>
    <xf numFmtId="0" fontId="35" fillId="0" borderId="114" applyNumberFormat="0" applyFill="0" applyAlignment="0" applyProtection="0"/>
    <xf numFmtId="0" fontId="63" fillId="56" borderId="110" applyNumberFormat="0" applyAlignment="0" applyProtection="0"/>
    <xf numFmtId="173" fontId="35" fillId="60" borderId="114" applyNumberFormat="0" applyFont="0" applyBorder="0" applyAlignment="0" applyProtection="0">
      <alignment horizontal="right" vertical="center"/>
    </xf>
    <xf numFmtId="0" fontId="35" fillId="33" borderId="114"/>
    <xf numFmtId="4" fontId="35" fillId="33" borderId="114"/>
    <xf numFmtId="0" fontId="66" fillId="0" borderId="112" applyNumberFormat="0" applyFill="0" applyAlignment="0" applyProtection="0"/>
    <xf numFmtId="0" fontId="5" fillId="59" borderId="113" applyNumberFormat="0" applyFont="0" applyAlignment="0" applyProtection="0"/>
    <xf numFmtId="0" fontId="41" fillId="59" borderId="113" applyNumberFormat="0" applyFont="0" applyAlignment="0" applyProtection="0"/>
    <xf numFmtId="0" fontId="35" fillId="0" borderId="114" applyNumberFormat="0" applyFill="0" applyAlignment="0" applyProtection="0"/>
    <xf numFmtId="0" fontId="51" fillId="0" borderId="112" applyNumberFormat="0" applyFill="0" applyAlignment="0" applyProtection="0"/>
    <xf numFmtId="0" fontId="66" fillId="0" borderId="112" applyNumberFormat="0" applyFill="0" applyAlignment="0" applyProtection="0"/>
    <xf numFmtId="0" fontId="50" fillId="43" borderId="111" applyNumberFormat="0" applyAlignment="0" applyProtection="0"/>
    <xf numFmtId="0" fontId="47" fillId="56" borderId="111" applyNumberFormat="0" applyAlignment="0" applyProtection="0"/>
    <xf numFmtId="4" fontId="37" fillId="32" borderId="114">
      <alignment horizontal="right" vertical="center"/>
    </xf>
    <xf numFmtId="0" fontId="33" fillId="32" borderId="114">
      <alignment horizontal="right" vertical="center"/>
    </xf>
    <xf numFmtId="173" fontId="35" fillId="60" borderId="114" applyNumberFormat="0" applyFont="0" applyBorder="0" applyAlignment="0" applyProtection="0">
      <alignment horizontal="right" vertical="center"/>
    </xf>
    <xf numFmtId="0" fontId="51" fillId="0" borderId="112" applyNumberFormat="0" applyFill="0" applyAlignment="0" applyProtection="0"/>
    <xf numFmtId="49" fontId="35" fillId="0" borderId="114" applyNumberFormat="0" applyFont="0" applyFill="0" applyBorder="0" applyProtection="0">
      <alignment horizontal="left" vertical="center" indent="2"/>
    </xf>
    <xf numFmtId="49" fontId="35" fillId="0" borderId="115" applyNumberFormat="0" applyFont="0" applyFill="0" applyBorder="0" applyProtection="0">
      <alignment horizontal="left" vertical="center" indent="5"/>
    </xf>
    <xf numFmtId="49" fontId="35" fillId="0" borderId="114" applyNumberFormat="0" applyFont="0" applyFill="0" applyBorder="0" applyProtection="0">
      <alignment horizontal="left" vertical="center" indent="2"/>
    </xf>
    <xf numFmtId="4" fontId="35" fillId="0" borderId="114" applyFill="0" applyBorder="0" applyProtection="0">
      <alignment horizontal="right" vertical="center"/>
    </xf>
    <xf numFmtId="49" fontId="34" fillId="0" borderId="114" applyNumberFormat="0" applyFill="0" applyBorder="0" applyProtection="0">
      <alignment horizontal="left" vertical="center"/>
    </xf>
    <xf numFmtId="0" fontId="35" fillId="0" borderId="117">
      <alignment horizontal="left" vertical="center" wrapText="1" indent="2"/>
    </xf>
    <xf numFmtId="0" fontId="63" fillId="56" borderId="110" applyNumberFormat="0" applyAlignment="0" applyProtection="0"/>
    <xf numFmtId="0" fontId="33" fillId="34" borderId="116">
      <alignment horizontal="right" vertical="center"/>
    </xf>
    <xf numFmtId="0" fontId="50" fillId="43" borderId="111" applyNumberFormat="0" applyAlignment="0" applyProtection="0"/>
    <xf numFmtId="0" fontId="33" fillId="34" borderId="116">
      <alignment horizontal="right" vertical="center"/>
    </xf>
    <xf numFmtId="4" fontId="33" fillId="34" borderId="114">
      <alignment horizontal="right" vertical="center"/>
    </xf>
    <xf numFmtId="0" fontId="33" fillId="34" borderId="114">
      <alignment horizontal="right" vertical="center"/>
    </xf>
    <xf numFmtId="0" fontId="44" fillId="56" borderId="110" applyNumberFormat="0" applyAlignment="0" applyProtection="0"/>
    <xf numFmtId="0" fontId="46" fillId="56" borderId="111" applyNumberFormat="0" applyAlignment="0" applyProtection="0"/>
    <xf numFmtId="0" fontId="51" fillId="0" borderId="112" applyNumberFormat="0" applyFill="0" applyAlignment="0" applyProtection="0"/>
    <xf numFmtId="0" fontId="35" fillId="33" borderId="114"/>
    <xf numFmtId="4" fontId="35" fillId="33" borderId="114"/>
    <xf numFmtId="4" fontId="33" fillId="34" borderId="114">
      <alignment horizontal="right" vertical="center"/>
    </xf>
    <xf numFmtId="0" fontId="37" fillId="32" borderId="114">
      <alignment horizontal="right" vertical="center"/>
    </xf>
    <xf numFmtId="0" fontId="50" fillId="43" borderId="111" applyNumberFormat="0" applyAlignment="0" applyProtection="0"/>
    <xf numFmtId="0" fontId="47" fillId="56" borderId="111" applyNumberFormat="0" applyAlignment="0" applyProtection="0"/>
    <xf numFmtId="4" fontId="35" fillId="0" borderId="114">
      <alignment horizontal="right" vertical="center"/>
    </xf>
    <xf numFmtId="0" fontId="35" fillId="34" borderId="117">
      <alignment horizontal="left" vertical="center" wrapText="1" indent="2"/>
    </xf>
    <xf numFmtId="0" fontId="35" fillId="0" borderId="117">
      <alignment horizontal="left" vertical="center" wrapText="1" indent="2"/>
    </xf>
    <xf numFmtId="0" fontId="63" fillId="56" borderId="110" applyNumberFormat="0" applyAlignment="0" applyProtection="0"/>
    <xf numFmtId="0" fontId="59" fillId="43" borderId="111" applyNumberFormat="0" applyAlignment="0" applyProtection="0"/>
    <xf numFmtId="0" fontId="46" fillId="56" borderId="111" applyNumberFormat="0" applyAlignment="0" applyProtection="0"/>
    <xf numFmtId="0" fontId="44" fillId="56" borderId="110" applyNumberFormat="0" applyAlignment="0" applyProtection="0"/>
    <xf numFmtId="0" fontId="33" fillId="34" borderId="116">
      <alignment horizontal="right" vertical="center"/>
    </xf>
    <xf numFmtId="0" fontId="37" fillId="32" borderId="114">
      <alignment horizontal="right" vertical="center"/>
    </xf>
    <xf numFmtId="4" fontId="33" fillId="32" borderId="114">
      <alignment horizontal="right" vertical="center"/>
    </xf>
    <xf numFmtId="4" fontId="33" fillId="34" borderId="114">
      <alignment horizontal="right" vertical="center"/>
    </xf>
    <xf numFmtId="49" fontId="35" fillId="0" borderId="115" applyNumberFormat="0" applyFont="0" applyFill="0" applyBorder="0" applyProtection="0">
      <alignment horizontal="left" vertical="center" indent="5"/>
    </xf>
    <xf numFmtId="4" fontId="35" fillId="0" borderId="114" applyFill="0" applyBorder="0" applyProtection="0">
      <alignment horizontal="right" vertical="center"/>
    </xf>
    <xf numFmtId="4" fontId="33" fillId="32" borderId="114">
      <alignment horizontal="right" vertical="center"/>
    </xf>
    <xf numFmtId="4" fontId="33" fillId="34" borderId="119">
      <alignment horizontal="right" vertical="center"/>
    </xf>
    <xf numFmtId="0" fontId="59" fillId="43" borderId="111" applyNumberFormat="0" applyAlignment="0" applyProtection="0"/>
    <xf numFmtId="0" fontId="50" fillId="43" borderId="111" applyNumberFormat="0" applyAlignment="0" applyProtection="0"/>
    <xf numFmtId="0" fontId="46" fillId="56" borderId="111" applyNumberFormat="0" applyAlignment="0" applyProtection="0"/>
    <xf numFmtId="0" fontId="35" fillId="34" borderId="117">
      <alignment horizontal="left" vertical="center" wrapText="1" indent="2"/>
    </xf>
    <xf numFmtId="0" fontId="35" fillId="0" borderId="117">
      <alignment horizontal="left" vertical="center" wrapText="1" indent="2"/>
    </xf>
    <xf numFmtId="0" fontId="35" fillId="34" borderId="117">
      <alignment horizontal="left" vertical="center" wrapText="1" indent="2"/>
    </xf>
    <xf numFmtId="0" fontId="35" fillId="0" borderId="117">
      <alignment horizontal="left" vertical="center" wrapText="1" indent="2"/>
    </xf>
    <xf numFmtId="0" fontId="44" fillId="56" borderId="110" applyNumberFormat="0" applyAlignment="0" applyProtection="0"/>
    <xf numFmtId="0" fontId="46" fillId="56" borderId="111" applyNumberFormat="0" applyAlignment="0" applyProtection="0"/>
    <xf numFmtId="0" fontId="47" fillId="56" borderId="111" applyNumberFormat="0" applyAlignment="0" applyProtection="0"/>
    <xf numFmtId="0" fontId="50" fillId="43" borderId="111" applyNumberFormat="0" applyAlignment="0" applyProtection="0"/>
    <xf numFmtId="0" fontId="51" fillId="0" borderId="112" applyNumberFormat="0" applyFill="0" applyAlignment="0" applyProtection="0"/>
    <xf numFmtId="0" fontId="59" fillId="43" borderId="111" applyNumberFormat="0" applyAlignment="0" applyProtection="0"/>
    <xf numFmtId="0" fontId="41" fillId="59" borderId="113" applyNumberFormat="0" applyFont="0" applyAlignment="0" applyProtection="0"/>
    <xf numFmtId="0" fontId="5" fillId="59" borderId="113" applyNumberFormat="0" applyFont="0" applyAlignment="0" applyProtection="0"/>
    <xf numFmtId="0" fontId="63" fillId="56" borderId="110" applyNumberFormat="0" applyAlignment="0" applyProtection="0"/>
    <xf numFmtId="0" fontId="66" fillId="0" borderId="112" applyNumberFormat="0" applyFill="0" applyAlignment="0" applyProtection="0"/>
    <xf numFmtId="0" fontId="47" fillId="56" borderId="111" applyNumberFormat="0" applyAlignment="0" applyProtection="0"/>
    <xf numFmtId="0" fontId="59" fillId="43" borderId="111" applyNumberFormat="0" applyAlignment="0" applyProtection="0"/>
    <xf numFmtId="0" fontId="41" fillId="59" borderId="113" applyNumberFormat="0" applyFont="0" applyAlignment="0" applyProtection="0"/>
    <xf numFmtId="0" fontId="63" fillId="56" borderId="110" applyNumberFormat="0" applyAlignment="0" applyProtection="0"/>
    <xf numFmtId="0" fontId="66" fillId="0" borderId="112" applyNumberFormat="0" applyFill="0" applyAlignment="0" applyProtection="0"/>
    <xf numFmtId="0" fontId="33" fillId="34" borderId="107">
      <alignment horizontal="right" vertical="center"/>
    </xf>
    <xf numFmtId="4" fontId="33" fillId="34" borderId="107">
      <alignment horizontal="right" vertical="center"/>
    </xf>
    <xf numFmtId="0" fontId="33" fillId="34" borderId="108">
      <alignment horizontal="right" vertical="center"/>
    </xf>
    <xf numFmtId="4" fontId="33" fillId="34" borderId="108">
      <alignment horizontal="right" vertical="center"/>
    </xf>
    <xf numFmtId="0" fontId="47" fillId="56" borderId="111" applyNumberFormat="0" applyAlignment="0" applyProtection="0"/>
    <xf numFmtId="0" fontId="35" fillId="34" borderId="109">
      <alignment horizontal="left" vertical="center" wrapText="1" indent="2"/>
    </xf>
    <xf numFmtId="0" fontId="35" fillId="0" borderId="109">
      <alignment horizontal="left" vertical="center" wrapText="1" indent="2"/>
    </xf>
    <xf numFmtId="0" fontId="35" fillId="32" borderId="107">
      <alignment horizontal="left" vertical="center"/>
    </xf>
    <xf numFmtId="0" fontId="59" fillId="43" borderId="111" applyNumberFormat="0" applyAlignment="0" applyProtection="0"/>
    <xf numFmtId="0" fontId="63" fillId="56" borderId="110" applyNumberFormat="0" applyAlignment="0" applyProtection="0"/>
    <xf numFmtId="0" fontId="66" fillId="0" borderId="112" applyNumberFormat="0" applyFill="0" applyAlignment="0" applyProtection="0"/>
    <xf numFmtId="49" fontId="35" fillId="0" borderId="107" applyNumberFormat="0" applyFont="0" applyFill="0" applyBorder="0" applyProtection="0">
      <alignment horizontal="left" vertical="center" indent="5"/>
    </xf>
    <xf numFmtId="0" fontId="44" fillId="56" borderId="110" applyNumberFormat="0" applyAlignment="0" applyProtection="0"/>
    <xf numFmtId="0" fontId="46" fillId="56" borderId="111" applyNumberFormat="0" applyAlignment="0" applyProtection="0"/>
    <xf numFmtId="0" fontId="51" fillId="0" borderId="112" applyNumberFormat="0" applyFill="0" applyAlignment="0" applyProtection="0"/>
    <xf numFmtId="49" fontId="35" fillId="0" borderId="114" applyNumberFormat="0" applyFont="0" applyFill="0" applyBorder="0" applyProtection="0">
      <alignment horizontal="left" vertical="center" indent="2"/>
    </xf>
    <xf numFmtId="0" fontId="33" fillId="32" borderId="114">
      <alignment horizontal="right" vertical="center"/>
    </xf>
    <xf numFmtId="4" fontId="33" fillId="32" borderId="114">
      <alignment horizontal="right" vertical="center"/>
    </xf>
    <xf numFmtId="0" fontId="37" fillId="32" borderId="114">
      <alignment horizontal="right" vertical="center"/>
    </xf>
    <xf numFmtId="4" fontId="37" fillId="32" borderId="114">
      <alignment horizontal="right" vertical="center"/>
    </xf>
    <xf numFmtId="0" fontId="33" fillId="34" borderId="114">
      <alignment horizontal="right" vertical="center"/>
    </xf>
    <xf numFmtId="4" fontId="33" fillId="34" borderId="114">
      <alignment horizontal="right" vertical="center"/>
    </xf>
    <xf numFmtId="0" fontId="33" fillId="34" borderId="114">
      <alignment horizontal="right" vertical="center"/>
    </xf>
    <xf numFmtId="4" fontId="33" fillId="34" borderId="114">
      <alignment horizontal="right" vertical="center"/>
    </xf>
    <xf numFmtId="0" fontId="50" fillId="43" borderId="111" applyNumberFormat="0" applyAlignment="0" applyProtection="0"/>
    <xf numFmtId="0" fontId="35" fillId="0" borderId="114">
      <alignment horizontal="right" vertical="center"/>
    </xf>
    <xf numFmtId="4" fontId="35" fillId="0" borderId="114">
      <alignment horizontal="right" vertical="center"/>
    </xf>
    <xf numFmtId="4" fontId="35" fillId="0" borderId="114" applyFill="0" applyBorder="0" applyProtection="0">
      <alignment horizontal="right" vertical="center"/>
    </xf>
    <xf numFmtId="49" fontId="34" fillId="0" borderId="114" applyNumberFormat="0" applyFill="0" applyBorder="0" applyProtection="0">
      <alignment horizontal="left" vertical="center"/>
    </xf>
    <xf numFmtId="0" fontId="35" fillId="0" borderId="114" applyNumberFormat="0" applyFill="0" applyAlignment="0" applyProtection="0"/>
    <xf numFmtId="173" fontId="35" fillId="60" borderId="114" applyNumberFormat="0" applyFont="0" applyBorder="0" applyAlignment="0" applyProtection="0">
      <alignment horizontal="right" vertical="center"/>
    </xf>
    <xf numFmtId="0" fontId="35" fillId="33" borderId="114"/>
    <xf numFmtId="4" fontId="35" fillId="33" borderId="114"/>
    <xf numFmtId="4" fontId="33" fillId="34" borderId="114">
      <alignment horizontal="right" vertical="center"/>
    </xf>
    <xf numFmtId="0" fontId="35" fillId="33" borderId="114"/>
    <xf numFmtId="0" fontId="46" fillId="56" borderId="111" applyNumberFormat="0" applyAlignment="0" applyProtection="0"/>
    <xf numFmtId="0" fontId="33" fillId="32" borderId="114">
      <alignment horizontal="right" vertical="center"/>
    </xf>
    <xf numFmtId="0" fontId="35" fillId="0" borderId="114">
      <alignment horizontal="right" vertical="center"/>
    </xf>
    <xf numFmtId="0" fontId="66" fillId="0" borderId="112" applyNumberFormat="0" applyFill="0" applyAlignment="0" applyProtection="0"/>
    <xf numFmtId="0" fontId="35" fillId="32" borderId="115">
      <alignment horizontal="left" vertical="center"/>
    </xf>
    <xf numFmtId="0" fontId="59" fillId="43" borderId="111" applyNumberFormat="0" applyAlignment="0" applyProtection="0"/>
    <xf numFmtId="173" fontId="35" fillId="60" borderId="114" applyNumberFormat="0" applyFont="0" applyBorder="0" applyAlignment="0" applyProtection="0">
      <alignment horizontal="right" vertical="center"/>
    </xf>
    <xf numFmtId="0" fontId="41" fillId="59" borderId="113" applyNumberFormat="0" applyFont="0" applyAlignment="0" applyProtection="0"/>
    <xf numFmtId="0" fontId="35" fillId="0" borderId="117">
      <alignment horizontal="left" vertical="center" wrapText="1" indent="2"/>
    </xf>
    <xf numFmtId="4" fontId="35" fillId="33" borderId="114"/>
    <xf numFmtId="49" fontId="34" fillId="0" borderId="114" applyNumberFormat="0" applyFill="0" applyBorder="0" applyProtection="0">
      <alignment horizontal="left" vertical="center"/>
    </xf>
    <xf numFmtId="0" fontId="35" fillId="0" borderId="114">
      <alignment horizontal="right" vertical="center"/>
    </xf>
    <xf numFmtId="4" fontId="33" fillId="34" borderId="116">
      <alignment horizontal="right" vertical="center"/>
    </xf>
    <xf numFmtId="4" fontId="33" fillId="34" borderId="114">
      <alignment horizontal="right" vertical="center"/>
    </xf>
    <xf numFmtId="4" fontId="33" fillId="34" borderId="114">
      <alignment horizontal="right" vertical="center"/>
    </xf>
    <xf numFmtId="0" fontId="37" fillId="32" borderId="114">
      <alignment horizontal="right" vertical="center"/>
    </xf>
    <xf numFmtId="0" fontId="33" fillId="32" borderId="114">
      <alignment horizontal="right" vertical="center"/>
    </xf>
    <xf numFmtId="49" fontId="35" fillId="0" borderId="114" applyNumberFormat="0" applyFont="0" applyFill="0" applyBorder="0" applyProtection="0">
      <alignment horizontal="left" vertical="center" indent="2"/>
    </xf>
    <xf numFmtId="0" fontId="59" fillId="43" borderId="111" applyNumberFormat="0" applyAlignment="0" applyProtection="0"/>
    <xf numFmtId="0" fontId="44" fillId="56" borderId="110" applyNumberFormat="0" applyAlignment="0" applyProtection="0"/>
    <xf numFmtId="49" fontId="35" fillId="0" borderId="114" applyNumberFormat="0" applyFont="0" applyFill="0" applyBorder="0" applyProtection="0">
      <alignment horizontal="left" vertical="center" indent="2"/>
    </xf>
    <xf numFmtId="0" fontId="50" fillId="43" borderId="111" applyNumberFormat="0" applyAlignment="0" applyProtection="0"/>
    <xf numFmtId="4" fontId="35" fillId="0" borderId="114" applyFill="0" applyBorder="0" applyProtection="0">
      <alignment horizontal="right" vertical="center"/>
    </xf>
    <xf numFmtId="0" fontId="47" fillId="56" borderId="111" applyNumberFormat="0" applyAlignment="0" applyProtection="0"/>
    <xf numFmtId="0" fontId="66" fillId="0" borderId="112" applyNumberFormat="0" applyFill="0" applyAlignment="0" applyProtection="0"/>
    <xf numFmtId="0" fontId="63" fillId="56" borderId="110" applyNumberFormat="0" applyAlignment="0" applyProtection="0"/>
    <xf numFmtId="0" fontId="35" fillId="0" borderId="114" applyNumberFormat="0" applyFill="0" applyAlignment="0" applyProtection="0"/>
    <xf numFmtId="4" fontId="35" fillId="0" borderId="114">
      <alignment horizontal="right" vertical="center"/>
    </xf>
    <xf numFmtId="0" fontId="35" fillId="0" borderId="114">
      <alignment horizontal="right" vertical="center"/>
    </xf>
    <xf numFmtId="0" fontId="59" fillId="43" borderId="111" applyNumberFormat="0" applyAlignment="0" applyProtection="0"/>
    <xf numFmtId="0" fontId="44" fillId="56" borderId="110" applyNumberFormat="0" applyAlignment="0" applyProtection="0"/>
    <xf numFmtId="0" fontId="46" fillId="56" borderId="111" applyNumberFormat="0" applyAlignment="0" applyProtection="0"/>
    <xf numFmtId="0" fontId="35" fillId="34" borderId="117">
      <alignment horizontal="left" vertical="center" wrapText="1" indent="2"/>
    </xf>
    <xf numFmtId="0" fontId="47" fillId="56" borderId="111" applyNumberFormat="0" applyAlignment="0" applyProtection="0"/>
    <xf numFmtId="0" fontId="47" fillId="56" borderId="111" applyNumberFormat="0" applyAlignment="0" applyProtection="0"/>
    <xf numFmtId="4" fontId="33" fillId="34" borderId="115">
      <alignment horizontal="right" vertical="center"/>
    </xf>
    <xf numFmtId="0" fontId="33" fillId="34" borderId="115">
      <alignment horizontal="right" vertical="center"/>
    </xf>
    <xf numFmtId="0" fontId="33" fillId="34" borderId="114">
      <alignment horizontal="right" vertical="center"/>
    </xf>
    <xf numFmtId="4" fontId="37" fillId="32" borderId="114">
      <alignment horizontal="right" vertical="center"/>
    </xf>
    <xf numFmtId="0" fontId="50" fillId="43" borderId="111" applyNumberFormat="0" applyAlignment="0" applyProtection="0"/>
    <xf numFmtId="0" fontId="51" fillId="0" borderId="112" applyNumberFormat="0" applyFill="0" applyAlignment="0" applyProtection="0"/>
    <xf numFmtId="0" fontId="66" fillId="0" borderId="112" applyNumberFormat="0" applyFill="0" applyAlignment="0" applyProtection="0"/>
    <xf numFmtId="0" fontId="41" fillId="59" borderId="113" applyNumberFormat="0" applyFont="0" applyAlignment="0" applyProtection="0"/>
    <xf numFmtId="0" fontId="59" fillId="43" borderId="111" applyNumberFormat="0" applyAlignment="0" applyProtection="0"/>
    <xf numFmtId="49" fontId="34" fillId="0" borderId="114" applyNumberFormat="0" applyFill="0" applyBorder="0" applyProtection="0">
      <alignment horizontal="left" vertical="center"/>
    </xf>
    <xf numFmtId="0" fontId="35" fillId="34" borderId="117">
      <alignment horizontal="left" vertical="center" wrapText="1" indent="2"/>
    </xf>
    <xf numFmtId="0" fontId="47" fillId="56" borderId="111" applyNumberFormat="0" applyAlignment="0" applyProtection="0"/>
    <xf numFmtId="0" fontId="35" fillId="0" borderId="117">
      <alignment horizontal="left" vertical="center" wrapText="1" indent="2"/>
    </xf>
    <xf numFmtId="0" fontId="41" fillId="59" borderId="113" applyNumberFormat="0" applyFont="0" applyAlignment="0" applyProtection="0"/>
    <xf numFmtId="0" fontId="5" fillId="59" borderId="113" applyNumberFormat="0" applyFont="0" applyAlignment="0" applyProtection="0"/>
    <xf numFmtId="0" fontId="63" fillId="56" borderId="110" applyNumberFormat="0" applyAlignment="0" applyProtection="0"/>
    <xf numFmtId="0" fontId="66" fillId="0" borderId="112" applyNumberFormat="0" applyFill="0" applyAlignment="0" applyProtection="0"/>
    <xf numFmtId="4" fontId="35" fillId="33" borderId="114"/>
    <xf numFmtId="0" fontId="33" fillId="34" borderId="114">
      <alignment horizontal="right" vertical="center"/>
    </xf>
    <xf numFmtId="0" fontId="66" fillId="0" borderId="112" applyNumberFormat="0" applyFill="0" applyAlignment="0" applyProtection="0"/>
    <xf numFmtId="4" fontId="33" fillId="34" borderId="116">
      <alignment horizontal="right" vertical="center"/>
    </xf>
    <xf numFmtId="0" fontId="46" fillId="56" borderId="111" applyNumberFormat="0" applyAlignment="0" applyProtection="0"/>
    <xf numFmtId="0" fontId="33" fillId="34" borderId="115">
      <alignment horizontal="right" vertical="center"/>
    </xf>
    <xf numFmtId="0" fontId="47" fillId="56" borderId="111" applyNumberFormat="0" applyAlignment="0" applyProtection="0"/>
    <xf numFmtId="0" fontId="51" fillId="0" borderId="112" applyNumberFormat="0" applyFill="0" applyAlignment="0" applyProtection="0"/>
    <xf numFmtId="0" fontId="41" fillId="59" borderId="113" applyNumberFormat="0" applyFont="0" applyAlignment="0" applyProtection="0"/>
    <xf numFmtId="4" fontId="33" fillId="34" borderId="115">
      <alignment horizontal="right" vertical="center"/>
    </xf>
    <xf numFmtId="0" fontId="35" fillId="34" borderId="117">
      <alignment horizontal="left" vertical="center" wrapText="1" indent="2"/>
    </xf>
    <xf numFmtId="0" fontId="35" fillId="33" borderId="114"/>
    <xf numFmtId="173" fontId="35" fillId="60" borderId="114" applyNumberFormat="0" applyFont="0" applyBorder="0" applyAlignment="0" applyProtection="0">
      <alignment horizontal="right" vertical="center"/>
    </xf>
    <xf numFmtId="0" fontId="35" fillId="0" borderId="114" applyNumberFormat="0" applyFill="0" applyAlignment="0" applyProtection="0"/>
    <xf numFmtId="4" fontId="35" fillId="0" borderId="114" applyFill="0" applyBorder="0" applyProtection="0">
      <alignment horizontal="right" vertical="center"/>
    </xf>
    <xf numFmtId="4" fontId="33" fillId="32" borderId="114">
      <alignment horizontal="right" vertical="center"/>
    </xf>
    <xf numFmtId="0" fontId="51" fillId="0" borderId="112" applyNumberFormat="0" applyFill="0" applyAlignment="0" applyProtection="0"/>
    <xf numFmtId="49" fontId="34" fillId="0" borderId="114" applyNumberFormat="0" applyFill="0" applyBorder="0" applyProtection="0">
      <alignment horizontal="left" vertical="center"/>
    </xf>
    <xf numFmtId="49" fontId="35" fillId="0" borderId="115" applyNumberFormat="0" applyFont="0" applyFill="0" applyBorder="0" applyProtection="0">
      <alignment horizontal="left" vertical="center" indent="5"/>
    </xf>
    <xf numFmtId="0" fontId="35" fillId="32" borderId="115">
      <alignment horizontal="left" vertical="center"/>
    </xf>
    <xf numFmtId="0" fontId="47" fillId="56" borderId="111" applyNumberFormat="0" applyAlignment="0" applyProtection="0"/>
    <xf numFmtId="4" fontId="33" fillId="34" borderId="116">
      <alignment horizontal="right" vertical="center"/>
    </xf>
    <xf numFmtId="0" fontId="59" fillId="43" borderId="111" applyNumberFormat="0" applyAlignment="0" applyProtection="0"/>
    <xf numFmtId="0" fontId="59" fillId="43" borderId="111" applyNumberFormat="0" applyAlignment="0" applyProtection="0"/>
    <xf numFmtId="0" fontId="41" fillId="59" borderId="113" applyNumberFormat="0" applyFont="0" applyAlignment="0" applyProtection="0"/>
    <xf numFmtId="0" fontId="63" fillId="56" borderId="110" applyNumberFormat="0" applyAlignment="0" applyProtection="0"/>
    <xf numFmtId="0" fontId="66" fillId="0" borderId="112" applyNumberFormat="0" applyFill="0" applyAlignment="0" applyProtection="0"/>
    <xf numFmtId="0" fontId="33" fillId="34" borderId="114">
      <alignment horizontal="right" vertical="center"/>
    </xf>
    <xf numFmtId="0" fontId="5" fillId="59" borderId="113" applyNumberFormat="0" applyFont="0" applyAlignment="0" applyProtection="0"/>
    <xf numFmtId="4" fontId="35" fillId="0" borderId="114">
      <alignment horizontal="right" vertical="center"/>
    </xf>
    <xf numFmtId="0" fontId="66" fillId="0" borderId="112" applyNumberFormat="0" applyFill="0" applyAlignment="0" applyProtection="0"/>
    <xf numFmtId="0" fontId="33" fillId="34" borderId="114">
      <alignment horizontal="right" vertical="center"/>
    </xf>
    <xf numFmtId="0" fontId="33" fillId="34" borderId="114">
      <alignment horizontal="right" vertical="center"/>
    </xf>
    <xf numFmtId="4" fontId="37" fillId="32" borderId="114">
      <alignment horizontal="right" vertical="center"/>
    </xf>
    <xf numFmtId="0" fontId="33" fillId="32" borderId="114">
      <alignment horizontal="right" vertical="center"/>
    </xf>
    <xf numFmtId="4" fontId="33" fillId="32" borderId="114">
      <alignment horizontal="right" vertical="center"/>
    </xf>
    <xf numFmtId="0" fontId="37" fillId="32" borderId="114">
      <alignment horizontal="right" vertical="center"/>
    </xf>
    <xf numFmtId="4" fontId="37" fillId="32" borderId="114">
      <alignment horizontal="right" vertical="center"/>
    </xf>
    <xf numFmtId="0" fontId="33" fillId="34" borderId="114">
      <alignment horizontal="right" vertical="center"/>
    </xf>
    <xf numFmtId="4" fontId="33" fillId="34" borderId="114">
      <alignment horizontal="right" vertical="center"/>
    </xf>
    <xf numFmtId="0" fontId="33" fillId="34" borderId="114">
      <alignment horizontal="right" vertical="center"/>
    </xf>
    <xf numFmtId="4" fontId="33" fillId="34" borderId="114">
      <alignment horizontal="right" vertical="center"/>
    </xf>
    <xf numFmtId="0" fontId="33" fillId="34" borderId="115">
      <alignment horizontal="right" vertical="center"/>
    </xf>
    <xf numFmtId="4" fontId="33" fillId="34" borderId="115">
      <alignment horizontal="right" vertical="center"/>
    </xf>
    <xf numFmtId="0" fontId="33" fillId="34" borderId="116">
      <alignment horizontal="right" vertical="center"/>
    </xf>
    <xf numFmtId="4" fontId="33" fillId="34" borderId="116">
      <alignment horizontal="right" vertical="center"/>
    </xf>
    <xf numFmtId="0" fontId="47" fillId="56" borderId="111" applyNumberFormat="0" applyAlignment="0" applyProtection="0"/>
    <xf numFmtId="0" fontId="35" fillId="34" borderId="117">
      <alignment horizontal="left" vertical="center" wrapText="1" indent="2"/>
    </xf>
    <xf numFmtId="0" fontId="35" fillId="0" borderId="117">
      <alignment horizontal="left" vertical="center" wrapText="1" indent="2"/>
    </xf>
    <xf numFmtId="0" fontId="35" fillId="32" borderId="115">
      <alignment horizontal="left" vertical="center"/>
    </xf>
    <xf numFmtId="0" fontId="59" fillId="43" borderId="111" applyNumberFormat="0" applyAlignment="0" applyProtection="0"/>
    <xf numFmtId="0" fontId="35" fillId="0" borderId="114">
      <alignment horizontal="right" vertical="center"/>
    </xf>
    <xf numFmtId="4" fontId="35" fillId="0" borderId="114">
      <alignment horizontal="right" vertical="center"/>
    </xf>
    <xf numFmtId="0" fontId="35" fillId="0" borderId="114" applyNumberFormat="0" applyFill="0" applyAlignment="0" applyProtection="0"/>
    <xf numFmtId="0" fontId="63" fillId="56" borderId="110" applyNumberFormat="0" applyAlignment="0" applyProtection="0"/>
    <xf numFmtId="173" fontId="35" fillId="60" borderId="114" applyNumberFormat="0" applyFont="0" applyBorder="0" applyAlignment="0" applyProtection="0">
      <alignment horizontal="right" vertical="center"/>
    </xf>
    <xf numFmtId="0" fontId="35" fillId="33" borderId="114"/>
    <xf numFmtId="4" fontId="35" fillId="33" borderId="114"/>
    <xf numFmtId="0" fontId="66" fillId="0" borderId="112" applyNumberFormat="0" applyFill="0" applyAlignment="0" applyProtection="0"/>
    <xf numFmtId="0" fontId="5" fillId="59" borderId="113" applyNumberFormat="0" applyFont="0" applyAlignment="0" applyProtection="0"/>
    <xf numFmtId="0" fontId="41" fillId="59" borderId="113" applyNumberFormat="0" applyFont="0" applyAlignment="0" applyProtection="0"/>
    <xf numFmtId="0" fontId="35" fillId="0" borderId="114" applyNumberFormat="0" applyFill="0" applyAlignment="0" applyProtection="0"/>
    <xf numFmtId="0" fontId="51" fillId="0" borderId="112" applyNumberFormat="0" applyFill="0" applyAlignment="0" applyProtection="0"/>
    <xf numFmtId="0" fontId="66" fillId="0" borderId="112" applyNumberFormat="0" applyFill="0" applyAlignment="0" applyProtection="0"/>
    <xf numFmtId="0" fontId="50" fillId="43" borderId="111" applyNumberFormat="0" applyAlignment="0" applyProtection="0"/>
    <xf numFmtId="0" fontId="47" fillId="56" borderId="111" applyNumberFormat="0" applyAlignment="0" applyProtection="0"/>
    <xf numFmtId="4" fontId="37" fillId="32" borderId="114">
      <alignment horizontal="right" vertical="center"/>
    </xf>
    <xf numFmtId="0" fontId="33" fillId="32" borderId="114">
      <alignment horizontal="right" vertical="center"/>
    </xf>
    <xf numFmtId="173" fontId="35" fillId="60" borderId="114" applyNumberFormat="0" applyFont="0" applyBorder="0" applyAlignment="0" applyProtection="0">
      <alignment horizontal="right" vertical="center"/>
    </xf>
    <xf numFmtId="0" fontId="51" fillId="0" borderId="112" applyNumberFormat="0" applyFill="0" applyAlignment="0" applyProtection="0"/>
    <xf numFmtId="49" fontId="35" fillId="0" borderId="114" applyNumberFormat="0" applyFont="0" applyFill="0" applyBorder="0" applyProtection="0">
      <alignment horizontal="left" vertical="center" indent="2"/>
    </xf>
    <xf numFmtId="49" fontId="35" fillId="0" borderId="115" applyNumberFormat="0" applyFont="0" applyFill="0" applyBorder="0" applyProtection="0">
      <alignment horizontal="left" vertical="center" indent="5"/>
    </xf>
    <xf numFmtId="49" fontId="35" fillId="0" borderId="114" applyNumberFormat="0" applyFont="0" applyFill="0" applyBorder="0" applyProtection="0">
      <alignment horizontal="left" vertical="center" indent="2"/>
    </xf>
    <xf numFmtId="4" fontId="35" fillId="0" borderId="114" applyFill="0" applyBorder="0" applyProtection="0">
      <alignment horizontal="right" vertical="center"/>
    </xf>
    <xf numFmtId="49" fontId="34" fillId="0" borderId="114" applyNumberFormat="0" applyFill="0" applyBorder="0" applyProtection="0">
      <alignment horizontal="left" vertical="center"/>
    </xf>
    <xf numFmtId="0" fontId="35" fillId="0" borderId="117">
      <alignment horizontal="left" vertical="center" wrapText="1" indent="2"/>
    </xf>
    <xf numFmtId="0" fontId="63" fillId="56" borderId="110" applyNumberFormat="0" applyAlignment="0" applyProtection="0"/>
    <xf numFmtId="0" fontId="33" fillId="34" borderId="116">
      <alignment horizontal="right" vertical="center"/>
    </xf>
    <xf numFmtId="0" fontId="50" fillId="43" borderId="111" applyNumberFormat="0" applyAlignment="0" applyProtection="0"/>
    <xf numFmtId="0" fontId="33" fillId="34" borderId="116">
      <alignment horizontal="right" vertical="center"/>
    </xf>
    <xf numFmtId="4" fontId="33" fillId="34" borderId="114">
      <alignment horizontal="right" vertical="center"/>
    </xf>
    <xf numFmtId="0" fontId="33" fillId="34" borderId="114">
      <alignment horizontal="right" vertical="center"/>
    </xf>
    <xf numFmtId="0" fontId="44" fillId="56" borderId="110" applyNumberFormat="0" applyAlignment="0" applyProtection="0"/>
    <xf numFmtId="0" fontId="46" fillId="56" borderId="111" applyNumberFormat="0" applyAlignment="0" applyProtection="0"/>
    <xf numFmtId="0" fontId="51" fillId="0" borderId="112" applyNumberFormat="0" applyFill="0" applyAlignment="0" applyProtection="0"/>
    <xf numFmtId="0" fontId="35" fillId="33" borderId="114"/>
    <xf numFmtId="4" fontId="35" fillId="33" borderId="114"/>
    <xf numFmtId="4" fontId="33" fillId="34" borderId="114">
      <alignment horizontal="right" vertical="center"/>
    </xf>
    <xf numFmtId="0" fontId="37" fillId="32" borderId="114">
      <alignment horizontal="right" vertical="center"/>
    </xf>
    <xf numFmtId="0" fontId="50" fillId="43" borderId="111" applyNumberFormat="0" applyAlignment="0" applyProtection="0"/>
    <xf numFmtId="0" fontId="47" fillId="56" borderId="111" applyNumberFormat="0" applyAlignment="0" applyProtection="0"/>
    <xf numFmtId="4" fontId="35" fillId="0" borderId="114">
      <alignment horizontal="right" vertical="center"/>
    </xf>
    <xf numFmtId="0" fontId="35" fillId="34" borderId="117">
      <alignment horizontal="left" vertical="center" wrapText="1" indent="2"/>
    </xf>
    <xf numFmtId="0" fontId="35" fillId="0" borderId="117">
      <alignment horizontal="left" vertical="center" wrapText="1" indent="2"/>
    </xf>
    <xf numFmtId="0" fontId="63" fillId="56" borderId="110" applyNumberFormat="0" applyAlignment="0" applyProtection="0"/>
    <xf numFmtId="0" fontId="59" fillId="43" borderId="111" applyNumberFormat="0" applyAlignment="0" applyProtection="0"/>
    <xf numFmtId="0" fontId="46" fillId="56" borderId="111" applyNumberFormat="0" applyAlignment="0" applyProtection="0"/>
    <xf numFmtId="0" fontId="44" fillId="56" borderId="110" applyNumberFormat="0" applyAlignment="0" applyProtection="0"/>
    <xf numFmtId="0" fontId="33" fillId="34" borderId="116">
      <alignment horizontal="right" vertical="center"/>
    </xf>
    <xf numFmtId="0" fontId="37" fillId="32" borderId="114">
      <alignment horizontal="right" vertical="center"/>
    </xf>
    <xf numFmtId="4" fontId="33" fillId="32" borderId="114">
      <alignment horizontal="right" vertical="center"/>
    </xf>
    <xf numFmtId="4" fontId="33" fillId="34" borderId="114">
      <alignment horizontal="right" vertical="center"/>
    </xf>
    <xf numFmtId="49" fontId="35" fillId="0" borderId="115" applyNumberFormat="0" applyFont="0" applyFill="0" applyBorder="0" applyProtection="0">
      <alignment horizontal="left" vertical="center" indent="5"/>
    </xf>
    <xf numFmtId="4" fontId="35" fillId="0" borderId="114" applyFill="0" applyBorder="0" applyProtection="0">
      <alignment horizontal="right" vertical="center"/>
    </xf>
    <xf numFmtId="4" fontId="33" fillId="32" borderId="114">
      <alignment horizontal="right" vertical="center"/>
    </xf>
    <xf numFmtId="0" fontId="59" fillId="43" borderId="111" applyNumberFormat="0" applyAlignment="0" applyProtection="0"/>
    <xf numFmtId="0" fontId="50" fillId="43" borderId="111" applyNumberFormat="0" applyAlignment="0" applyProtection="0"/>
    <xf numFmtId="0" fontId="46" fillId="56" borderId="111" applyNumberFormat="0" applyAlignment="0" applyProtection="0"/>
    <xf numFmtId="0" fontId="35" fillId="34" borderId="117">
      <alignment horizontal="left" vertical="center" wrapText="1" indent="2"/>
    </xf>
    <xf numFmtId="0" fontId="35" fillId="0" borderId="117">
      <alignment horizontal="left" vertical="center" wrapText="1" indent="2"/>
    </xf>
    <xf numFmtId="0" fontId="35" fillId="34" borderId="117">
      <alignment horizontal="left" vertical="center" wrapText="1" indent="2"/>
    </xf>
    <xf numFmtId="4" fontId="33" fillId="34" borderId="119">
      <alignment horizontal="right" vertical="center"/>
    </xf>
    <xf numFmtId="0" fontId="50" fillId="43" borderId="134" applyNumberFormat="0" applyAlignment="0" applyProtection="0"/>
    <xf numFmtId="0" fontId="35" fillId="0" borderId="119">
      <alignment horizontal="right" vertical="center"/>
    </xf>
    <xf numFmtId="4" fontId="33" fillId="34" borderId="139">
      <alignment horizontal="right" vertical="center"/>
    </xf>
    <xf numFmtId="0" fontId="51" fillId="0" borderId="125" applyNumberFormat="0" applyFill="0" applyAlignment="0" applyProtection="0"/>
    <xf numFmtId="0" fontId="66" fillId="0" borderId="125" applyNumberFormat="0" applyFill="0" applyAlignment="0" applyProtection="0"/>
    <xf numFmtId="4" fontId="37" fillId="32" borderId="129">
      <alignment horizontal="right" vertical="center"/>
    </xf>
    <xf numFmtId="0" fontId="33" fillId="34" borderId="119">
      <alignment horizontal="right" vertical="center"/>
    </xf>
    <xf numFmtId="0" fontId="33" fillId="34" borderId="120">
      <alignment horizontal="right" vertical="center"/>
    </xf>
    <xf numFmtId="0" fontId="59" fillId="43" borderId="124" applyNumberFormat="0" applyAlignment="0" applyProtection="0"/>
    <xf numFmtId="4" fontId="33" fillId="32" borderId="119">
      <alignment horizontal="right" vertical="center"/>
    </xf>
    <xf numFmtId="4" fontId="35" fillId="0" borderId="129" applyFill="0" applyBorder="0" applyProtection="0">
      <alignment horizontal="right" vertical="center"/>
    </xf>
    <xf numFmtId="0" fontId="51" fillId="0" borderId="125" applyNumberFormat="0" applyFill="0" applyAlignment="0" applyProtection="0"/>
    <xf numFmtId="0" fontId="47" fillId="56" borderId="126" applyNumberFormat="0" applyAlignment="0" applyProtection="0"/>
    <xf numFmtId="0" fontId="59" fillId="43" borderId="124" applyNumberFormat="0" applyAlignment="0" applyProtection="0"/>
    <xf numFmtId="0" fontId="46" fillId="56" borderId="124" applyNumberFormat="0" applyAlignment="0" applyProtection="0"/>
    <xf numFmtId="0" fontId="27" fillId="17" borderId="0" applyNumberFormat="0" applyBorder="0" applyAlignment="0" applyProtection="0"/>
    <xf numFmtId="0" fontId="30" fillId="13" borderId="13" applyNumberFormat="0" applyAlignment="0" applyProtection="0"/>
    <xf numFmtId="0" fontId="12" fillId="16" borderId="0" applyNumberFormat="0" applyBorder="0" applyAlignment="0" applyProtection="0"/>
    <xf numFmtId="0" fontId="50" fillId="43" borderId="126" applyNumberFormat="0" applyAlignment="0" applyProtection="0"/>
    <xf numFmtId="0" fontId="59" fillId="43" borderId="134" applyNumberFormat="0" applyAlignment="0" applyProtection="0"/>
    <xf numFmtId="0" fontId="35" fillId="0" borderId="129">
      <alignment horizontal="right" vertical="center"/>
    </xf>
    <xf numFmtId="0" fontId="33" fillId="34" borderId="119">
      <alignment horizontal="right" vertical="center"/>
    </xf>
    <xf numFmtId="0" fontId="66" fillId="0" borderId="125" applyNumberFormat="0" applyFill="0" applyAlignment="0" applyProtection="0"/>
    <xf numFmtId="0" fontId="12" fillId="28" borderId="0" applyNumberFormat="0" applyBorder="0" applyAlignment="0" applyProtection="0"/>
    <xf numFmtId="0" fontId="5" fillId="59" borderId="128" applyNumberFormat="0" applyFont="0" applyAlignment="0" applyProtection="0"/>
    <xf numFmtId="0" fontId="30" fillId="13" borderId="13" applyNumberFormat="0" applyAlignment="0" applyProtection="0"/>
    <xf numFmtId="4" fontId="35" fillId="0" borderId="119" applyFill="0" applyBorder="0" applyProtection="0">
      <alignment horizontal="right" vertical="center"/>
    </xf>
    <xf numFmtId="0" fontId="50" fillId="43" borderId="124" applyNumberFormat="0" applyAlignment="0" applyProtection="0"/>
    <xf numFmtId="0" fontId="33" fillId="34" borderId="119">
      <alignment horizontal="right" vertical="center"/>
    </xf>
    <xf numFmtId="4" fontId="33" fillId="32" borderId="129">
      <alignment horizontal="right" vertical="center"/>
    </xf>
    <xf numFmtId="0" fontId="41" fillId="59" borderId="136" applyNumberFormat="0" applyFont="0" applyAlignment="0" applyProtection="0"/>
    <xf numFmtId="173" fontId="35" fillId="60" borderId="119" applyNumberFormat="0" applyFont="0" applyBorder="0" applyAlignment="0" applyProtection="0">
      <alignment horizontal="right" vertical="center"/>
    </xf>
    <xf numFmtId="0" fontId="29" fillId="13" borderId="14" applyNumberFormat="0" applyAlignment="0" applyProtection="0"/>
    <xf numFmtId="173" fontId="35" fillId="60" borderId="119" applyNumberFormat="0" applyFont="0" applyBorder="0" applyAlignment="0" applyProtection="0">
      <alignment horizontal="right" vertical="center"/>
    </xf>
    <xf numFmtId="0" fontId="35" fillId="0" borderId="137">
      <alignment horizontal="right" vertical="center"/>
    </xf>
    <xf numFmtId="0" fontId="37" fillId="32" borderId="137">
      <alignment horizontal="right" vertical="center"/>
    </xf>
    <xf numFmtId="0" fontId="63" fillId="56" borderId="133" applyNumberFormat="0" applyAlignment="0" applyProtection="0"/>
    <xf numFmtId="49" fontId="34" fillId="0" borderId="129" applyNumberFormat="0" applyFill="0" applyBorder="0" applyProtection="0">
      <alignment horizontal="left" vertical="center"/>
    </xf>
    <xf numFmtId="0" fontId="50" fillId="43" borderId="126" applyNumberFormat="0" applyAlignment="0" applyProtection="0"/>
    <xf numFmtId="0" fontId="66" fillId="0" borderId="125" applyNumberFormat="0" applyFill="0" applyAlignment="0" applyProtection="0"/>
    <xf numFmtId="0" fontId="1" fillId="0" borderId="0" applyNumberFormat="0" applyFill="0" applyBorder="0" applyAlignment="0" applyProtection="0"/>
    <xf numFmtId="4" fontId="33" fillId="34" borderId="119">
      <alignment horizontal="right" vertical="center"/>
    </xf>
    <xf numFmtId="0" fontId="33" fillId="32" borderId="129">
      <alignment horizontal="right" vertical="center"/>
    </xf>
    <xf numFmtId="4" fontId="37" fillId="32" borderId="129">
      <alignment horizontal="right" vertical="center"/>
    </xf>
    <xf numFmtId="0" fontId="59" fillId="43" borderId="126" applyNumberFormat="0" applyAlignment="0" applyProtection="0"/>
    <xf numFmtId="0" fontId="63" fillId="56" borderId="133" applyNumberFormat="0" applyAlignment="0" applyProtection="0"/>
    <xf numFmtId="0" fontId="33" fillId="34" borderId="129">
      <alignment horizontal="right" vertical="center"/>
    </xf>
    <xf numFmtId="0" fontId="33" fillId="34" borderId="119">
      <alignment horizontal="right" vertical="center"/>
    </xf>
    <xf numFmtId="0" fontId="29" fillId="13" borderId="14" applyNumberFormat="0" applyAlignment="0" applyProtection="0"/>
    <xf numFmtId="0" fontId="33" fillId="34" borderId="130">
      <alignment horizontal="right" vertical="center"/>
    </xf>
    <xf numFmtId="0" fontId="27" fillId="23" borderId="0" applyNumberFormat="0" applyBorder="0" applyAlignment="0" applyProtection="0"/>
    <xf numFmtId="0" fontId="50" fillId="43" borderId="134" applyNumberFormat="0" applyAlignment="0" applyProtection="0"/>
    <xf numFmtId="0" fontId="35" fillId="0" borderId="129" applyNumberFormat="0" applyFill="0" applyAlignment="0" applyProtection="0"/>
    <xf numFmtId="0" fontId="5" fillId="59" borderId="128" applyNumberFormat="0" applyFont="0" applyAlignment="0" applyProtection="0"/>
    <xf numFmtId="0" fontId="5" fillId="59" borderId="128" applyNumberFormat="0" applyFont="0" applyAlignment="0" applyProtection="0"/>
    <xf numFmtId="49" fontId="34" fillId="0" borderId="119" applyNumberFormat="0" applyFill="0" applyBorder="0" applyProtection="0">
      <alignment horizontal="left" vertical="center"/>
    </xf>
    <xf numFmtId="0" fontId="12" fillId="25" borderId="0" applyNumberFormat="0" applyBorder="0" applyAlignment="0" applyProtection="0"/>
    <xf numFmtId="0" fontId="27" fillId="15" borderId="0" applyNumberFormat="0" applyBorder="0" applyAlignment="0" applyProtection="0"/>
    <xf numFmtId="4" fontId="33" fillId="34" borderId="129">
      <alignment horizontal="right" vertical="center"/>
    </xf>
    <xf numFmtId="49" fontId="34" fillId="0" borderId="119" applyNumberFormat="0" applyFill="0" applyBorder="0" applyProtection="0">
      <alignment horizontal="left" vertical="center"/>
    </xf>
    <xf numFmtId="4" fontId="33" fillId="34" borderId="138">
      <alignment horizontal="right" vertical="center"/>
    </xf>
    <xf numFmtId="0" fontId="35" fillId="0" borderId="122">
      <alignment horizontal="left" vertical="center" wrapText="1" indent="2"/>
    </xf>
    <xf numFmtId="4" fontId="35" fillId="0" borderId="119" applyFill="0" applyBorder="0" applyProtection="0">
      <alignment horizontal="right" vertical="center"/>
    </xf>
    <xf numFmtId="0" fontId="33" fillId="34" borderId="121">
      <alignment horizontal="right" vertical="center"/>
    </xf>
    <xf numFmtId="0" fontId="27" fillId="18" borderId="0" applyNumberFormat="0" applyBorder="0" applyAlignment="0" applyProtection="0"/>
    <xf numFmtId="49" fontId="35" fillId="0" borderId="119" applyNumberFormat="0" applyFont="0" applyFill="0" applyBorder="0" applyProtection="0">
      <alignment horizontal="left" vertical="center" indent="2"/>
    </xf>
    <xf numFmtId="0" fontId="47" fillId="56" borderId="126" applyNumberFormat="0" applyAlignment="0" applyProtection="0"/>
    <xf numFmtId="0" fontId="30" fillId="13" borderId="13" applyNumberFormat="0" applyAlignment="0" applyProtection="0"/>
    <xf numFmtId="0" fontId="63" fillId="56" borderId="123" applyNumberFormat="0" applyAlignment="0" applyProtection="0"/>
    <xf numFmtId="0" fontId="27" fillId="26" borderId="0" applyNumberFormat="0" applyBorder="0" applyAlignment="0" applyProtection="0"/>
    <xf numFmtId="0" fontId="51" fillId="0" borderId="127" applyNumberFormat="0" applyFill="0" applyAlignment="0" applyProtection="0"/>
    <xf numFmtId="0" fontId="66" fillId="0" borderId="127" applyNumberFormat="0" applyFill="0" applyAlignment="0" applyProtection="0"/>
    <xf numFmtId="0" fontId="35" fillId="0" borderId="137">
      <alignment horizontal="right" vertical="center"/>
    </xf>
    <xf numFmtId="0" fontId="33" fillId="34" borderId="137">
      <alignment horizontal="right" vertical="center"/>
    </xf>
    <xf numFmtId="0" fontId="47" fillId="56" borderId="124" applyNumberFormat="0" applyAlignment="0" applyProtection="0"/>
    <xf numFmtId="0" fontId="47" fillId="56" borderId="124" applyNumberFormat="0" applyAlignment="0" applyProtection="0"/>
    <xf numFmtId="173" fontId="35" fillId="60" borderId="119" applyNumberFormat="0" applyFont="0" applyBorder="0" applyAlignment="0" applyProtection="0">
      <alignment horizontal="right" vertical="center"/>
    </xf>
    <xf numFmtId="0" fontId="47" fillId="56" borderId="126" applyNumberFormat="0" applyAlignment="0" applyProtection="0"/>
    <xf numFmtId="0" fontId="35" fillId="34" borderId="132">
      <alignment horizontal="left" vertical="center" wrapText="1" indent="2"/>
    </xf>
    <xf numFmtId="0" fontId="59" fillId="43" borderId="124" applyNumberFormat="0" applyAlignment="0" applyProtection="0"/>
    <xf numFmtId="0" fontId="46" fillId="56" borderId="124" applyNumberFormat="0" applyAlignment="0" applyProtection="0"/>
    <xf numFmtId="0" fontId="47" fillId="56" borderId="124" applyNumberFormat="0" applyAlignment="0" applyProtection="0"/>
    <xf numFmtId="0" fontId="35" fillId="0" borderId="119">
      <alignment horizontal="right" vertical="center"/>
    </xf>
    <xf numFmtId="0" fontId="29" fillId="13" borderId="14" applyNumberFormat="0" applyAlignment="0" applyProtection="0"/>
    <xf numFmtId="0" fontId="12" fillId="28" borderId="0" applyNumberFormat="0" applyBorder="0" applyAlignment="0" applyProtection="0"/>
    <xf numFmtId="0" fontId="66" fillId="0" borderId="127" applyNumberFormat="0" applyFill="0" applyAlignment="0" applyProtection="0"/>
    <xf numFmtId="0" fontId="31" fillId="0" borderId="0" applyNumberFormat="0" applyFill="0" applyBorder="0" applyAlignment="0" applyProtection="0"/>
    <xf numFmtId="0" fontId="27" fillId="27" borderId="0" applyNumberFormat="0" applyBorder="0" applyAlignment="0" applyProtection="0"/>
    <xf numFmtId="0" fontId="35" fillId="0" borderId="122">
      <alignment horizontal="left" vertical="center" wrapText="1" indent="2"/>
    </xf>
    <xf numFmtId="0" fontId="51" fillId="0" borderId="127" applyNumberFormat="0" applyFill="0" applyAlignment="0" applyProtection="0"/>
    <xf numFmtId="4" fontId="35" fillId="0" borderId="137">
      <alignment horizontal="right" vertical="center"/>
    </xf>
    <xf numFmtId="0" fontId="5" fillId="59" borderId="136" applyNumberFormat="0" applyFont="0" applyAlignment="0" applyProtection="0"/>
    <xf numFmtId="0" fontId="12" fillId="31" borderId="0" applyNumberFormat="0" applyBorder="0" applyAlignment="0" applyProtection="0"/>
    <xf numFmtId="0" fontId="27" fillId="15" borderId="0" applyNumberFormat="0" applyBorder="0" applyAlignment="0" applyProtection="0"/>
    <xf numFmtId="0" fontId="51" fillId="0" borderId="127" applyNumberFormat="0" applyFill="0" applyAlignment="0" applyProtection="0"/>
    <xf numFmtId="0" fontId="12" fillId="19" borderId="0" applyNumberFormat="0" applyBorder="0" applyAlignment="0" applyProtection="0"/>
    <xf numFmtId="0" fontId="63" fillId="56" borderId="123" applyNumberFormat="0" applyAlignment="0" applyProtection="0"/>
    <xf numFmtId="0" fontId="33" fillId="34" borderId="119">
      <alignment horizontal="right" vertical="center"/>
    </xf>
    <xf numFmtId="0" fontId="50" fillId="43" borderId="124" applyNumberFormat="0" applyAlignment="0" applyProtection="0"/>
    <xf numFmtId="0" fontId="27" fillId="26" borderId="0" applyNumberFormat="0" applyBorder="0" applyAlignment="0" applyProtection="0"/>
    <xf numFmtId="49" fontId="34" fillId="0" borderId="119" applyNumberFormat="0" applyFill="0" applyBorder="0" applyProtection="0">
      <alignment horizontal="left" vertical="center"/>
    </xf>
    <xf numFmtId="0" fontId="37" fillId="32" borderId="129">
      <alignment horizontal="right" vertical="center"/>
    </xf>
    <xf numFmtId="49" fontId="35" fillId="0" borderId="120" applyNumberFormat="0" applyFont="0" applyFill="0" applyBorder="0" applyProtection="0">
      <alignment horizontal="left" vertical="center" indent="5"/>
    </xf>
    <xf numFmtId="0" fontId="35" fillId="34" borderId="140">
      <alignment horizontal="left" vertical="center" wrapText="1" indent="2"/>
    </xf>
    <xf numFmtId="0" fontId="41" fillId="59" borderId="118" applyNumberFormat="0" applyFont="0" applyAlignment="0" applyProtection="0"/>
    <xf numFmtId="4" fontId="37" fillId="32" borderId="119">
      <alignment horizontal="right" vertical="center"/>
    </xf>
    <xf numFmtId="0" fontId="41" fillId="59" borderId="128" applyNumberFormat="0" applyFont="0" applyAlignment="0" applyProtection="0"/>
    <xf numFmtId="4" fontId="33" fillId="34" borderId="119">
      <alignment horizontal="right" vertical="center"/>
    </xf>
    <xf numFmtId="0" fontId="27" fillId="24" borderId="0" applyNumberFormat="0" applyBorder="0" applyAlignment="0" applyProtection="0"/>
    <xf numFmtId="0" fontId="44" fillId="56" borderId="123" applyNumberFormat="0" applyAlignment="0" applyProtection="0"/>
    <xf numFmtId="0" fontId="35" fillId="0" borderId="119" applyNumberFormat="0" applyFill="0" applyAlignment="0" applyProtection="0"/>
    <xf numFmtId="0" fontId="33" fillId="34" borderId="121">
      <alignment horizontal="right" vertical="center"/>
    </xf>
    <xf numFmtId="0" fontId="41" fillId="59" borderId="136" applyNumberFormat="0" applyFont="0" applyAlignment="0" applyProtection="0"/>
    <xf numFmtId="0" fontId="44" fillId="56" borderId="123" applyNumberFormat="0" applyAlignment="0" applyProtection="0"/>
    <xf numFmtId="0" fontId="66" fillId="0" borderId="125" applyNumberFormat="0" applyFill="0" applyAlignment="0" applyProtection="0"/>
    <xf numFmtId="0" fontId="30" fillId="13" borderId="13" applyNumberFormat="0" applyAlignment="0" applyProtection="0"/>
    <xf numFmtId="0" fontId="37" fillId="32" borderId="129">
      <alignment horizontal="right" vertical="center"/>
    </xf>
    <xf numFmtId="0" fontId="63" fillId="56" borderId="133" applyNumberFormat="0" applyAlignment="0" applyProtection="0"/>
    <xf numFmtId="0" fontId="5" fillId="59" borderId="118" applyNumberFormat="0" applyFont="0" applyAlignment="0" applyProtection="0"/>
    <xf numFmtId="0" fontId="2" fillId="0" borderId="15" applyNumberFormat="0" applyFill="0" applyAlignment="0" applyProtection="0"/>
    <xf numFmtId="0" fontId="63" fillId="56" borderId="123" applyNumberFormat="0" applyAlignment="0" applyProtection="0"/>
    <xf numFmtId="4" fontId="35" fillId="0" borderId="129">
      <alignment horizontal="right" vertical="center"/>
    </xf>
    <xf numFmtId="0" fontId="35" fillId="32" borderId="138">
      <alignment horizontal="left" vertical="center"/>
    </xf>
    <xf numFmtId="0" fontId="47" fillId="56" borderId="134" applyNumberFormat="0" applyAlignment="0" applyProtection="0"/>
    <xf numFmtId="0" fontId="47" fillId="56" borderId="124" applyNumberFormat="0" applyAlignment="0" applyProtection="0"/>
    <xf numFmtId="0" fontId="27" fillId="26" borderId="0" applyNumberFormat="0" applyBorder="0" applyAlignment="0" applyProtection="0"/>
    <xf numFmtId="49" fontId="35" fillId="0" borderId="120" applyNumberFormat="0" applyFont="0" applyFill="0" applyBorder="0" applyProtection="0">
      <alignment horizontal="left" vertical="center" indent="5"/>
    </xf>
    <xf numFmtId="0" fontId="35" fillId="0" borderId="119">
      <alignment horizontal="right" vertical="center"/>
    </xf>
    <xf numFmtId="4" fontId="33" fillId="34" borderId="119">
      <alignment horizontal="right" vertical="center"/>
    </xf>
    <xf numFmtId="4" fontId="35" fillId="33" borderId="119"/>
    <xf numFmtId="4" fontId="35" fillId="0" borderId="119" applyFill="0" applyBorder="0" applyProtection="0">
      <alignment horizontal="right" vertical="center"/>
    </xf>
    <xf numFmtId="0" fontId="44" fillId="56" borderId="133" applyNumberFormat="0" applyAlignment="0" applyProtection="0"/>
    <xf numFmtId="173" fontId="35" fillId="60" borderId="137" applyNumberFormat="0" applyFont="0" applyBorder="0" applyAlignment="0" applyProtection="0">
      <alignment horizontal="right" vertical="center"/>
    </xf>
    <xf numFmtId="0" fontId="41" fillId="59" borderId="128" applyNumberFormat="0" applyFont="0" applyAlignment="0" applyProtection="0"/>
    <xf numFmtId="49" fontId="34" fillId="0" borderId="119" applyNumberFormat="0" applyFill="0" applyBorder="0" applyProtection="0">
      <alignment horizontal="left" vertical="center"/>
    </xf>
    <xf numFmtId="0" fontId="27" fillId="18" borderId="0" applyNumberFormat="0" applyBorder="0" applyAlignment="0" applyProtection="0"/>
    <xf numFmtId="4" fontId="33" fillId="34" borderId="121">
      <alignment horizontal="right" vertical="center"/>
    </xf>
    <xf numFmtId="0" fontId="35" fillId="0" borderId="122">
      <alignment horizontal="left" vertical="center" wrapText="1" indent="2"/>
    </xf>
    <xf numFmtId="0" fontId="46" fillId="56" borderId="126" applyNumberFormat="0" applyAlignment="0" applyProtection="0"/>
    <xf numFmtId="49" fontId="35" fillId="0" borderId="130" applyNumberFormat="0" applyFont="0" applyFill="0" applyBorder="0" applyProtection="0">
      <alignment horizontal="left" vertical="center" indent="5"/>
    </xf>
    <xf numFmtId="0" fontId="66" fillId="0" borderId="125" applyNumberFormat="0" applyFill="0" applyAlignment="0" applyProtection="0"/>
    <xf numFmtId="0" fontId="33" fillId="32" borderId="119">
      <alignment horizontal="right" vertical="center"/>
    </xf>
    <xf numFmtId="4" fontId="35" fillId="33" borderId="129"/>
    <xf numFmtId="0" fontId="33" fillId="34" borderId="129">
      <alignment horizontal="right" vertical="center"/>
    </xf>
    <xf numFmtId="0" fontId="41" fillId="59" borderId="118" applyNumberFormat="0" applyFont="0" applyAlignment="0" applyProtection="0"/>
    <xf numFmtId="0" fontId="12" fillId="22" borderId="0" applyNumberFormat="0" applyBorder="0" applyAlignment="0" applyProtection="0"/>
    <xf numFmtId="0" fontId="66" fillId="0" borderId="135" applyNumberFormat="0" applyFill="0" applyAlignment="0" applyProtection="0"/>
    <xf numFmtId="0" fontId="2" fillId="0" borderId="15" applyNumberFormat="0" applyFill="0" applyAlignment="0" applyProtection="0"/>
    <xf numFmtId="0" fontId="27" fillId="29" borderId="0" applyNumberFormat="0" applyBorder="0" applyAlignment="0" applyProtection="0"/>
    <xf numFmtId="0" fontId="33" fillId="34" borderId="119">
      <alignment horizontal="right" vertical="center"/>
    </xf>
    <xf numFmtId="0" fontId="12" fillId="31" borderId="0" applyNumberFormat="0" applyBorder="0" applyAlignment="0" applyProtection="0"/>
    <xf numFmtId="0" fontId="66" fillId="0" borderId="127" applyNumberFormat="0" applyFill="0" applyAlignment="0" applyProtection="0"/>
    <xf numFmtId="4" fontId="35" fillId="33" borderId="129"/>
    <xf numFmtId="4" fontId="35" fillId="33" borderId="129"/>
    <xf numFmtId="4" fontId="33" fillId="32" borderId="119">
      <alignment horizontal="right" vertical="center"/>
    </xf>
    <xf numFmtId="173" fontId="35" fillId="60" borderId="119" applyNumberFormat="0" applyFont="0" applyBorder="0" applyAlignment="0" applyProtection="0">
      <alignment horizontal="right" vertical="center"/>
    </xf>
    <xf numFmtId="4" fontId="35" fillId="33" borderId="119"/>
    <xf numFmtId="0" fontId="27" fillId="17" borderId="0" applyNumberFormat="0" applyBorder="0" applyAlignment="0" applyProtection="0"/>
    <xf numFmtId="0" fontId="33" fillId="34" borderId="120">
      <alignment horizontal="right" vertical="center"/>
    </xf>
    <xf numFmtId="0" fontId="47" fillId="56" borderId="124" applyNumberFormat="0" applyAlignment="0" applyProtection="0"/>
    <xf numFmtId="0" fontId="27" fillId="30" borderId="0" applyNumberFormat="0" applyBorder="0" applyAlignment="0" applyProtection="0"/>
    <xf numFmtId="0" fontId="27" fillId="29" borderId="0" applyNumberFormat="0" applyBorder="0" applyAlignment="0" applyProtection="0"/>
    <xf numFmtId="4" fontId="35" fillId="0" borderId="119" applyFill="0" applyBorder="0" applyProtection="0">
      <alignment horizontal="right" vertical="center"/>
    </xf>
    <xf numFmtId="0" fontId="35" fillId="0" borderId="140">
      <alignment horizontal="left" vertical="center" wrapText="1" indent="2"/>
    </xf>
    <xf numFmtId="4" fontId="37" fillId="32" borderId="137">
      <alignment horizontal="right" vertical="center"/>
    </xf>
    <xf numFmtId="0" fontId="27" fillId="17" borderId="0" applyNumberFormat="0" applyBorder="0" applyAlignment="0" applyProtection="0"/>
    <xf numFmtId="0" fontId="50" fillId="43" borderId="124" applyNumberFormat="0" applyAlignment="0" applyProtection="0"/>
    <xf numFmtId="0" fontId="27" fillId="20" borderId="0" applyNumberFormat="0" applyBorder="0" applyAlignment="0" applyProtection="0"/>
    <xf numFmtId="0" fontId="33" fillId="34" borderId="129">
      <alignment horizontal="right" vertical="center"/>
    </xf>
    <xf numFmtId="0" fontId="12" fillId="16" borderId="0" applyNumberFormat="0" applyBorder="0" applyAlignment="0" applyProtection="0"/>
    <xf numFmtId="0" fontId="59" fillId="43" borderId="134" applyNumberFormat="0" applyAlignment="0" applyProtection="0"/>
    <xf numFmtId="0" fontId="44" fillId="56" borderId="123" applyNumberFormat="0" applyAlignment="0" applyProtection="0"/>
    <xf numFmtId="0" fontId="1" fillId="0" borderId="0" applyNumberFormat="0" applyFill="0" applyBorder="0" applyAlignment="0" applyProtection="0"/>
    <xf numFmtId="0" fontId="12" fillId="31" borderId="0" applyNumberFormat="0" applyBorder="0" applyAlignment="0" applyProtection="0"/>
    <xf numFmtId="4" fontId="33" fillId="34" borderId="119">
      <alignment horizontal="right" vertical="center"/>
    </xf>
    <xf numFmtId="0" fontId="5" fillId="59" borderId="128" applyNumberFormat="0" applyFont="0" applyAlignment="0" applyProtection="0"/>
    <xf numFmtId="0" fontId="46" fillId="56" borderId="124" applyNumberFormat="0" applyAlignment="0" applyProtection="0"/>
    <xf numFmtId="0" fontId="33" fillId="34" borderId="129">
      <alignment horizontal="right" vertical="center"/>
    </xf>
    <xf numFmtId="0" fontId="33" fillId="34" borderId="119">
      <alignment horizontal="right" vertical="center"/>
    </xf>
    <xf numFmtId="0" fontId="31" fillId="0" borderId="0" applyNumberFormat="0" applyFill="0" applyBorder="0" applyAlignment="0" applyProtection="0"/>
    <xf numFmtId="0" fontId="27" fillId="29" borderId="0" applyNumberFormat="0" applyBorder="0" applyAlignment="0" applyProtection="0"/>
    <xf numFmtId="0" fontId="27" fillId="20" borderId="0" applyNumberFormat="0" applyBorder="0" applyAlignment="0" applyProtection="0"/>
    <xf numFmtId="0" fontId="1" fillId="0" borderId="0" applyNumberFormat="0" applyFill="0" applyBorder="0" applyAlignment="0" applyProtection="0"/>
    <xf numFmtId="0" fontId="59" fillId="43" borderId="124" applyNumberFormat="0" applyAlignment="0" applyProtection="0"/>
    <xf numFmtId="4" fontId="35" fillId="0" borderId="137" applyFill="0" applyBorder="0" applyProtection="0">
      <alignment horizontal="right" vertical="center"/>
    </xf>
    <xf numFmtId="0" fontId="41" fillId="59" borderId="118" applyNumberFormat="0" applyFont="0" applyAlignment="0" applyProtection="0"/>
    <xf numFmtId="0" fontId="27" fillId="20" borderId="0" applyNumberFormat="0" applyBorder="0" applyAlignment="0" applyProtection="0"/>
    <xf numFmtId="0" fontId="35" fillId="0" borderId="132">
      <alignment horizontal="left" vertical="center" wrapText="1" indent="2"/>
    </xf>
    <xf numFmtId="0" fontId="35" fillId="0" borderId="132">
      <alignment horizontal="left" vertical="center" wrapText="1" indent="2"/>
    </xf>
    <xf numFmtId="4" fontId="35" fillId="0" borderId="119">
      <alignment horizontal="right" vertical="center"/>
    </xf>
    <xf numFmtId="0" fontId="33" fillId="34" borderId="129">
      <alignment horizontal="right" vertical="center"/>
    </xf>
    <xf numFmtId="0" fontId="35" fillId="34" borderId="122">
      <alignment horizontal="left" vertical="center" wrapText="1" indent="2"/>
    </xf>
    <xf numFmtId="4" fontId="33" fillId="34" borderId="119">
      <alignment horizontal="right" vertical="center"/>
    </xf>
    <xf numFmtId="49" fontId="35" fillId="0" borderId="119" applyNumberFormat="0" applyFont="0" applyFill="0" applyBorder="0" applyProtection="0">
      <alignment horizontal="left" vertical="center" indent="2"/>
    </xf>
    <xf numFmtId="0" fontId="33" fillId="34" borderId="119">
      <alignment horizontal="right" vertical="center"/>
    </xf>
    <xf numFmtId="4" fontId="35" fillId="0" borderId="119" applyFill="0" applyBorder="0" applyProtection="0">
      <alignment horizontal="right" vertical="center"/>
    </xf>
    <xf numFmtId="173" fontId="35" fillId="60" borderId="129" applyNumberFormat="0" applyFont="0" applyBorder="0" applyAlignment="0" applyProtection="0">
      <alignment horizontal="right" vertical="center"/>
    </xf>
    <xf numFmtId="0" fontId="41" fillId="59" borderId="118" applyNumberFormat="0" applyFont="0" applyAlignment="0" applyProtection="0"/>
    <xf numFmtId="0" fontId="12" fillId="28" borderId="0" applyNumberFormat="0" applyBorder="0" applyAlignment="0" applyProtection="0"/>
    <xf numFmtId="0" fontId="50" fillId="43" borderId="124" applyNumberFormat="0" applyAlignment="0" applyProtection="0"/>
    <xf numFmtId="0" fontId="63" fillId="56" borderId="123" applyNumberFormat="0" applyAlignment="0" applyProtection="0"/>
    <xf numFmtId="0" fontId="50" fillId="43" borderId="126" applyNumberFormat="0" applyAlignment="0" applyProtection="0"/>
    <xf numFmtId="4" fontId="33" fillId="34" borderId="119">
      <alignment horizontal="right" vertical="center"/>
    </xf>
    <xf numFmtId="0" fontId="12" fillId="25" borderId="0" applyNumberFormat="0" applyBorder="0" applyAlignment="0" applyProtection="0"/>
    <xf numFmtId="4" fontId="35" fillId="0" borderId="129">
      <alignment horizontal="right" vertical="center"/>
    </xf>
    <xf numFmtId="0" fontId="12" fillId="19" borderId="0" applyNumberFormat="0" applyBorder="0" applyAlignment="0" applyProtection="0"/>
    <xf numFmtId="4" fontId="35" fillId="0" borderId="129" applyFill="0" applyBorder="0" applyProtection="0">
      <alignment horizontal="right" vertical="center"/>
    </xf>
    <xf numFmtId="4" fontId="35" fillId="0" borderId="129">
      <alignment horizontal="right" vertical="center"/>
    </xf>
    <xf numFmtId="0" fontId="33" fillId="34" borderId="121">
      <alignment horizontal="right" vertical="center"/>
    </xf>
    <xf numFmtId="0" fontId="30" fillId="13" borderId="13" applyNumberFormat="0" applyAlignment="0" applyProtection="0"/>
    <xf numFmtId="0" fontId="33" fillId="34" borderId="137">
      <alignment horizontal="right" vertical="center"/>
    </xf>
    <xf numFmtId="0" fontId="29" fillId="13" borderId="14" applyNumberFormat="0" applyAlignment="0" applyProtection="0"/>
    <xf numFmtId="0" fontId="51" fillId="0" borderId="125" applyNumberFormat="0" applyFill="0" applyAlignment="0" applyProtection="0"/>
    <xf numFmtId="0" fontId="27" fillId="15" borderId="0" applyNumberFormat="0" applyBorder="0" applyAlignment="0" applyProtection="0"/>
    <xf numFmtId="0" fontId="46" fillId="56" borderId="124" applyNumberFormat="0" applyAlignment="0" applyProtection="0"/>
    <xf numFmtId="49" fontId="35" fillId="0" borderId="129" applyNumberFormat="0" applyFont="0" applyFill="0" applyBorder="0" applyProtection="0">
      <alignment horizontal="left" vertical="center" indent="2"/>
    </xf>
    <xf numFmtId="0" fontId="27" fillId="15" borderId="0" applyNumberFormat="0" applyBorder="0" applyAlignment="0" applyProtection="0"/>
    <xf numFmtId="0" fontId="35" fillId="32" borderId="120">
      <alignment horizontal="left" vertical="center"/>
    </xf>
    <xf numFmtId="4" fontId="37" fillId="32" borderId="119">
      <alignment horizontal="right" vertical="center"/>
    </xf>
    <xf numFmtId="0" fontId="33" fillId="34" borderId="129">
      <alignment horizontal="right" vertical="center"/>
    </xf>
    <xf numFmtId="0" fontId="33" fillId="32" borderId="129">
      <alignment horizontal="right" vertical="center"/>
    </xf>
    <xf numFmtId="4" fontId="33" fillId="34" borderId="121">
      <alignment horizontal="right" vertical="center"/>
    </xf>
    <xf numFmtId="0" fontId="50" fillId="43" borderId="126" applyNumberFormat="0" applyAlignment="0" applyProtection="0"/>
    <xf numFmtId="4" fontId="33" fillId="32" borderId="119">
      <alignment horizontal="right" vertical="center"/>
    </xf>
    <xf numFmtId="0" fontId="44" fillId="56" borderId="133" applyNumberFormat="0" applyAlignment="0" applyProtection="0"/>
    <xf numFmtId="0" fontId="12" fillId="28" borderId="0" applyNumberFormat="0" applyBorder="0" applyAlignment="0" applyProtection="0"/>
    <xf numFmtId="0" fontId="27" fillId="23" borderId="0" applyNumberFormat="0" applyBorder="0" applyAlignment="0" applyProtection="0"/>
    <xf numFmtId="49" fontId="35" fillId="0" borderId="129" applyNumberFormat="0" applyFont="0" applyFill="0" applyBorder="0" applyProtection="0">
      <alignment horizontal="left" vertical="center" indent="2"/>
    </xf>
    <xf numFmtId="0" fontId="35" fillId="0" borderId="122">
      <alignment horizontal="left" vertical="center" wrapText="1" indent="2"/>
    </xf>
    <xf numFmtId="4" fontId="33" fillId="34" borderId="121">
      <alignment horizontal="right" vertical="center"/>
    </xf>
    <xf numFmtId="0" fontId="12" fillId="19" borderId="0" applyNumberFormat="0" applyBorder="0" applyAlignment="0" applyProtection="0"/>
    <xf numFmtId="4" fontId="35" fillId="33" borderId="119"/>
    <xf numFmtId="0" fontId="27" fillId="29" borderId="0" applyNumberFormat="0" applyBorder="0" applyAlignment="0" applyProtection="0"/>
    <xf numFmtId="0" fontId="27" fillId="18" borderId="0" applyNumberFormat="0" applyBorder="0" applyAlignment="0" applyProtection="0"/>
    <xf numFmtId="0" fontId="47" fillId="56" borderId="126" applyNumberFormat="0" applyAlignment="0" applyProtection="0"/>
    <xf numFmtId="0" fontId="35" fillId="33" borderId="119"/>
    <xf numFmtId="0" fontId="47" fillId="56" borderId="124" applyNumberFormat="0" applyAlignment="0" applyProtection="0"/>
    <xf numFmtId="0" fontId="47" fillId="56" borderId="134" applyNumberFormat="0" applyAlignment="0" applyProtection="0"/>
    <xf numFmtId="0" fontId="35" fillId="33" borderId="119"/>
    <xf numFmtId="0" fontId="47" fillId="56" borderId="126" applyNumberFormat="0" applyAlignment="0" applyProtection="0"/>
    <xf numFmtId="0" fontId="35" fillId="0" borderId="132">
      <alignment horizontal="left" vertical="center" wrapText="1" indent="2"/>
    </xf>
    <xf numFmtId="0" fontId="12" fillId="16" borderId="0" applyNumberFormat="0" applyBorder="0" applyAlignment="0" applyProtection="0"/>
    <xf numFmtId="0" fontId="66" fillId="0" borderId="127" applyNumberFormat="0" applyFill="0" applyAlignment="0" applyProtection="0"/>
    <xf numFmtId="173" fontId="35" fillId="60" borderId="137" applyNumberFormat="0" applyFont="0" applyBorder="0" applyAlignment="0" applyProtection="0">
      <alignment horizontal="right" vertical="center"/>
    </xf>
    <xf numFmtId="0" fontId="37" fillId="32" borderId="119">
      <alignment horizontal="right" vertical="center"/>
    </xf>
    <xf numFmtId="0" fontId="27" fillId="20" borderId="0" applyNumberFormat="0" applyBorder="0" applyAlignment="0" applyProtection="0"/>
    <xf numFmtId="49" fontId="34" fillId="0" borderId="129" applyNumberFormat="0" applyFill="0" applyBorder="0" applyProtection="0">
      <alignment horizontal="left" vertical="center"/>
    </xf>
    <xf numFmtId="4" fontId="33" fillId="34" borderId="119">
      <alignment horizontal="right" vertical="center"/>
    </xf>
    <xf numFmtId="0" fontId="44" fillId="56" borderId="133" applyNumberFormat="0" applyAlignment="0" applyProtection="0"/>
    <xf numFmtId="49" fontId="34" fillId="0" borderId="129" applyNumberFormat="0" applyFill="0" applyBorder="0" applyProtection="0">
      <alignment horizontal="left" vertical="center"/>
    </xf>
    <xf numFmtId="0" fontId="33" fillId="32" borderId="119">
      <alignment horizontal="right" vertical="center"/>
    </xf>
    <xf numFmtId="0" fontId="31" fillId="0" borderId="0" applyNumberFormat="0" applyFill="0" applyBorder="0" applyAlignment="0" applyProtection="0"/>
    <xf numFmtId="0" fontId="27" fillId="20" borderId="0" applyNumberFormat="0" applyBorder="0" applyAlignment="0" applyProtection="0"/>
    <xf numFmtId="0" fontId="66" fillId="0" borderId="125" applyNumberFormat="0" applyFill="0" applyAlignment="0" applyProtection="0"/>
    <xf numFmtId="0" fontId="27" fillId="21" borderId="0" applyNumberFormat="0" applyBorder="0" applyAlignment="0" applyProtection="0"/>
    <xf numFmtId="0" fontId="46" fillId="56" borderId="124" applyNumberFormat="0" applyAlignment="0" applyProtection="0"/>
    <xf numFmtId="0" fontId="47" fillId="56" borderId="126" applyNumberFormat="0" applyAlignment="0" applyProtection="0"/>
    <xf numFmtId="0" fontId="59" fillId="43" borderId="126" applyNumberFormat="0" applyAlignment="0" applyProtection="0"/>
    <xf numFmtId="49" fontId="35" fillId="0" borderId="119" applyNumberFormat="0" applyFont="0" applyFill="0" applyBorder="0" applyProtection="0">
      <alignment horizontal="left" vertical="center" indent="2"/>
    </xf>
    <xf numFmtId="0" fontId="27" fillId="15" borderId="0" applyNumberFormat="0" applyBorder="0" applyAlignment="0" applyProtection="0"/>
    <xf numFmtId="0" fontId="27" fillId="27" borderId="0" applyNumberFormat="0" applyBorder="0" applyAlignment="0" applyProtection="0"/>
    <xf numFmtId="4" fontId="35" fillId="0" borderId="119" applyFill="0" applyBorder="0" applyProtection="0">
      <alignment horizontal="right" vertical="center"/>
    </xf>
    <xf numFmtId="0" fontId="50" fillId="43" borderId="124" applyNumberFormat="0" applyAlignment="0" applyProtection="0"/>
    <xf numFmtId="0" fontId="12" fillId="25" borderId="0" applyNumberFormat="0" applyBorder="0" applyAlignment="0" applyProtection="0"/>
    <xf numFmtId="0" fontId="47" fillId="56" borderId="124" applyNumberFormat="0" applyAlignment="0" applyProtection="0"/>
    <xf numFmtId="4" fontId="33" fillId="34" borderId="130">
      <alignment horizontal="right" vertical="center"/>
    </xf>
    <xf numFmtId="0" fontId="66" fillId="0" borderId="127" applyNumberFormat="0" applyFill="0" applyAlignment="0" applyProtection="0"/>
    <xf numFmtId="0" fontId="44" fillId="56" borderId="123" applyNumberFormat="0" applyAlignment="0" applyProtection="0"/>
    <xf numFmtId="0" fontId="46" fillId="56" borderId="126" applyNumberFormat="0" applyAlignment="0" applyProtection="0"/>
    <xf numFmtId="0" fontId="27" fillId="29" borderId="0" applyNumberFormat="0" applyBorder="0" applyAlignment="0" applyProtection="0"/>
    <xf numFmtId="0" fontId="47" fillId="56" borderId="126" applyNumberFormat="0" applyAlignment="0" applyProtection="0"/>
    <xf numFmtId="0" fontId="35" fillId="32" borderId="138">
      <alignment horizontal="left" vertical="center"/>
    </xf>
    <xf numFmtId="0" fontId="33" fillId="34" borderId="119">
      <alignment horizontal="right" vertical="center"/>
    </xf>
    <xf numFmtId="0" fontId="33" fillId="34" borderId="131">
      <alignment horizontal="right" vertical="center"/>
    </xf>
    <xf numFmtId="0" fontId="33" fillId="32" borderId="119">
      <alignment horizontal="right" vertical="center"/>
    </xf>
    <xf numFmtId="0" fontId="33" fillId="34" borderId="119">
      <alignment horizontal="right" vertical="center"/>
    </xf>
    <xf numFmtId="0" fontId="41" fillId="59" borderId="118" applyNumberFormat="0" applyFont="0" applyAlignment="0" applyProtection="0"/>
    <xf numFmtId="0" fontId="1" fillId="0" borderId="0" applyNumberFormat="0" applyFill="0" applyBorder="0" applyAlignment="0" applyProtection="0"/>
    <xf numFmtId="0" fontId="35" fillId="32" borderId="120">
      <alignment horizontal="left" vertical="center"/>
    </xf>
    <xf numFmtId="0" fontId="47" fillId="56" borderId="124" applyNumberFormat="0" applyAlignment="0" applyProtection="0"/>
    <xf numFmtId="0" fontId="50" fillId="43" borderId="126" applyNumberFormat="0" applyAlignment="0" applyProtection="0"/>
    <xf numFmtId="0" fontId="33" fillId="34" borderId="119">
      <alignment horizontal="right" vertical="center"/>
    </xf>
    <xf numFmtId="0" fontId="27" fillId="23" borderId="0" applyNumberFormat="0" applyBorder="0" applyAlignment="0" applyProtection="0"/>
    <xf numFmtId="0" fontId="47" fillId="56" borderId="124" applyNumberFormat="0" applyAlignment="0" applyProtection="0"/>
    <xf numFmtId="0" fontId="5" fillId="59" borderId="118" applyNumberFormat="0" applyFont="0" applyAlignment="0" applyProtection="0"/>
    <xf numFmtId="4" fontId="35" fillId="0" borderId="119">
      <alignment horizontal="right" vertical="center"/>
    </xf>
    <xf numFmtId="0" fontId="33" fillId="34" borderId="130">
      <alignment horizontal="right" vertical="center"/>
    </xf>
    <xf numFmtId="0" fontId="51" fillId="0" borderId="127" applyNumberFormat="0" applyFill="0" applyAlignment="0" applyProtection="0"/>
    <xf numFmtId="0" fontId="35" fillId="0" borderId="132">
      <alignment horizontal="left" vertical="center" wrapText="1" indent="2"/>
    </xf>
    <xf numFmtId="0" fontId="27" fillId="14" borderId="0" applyNumberFormat="0" applyBorder="0" applyAlignment="0" applyProtection="0"/>
    <xf numFmtId="0" fontId="35" fillId="33" borderId="119"/>
    <xf numFmtId="0" fontId="1" fillId="0" borderId="0" applyNumberFormat="0" applyFill="0" applyBorder="0" applyAlignment="0" applyProtection="0"/>
    <xf numFmtId="0" fontId="59" fillId="43" borderId="124" applyNumberFormat="0" applyAlignment="0" applyProtection="0"/>
    <xf numFmtId="49" fontId="34" fillId="0" borderId="119" applyNumberFormat="0" applyFill="0" applyBorder="0" applyProtection="0">
      <alignment horizontal="left" vertical="center"/>
    </xf>
    <xf numFmtId="0" fontId="37" fillId="32" borderId="129">
      <alignment horizontal="right" vertical="center"/>
    </xf>
    <xf numFmtId="4" fontId="35" fillId="33" borderId="119"/>
    <xf numFmtId="4" fontId="33" fillId="32" borderId="119">
      <alignment horizontal="right" vertical="center"/>
    </xf>
    <xf numFmtId="0" fontId="33" fillId="32" borderId="119">
      <alignment horizontal="right" vertical="center"/>
    </xf>
    <xf numFmtId="0" fontId="35" fillId="34" borderId="132">
      <alignment horizontal="left" vertical="center" wrapText="1" indent="2"/>
    </xf>
    <xf numFmtId="0" fontId="33" fillId="34" borderId="119">
      <alignment horizontal="right" vertical="center"/>
    </xf>
    <xf numFmtId="0" fontId="27" fillId="30" borderId="0" applyNumberFormat="0" applyBorder="0" applyAlignment="0" applyProtection="0"/>
    <xf numFmtId="0" fontId="59" fillId="43" borderId="126" applyNumberFormat="0" applyAlignment="0" applyProtection="0"/>
    <xf numFmtId="0" fontId="63" fillId="56" borderId="133" applyNumberFormat="0" applyAlignment="0" applyProtection="0"/>
    <xf numFmtId="4" fontId="33" fillId="34" borderId="119">
      <alignment horizontal="right" vertical="center"/>
    </xf>
    <xf numFmtId="0" fontId="27" fillId="26" borderId="0" applyNumberFormat="0" applyBorder="0" applyAlignment="0" applyProtection="0"/>
    <xf numFmtId="0" fontId="27" fillId="20" borderId="0" applyNumberFormat="0" applyBorder="0" applyAlignment="0" applyProtection="0"/>
    <xf numFmtId="0" fontId="1" fillId="0" borderId="0" applyNumberFormat="0" applyFill="0" applyBorder="0" applyAlignment="0" applyProtection="0"/>
    <xf numFmtId="0" fontId="5" fillId="59" borderId="118" applyNumberFormat="0" applyFont="0" applyAlignment="0" applyProtection="0"/>
    <xf numFmtId="4" fontId="33" fillId="34" borderId="129">
      <alignment horizontal="right" vertical="center"/>
    </xf>
    <xf numFmtId="0" fontId="33" fillId="34" borderId="139">
      <alignment horizontal="right" vertical="center"/>
    </xf>
    <xf numFmtId="4" fontId="37" fillId="32" borderId="119">
      <alignment horizontal="right" vertical="center"/>
    </xf>
    <xf numFmtId="4" fontId="35" fillId="0" borderId="129" applyFill="0" applyBorder="0" applyProtection="0">
      <alignment horizontal="right" vertical="center"/>
    </xf>
    <xf numFmtId="4" fontId="35" fillId="0" borderId="119" applyFill="0" applyBorder="0" applyProtection="0">
      <alignment horizontal="right" vertical="center"/>
    </xf>
    <xf numFmtId="4" fontId="33" fillId="34" borderId="129">
      <alignment horizontal="right" vertical="center"/>
    </xf>
    <xf numFmtId="49" fontId="34" fillId="0" borderId="129" applyNumberFormat="0" applyFill="0" applyBorder="0" applyProtection="0">
      <alignment horizontal="left" vertical="center"/>
    </xf>
    <xf numFmtId="0" fontId="33" fillId="34" borderId="129">
      <alignment horizontal="right" vertical="center"/>
    </xf>
    <xf numFmtId="0" fontId="46" fillId="56" borderId="124" applyNumberFormat="0" applyAlignment="0" applyProtection="0"/>
    <xf numFmtId="0" fontId="27" fillId="24" borderId="0" applyNumberFormat="0" applyBorder="0" applyAlignment="0" applyProtection="0"/>
    <xf numFmtId="49" fontId="35" fillId="0" borderId="120" applyNumberFormat="0" applyFont="0" applyFill="0" applyBorder="0" applyProtection="0">
      <alignment horizontal="left" vertical="center" indent="5"/>
    </xf>
    <xf numFmtId="0" fontId="35" fillId="34" borderId="132">
      <alignment horizontal="left" vertical="center" wrapText="1" indent="2"/>
    </xf>
    <xf numFmtId="0" fontId="41" fillId="59" borderId="118" applyNumberFormat="0" applyFont="0" applyAlignment="0" applyProtection="0"/>
    <xf numFmtId="0" fontId="12" fillId="16" borderId="0" applyNumberFormat="0" applyBorder="0" applyAlignment="0" applyProtection="0"/>
    <xf numFmtId="0" fontId="41" fillId="59" borderId="118" applyNumberFormat="0" applyFont="0" applyAlignment="0" applyProtection="0"/>
    <xf numFmtId="0" fontId="33" fillId="34" borderId="119">
      <alignment horizontal="right" vertical="center"/>
    </xf>
    <xf numFmtId="4" fontId="33" fillId="32" borderId="137">
      <alignment horizontal="right" vertical="center"/>
    </xf>
    <xf numFmtId="4" fontId="33" fillId="32" borderId="119">
      <alignment horizontal="right" vertical="center"/>
    </xf>
    <xf numFmtId="0" fontId="47" fillId="56" borderId="126" applyNumberFormat="0" applyAlignment="0" applyProtection="0"/>
    <xf numFmtId="0" fontId="59" fillId="43" borderId="126" applyNumberFormat="0" applyAlignment="0" applyProtection="0"/>
    <xf numFmtId="4" fontId="33" fillId="34" borderId="129">
      <alignment horizontal="right" vertical="center"/>
    </xf>
    <xf numFmtId="0" fontId="5" fillId="59" borderId="118" applyNumberFormat="0" applyFont="0" applyAlignment="0" applyProtection="0"/>
    <xf numFmtId="0" fontId="12" fillId="22" borderId="0" applyNumberFormat="0" applyBorder="0" applyAlignment="0" applyProtection="0"/>
    <xf numFmtId="0" fontId="47" fillId="56" borderId="124" applyNumberFormat="0" applyAlignment="0" applyProtection="0"/>
    <xf numFmtId="0" fontId="35" fillId="0" borderId="122">
      <alignment horizontal="left" vertical="center" wrapText="1" indent="2"/>
    </xf>
    <xf numFmtId="4" fontId="33" fillId="34" borderId="137">
      <alignment horizontal="right" vertical="center"/>
    </xf>
    <xf numFmtId="0" fontId="27" fillId="21" borderId="0" applyNumberFormat="0" applyBorder="0" applyAlignment="0" applyProtection="0"/>
    <xf numFmtId="0" fontId="12" fillId="25" borderId="0" applyNumberFormat="0" applyBorder="0" applyAlignment="0" applyProtection="0"/>
    <xf numFmtId="0" fontId="35" fillId="33" borderId="119"/>
    <xf numFmtId="0" fontId="27" fillId="21" borderId="0" applyNumberFormat="0" applyBorder="0" applyAlignment="0" applyProtection="0"/>
    <xf numFmtId="0" fontId="47" fillId="56" borderId="124" applyNumberFormat="0" applyAlignment="0" applyProtection="0"/>
    <xf numFmtId="0" fontId="1" fillId="0" borderId="0" applyNumberFormat="0" applyFill="0" applyBorder="0" applyAlignment="0" applyProtection="0"/>
    <xf numFmtId="0" fontId="5" fillId="59" borderId="118" applyNumberFormat="0" applyFont="0" applyAlignment="0" applyProtection="0"/>
    <xf numFmtId="0" fontId="35" fillId="33" borderId="129"/>
    <xf numFmtId="4" fontId="33" fillId="34" borderId="129">
      <alignment horizontal="right" vertical="center"/>
    </xf>
    <xf numFmtId="0" fontId="27" fillId="23" borderId="0" applyNumberFormat="0" applyBorder="0" applyAlignment="0" applyProtection="0"/>
    <xf numFmtId="4" fontId="35" fillId="0" borderId="137" applyFill="0" applyBorder="0" applyProtection="0">
      <alignment horizontal="right" vertical="center"/>
    </xf>
    <xf numFmtId="0" fontId="12" fillId="19" borderId="0" applyNumberFormat="0" applyBorder="0" applyAlignment="0" applyProtection="0"/>
    <xf numFmtId="4" fontId="33" fillId="34" borderId="129">
      <alignment horizontal="right" vertical="center"/>
    </xf>
    <xf numFmtId="0" fontId="46" fillId="56" borderId="126" applyNumberFormat="0" applyAlignment="0" applyProtection="0"/>
    <xf numFmtId="0" fontId="66" fillId="0" borderId="125" applyNumberFormat="0" applyFill="0" applyAlignment="0" applyProtection="0"/>
    <xf numFmtId="4" fontId="35" fillId="33" borderId="119"/>
    <xf numFmtId="0" fontId="27" fillId="17" borderId="0" applyNumberFormat="0" applyBorder="0" applyAlignment="0" applyProtection="0"/>
    <xf numFmtId="0" fontId="59" fillId="43" borderId="124" applyNumberFormat="0" applyAlignment="0" applyProtection="0"/>
    <xf numFmtId="4" fontId="33" fillId="34" borderId="129">
      <alignment horizontal="right" vertical="center"/>
    </xf>
    <xf numFmtId="0" fontId="35" fillId="0" borderId="122">
      <alignment horizontal="left" vertical="center" wrapText="1" indent="2"/>
    </xf>
    <xf numFmtId="0" fontId="37" fillId="32" borderId="137">
      <alignment horizontal="right" vertical="center"/>
    </xf>
    <xf numFmtId="4" fontId="35" fillId="33" borderId="137"/>
    <xf numFmtId="0" fontId="47" fillId="56" borderId="124" applyNumberFormat="0" applyAlignment="0" applyProtection="0"/>
    <xf numFmtId="4" fontId="33" fillId="34" borderId="129">
      <alignment horizontal="right" vertical="center"/>
    </xf>
    <xf numFmtId="0" fontId="35" fillId="0" borderId="119" applyNumberFormat="0" applyFill="0" applyAlignment="0" applyProtection="0"/>
    <xf numFmtId="0" fontId="12" fillId="16" borderId="0" applyNumberFormat="0" applyBorder="0" applyAlignment="0" applyProtection="0"/>
    <xf numFmtId="0" fontId="33" fillId="34" borderId="119">
      <alignment horizontal="right" vertical="center"/>
    </xf>
    <xf numFmtId="0" fontId="2" fillId="0" borderId="15" applyNumberFormat="0" applyFill="0" applyAlignment="0" applyProtection="0"/>
    <xf numFmtId="0" fontId="63" fillId="56" borderId="123" applyNumberFormat="0" applyAlignment="0" applyProtection="0"/>
    <xf numFmtId="0" fontId="46" fillId="56" borderId="126" applyNumberFormat="0" applyAlignment="0" applyProtection="0"/>
    <xf numFmtId="0" fontId="35" fillId="0" borderId="119" applyNumberFormat="0" applyFill="0" applyAlignment="0" applyProtection="0"/>
    <xf numFmtId="0" fontId="27" fillId="30" borderId="0" applyNumberFormat="0" applyBorder="0" applyAlignment="0" applyProtection="0"/>
    <xf numFmtId="0" fontId="35" fillId="0" borderId="129" applyNumberFormat="0" applyFill="0" applyAlignment="0" applyProtection="0"/>
    <xf numFmtId="0" fontId="59" fillId="43" borderId="126" applyNumberFormat="0" applyAlignment="0" applyProtection="0"/>
    <xf numFmtId="4" fontId="35" fillId="0" borderId="119">
      <alignment horizontal="right" vertical="center"/>
    </xf>
    <xf numFmtId="0" fontId="35" fillId="32" borderId="130">
      <alignment horizontal="left" vertical="center"/>
    </xf>
    <xf numFmtId="49" fontId="35" fillId="0" borderId="138" applyNumberFormat="0" applyFont="0" applyFill="0" applyBorder="0" applyProtection="0">
      <alignment horizontal="left" vertical="center" indent="5"/>
    </xf>
    <xf numFmtId="0" fontId="66" fillId="0" borderId="127" applyNumberFormat="0" applyFill="0" applyAlignment="0" applyProtection="0"/>
    <xf numFmtId="0" fontId="27" fillId="20" borderId="0" applyNumberFormat="0" applyBorder="0" applyAlignment="0" applyProtection="0"/>
    <xf numFmtId="0" fontId="66" fillId="0" borderId="127" applyNumberFormat="0" applyFill="0" applyAlignment="0" applyProtection="0"/>
    <xf numFmtId="0" fontId="27" fillId="27" borderId="0" applyNumberFormat="0" applyBorder="0" applyAlignment="0" applyProtection="0"/>
    <xf numFmtId="173" fontId="35" fillId="60" borderId="119" applyNumberFormat="0" applyFont="0" applyBorder="0" applyAlignment="0" applyProtection="0">
      <alignment horizontal="right" vertical="center"/>
    </xf>
    <xf numFmtId="0" fontId="29" fillId="13" borderId="14" applyNumberFormat="0" applyAlignment="0" applyProtection="0"/>
    <xf numFmtId="0" fontId="35" fillId="34" borderId="132">
      <alignment horizontal="left" vertical="center" wrapText="1" indent="2"/>
    </xf>
    <xf numFmtId="0" fontId="27" fillId="27" borderId="0" applyNumberFormat="0" applyBorder="0" applyAlignment="0" applyProtection="0"/>
    <xf numFmtId="0" fontId="33" fillId="34" borderId="120">
      <alignment horizontal="right" vertical="center"/>
    </xf>
    <xf numFmtId="0" fontId="12" fillId="28" borderId="0" applyNumberFormat="0" applyBorder="0" applyAlignment="0" applyProtection="0"/>
    <xf numFmtId="0" fontId="50" fillId="43" borderId="124" applyNumberFormat="0" applyAlignment="0" applyProtection="0"/>
    <xf numFmtId="0" fontId="33" fillId="34" borderId="119">
      <alignment horizontal="right" vertical="center"/>
    </xf>
    <xf numFmtId="0" fontId="27" fillId="18" borderId="0" applyNumberFormat="0" applyBorder="0" applyAlignment="0" applyProtection="0"/>
    <xf numFmtId="0" fontId="12" fillId="22" borderId="0" applyNumberFormat="0" applyBorder="0" applyAlignment="0" applyProtection="0"/>
    <xf numFmtId="0" fontId="59" fillId="43" borderId="126" applyNumberFormat="0" applyAlignment="0" applyProtection="0"/>
    <xf numFmtId="0" fontId="66" fillId="0" borderId="135" applyNumberFormat="0" applyFill="0" applyAlignment="0" applyProtection="0"/>
    <xf numFmtId="0" fontId="35" fillId="33" borderId="129"/>
    <xf numFmtId="0" fontId="33" fillId="34" borderId="131">
      <alignment horizontal="right" vertical="center"/>
    </xf>
    <xf numFmtId="0" fontId="35" fillId="34" borderId="122">
      <alignment horizontal="left" vertical="center" wrapText="1" indent="2"/>
    </xf>
    <xf numFmtId="0" fontId="46" fillId="56" borderId="124" applyNumberFormat="0" applyAlignment="0" applyProtection="0"/>
    <xf numFmtId="4" fontId="33" fillId="34" borderId="129">
      <alignment horizontal="right" vertical="center"/>
    </xf>
    <xf numFmtId="0" fontId="44" fillId="56" borderId="123" applyNumberFormat="0" applyAlignment="0" applyProtection="0"/>
    <xf numFmtId="4" fontId="33" fillId="34" borderId="137">
      <alignment horizontal="right" vertical="center"/>
    </xf>
    <xf numFmtId="0" fontId="46" fillId="56" borderId="124" applyNumberFormat="0" applyAlignment="0" applyProtection="0"/>
    <xf numFmtId="0" fontId="51" fillId="0" borderId="125" applyNumberFormat="0" applyFill="0" applyAlignment="0" applyProtection="0"/>
    <xf numFmtId="0" fontId="27" fillId="24" borderId="0" applyNumberFormat="0" applyBorder="0" applyAlignment="0" applyProtection="0"/>
    <xf numFmtId="0" fontId="63" fillId="56" borderId="123" applyNumberFormat="0" applyAlignment="0" applyProtection="0"/>
    <xf numFmtId="0" fontId="41" fillId="59" borderId="136" applyNumberFormat="0" applyFont="0" applyAlignment="0" applyProtection="0"/>
    <xf numFmtId="49" fontId="34" fillId="0" borderId="119" applyNumberFormat="0" applyFill="0" applyBorder="0" applyProtection="0">
      <alignment horizontal="left" vertical="center"/>
    </xf>
    <xf numFmtId="0" fontId="41" fillId="59" borderId="118" applyNumberFormat="0" applyFont="0" applyAlignment="0" applyProtection="0"/>
    <xf numFmtId="0" fontId="27" fillId="17" borderId="0" applyNumberFormat="0" applyBorder="0" applyAlignment="0" applyProtection="0"/>
    <xf numFmtId="0" fontId="27" fillId="21" borderId="0" applyNumberFormat="0" applyBorder="0" applyAlignment="0" applyProtection="0"/>
    <xf numFmtId="0" fontId="63" fillId="56" borderId="123" applyNumberFormat="0" applyAlignment="0" applyProtection="0"/>
    <xf numFmtId="0" fontId="27" fillId="14" borderId="0" applyNumberFormat="0" applyBorder="0" applyAlignment="0" applyProtection="0"/>
    <xf numFmtId="0" fontId="47" fillId="56" borderId="124" applyNumberFormat="0" applyAlignment="0" applyProtection="0"/>
    <xf numFmtId="0" fontId="35" fillId="0" borderId="119" applyNumberFormat="0" applyFill="0" applyAlignment="0" applyProtection="0"/>
    <xf numFmtId="0" fontId="33" fillId="34" borderId="138">
      <alignment horizontal="right" vertical="center"/>
    </xf>
    <xf numFmtId="0" fontId="12" fillId="31" borderId="0" applyNumberFormat="0" applyBorder="0" applyAlignment="0" applyProtection="0"/>
    <xf numFmtId="0" fontId="35" fillId="32" borderId="120">
      <alignment horizontal="left" vertical="center"/>
    </xf>
    <xf numFmtId="0" fontId="35" fillId="0" borderId="132">
      <alignment horizontal="left" vertical="center" wrapText="1" indent="2"/>
    </xf>
    <xf numFmtId="0" fontId="5" fillId="59" borderId="118" applyNumberFormat="0" applyFont="0" applyAlignment="0" applyProtection="0"/>
    <xf numFmtId="0" fontId="12" fillId="16" borderId="0" applyNumberFormat="0" applyBorder="0" applyAlignment="0" applyProtection="0"/>
    <xf numFmtId="0" fontId="51" fillId="0" borderId="135" applyNumberFormat="0" applyFill="0" applyAlignment="0" applyProtection="0"/>
    <xf numFmtId="0" fontId="35" fillId="34" borderId="122">
      <alignment horizontal="left" vertical="center" wrapText="1" indent="2"/>
    </xf>
    <xf numFmtId="0" fontId="27" fillId="24" borderId="0" applyNumberFormat="0" applyBorder="0" applyAlignment="0" applyProtection="0"/>
    <xf numFmtId="0" fontId="59" fillId="43" borderId="124" applyNumberFormat="0" applyAlignment="0" applyProtection="0"/>
    <xf numFmtId="0" fontId="12" fillId="19" borderId="0" applyNumberFormat="0" applyBorder="0" applyAlignment="0" applyProtection="0"/>
    <xf numFmtId="0" fontId="33" fillId="34" borderId="130">
      <alignment horizontal="right" vertical="center"/>
    </xf>
    <xf numFmtId="4" fontId="37" fillId="32" borderId="119">
      <alignment horizontal="right" vertical="center"/>
    </xf>
    <xf numFmtId="0" fontId="41" fillId="59" borderId="118" applyNumberFormat="0" applyFont="0" applyAlignment="0" applyProtection="0"/>
    <xf numFmtId="0" fontId="63" fillId="56" borderId="123" applyNumberFormat="0" applyAlignment="0" applyProtection="0"/>
    <xf numFmtId="0" fontId="33" fillId="34" borderId="121">
      <alignment horizontal="right" vertical="center"/>
    </xf>
    <xf numFmtId="4" fontId="35" fillId="33" borderId="119"/>
    <xf numFmtId="0" fontId="5" fillId="59" borderId="118" applyNumberFormat="0" applyFont="0" applyAlignment="0" applyProtection="0"/>
    <xf numFmtId="0" fontId="27" fillId="15" borderId="0" applyNumberFormat="0" applyBorder="0" applyAlignment="0" applyProtection="0"/>
    <xf numFmtId="4" fontId="33" fillId="34" borderId="120">
      <alignment horizontal="right" vertical="center"/>
    </xf>
    <xf numFmtId="0" fontId="35" fillId="0" borderId="132">
      <alignment horizontal="left" vertical="center" wrapText="1" indent="2"/>
    </xf>
    <xf numFmtId="0" fontId="12" fillId="25" borderId="0" applyNumberFormat="0" applyBorder="0" applyAlignment="0" applyProtection="0"/>
    <xf numFmtId="4" fontId="35" fillId="33" borderId="129"/>
    <xf numFmtId="0" fontId="50" fillId="43" borderId="134" applyNumberFormat="0" applyAlignment="0" applyProtection="0"/>
    <xf numFmtId="0" fontId="35" fillId="0" borderId="129" applyNumberFormat="0" applyFill="0" applyAlignment="0" applyProtection="0"/>
    <xf numFmtId="0" fontId="12" fillId="16" borderId="0" applyNumberFormat="0" applyBorder="0" applyAlignment="0" applyProtection="0"/>
    <xf numFmtId="0" fontId="27" fillId="17" borderId="0" applyNumberFormat="0" applyBorder="0" applyAlignment="0" applyProtection="0"/>
    <xf numFmtId="0" fontId="27" fillId="24" borderId="0" applyNumberFormat="0" applyBorder="0" applyAlignment="0" applyProtection="0"/>
    <xf numFmtId="0" fontId="35" fillId="0" borderId="122">
      <alignment horizontal="left" vertical="center" wrapText="1" indent="2"/>
    </xf>
    <xf numFmtId="0" fontId="44" fillId="56" borderId="133" applyNumberFormat="0" applyAlignment="0" applyProtection="0"/>
    <xf numFmtId="0" fontId="33" fillId="34" borderId="138">
      <alignment horizontal="right" vertical="center"/>
    </xf>
    <xf numFmtId="0" fontId="63" fillId="56" borderId="133" applyNumberFormat="0" applyAlignment="0" applyProtection="0"/>
    <xf numFmtId="0" fontId="33" fillId="32" borderId="129">
      <alignment horizontal="right" vertical="center"/>
    </xf>
    <xf numFmtId="0" fontId="41" fillId="59" borderId="128" applyNumberFormat="0" applyFont="0" applyAlignment="0" applyProtection="0"/>
    <xf numFmtId="4" fontId="33" fillId="34" borderId="137">
      <alignment horizontal="right" vertical="center"/>
    </xf>
    <xf numFmtId="0" fontId="63" fillId="56" borderId="133" applyNumberFormat="0" applyAlignment="0" applyProtection="0"/>
    <xf numFmtId="0" fontId="33" fillId="34" borderId="130">
      <alignment horizontal="right" vertical="center"/>
    </xf>
    <xf numFmtId="4" fontId="33" fillId="34" borderId="137">
      <alignment horizontal="right" vertical="center"/>
    </xf>
    <xf numFmtId="0" fontId="33" fillId="34" borderId="119">
      <alignment horizontal="right" vertical="center"/>
    </xf>
    <xf numFmtId="0" fontId="27" fillId="14" borderId="0" applyNumberFormat="0" applyBorder="0" applyAlignment="0" applyProtection="0"/>
    <xf numFmtId="0" fontId="35" fillId="33" borderId="129"/>
    <xf numFmtId="4" fontId="33" fillId="34" borderId="129">
      <alignment horizontal="right" vertical="center"/>
    </xf>
    <xf numFmtId="0" fontId="35" fillId="33" borderId="129"/>
    <xf numFmtId="0" fontId="50" fillId="43" borderId="126" applyNumberFormat="0" applyAlignment="0" applyProtection="0"/>
    <xf numFmtId="4" fontId="35" fillId="33" borderId="129"/>
    <xf numFmtId="0" fontId="35" fillId="32" borderId="138">
      <alignment horizontal="left" vertical="center"/>
    </xf>
    <xf numFmtId="0" fontId="35" fillId="0" borderId="137">
      <alignment horizontal="right" vertical="center"/>
    </xf>
    <xf numFmtId="0" fontId="27" fillId="24" borderId="0" applyNumberFormat="0" applyBorder="0" applyAlignment="0" applyProtection="0"/>
    <xf numFmtId="0" fontId="66" fillId="0" borderId="127" applyNumberFormat="0" applyFill="0" applyAlignment="0" applyProtection="0"/>
    <xf numFmtId="4" fontId="33" fillId="34" borderId="119">
      <alignment horizontal="right" vertical="center"/>
    </xf>
    <xf numFmtId="4" fontId="37" fillId="32" borderId="119">
      <alignment horizontal="right" vertical="center"/>
    </xf>
    <xf numFmtId="0" fontId="35" fillId="33" borderId="119"/>
    <xf numFmtId="0" fontId="51" fillId="0" borderId="125" applyNumberFormat="0" applyFill="0" applyAlignment="0" applyProtection="0"/>
    <xf numFmtId="4" fontId="35" fillId="0" borderId="119" applyFill="0" applyBorder="0" applyProtection="0">
      <alignment horizontal="right" vertical="center"/>
    </xf>
    <xf numFmtId="0" fontId="51" fillId="0" borderId="125" applyNumberFormat="0" applyFill="0" applyAlignment="0" applyProtection="0"/>
    <xf numFmtId="0" fontId="35" fillId="0" borderId="119" applyNumberFormat="0" applyFill="0" applyAlignment="0" applyProtection="0"/>
    <xf numFmtId="0" fontId="66" fillId="0" borderId="127" applyNumberFormat="0" applyFill="0" applyAlignment="0" applyProtection="0"/>
    <xf numFmtId="0" fontId="35" fillId="0" borderId="119" applyNumberFormat="0" applyFill="0" applyAlignment="0" applyProtection="0"/>
    <xf numFmtId="0" fontId="29" fillId="13" borderId="14" applyNumberFormat="0" applyAlignment="0" applyProtection="0"/>
    <xf numFmtId="4" fontId="33" fillId="34" borderId="121">
      <alignment horizontal="right" vertical="center"/>
    </xf>
    <xf numFmtId="0" fontId="33" fillId="34" borderId="137">
      <alignment horizontal="right" vertical="center"/>
    </xf>
    <xf numFmtId="173" fontId="35" fillId="60" borderId="129" applyNumberFormat="0" applyFont="0" applyBorder="0" applyAlignment="0" applyProtection="0">
      <alignment horizontal="right" vertical="center"/>
    </xf>
    <xf numFmtId="0" fontId="51" fillId="0" borderId="135" applyNumberFormat="0" applyFill="0" applyAlignment="0" applyProtection="0"/>
    <xf numFmtId="0" fontId="33" fillId="34" borderId="129">
      <alignment horizontal="right" vertical="center"/>
    </xf>
    <xf numFmtId="0" fontId="50" fillId="43" borderId="124" applyNumberFormat="0" applyAlignment="0" applyProtection="0"/>
    <xf numFmtId="0" fontId="47" fillId="56" borderId="124" applyNumberFormat="0" applyAlignment="0" applyProtection="0"/>
    <xf numFmtId="4" fontId="35" fillId="0" borderId="119">
      <alignment horizontal="right" vertical="center"/>
    </xf>
    <xf numFmtId="0" fontId="35" fillId="34" borderId="122">
      <alignment horizontal="left" vertical="center" wrapText="1" indent="2"/>
    </xf>
    <xf numFmtId="0" fontId="35" fillId="0" borderId="122">
      <alignment horizontal="left" vertical="center" wrapText="1" indent="2"/>
    </xf>
    <xf numFmtId="0" fontId="63" fillId="56" borderId="123" applyNumberFormat="0" applyAlignment="0" applyProtection="0"/>
    <xf numFmtId="0" fontId="59" fillId="43" borderId="124" applyNumberFormat="0" applyAlignment="0" applyProtection="0"/>
    <xf numFmtId="0" fontId="46" fillId="56" borderId="124" applyNumberFormat="0" applyAlignment="0" applyProtection="0"/>
    <xf numFmtId="0" fontId="44" fillId="56" borderId="123" applyNumberFormat="0" applyAlignment="0" applyProtection="0"/>
    <xf numFmtId="0" fontId="33" fillId="34" borderId="121">
      <alignment horizontal="right" vertical="center"/>
    </xf>
    <xf numFmtId="0" fontId="37" fillId="32" borderId="119">
      <alignment horizontal="right" vertical="center"/>
    </xf>
    <xf numFmtId="4" fontId="33" fillId="32" borderId="119">
      <alignment horizontal="right" vertical="center"/>
    </xf>
    <xf numFmtId="4" fontId="33" fillId="34" borderId="119">
      <alignment horizontal="right" vertical="center"/>
    </xf>
    <xf numFmtId="49" fontId="35" fillId="0" borderId="120" applyNumberFormat="0" applyFont="0" applyFill="0" applyBorder="0" applyProtection="0">
      <alignment horizontal="left" vertical="center" indent="5"/>
    </xf>
    <xf numFmtId="4" fontId="35" fillId="0" borderId="119" applyFill="0" applyBorder="0" applyProtection="0">
      <alignment horizontal="right" vertical="center"/>
    </xf>
    <xf numFmtId="4" fontId="33" fillId="32" borderId="119">
      <alignment horizontal="right" vertical="center"/>
    </xf>
    <xf numFmtId="0" fontId="59" fillId="43" borderId="124" applyNumberFormat="0" applyAlignment="0" applyProtection="0"/>
    <xf numFmtId="0" fontId="50" fillId="43" borderId="124" applyNumberFormat="0" applyAlignment="0" applyProtection="0"/>
    <xf numFmtId="0" fontId="46" fillId="56" borderId="124" applyNumberFormat="0" applyAlignment="0" applyProtection="0"/>
    <xf numFmtId="0" fontId="35" fillId="34" borderId="122">
      <alignment horizontal="left" vertical="center" wrapText="1" indent="2"/>
    </xf>
    <xf numFmtId="0" fontId="35" fillId="0" borderId="122">
      <alignment horizontal="left" vertical="center" wrapText="1" indent="2"/>
    </xf>
    <xf numFmtId="0" fontId="35" fillId="34" borderId="122">
      <alignment horizontal="left" vertical="center" wrapText="1" indent="2"/>
    </xf>
    <xf numFmtId="0" fontId="35" fillId="0" borderId="129">
      <alignment horizontal="right" vertical="center"/>
    </xf>
    <xf numFmtId="4" fontId="35" fillId="0" borderId="137">
      <alignment horizontal="right" vertical="center"/>
    </xf>
    <xf numFmtId="0" fontId="35" fillId="34" borderId="132">
      <alignment horizontal="left" vertical="center" wrapText="1" indent="2"/>
    </xf>
    <xf numFmtId="0" fontId="35" fillId="0" borderId="129">
      <alignment horizontal="right" vertical="center"/>
    </xf>
    <xf numFmtId="4" fontId="33" fillId="34" borderId="130">
      <alignment horizontal="right" vertical="center"/>
    </xf>
    <xf numFmtId="0" fontId="33" fillId="32" borderId="129">
      <alignment horizontal="right" vertical="center"/>
    </xf>
    <xf numFmtId="0" fontId="63" fillId="56" borderId="133" applyNumberFormat="0" applyAlignment="0" applyProtection="0"/>
    <xf numFmtId="0" fontId="50" fillId="43" borderId="126" applyNumberFormat="0" applyAlignment="0" applyProtection="0"/>
    <xf numFmtId="0" fontId="33" fillId="34" borderId="129">
      <alignment horizontal="right" vertical="center"/>
    </xf>
    <xf numFmtId="0" fontId="59" fillId="43" borderId="126" applyNumberFormat="0" applyAlignment="0" applyProtection="0"/>
    <xf numFmtId="4" fontId="33" fillId="32" borderId="129">
      <alignment horizontal="right" vertical="center"/>
    </xf>
    <xf numFmtId="4" fontId="35" fillId="0" borderId="129">
      <alignment horizontal="right" vertical="center"/>
    </xf>
    <xf numFmtId="0" fontId="33" fillId="34" borderId="129">
      <alignment horizontal="right" vertical="center"/>
    </xf>
    <xf numFmtId="4" fontId="37" fillId="32" borderId="129">
      <alignment horizontal="right" vertical="center"/>
    </xf>
    <xf numFmtId="49" fontId="35" fillId="0" borderId="129" applyNumberFormat="0" applyFont="0" applyFill="0" applyBorder="0" applyProtection="0">
      <alignment horizontal="left" vertical="center" indent="2"/>
    </xf>
    <xf numFmtId="173" fontId="35" fillId="60" borderId="129" applyNumberFormat="0" applyFont="0" applyBorder="0" applyAlignment="0" applyProtection="0">
      <alignment horizontal="right" vertical="center"/>
    </xf>
    <xf numFmtId="49" fontId="34" fillId="0" borderId="129" applyNumberFormat="0" applyFill="0" applyBorder="0" applyProtection="0">
      <alignment horizontal="left" vertical="center"/>
    </xf>
    <xf numFmtId="49" fontId="34" fillId="0" borderId="137" applyNumberFormat="0" applyFill="0" applyBorder="0" applyProtection="0">
      <alignment horizontal="left" vertical="center"/>
    </xf>
    <xf numFmtId="0" fontId="41" fillId="59" borderId="128" applyNumberFormat="0" applyFont="0" applyAlignment="0" applyProtection="0"/>
    <xf numFmtId="0" fontId="66" fillId="0" borderId="127" applyNumberFormat="0" applyFill="0" applyAlignment="0" applyProtection="0"/>
    <xf numFmtId="0" fontId="27" fillId="18" borderId="0" applyNumberFormat="0" applyBorder="0" applyAlignment="0" applyProtection="0"/>
    <xf numFmtId="0" fontId="63" fillId="56" borderId="141" applyNumberFormat="0" applyAlignment="0" applyProtection="0"/>
    <xf numFmtId="0" fontId="59" fillId="43" borderId="134" applyNumberFormat="0" applyAlignment="0" applyProtection="0"/>
    <xf numFmtId="0" fontId="31" fillId="0" borderId="0" applyNumberFormat="0" applyFill="0" applyBorder="0" applyAlignment="0" applyProtection="0"/>
    <xf numFmtId="49" fontId="35" fillId="0" borderId="137" applyNumberFormat="0" applyFont="0" applyFill="0" applyBorder="0" applyProtection="0">
      <alignment horizontal="left" vertical="center" indent="2"/>
    </xf>
    <xf numFmtId="4" fontId="33" fillId="34" borderId="137">
      <alignment horizontal="right" vertical="center"/>
    </xf>
    <xf numFmtId="0" fontId="33" fillId="34" borderId="137">
      <alignment horizontal="right" vertical="center"/>
    </xf>
    <xf numFmtId="0" fontId="59" fillId="43" borderId="134" applyNumberFormat="0" applyAlignment="0" applyProtection="0"/>
    <xf numFmtId="0" fontId="35" fillId="34" borderId="140">
      <alignment horizontal="left" vertical="center" wrapText="1" indent="2"/>
    </xf>
    <xf numFmtId="173" fontId="35" fillId="60" borderId="137" applyNumberFormat="0" applyFont="0" applyBorder="0" applyAlignment="0" applyProtection="0">
      <alignment horizontal="right" vertical="center"/>
    </xf>
    <xf numFmtId="4" fontId="35" fillId="0" borderId="137" applyFill="0" applyBorder="0" applyProtection="0">
      <alignment horizontal="right" vertical="center"/>
    </xf>
    <xf numFmtId="0" fontId="27" fillId="14" borderId="0" applyNumberFormat="0" applyBorder="0" applyAlignment="0" applyProtection="0"/>
    <xf numFmtId="4" fontId="35" fillId="0" borderId="137" applyFill="0" applyBorder="0" applyProtection="0">
      <alignment horizontal="right" vertical="center"/>
    </xf>
    <xf numFmtId="0" fontId="33" fillId="32" borderId="129">
      <alignment horizontal="right" vertical="center"/>
    </xf>
    <xf numFmtId="0" fontId="59" fillId="43" borderId="126" applyNumberFormat="0" applyAlignment="0" applyProtection="0"/>
    <xf numFmtId="0" fontId="27" fillId="30" borderId="0" applyNumberFormat="0" applyBorder="0" applyAlignment="0" applyProtection="0"/>
    <xf numFmtId="0" fontId="47" fillId="56" borderId="134" applyNumberFormat="0" applyAlignment="0" applyProtection="0"/>
    <xf numFmtId="0" fontId="37" fillId="32" borderId="137">
      <alignment horizontal="right" vertical="center"/>
    </xf>
    <xf numFmtId="0" fontId="66" fillId="0" borderId="127" applyNumberFormat="0" applyFill="0" applyAlignment="0" applyProtection="0"/>
    <xf numFmtId="0" fontId="41" fillId="59" borderId="128" applyNumberFormat="0" applyFont="0" applyAlignment="0" applyProtection="0"/>
    <xf numFmtId="0" fontId="37" fillId="32" borderId="129">
      <alignment horizontal="right" vertical="center"/>
    </xf>
    <xf numFmtId="0" fontId="35" fillId="0" borderId="132">
      <alignment horizontal="left" vertical="center" wrapText="1" indent="2"/>
    </xf>
    <xf numFmtId="0" fontId="12" fillId="16" borderId="0" applyNumberFormat="0" applyBorder="0" applyAlignment="0" applyProtection="0"/>
    <xf numFmtId="0" fontId="31" fillId="0" borderId="0" applyNumberFormat="0" applyFill="0" applyBorder="0" applyAlignment="0" applyProtection="0"/>
    <xf numFmtId="49" fontId="35" fillId="0" borderId="130" applyNumberFormat="0" applyFont="0" applyFill="0" applyBorder="0" applyProtection="0">
      <alignment horizontal="left" vertical="center" indent="5"/>
    </xf>
    <xf numFmtId="0" fontId="27" fillId="20" borderId="0" applyNumberFormat="0" applyBorder="0" applyAlignment="0" applyProtection="0"/>
    <xf numFmtId="4" fontId="33" fillId="34" borderId="138">
      <alignment horizontal="right" vertical="center"/>
    </xf>
    <xf numFmtId="0" fontId="5" fillId="59" borderId="128" applyNumberFormat="0" applyFont="0" applyAlignment="0" applyProtection="0"/>
    <xf numFmtId="173" fontId="35" fillId="60" borderId="129" applyNumberFormat="0" applyFont="0" applyBorder="0" applyAlignment="0" applyProtection="0">
      <alignment horizontal="right" vertical="center"/>
    </xf>
    <xf numFmtId="0" fontId="12" fillId="19" borderId="0" applyNumberFormat="0" applyBorder="0" applyAlignment="0" applyProtection="0"/>
    <xf numFmtId="49" fontId="34" fillId="0" borderId="137" applyNumberFormat="0" applyFill="0" applyBorder="0" applyProtection="0">
      <alignment horizontal="left" vertical="center"/>
    </xf>
    <xf numFmtId="0" fontId="35" fillId="0" borderId="140">
      <alignment horizontal="left" vertical="center" wrapText="1" indent="2"/>
    </xf>
    <xf numFmtId="0" fontId="27" fillId="26" borderId="0" applyNumberFormat="0" applyBorder="0" applyAlignment="0" applyProtection="0"/>
    <xf numFmtId="0" fontId="35" fillId="33" borderId="137"/>
    <xf numFmtId="0" fontId="50" fillId="43" borderId="134" applyNumberFormat="0" applyAlignment="0" applyProtection="0"/>
    <xf numFmtId="0" fontId="50" fillId="43" borderId="134" applyNumberFormat="0" applyAlignment="0" applyProtection="0"/>
    <xf numFmtId="49" fontId="35" fillId="0" borderId="130" applyNumberFormat="0" applyFont="0" applyFill="0" applyBorder="0" applyProtection="0">
      <alignment horizontal="left" vertical="center" indent="5"/>
    </xf>
    <xf numFmtId="4" fontId="33" fillId="34" borderId="137">
      <alignment horizontal="right" vertical="center"/>
    </xf>
    <xf numFmtId="0" fontId="66" fillId="0" borderId="127" applyNumberFormat="0" applyFill="0" applyAlignment="0" applyProtection="0"/>
    <xf numFmtId="0" fontId="12" fillId="25" borderId="0" applyNumberFormat="0" applyBorder="0" applyAlignment="0" applyProtection="0"/>
    <xf numFmtId="0" fontId="66" fillId="0" borderId="127" applyNumberFormat="0" applyFill="0" applyAlignment="0" applyProtection="0"/>
    <xf numFmtId="0" fontId="59" fillId="43" borderId="134" applyNumberFormat="0" applyAlignment="0" applyProtection="0"/>
    <xf numFmtId="4" fontId="37" fillId="32" borderId="137">
      <alignment horizontal="right" vertical="center"/>
    </xf>
    <xf numFmtId="4" fontId="33" fillId="34" borderId="138">
      <alignment horizontal="right" vertical="center"/>
    </xf>
    <xf numFmtId="0" fontId="66" fillId="0" borderId="127" applyNumberFormat="0" applyFill="0" applyAlignment="0" applyProtection="0"/>
    <xf numFmtId="0" fontId="12" fillId="16" borderId="0" applyNumberFormat="0" applyBorder="0" applyAlignment="0" applyProtection="0"/>
    <xf numFmtId="0" fontId="59" fillId="43" borderId="126" applyNumberFormat="0" applyAlignment="0" applyProtection="0"/>
    <xf numFmtId="173" fontId="35" fillId="60" borderId="137" applyNumberFormat="0" applyFont="0" applyBorder="0" applyAlignment="0" applyProtection="0">
      <alignment horizontal="right" vertical="center"/>
    </xf>
    <xf numFmtId="0" fontId="47" fillId="56" borderId="126" applyNumberFormat="0" applyAlignment="0" applyProtection="0"/>
    <xf numFmtId="0" fontId="47" fillId="56" borderId="126" applyNumberFormat="0" applyAlignment="0" applyProtection="0"/>
    <xf numFmtId="4" fontId="33" fillId="34" borderId="131">
      <alignment horizontal="right" vertical="center"/>
    </xf>
    <xf numFmtId="0" fontId="59" fillId="43" borderId="126" applyNumberFormat="0" applyAlignment="0" applyProtection="0"/>
    <xf numFmtId="0" fontId="27" fillId="14" borderId="0" applyNumberFormat="0" applyBorder="0" applyAlignment="0" applyProtection="0"/>
    <xf numFmtId="0" fontId="51" fillId="0" borderId="127" applyNumberFormat="0" applyFill="0" applyAlignment="0" applyProtection="0"/>
    <xf numFmtId="4" fontId="35" fillId="33" borderId="129"/>
    <xf numFmtId="0" fontId="27" fillId="26" borderId="0" applyNumberFormat="0" applyBorder="0" applyAlignment="0" applyProtection="0"/>
    <xf numFmtId="0" fontId="66" fillId="0" borderId="127" applyNumberFormat="0" applyFill="0" applyAlignment="0" applyProtection="0"/>
    <xf numFmtId="0" fontId="63" fillId="56" borderId="141" applyNumberFormat="0" applyAlignment="0" applyProtection="0"/>
    <xf numFmtId="0" fontId="12" fillId="31" borderId="0" applyNumberFormat="0" applyBorder="0" applyAlignment="0" applyProtection="0"/>
    <xf numFmtId="4" fontId="33" fillId="34" borderId="139">
      <alignment horizontal="right" vertical="center"/>
    </xf>
    <xf numFmtId="49" fontId="35" fillId="0" borderId="137" applyNumberFormat="0" applyFont="0" applyFill="0" applyBorder="0" applyProtection="0">
      <alignment horizontal="left" vertical="center" indent="2"/>
    </xf>
    <xf numFmtId="0" fontId="27" fillId="18" borderId="0" applyNumberFormat="0" applyBorder="0" applyAlignment="0" applyProtection="0"/>
    <xf numFmtId="0" fontId="44" fillId="56" borderId="133" applyNumberFormat="0" applyAlignment="0" applyProtection="0"/>
    <xf numFmtId="0" fontId="59" fillId="43" borderId="126" applyNumberFormat="0" applyAlignment="0" applyProtection="0"/>
    <xf numFmtId="4" fontId="33" fillId="34" borderId="131">
      <alignment horizontal="right" vertical="center"/>
    </xf>
    <xf numFmtId="0" fontId="44" fillId="56" borderId="141" applyNumberFormat="0" applyAlignment="0" applyProtection="0"/>
    <xf numFmtId="0" fontId="59" fillId="43" borderId="134" applyNumberFormat="0" applyAlignment="0" applyProtection="0"/>
    <xf numFmtId="0" fontId="51" fillId="0" borderId="127" applyNumberFormat="0" applyFill="0" applyAlignment="0" applyProtection="0"/>
    <xf numFmtId="0" fontId="51" fillId="0" borderId="135" applyNumberFormat="0" applyFill="0" applyAlignment="0" applyProtection="0"/>
    <xf numFmtId="0" fontId="37" fillId="32" borderId="129">
      <alignment horizontal="right" vertical="center"/>
    </xf>
    <xf numFmtId="0" fontId="27" fillId="26" borderId="0" applyNumberFormat="0" applyBorder="0" applyAlignment="0" applyProtection="0"/>
    <xf numFmtId="0" fontId="33" fillId="34" borderId="130">
      <alignment horizontal="right" vertical="center"/>
    </xf>
    <xf numFmtId="4" fontId="33" fillId="34" borderId="130">
      <alignment horizontal="right" vertical="center"/>
    </xf>
    <xf numFmtId="0" fontId="44" fillId="56" borderId="133" applyNumberFormat="0" applyAlignment="0" applyProtection="0"/>
    <xf numFmtId="0" fontId="51" fillId="0" borderId="135" applyNumberFormat="0" applyFill="0" applyAlignment="0" applyProtection="0"/>
    <xf numFmtId="0" fontId="47" fillId="56" borderId="126" applyNumberFormat="0" applyAlignment="0" applyProtection="0"/>
    <xf numFmtId="4" fontId="33" fillId="32" borderId="129">
      <alignment horizontal="right" vertical="center"/>
    </xf>
    <xf numFmtId="0" fontId="12" fillId="22" borderId="0" applyNumberFormat="0" applyBorder="0" applyAlignment="0" applyProtection="0"/>
    <xf numFmtId="49" fontId="35" fillId="0" borderId="137" applyNumberFormat="0" applyFont="0" applyFill="0" applyBorder="0" applyProtection="0">
      <alignment horizontal="left" vertical="center" indent="2"/>
    </xf>
    <xf numFmtId="4" fontId="37" fillId="32" borderId="137">
      <alignment horizontal="right" vertical="center"/>
    </xf>
    <xf numFmtId="0" fontId="27" fillId="29" borderId="0" applyNumberFormat="0" applyBorder="0" applyAlignment="0" applyProtection="0"/>
    <xf numFmtId="173" fontId="35" fillId="60" borderId="129" applyNumberFormat="0" applyFont="0" applyBorder="0" applyAlignment="0" applyProtection="0">
      <alignment horizontal="right" vertical="center"/>
    </xf>
    <xf numFmtId="0" fontId="59" fillId="43" borderId="134" applyNumberFormat="0" applyAlignment="0" applyProtection="0"/>
    <xf numFmtId="0" fontId="12" fillId="31" borderId="0" applyNumberFormat="0" applyBorder="0" applyAlignment="0" applyProtection="0"/>
    <xf numFmtId="4" fontId="33" fillId="32" borderId="129">
      <alignment horizontal="right" vertical="center"/>
    </xf>
    <xf numFmtId="0" fontId="41" fillId="59" borderId="128" applyNumberFormat="0" applyFont="0" applyAlignment="0" applyProtection="0"/>
    <xf numFmtId="0" fontId="35" fillId="0" borderId="132">
      <alignment horizontal="left" vertical="center" wrapText="1" indent="2"/>
    </xf>
    <xf numFmtId="0" fontId="47" fillId="56" borderId="134" applyNumberFormat="0" applyAlignment="0" applyProtection="0"/>
    <xf numFmtId="0" fontId="50" fillId="43" borderId="126" applyNumberFormat="0" applyAlignment="0" applyProtection="0"/>
    <xf numFmtId="4" fontId="33" fillId="34" borderId="129">
      <alignment horizontal="right" vertical="center"/>
    </xf>
    <xf numFmtId="0" fontId="33" fillId="34" borderId="137">
      <alignment horizontal="right" vertical="center"/>
    </xf>
    <xf numFmtId="0" fontId="47" fillId="56" borderId="126" applyNumberFormat="0" applyAlignment="0" applyProtection="0"/>
    <xf numFmtId="0" fontId="33" fillId="34" borderId="130">
      <alignment horizontal="right" vertical="center"/>
    </xf>
    <xf numFmtId="0" fontId="46" fillId="56" borderId="134" applyNumberFormat="0" applyAlignment="0" applyProtection="0"/>
    <xf numFmtId="0" fontId="37" fillId="32" borderId="137">
      <alignment horizontal="right" vertical="center"/>
    </xf>
    <xf numFmtId="0" fontId="27" fillId="29" borderId="0" applyNumberFormat="0" applyBorder="0" applyAlignment="0" applyProtection="0"/>
    <xf numFmtId="49" fontId="34" fillId="0" borderId="137" applyNumberFormat="0" applyFill="0" applyBorder="0" applyProtection="0">
      <alignment horizontal="left" vertical="center"/>
    </xf>
    <xf numFmtId="4" fontId="37" fillId="32" borderId="129">
      <alignment horizontal="right" vertical="center"/>
    </xf>
    <xf numFmtId="0" fontId="27" fillId="17" borderId="0" applyNumberFormat="0" applyBorder="0" applyAlignment="0" applyProtection="0"/>
    <xf numFmtId="4" fontId="37" fillId="32" borderId="137">
      <alignment horizontal="right" vertical="center"/>
    </xf>
    <xf numFmtId="0" fontId="46" fillId="56" borderId="126" applyNumberFormat="0" applyAlignment="0" applyProtection="0"/>
    <xf numFmtId="49" fontId="35" fillId="0" borderId="129" applyNumberFormat="0" applyFont="0" applyFill="0" applyBorder="0" applyProtection="0">
      <alignment horizontal="left" vertical="center" indent="2"/>
    </xf>
    <xf numFmtId="0" fontId="33" fillId="32" borderId="137">
      <alignment horizontal="right" vertical="center"/>
    </xf>
    <xf numFmtId="0" fontId="47" fillId="56" borderId="126" applyNumberFormat="0" applyAlignment="0" applyProtection="0"/>
    <xf numFmtId="173" fontId="35" fillId="60" borderId="129" applyNumberFormat="0" applyFont="0" applyBorder="0" applyAlignment="0" applyProtection="0">
      <alignment horizontal="right" vertical="center"/>
    </xf>
    <xf numFmtId="0" fontId="12" fillId="31" borderId="0" applyNumberFormat="0" applyBorder="0" applyAlignment="0" applyProtection="0"/>
    <xf numFmtId="0" fontId="33" fillId="32" borderId="129">
      <alignment horizontal="right" vertical="center"/>
    </xf>
    <xf numFmtId="4" fontId="33" fillId="34" borderId="131">
      <alignment horizontal="right" vertical="center"/>
    </xf>
    <xf numFmtId="0" fontId="33" fillId="32" borderId="137">
      <alignment horizontal="right" vertical="center"/>
    </xf>
    <xf numFmtId="0" fontId="44" fillId="56" borderId="133" applyNumberFormat="0" applyAlignment="0" applyProtection="0"/>
    <xf numFmtId="0" fontId="31" fillId="0" borderId="0" applyNumberFormat="0" applyFill="0" applyBorder="0" applyAlignment="0" applyProtection="0"/>
    <xf numFmtId="4" fontId="33" fillId="34" borderId="131">
      <alignment horizontal="right" vertical="center"/>
    </xf>
    <xf numFmtId="0" fontId="35" fillId="33" borderId="129"/>
    <xf numFmtId="0" fontId="1" fillId="0" borderId="0" applyNumberFormat="0" applyFill="0" applyBorder="0" applyAlignment="0" applyProtection="0"/>
    <xf numFmtId="0" fontId="35" fillId="34" borderId="132">
      <alignment horizontal="left" vertical="center" wrapText="1" indent="2"/>
    </xf>
    <xf numFmtId="4" fontId="33" fillId="32" borderId="129">
      <alignment horizontal="right" vertical="center"/>
    </xf>
    <xf numFmtId="0" fontId="27" fillId="29" borderId="0" applyNumberFormat="0" applyBorder="0" applyAlignment="0" applyProtection="0"/>
    <xf numFmtId="0" fontId="44" fillId="56" borderId="141" applyNumberFormat="0" applyAlignment="0" applyProtection="0"/>
    <xf numFmtId="4" fontId="35" fillId="33" borderId="129"/>
    <xf numFmtId="0" fontId="47" fillId="56" borderId="134" applyNumberFormat="0" applyAlignment="0" applyProtection="0"/>
    <xf numFmtId="0" fontId="27" fillId="20" borderId="0" applyNumberFormat="0" applyBorder="0" applyAlignment="0" applyProtection="0"/>
    <xf numFmtId="0" fontId="47" fillId="56" borderId="134" applyNumberFormat="0" applyAlignment="0" applyProtection="0"/>
    <xf numFmtId="0" fontId="2" fillId="0" borderId="15" applyNumberFormat="0" applyFill="0" applyAlignment="0" applyProtection="0"/>
    <xf numFmtId="49" fontId="35" fillId="0" borderId="129" applyNumberFormat="0" applyFont="0" applyFill="0" applyBorder="0" applyProtection="0">
      <alignment horizontal="left" vertical="center" indent="2"/>
    </xf>
    <xf numFmtId="0" fontId="46" fillId="56" borderId="134" applyNumberFormat="0" applyAlignment="0" applyProtection="0"/>
    <xf numFmtId="0" fontId="41" fillId="59" borderId="136" applyNumberFormat="0" applyFont="0" applyAlignment="0" applyProtection="0"/>
    <xf numFmtId="0" fontId="66" fillId="0" borderId="135" applyNumberFormat="0" applyFill="0" applyAlignment="0" applyProtection="0"/>
    <xf numFmtId="4" fontId="35" fillId="0" borderId="129">
      <alignment horizontal="right" vertical="center"/>
    </xf>
    <xf numFmtId="0" fontId="12" fillId="28" borderId="0" applyNumberFormat="0" applyBorder="0" applyAlignment="0" applyProtection="0"/>
    <xf numFmtId="0" fontId="27" fillId="23" borderId="0" applyNumberFormat="0" applyBorder="0" applyAlignment="0" applyProtection="0"/>
    <xf numFmtId="0" fontId="12" fillId="19" borderId="0" applyNumberFormat="0" applyBorder="0" applyAlignment="0" applyProtection="0"/>
    <xf numFmtId="0" fontId="35" fillId="0" borderId="140">
      <alignment horizontal="left" vertical="center" wrapText="1" indent="2"/>
    </xf>
    <xf numFmtId="0" fontId="12" fillId="25" borderId="0" applyNumberFormat="0" applyBorder="0" applyAlignment="0" applyProtection="0"/>
    <xf numFmtId="0" fontId="27" fillId="21" borderId="0" applyNumberFormat="0" applyBorder="0" applyAlignment="0" applyProtection="0"/>
    <xf numFmtId="0" fontId="63" fillId="56" borderId="133" applyNumberFormat="0" applyAlignment="0" applyProtection="0"/>
    <xf numFmtId="0" fontId="66" fillId="0" borderId="135" applyNumberFormat="0" applyFill="0" applyAlignment="0" applyProtection="0"/>
    <xf numFmtId="0" fontId="35" fillId="32" borderId="138">
      <alignment horizontal="left" vertical="center"/>
    </xf>
    <xf numFmtId="0" fontId="29" fillId="13" borderId="14" applyNumberFormat="0" applyAlignment="0" applyProtection="0"/>
    <xf numFmtId="0" fontId="63" fillId="56" borderId="133" applyNumberFormat="0" applyAlignment="0" applyProtection="0"/>
    <xf numFmtId="0" fontId="27" fillId="15" borderId="0" applyNumberFormat="0" applyBorder="0" applyAlignment="0" applyProtection="0"/>
    <xf numFmtId="0" fontId="27" fillId="23" borderId="0" applyNumberFormat="0" applyBorder="0" applyAlignment="0" applyProtection="0"/>
    <xf numFmtId="0" fontId="35" fillId="0" borderId="137" applyNumberFormat="0" applyFill="0" applyAlignment="0" applyProtection="0"/>
    <xf numFmtId="4" fontId="33" fillId="32" borderId="129">
      <alignment horizontal="right" vertical="center"/>
    </xf>
    <xf numFmtId="4" fontId="35" fillId="33" borderId="137"/>
    <xf numFmtId="0" fontId="47" fillId="56" borderId="126" applyNumberFormat="0" applyAlignment="0" applyProtection="0"/>
    <xf numFmtId="0" fontId="12" fillId="25" borderId="0" applyNumberFormat="0" applyBorder="0" applyAlignment="0" applyProtection="0"/>
    <xf numFmtId="0" fontId="27" fillId="18" borderId="0" applyNumberFormat="0" applyBorder="0" applyAlignment="0" applyProtection="0"/>
    <xf numFmtId="0" fontId="35" fillId="0" borderId="129" applyNumberFormat="0" applyFill="0" applyAlignment="0" applyProtection="0"/>
    <xf numFmtId="0" fontId="12" fillId="22" borderId="0" applyNumberFormat="0" applyBorder="0" applyAlignment="0" applyProtection="0"/>
    <xf numFmtId="0" fontId="30" fillId="13" borderId="13" applyNumberFormat="0" applyAlignment="0" applyProtection="0"/>
    <xf numFmtId="49" fontId="34" fillId="0" borderId="137" applyNumberFormat="0" applyFill="0" applyBorder="0" applyProtection="0">
      <alignment horizontal="left" vertical="center"/>
    </xf>
    <xf numFmtId="0" fontId="35" fillId="0" borderId="132">
      <alignment horizontal="left" vertical="center" wrapText="1" indent="2"/>
    </xf>
    <xf numFmtId="0" fontId="12" fillId="28" borderId="0" applyNumberFormat="0" applyBorder="0" applyAlignment="0" applyProtection="0"/>
    <xf numFmtId="0" fontId="27" fillId="23" borderId="0" applyNumberFormat="0" applyBorder="0" applyAlignment="0" applyProtection="0"/>
    <xf numFmtId="4" fontId="35" fillId="33" borderId="129"/>
    <xf numFmtId="4" fontId="33" fillId="34" borderId="138">
      <alignment horizontal="right" vertical="center"/>
    </xf>
    <xf numFmtId="0" fontId="50" fillId="43" borderId="134" applyNumberFormat="0" applyAlignment="0" applyProtection="0"/>
    <xf numFmtId="0" fontId="12" fillId="19" borderId="0" applyNumberFormat="0" applyBorder="0" applyAlignment="0" applyProtection="0"/>
    <xf numFmtId="0" fontId="66" fillId="0" borderId="127" applyNumberFormat="0" applyFill="0" applyAlignment="0" applyProtection="0"/>
    <xf numFmtId="0" fontId="5" fillId="59" borderId="128" applyNumberFormat="0" applyFont="0" applyAlignment="0" applyProtection="0"/>
    <xf numFmtId="0" fontId="12" fillId="31" borderId="0" applyNumberFormat="0" applyBorder="0" applyAlignment="0" applyProtection="0"/>
    <xf numFmtId="49" fontId="34" fillId="0" borderId="129" applyNumberFormat="0" applyFill="0" applyBorder="0" applyProtection="0">
      <alignment horizontal="left" vertical="center"/>
    </xf>
    <xf numFmtId="0" fontId="12" fillId="31" borderId="0" applyNumberFormat="0" applyBorder="0" applyAlignment="0" applyProtection="0"/>
    <xf numFmtId="0" fontId="12" fillId="28" borderId="0" applyNumberFormat="0" applyBorder="0" applyAlignment="0" applyProtection="0"/>
    <xf numFmtId="0" fontId="35" fillId="0" borderId="129">
      <alignment horizontal="right" vertical="center"/>
    </xf>
    <xf numFmtId="4" fontId="35" fillId="0" borderId="129">
      <alignment horizontal="right" vertical="center"/>
    </xf>
    <xf numFmtId="0" fontId="12" fillId="16" borderId="0" applyNumberFormat="0" applyBorder="0" applyAlignment="0" applyProtection="0"/>
    <xf numFmtId="0" fontId="47" fillId="56" borderId="134" applyNumberFormat="0" applyAlignment="0" applyProtection="0"/>
    <xf numFmtId="0" fontId="33" fillId="34" borderId="131">
      <alignment horizontal="right" vertical="center"/>
    </xf>
    <xf numFmtId="0" fontId="12" fillId="16" borderId="0" applyNumberFormat="0" applyBorder="0" applyAlignment="0" applyProtection="0"/>
    <xf numFmtId="0" fontId="63" fillId="56" borderId="133" applyNumberFormat="0" applyAlignment="0" applyProtection="0"/>
    <xf numFmtId="0" fontId="2" fillId="0" borderId="15" applyNumberFormat="0" applyFill="0" applyAlignment="0" applyProtection="0"/>
    <xf numFmtId="0" fontId="59" fillId="43" borderId="126" applyNumberFormat="0" applyAlignment="0" applyProtection="0"/>
    <xf numFmtId="0" fontId="27" fillId="26" borderId="0" applyNumberFormat="0" applyBorder="0" applyAlignment="0" applyProtection="0"/>
    <xf numFmtId="173" fontId="35" fillId="60" borderId="129" applyNumberFormat="0" applyFont="0" applyBorder="0" applyAlignment="0" applyProtection="0">
      <alignment horizontal="right" vertical="center"/>
    </xf>
    <xf numFmtId="0" fontId="27" fillId="20" borderId="0" applyNumberFormat="0" applyBorder="0" applyAlignment="0" applyProtection="0"/>
    <xf numFmtId="49" fontId="35" fillId="0" borderId="137" applyNumberFormat="0" applyFont="0" applyFill="0" applyBorder="0" applyProtection="0">
      <alignment horizontal="left" vertical="center" indent="2"/>
    </xf>
    <xf numFmtId="0" fontId="27" fillId="20" borderId="0" applyNumberFormat="0" applyBorder="0" applyAlignment="0" applyProtection="0"/>
    <xf numFmtId="0" fontId="27" fillId="23" borderId="0" applyNumberFormat="0" applyBorder="0" applyAlignment="0" applyProtection="0"/>
    <xf numFmtId="0" fontId="63" fillId="56" borderId="133" applyNumberFormat="0" applyAlignment="0" applyProtection="0"/>
    <xf numFmtId="0" fontId="27" fillId="15" borderId="0" applyNumberFormat="0" applyBorder="0" applyAlignment="0" applyProtection="0"/>
    <xf numFmtId="0" fontId="12" fillId="31" borderId="0" applyNumberFormat="0" applyBorder="0" applyAlignment="0" applyProtection="0"/>
    <xf numFmtId="0" fontId="27" fillId="26" borderId="0" applyNumberFormat="0" applyBorder="0" applyAlignment="0" applyProtection="0"/>
    <xf numFmtId="0" fontId="59" fillId="43" borderId="126" applyNumberFormat="0" applyAlignment="0" applyProtection="0"/>
    <xf numFmtId="0" fontId="59" fillId="43" borderId="134" applyNumberFormat="0" applyAlignment="0" applyProtection="0"/>
    <xf numFmtId="4" fontId="33" fillId="34" borderId="137">
      <alignment horizontal="right" vertical="center"/>
    </xf>
    <xf numFmtId="0" fontId="35" fillId="34" borderId="132">
      <alignment horizontal="left" vertical="center" wrapText="1" indent="2"/>
    </xf>
    <xf numFmtId="0" fontId="1" fillId="0" borderId="0" applyNumberFormat="0" applyFill="0" applyBorder="0" applyAlignment="0" applyProtection="0"/>
    <xf numFmtId="4" fontId="35" fillId="0" borderId="129" applyFill="0" applyBorder="0" applyProtection="0">
      <alignment horizontal="right" vertical="center"/>
    </xf>
    <xf numFmtId="0" fontId="59" fillId="43" borderId="126" applyNumberFormat="0" applyAlignment="0" applyProtection="0"/>
    <xf numFmtId="0" fontId="51" fillId="0" borderId="135" applyNumberFormat="0" applyFill="0" applyAlignment="0" applyProtection="0"/>
    <xf numFmtId="0" fontId="29" fillId="13" borderId="14" applyNumberFormat="0" applyAlignment="0" applyProtection="0"/>
    <xf numFmtId="0" fontId="27" fillId="21" borderId="0" applyNumberFormat="0" applyBorder="0" applyAlignment="0" applyProtection="0"/>
    <xf numFmtId="0" fontId="12" fillId="19" borderId="0" applyNumberFormat="0" applyBorder="0" applyAlignment="0" applyProtection="0"/>
    <xf numFmtId="0" fontId="12" fillId="31" borderId="0" applyNumberFormat="0" applyBorder="0" applyAlignment="0" applyProtection="0"/>
    <xf numFmtId="0" fontId="51" fillId="0" borderId="135" applyNumberFormat="0" applyFill="0" applyAlignment="0" applyProtection="0"/>
    <xf numFmtId="0" fontId="66" fillId="0" borderId="127" applyNumberFormat="0" applyFill="0" applyAlignment="0" applyProtection="0"/>
    <xf numFmtId="0" fontId="35" fillId="0" borderId="132">
      <alignment horizontal="left" vertical="center" wrapText="1" indent="2"/>
    </xf>
    <xf numFmtId="0" fontId="27" fillId="18" borderId="0" applyNumberFormat="0" applyBorder="0" applyAlignment="0" applyProtection="0"/>
    <xf numFmtId="0" fontId="35" fillId="0" borderId="129">
      <alignment horizontal="right" vertical="center"/>
    </xf>
    <xf numFmtId="4" fontId="35" fillId="0" borderId="137" applyFill="0" applyBorder="0" applyProtection="0">
      <alignment horizontal="right" vertical="center"/>
    </xf>
    <xf numFmtId="0" fontId="12" fillId="22" borderId="0" applyNumberFormat="0" applyBorder="0" applyAlignment="0" applyProtection="0"/>
    <xf numFmtId="0" fontId="35" fillId="34" borderId="132">
      <alignment horizontal="left" vertical="center" wrapText="1" indent="2"/>
    </xf>
    <xf numFmtId="0" fontId="33" fillId="34" borderId="137">
      <alignment horizontal="right" vertical="center"/>
    </xf>
    <xf numFmtId="0" fontId="46" fillId="56" borderId="126" applyNumberFormat="0" applyAlignment="0" applyProtection="0"/>
    <xf numFmtId="0" fontId="35" fillId="34" borderId="132">
      <alignment horizontal="left" vertical="center" wrapText="1" indent="2"/>
    </xf>
    <xf numFmtId="0" fontId="5" fillId="59" borderId="128" applyNumberFormat="0" applyFont="0" applyAlignment="0" applyProtection="0"/>
    <xf numFmtId="0" fontId="35" fillId="33" borderId="129"/>
    <xf numFmtId="0" fontId="50" fillId="43" borderId="126" applyNumberFormat="0" applyAlignment="0" applyProtection="0"/>
    <xf numFmtId="0" fontId="46" fillId="56" borderId="126" applyNumberFormat="0" applyAlignment="0" applyProtection="0"/>
    <xf numFmtId="0" fontId="63" fillId="56" borderId="133" applyNumberFormat="0" applyAlignment="0" applyProtection="0"/>
    <xf numFmtId="0" fontId="47" fillId="56" borderId="126" applyNumberFormat="0" applyAlignment="0" applyProtection="0"/>
    <xf numFmtId="0" fontId="27" fillId="15" borderId="0" applyNumberFormat="0" applyBorder="0" applyAlignment="0" applyProtection="0"/>
    <xf numFmtId="4" fontId="33" fillId="34" borderId="139">
      <alignment horizontal="right" vertical="center"/>
    </xf>
    <xf numFmtId="0" fontId="35" fillId="0" borderId="129">
      <alignment horizontal="right" vertical="center"/>
    </xf>
    <xf numFmtId="0" fontId="46" fillId="56" borderId="126" applyNumberFormat="0" applyAlignment="0" applyProtection="0"/>
    <xf numFmtId="0" fontId="5" fillId="59" borderId="136" applyNumberFormat="0" applyFont="0" applyAlignment="0" applyProtection="0"/>
    <xf numFmtId="0" fontId="27" fillId="27" borderId="0" applyNumberFormat="0" applyBorder="0" applyAlignment="0" applyProtection="0"/>
    <xf numFmtId="0" fontId="27" fillId="20" borderId="0" applyNumberFormat="0" applyBorder="0" applyAlignment="0" applyProtection="0"/>
    <xf numFmtId="0" fontId="35" fillId="0" borderId="129" applyNumberFormat="0" applyFill="0" applyAlignment="0" applyProtection="0"/>
    <xf numFmtId="4" fontId="33" fillId="34" borderId="130">
      <alignment horizontal="right" vertical="center"/>
    </xf>
    <xf numFmtId="0" fontId="66" fillId="0" borderId="127" applyNumberFormat="0" applyFill="0" applyAlignment="0" applyProtection="0"/>
    <xf numFmtId="0" fontId="12" fillId="16" borderId="0" applyNumberFormat="0" applyBorder="0" applyAlignment="0" applyProtection="0"/>
    <xf numFmtId="4" fontId="37" fillId="32" borderId="129">
      <alignment horizontal="right" vertical="center"/>
    </xf>
    <xf numFmtId="0" fontId="27" fillId="21" borderId="0" applyNumberFormat="0" applyBorder="0" applyAlignment="0" applyProtection="0"/>
    <xf numFmtId="0" fontId="59" fillId="43" borderId="126" applyNumberFormat="0" applyAlignment="0" applyProtection="0"/>
    <xf numFmtId="0" fontId="33" fillId="34" borderId="129">
      <alignment horizontal="right" vertical="center"/>
    </xf>
    <xf numFmtId="0" fontId="66" fillId="0" borderId="127" applyNumberFormat="0" applyFill="0" applyAlignment="0" applyProtection="0"/>
    <xf numFmtId="0" fontId="46" fillId="56" borderId="126" applyNumberFormat="0" applyAlignment="0" applyProtection="0"/>
    <xf numFmtId="4" fontId="33" fillId="34" borderId="131">
      <alignment horizontal="right" vertical="center"/>
    </xf>
    <xf numFmtId="0" fontId="5" fillId="59" borderId="136" applyNumberFormat="0" applyFont="0" applyAlignment="0" applyProtection="0"/>
    <xf numFmtId="0" fontId="12" fillId="22" borderId="0" applyNumberFormat="0" applyBorder="0" applyAlignment="0" applyProtection="0"/>
    <xf numFmtId="0" fontId="47" fillId="56" borderId="134" applyNumberFormat="0" applyAlignment="0" applyProtection="0"/>
    <xf numFmtId="49" fontId="35" fillId="0" borderId="129" applyNumberFormat="0" applyFont="0" applyFill="0" applyBorder="0" applyProtection="0">
      <alignment horizontal="left" vertical="center" indent="2"/>
    </xf>
    <xf numFmtId="0" fontId="27" fillId="21" borderId="0" applyNumberFormat="0" applyBorder="0" applyAlignment="0" applyProtection="0"/>
    <xf numFmtId="173" fontId="35" fillId="60" borderId="129" applyNumberFormat="0" applyFont="0" applyBorder="0" applyAlignment="0" applyProtection="0">
      <alignment horizontal="right" vertical="center"/>
    </xf>
    <xf numFmtId="0" fontId="12" fillId="25" borderId="0" applyNumberFormat="0" applyBorder="0" applyAlignment="0" applyProtection="0"/>
    <xf numFmtId="49" fontId="34" fillId="0" borderId="129" applyNumberFormat="0" applyFill="0" applyBorder="0" applyProtection="0">
      <alignment horizontal="left" vertical="center"/>
    </xf>
    <xf numFmtId="0" fontId="30" fillId="13" borderId="13" applyNumberFormat="0" applyAlignment="0" applyProtection="0"/>
    <xf numFmtId="0" fontId="27" fillId="21" borderId="0" applyNumberFormat="0" applyBorder="0" applyAlignment="0" applyProtection="0"/>
    <xf numFmtId="0" fontId="66" fillId="0" borderId="135" applyNumberFormat="0" applyFill="0" applyAlignment="0" applyProtection="0"/>
    <xf numFmtId="0" fontId="37" fillId="32" borderId="129">
      <alignment horizontal="right" vertical="center"/>
    </xf>
    <xf numFmtId="0" fontId="46" fillId="56" borderId="134" applyNumberFormat="0" applyAlignment="0" applyProtection="0"/>
    <xf numFmtId="0" fontId="27" fillId="23" borderId="0" applyNumberFormat="0" applyBorder="0" applyAlignment="0" applyProtection="0"/>
    <xf numFmtId="0" fontId="59" fillId="43" borderId="126" applyNumberFormat="0" applyAlignment="0" applyProtection="0"/>
    <xf numFmtId="0" fontId="37" fillId="32" borderId="129">
      <alignment horizontal="right" vertical="center"/>
    </xf>
    <xf numFmtId="4" fontId="35" fillId="33" borderId="137"/>
    <xf numFmtId="49" fontId="34" fillId="0" borderId="129" applyNumberFormat="0" applyFill="0" applyBorder="0" applyProtection="0">
      <alignment horizontal="left" vertical="center"/>
    </xf>
    <xf numFmtId="0" fontId="59" fillId="43" borderId="134" applyNumberFormat="0" applyAlignment="0" applyProtection="0"/>
    <xf numFmtId="0" fontId="33" fillId="32" borderId="129">
      <alignment horizontal="right" vertical="center"/>
    </xf>
    <xf numFmtId="0" fontId="59" fillId="43" borderId="126" applyNumberFormat="0" applyAlignment="0" applyProtection="0"/>
    <xf numFmtId="0" fontId="35" fillId="32" borderId="130">
      <alignment horizontal="left" vertical="center"/>
    </xf>
    <xf numFmtId="0" fontId="27" fillId="15" borderId="0" applyNumberFormat="0" applyBorder="0" applyAlignment="0" applyProtection="0"/>
    <xf numFmtId="0" fontId="12" fillId="25" borderId="0" applyNumberFormat="0" applyBorder="0" applyAlignment="0" applyProtection="0"/>
    <xf numFmtId="0" fontId="33" fillId="32" borderId="129">
      <alignment horizontal="right" vertical="center"/>
    </xf>
    <xf numFmtId="4" fontId="35" fillId="33" borderId="137"/>
    <xf numFmtId="0" fontId="41" fillId="59" borderId="128" applyNumberFormat="0" applyFont="0" applyAlignment="0" applyProtection="0"/>
    <xf numFmtId="0" fontId="2" fillId="0" borderId="15" applyNumberFormat="0" applyFill="0" applyAlignment="0" applyProtection="0"/>
    <xf numFmtId="0" fontId="33" fillId="34" borderId="139">
      <alignment horizontal="right" vertical="center"/>
    </xf>
    <xf numFmtId="49" fontId="35" fillId="0" borderId="130" applyNumberFormat="0" applyFont="0" applyFill="0" applyBorder="0" applyProtection="0">
      <alignment horizontal="left" vertical="center" indent="5"/>
    </xf>
    <xf numFmtId="0" fontId="44" fillId="56" borderId="133" applyNumberFormat="0" applyAlignment="0" applyProtection="0"/>
    <xf numFmtId="0" fontId="27" fillId="30" borderId="0" applyNumberFormat="0" applyBorder="0" applyAlignment="0" applyProtection="0"/>
    <xf numFmtId="0" fontId="51" fillId="0" borderId="127" applyNumberFormat="0" applyFill="0" applyAlignment="0" applyProtection="0"/>
    <xf numFmtId="49" fontId="35" fillId="0" borderId="129" applyNumberFormat="0" applyFont="0" applyFill="0" applyBorder="0" applyProtection="0">
      <alignment horizontal="left" vertical="center" indent="2"/>
    </xf>
    <xf numFmtId="0" fontId="51" fillId="0" borderId="127" applyNumberFormat="0" applyFill="0" applyAlignment="0" applyProtection="0"/>
    <xf numFmtId="0" fontId="33" fillId="34" borderId="131">
      <alignment horizontal="right" vertical="center"/>
    </xf>
    <xf numFmtId="0" fontId="31" fillId="0" borderId="0" applyNumberFormat="0" applyFill="0" applyBorder="0" applyAlignment="0" applyProtection="0"/>
    <xf numFmtId="0" fontId="37" fillId="32" borderId="129">
      <alignment horizontal="right" vertical="center"/>
    </xf>
    <xf numFmtId="4" fontId="33" fillId="34" borderId="129">
      <alignment horizontal="right" vertical="center"/>
    </xf>
    <xf numFmtId="0" fontId="12" fillId="25" borderId="0" applyNumberFormat="0" applyBorder="0" applyAlignment="0" applyProtection="0"/>
    <xf numFmtId="0" fontId="66" fillId="0" borderId="135" applyNumberFormat="0" applyFill="0" applyAlignment="0" applyProtection="0"/>
    <xf numFmtId="0" fontId="63" fillId="56" borderId="141" applyNumberFormat="0" applyAlignment="0" applyProtection="0"/>
    <xf numFmtId="4" fontId="33" fillId="34" borderId="138">
      <alignment horizontal="right" vertical="center"/>
    </xf>
    <xf numFmtId="0" fontId="12" fillId="22" borderId="0" applyNumberFormat="0" applyBorder="0" applyAlignment="0" applyProtection="0"/>
    <xf numFmtId="49" fontId="34" fillId="0" borderId="129" applyNumberFormat="0" applyFill="0" applyBorder="0" applyProtection="0">
      <alignment horizontal="left" vertical="center"/>
    </xf>
    <xf numFmtId="0" fontId="66" fillId="0" borderId="135" applyNumberFormat="0" applyFill="0" applyAlignment="0" applyProtection="0"/>
    <xf numFmtId="0" fontId="51" fillId="0" borderId="127" applyNumberFormat="0" applyFill="0" applyAlignment="0" applyProtection="0"/>
    <xf numFmtId="4" fontId="35" fillId="0" borderId="129" applyFill="0" applyBorder="0" applyProtection="0">
      <alignment horizontal="right" vertical="center"/>
    </xf>
    <xf numFmtId="49" fontId="34" fillId="0" borderId="129" applyNumberFormat="0" applyFill="0" applyBorder="0" applyProtection="0">
      <alignment horizontal="left" vertical="center"/>
    </xf>
    <xf numFmtId="49" fontId="35" fillId="0" borderId="129" applyNumberFormat="0" applyFont="0" applyFill="0" applyBorder="0" applyProtection="0">
      <alignment horizontal="left" vertical="center" indent="2"/>
    </xf>
    <xf numFmtId="0" fontId="37" fillId="32" borderId="129">
      <alignment horizontal="right" vertical="center"/>
    </xf>
    <xf numFmtId="0" fontId="27" fillId="23" borderId="0" applyNumberFormat="0" applyBorder="0" applyAlignment="0" applyProtection="0"/>
    <xf numFmtId="49" fontId="35" fillId="0" borderId="130" applyNumberFormat="0" applyFont="0" applyFill="0" applyBorder="0" applyProtection="0">
      <alignment horizontal="left" vertical="center" indent="5"/>
    </xf>
    <xf numFmtId="0" fontId="27" fillId="20" borderId="0" applyNumberFormat="0" applyBorder="0" applyAlignment="0" applyProtection="0"/>
    <xf numFmtId="0" fontId="50" fillId="43" borderId="134" applyNumberFormat="0" applyAlignment="0" applyProtection="0"/>
    <xf numFmtId="4" fontId="35" fillId="33" borderId="137"/>
    <xf numFmtId="4" fontId="33" fillId="32" borderId="137">
      <alignment horizontal="right" vertical="center"/>
    </xf>
    <xf numFmtId="0" fontId="30" fillId="13" borderId="13" applyNumberFormat="0" applyAlignment="0" applyProtection="0"/>
    <xf numFmtId="0" fontId="27" fillId="24" borderId="0" applyNumberFormat="0" applyBorder="0" applyAlignment="0" applyProtection="0"/>
    <xf numFmtId="0" fontId="35" fillId="0" borderId="132">
      <alignment horizontal="left" vertical="center" wrapText="1" indent="2"/>
    </xf>
    <xf numFmtId="0" fontId="47" fillId="56" borderId="134" applyNumberFormat="0" applyAlignment="0" applyProtection="0"/>
    <xf numFmtId="0" fontId="35" fillId="0" borderId="140">
      <alignment horizontal="left" vertical="center" wrapText="1" indent="2"/>
    </xf>
    <xf numFmtId="0" fontId="66" fillId="0" borderId="135" applyNumberFormat="0" applyFill="0" applyAlignment="0" applyProtection="0"/>
    <xf numFmtId="49" fontId="35" fillId="0" borderId="137" applyNumberFormat="0" applyFont="0" applyFill="0" applyBorder="0" applyProtection="0">
      <alignment horizontal="left" vertical="center" indent="2"/>
    </xf>
    <xf numFmtId="0" fontId="29" fillId="13" borderId="14" applyNumberFormat="0" applyAlignment="0" applyProtection="0"/>
    <xf numFmtId="0" fontId="33" fillId="34" borderId="137">
      <alignment horizontal="right" vertical="center"/>
    </xf>
    <xf numFmtId="0" fontId="33" fillId="34" borderId="129">
      <alignment horizontal="right" vertical="center"/>
    </xf>
    <xf numFmtId="0" fontId="27" fillId="29" borderId="0" applyNumberFormat="0" applyBorder="0" applyAlignment="0" applyProtection="0"/>
    <xf numFmtId="0" fontId="27" fillId="17" borderId="0" applyNumberFormat="0" applyBorder="0" applyAlignment="0" applyProtection="0"/>
    <xf numFmtId="0" fontId="27" fillId="29" borderId="0" applyNumberFormat="0" applyBorder="0" applyAlignment="0" applyProtection="0"/>
    <xf numFmtId="0" fontId="41" fillId="59" borderId="136" applyNumberFormat="0" applyFont="0" applyAlignment="0" applyProtection="0"/>
    <xf numFmtId="0" fontId="63" fillId="56" borderId="141" applyNumberFormat="0" applyAlignment="0" applyProtection="0"/>
    <xf numFmtId="0" fontId="35" fillId="34" borderId="140">
      <alignment horizontal="left" vertical="center" wrapText="1" indent="2"/>
    </xf>
    <xf numFmtId="0" fontId="27" fillId="24" borderId="0" applyNumberFormat="0" applyBorder="0" applyAlignment="0" applyProtection="0"/>
    <xf numFmtId="0" fontId="12" fillId="28" borderId="0" applyNumberFormat="0" applyBorder="0" applyAlignment="0" applyProtection="0"/>
    <xf numFmtId="4" fontId="33" fillId="34" borderId="129">
      <alignment horizontal="right" vertical="center"/>
    </xf>
    <xf numFmtId="4" fontId="37" fillId="32" borderId="129">
      <alignment horizontal="right" vertical="center"/>
    </xf>
    <xf numFmtId="0" fontId="35" fillId="33" borderId="129"/>
    <xf numFmtId="0" fontId="51" fillId="0" borderId="127" applyNumberFormat="0" applyFill="0" applyAlignment="0" applyProtection="0"/>
    <xf numFmtId="4" fontId="35" fillId="0" borderId="129" applyFill="0" applyBorder="0" applyProtection="0">
      <alignment horizontal="right" vertical="center"/>
    </xf>
    <xf numFmtId="0" fontId="51" fillId="0" borderId="127" applyNumberFormat="0" applyFill="0" applyAlignment="0" applyProtection="0"/>
    <xf numFmtId="0" fontId="35" fillId="0" borderId="129" applyNumberFormat="0" applyFill="0" applyAlignment="0" applyProtection="0"/>
    <xf numFmtId="0" fontId="35" fillId="33" borderId="137"/>
    <xf numFmtId="0" fontId="35" fillId="0" borderId="129" applyNumberFormat="0" applyFill="0" applyAlignment="0" applyProtection="0"/>
    <xf numFmtId="0" fontId="41" fillId="59" borderId="136" applyNumberFormat="0" applyFont="0" applyAlignment="0" applyProtection="0"/>
    <xf numFmtId="4" fontId="33" fillId="34" borderId="131">
      <alignment horizontal="right" vertical="center"/>
    </xf>
    <xf numFmtId="0" fontId="47" fillId="56" borderId="134" applyNumberFormat="0" applyAlignment="0" applyProtection="0"/>
    <xf numFmtId="0" fontId="50" fillId="43" borderId="126" applyNumberFormat="0" applyAlignment="0" applyProtection="0"/>
    <xf numFmtId="0" fontId="47" fillId="56" borderId="126" applyNumberFormat="0" applyAlignment="0" applyProtection="0"/>
    <xf numFmtId="4" fontId="35" fillId="0" borderId="129">
      <alignment horizontal="right" vertical="center"/>
    </xf>
    <xf numFmtId="0" fontId="35" fillId="34" borderId="132">
      <alignment horizontal="left" vertical="center" wrapText="1" indent="2"/>
    </xf>
    <xf numFmtId="0" fontId="35" fillId="0" borderId="132">
      <alignment horizontal="left" vertical="center" wrapText="1" indent="2"/>
    </xf>
    <xf numFmtId="0" fontId="63" fillId="56" borderId="133" applyNumberFormat="0" applyAlignment="0" applyProtection="0"/>
    <xf numFmtId="0" fontId="59" fillId="43" borderId="126" applyNumberFormat="0" applyAlignment="0" applyProtection="0"/>
    <xf numFmtId="0" fontId="46" fillId="56" borderId="126" applyNumberFormat="0" applyAlignment="0" applyProtection="0"/>
    <xf numFmtId="0" fontId="44" fillId="56" borderId="133" applyNumberFormat="0" applyAlignment="0" applyProtection="0"/>
    <xf numFmtId="0" fontId="33" fillId="34" borderId="131">
      <alignment horizontal="right" vertical="center"/>
    </xf>
    <xf numFmtId="0" fontId="37" fillId="32" borderId="129">
      <alignment horizontal="right" vertical="center"/>
    </xf>
    <xf numFmtId="4" fontId="33" fillId="32" borderId="129">
      <alignment horizontal="right" vertical="center"/>
    </xf>
    <xf numFmtId="4" fontId="33" fillId="34" borderId="129">
      <alignment horizontal="right" vertical="center"/>
    </xf>
    <xf numFmtId="49" fontId="35" fillId="0" borderId="130" applyNumberFormat="0" applyFont="0" applyFill="0" applyBorder="0" applyProtection="0">
      <alignment horizontal="left" vertical="center" indent="5"/>
    </xf>
    <xf numFmtId="4" fontId="35" fillId="0" borderId="129" applyFill="0" applyBorder="0" applyProtection="0">
      <alignment horizontal="right" vertical="center"/>
    </xf>
    <xf numFmtId="4" fontId="33" fillId="32" borderId="129">
      <alignment horizontal="right" vertical="center"/>
    </xf>
    <xf numFmtId="0" fontId="59" fillId="43" borderId="126" applyNumberFormat="0" applyAlignment="0" applyProtection="0"/>
    <xf numFmtId="0" fontId="50" fillId="43" borderId="126" applyNumberFormat="0" applyAlignment="0" applyProtection="0"/>
    <xf numFmtId="0" fontId="46" fillId="56" borderId="126" applyNumberFormat="0" applyAlignment="0" applyProtection="0"/>
    <xf numFmtId="0" fontId="35" fillId="34" borderId="132">
      <alignment horizontal="left" vertical="center" wrapText="1" indent="2"/>
    </xf>
    <xf numFmtId="0" fontId="35" fillId="0" borderId="132">
      <alignment horizontal="left" vertical="center" wrapText="1" indent="2"/>
    </xf>
    <xf numFmtId="0" fontId="35" fillId="34" borderId="132">
      <alignment horizontal="left" vertical="center" wrapText="1" indent="2"/>
    </xf>
    <xf numFmtId="49" fontId="35" fillId="0" borderId="137" applyNumberFormat="0" applyFont="0" applyFill="0" applyBorder="0" applyProtection="0">
      <alignment horizontal="left" vertical="center" indent="2"/>
    </xf>
    <xf numFmtId="0" fontId="33" fillId="34" borderId="137">
      <alignment horizontal="right" vertical="center"/>
    </xf>
    <xf numFmtId="0" fontId="33" fillId="34" borderId="137">
      <alignment horizontal="right" vertical="center"/>
    </xf>
    <xf numFmtId="0" fontId="29" fillId="13" borderId="14" applyNumberFormat="0" applyAlignment="0" applyProtection="0"/>
    <xf numFmtId="0" fontId="44" fillId="56" borderId="141" applyNumberFormat="0" applyAlignment="0" applyProtection="0"/>
    <xf numFmtId="0" fontId="50" fillId="43" borderId="134" applyNumberFormat="0" applyAlignment="0" applyProtection="0"/>
    <xf numFmtId="0" fontId="27" fillId="15" borderId="0" applyNumberFormat="0" applyBorder="0" applyAlignment="0" applyProtection="0"/>
    <xf numFmtId="0" fontId="12" fillId="28" borderId="0" applyNumberFormat="0" applyBorder="0" applyAlignment="0" applyProtection="0"/>
    <xf numFmtId="0" fontId="41" fillId="59" borderId="136" applyNumberFormat="0" applyFont="0" applyAlignment="0" applyProtection="0"/>
    <xf numFmtId="0" fontId="27" fillId="24" borderId="0" applyNumberFormat="0" applyBorder="0" applyAlignment="0" applyProtection="0"/>
    <xf numFmtId="0" fontId="27" fillId="24" borderId="0" applyNumberFormat="0" applyBorder="0" applyAlignment="0" applyProtection="0"/>
    <xf numFmtId="4" fontId="35" fillId="33" borderId="137"/>
    <xf numFmtId="0" fontId="46" fillId="56" borderId="134" applyNumberFormat="0" applyAlignment="0" applyProtection="0"/>
    <xf numFmtId="0" fontId="66" fillId="0" borderId="135" applyNumberFormat="0" applyFill="0" applyAlignment="0" applyProtection="0"/>
    <xf numFmtId="173" fontId="35" fillId="60" borderId="137" applyNumberFormat="0" applyFont="0" applyBorder="0" applyAlignment="0" applyProtection="0">
      <alignment horizontal="right" vertical="center"/>
    </xf>
    <xf numFmtId="0" fontId="59" fillId="43" borderId="134" applyNumberFormat="0" applyAlignment="0" applyProtection="0"/>
    <xf numFmtId="4" fontId="33" fillId="34" borderId="137">
      <alignment horizontal="right" vertical="center"/>
    </xf>
    <xf numFmtId="0" fontId="27" fillId="29" borderId="0" applyNumberFormat="0" applyBorder="0" applyAlignment="0" applyProtection="0"/>
    <xf numFmtId="0" fontId="33" fillId="34" borderId="137">
      <alignment horizontal="right" vertical="center"/>
    </xf>
    <xf numFmtId="0" fontId="59" fillId="43" borderId="134" applyNumberFormat="0" applyAlignment="0" applyProtection="0"/>
    <xf numFmtId="4" fontId="33" fillId="34" borderId="139">
      <alignment horizontal="right" vertical="center"/>
    </xf>
    <xf numFmtId="0" fontId="27" fillId="30" borderId="0" applyNumberFormat="0" applyBorder="0" applyAlignment="0" applyProtection="0"/>
    <xf numFmtId="0" fontId="27" fillId="21" borderId="0" applyNumberFormat="0" applyBorder="0" applyAlignment="0" applyProtection="0"/>
    <xf numFmtId="0" fontId="27" fillId="20" borderId="0" applyNumberFormat="0" applyBorder="0" applyAlignment="0" applyProtection="0"/>
    <xf numFmtId="0" fontId="30" fillId="13" borderId="13" applyNumberFormat="0" applyAlignment="0" applyProtection="0"/>
    <xf numFmtId="0" fontId="63" fillId="56" borderId="141" applyNumberFormat="0" applyAlignment="0" applyProtection="0"/>
    <xf numFmtId="0" fontId="47" fillId="56" borderId="134" applyNumberFormat="0" applyAlignment="0" applyProtection="0"/>
    <xf numFmtId="0" fontId="35" fillId="33" borderId="137"/>
    <xf numFmtId="0" fontId="41" fillId="59" borderId="136" applyNumberFormat="0" applyFont="0" applyAlignment="0" applyProtection="0"/>
    <xf numFmtId="0" fontId="66" fillId="0" borderId="135" applyNumberFormat="0" applyFill="0" applyAlignment="0" applyProtection="0"/>
    <xf numFmtId="4" fontId="35" fillId="0" borderId="137" applyFill="0" applyBorder="0" applyProtection="0">
      <alignment horizontal="right" vertical="center"/>
    </xf>
    <xf numFmtId="0" fontId="27" fillId="15" borderId="0" applyNumberFormat="0" applyBorder="0" applyAlignment="0" applyProtection="0"/>
    <xf numFmtId="0" fontId="35" fillId="33" borderId="137"/>
    <xf numFmtId="49" fontId="35" fillId="0" borderId="138" applyNumberFormat="0" applyFont="0" applyFill="0" applyBorder="0" applyProtection="0">
      <alignment horizontal="left" vertical="center" indent="5"/>
    </xf>
    <xf numFmtId="4" fontId="33" fillId="34" borderId="139">
      <alignment horizontal="right" vertical="center"/>
    </xf>
    <xf numFmtId="0" fontId="33" fillId="32" borderId="137">
      <alignment horizontal="right" vertical="center"/>
    </xf>
    <xf numFmtId="0" fontId="27" fillId="18" borderId="0" applyNumberFormat="0" applyBorder="0" applyAlignment="0" applyProtection="0"/>
    <xf numFmtId="0" fontId="12" fillId="22" borderId="0" applyNumberFormat="0" applyBorder="0" applyAlignment="0" applyProtection="0"/>
    <xf numFmtId="0" fontId="33" fillId="34" borderId="137">
      <alignment horizontal="right" vertical="center"/>
    </xf>
    <xf numFmtId="49" fontId="34" fillId="0" borderId="137" applyNumberFormat="0" applyFill="0" applyBorder="0" applyProtection="0">
      <alignment horizontal="left" vertical="center"/>
    </xf>
    <xf numFmtId="0" fontId="27" fillId="30" borderId="0" applyNumberFormat="0" applyBorder="0" applyAlignment="0" applyProtection="0"/>
    <xf numFmtId="49" fontId="35" fillId="0" borderId="138" applyNumberFormat="0" applyFont="0" applyFill="0" applyBorder="0" applyProtection="0">
      <alignment horizontal="left" vertical="center" indent="5"/>
    </xf>
    <xf numFmtId="49" fontId="34" fillId="0" borderId="137" applyNumberFormat="0" applyFill="0" applyBorder="0" applyProtection="0">
      <alignment horizontal="left" vertical="center"/>
    </xf>
    <xf numFmtId="4" fontId="35" fillId="0" borderId="137" applyFill="0" applyBorder="0" applyProtection="0">
      <alignment horizontal="right" vertical="center"/>
    </xf>
    <xf numFmtId="0" fontId="27" fillId="15" borderId="0" applyNumberFormat="0" applyBorder="0" applyAlignment="0" applyProtection="0"/>
    <xf numFmtId="0" fontId="63" fillId="56" borderId="141" applyNumberFormat="0" applyAlignment="0" applyProtection="0"/>
    <xf numFmtId="0" fontId="12" fillId="25" borderId="0" applyNumberFormat="0" applyBorder="0" applyAlignment="0" applyProtection="0"/>
    <xf numFmtId="0" fontId="27" fillId="20" borderId="0" applyNumberFormat="0" applyBorder="0" applyAlignment="0" applyProtection="0"/>
    <xf numFmtId="0" fontId="47" fillId="56" borderId="134" applyNumberFormat="0" applyAlignment="0" applyProtection="0"/>
    <xf numFmtId="0" fontId="33" fillId="34" borderId="139">
      <alignment horizontal="right" vertical="center"/>
    </xf>
    <xf numFmtId="4" fontId="35" fillId="33" borderId="137"/>
    <xf numFmtId="49" fontId="35" fillId="0" borderId="137" applyNumberFormat="0" applyFont="0" applyFill="0" applyBorder="0" applyProtection="0">
      <alignment horizontal="left" vertical="center" indent="2"/>
    </xf>
    <xf numFmtId="0" fontId="5" fillId="59" borderId="136" applyNumberFormat="0" applyFont="0" applyAlignment="0" applyProtection="0"/>
    <xf numFmtId="0" fontId="35" fillId="32" borderId="138">
      <alignment horizontal="left" vertical="center"/>
    </xf>
    <xf numFmtId="0" fontId="33" fillId="34" borderId="139">
      <alignment horizontal="right" vertical="center"/>
    </xf>
    <xf numFmtId="0" fontId="33" fillId="34" borderId="139">
      <alignment horizontal="right" vertical="center"/>
    </xf>
    <xf numFmtId="0" fontId="27" fillId="29" borderId="0" applyNumberFormat="0" applyBorder="0" applyAlignment="0" applyProtection="0"/>
    <xf numFmtId="0" fontId="51" fillId="0" borderId="135" applyNumberFormat="0" applyFill="0" applyAlignment="0" applyProtection="0"/>
    <xf numFmtId="0" fontId="37" fillId="32" borderId="137">
      <alignment horizontal="right" vertical="center"/>
    </xf>
    <xf numFmtId="0" fontId="37" fillId="32" borderId="137">
      <alignment horizontal="right" vertical="center"/>
    </xf>
    <xf numFmtId="0" fontId="51" fillId="0" borderId="135" applyNumberFormat="0" applyFill="0" applyAlignment="0" applyProtection="0"/>
    <xf numFmtId="0" fontId="44" fillId="56" borderId="141" applyNumberFormat="0" applyAlignment="0" applyProtection="0"/>
    <xf numFmtId="49" fontId="35" fillId="0" borderId="138" applyNumberFormat="0" applyFont="0" applyFill="0" applyBorder="0" applyProtection="0">
      <alignment horizontal="left" vertical="center" indent="5"/>
    </xf>
    <xf numFmtId="0" fontId="51" fillId="0" borderId="135" applyNumberFormat="0" applyFill="0" applyAlignment="0" applyProtection="0"/>
    <xf numFmtId="49" fontId="35" fillId="0" borderId="137" applyNumberFormat="0" applyFont="0" applyFill="0" applyBorder="0" applyProtection="0">
      <alignment horizontal="left" vertical="center" indent="2"/>
    </xf>
    <xf numFmtId="0" fontId="66" fillId="0" borderId="135" applyNumberFormat="0" applyFill="0" applyAlignment="0" applyProtection="0"/>
    <xf numFmtId="0" fontId="35" fillId="0" borderId="137" applyNumberFormat="0" applyFill="0" applyAlignment="0" applyProtection="0"/>
    <xf numFmtId="0" fontId="2" fillId="0" borderId="15" applyNumberFormat="0" applyFill="0" applyAlignment="0" applyProtection="0"/>
    <xf numFmtId="0" fontId="12" fillId="28" borderId="0" applyNumberFormat="0" applyBorder="0" applyAlignment="0" applyProtection="0"/>
    <xf numFmtId="0" fontId="30" fillId="13" borderId="13" applyNumberFormat="0" applyAlignment="0" applyProtection="0"/>
    <xf numFmtId="0" fontId="33" fillId="34" borderId="137">
      <alignment horizontal="right" vertical="center"/>
    </xf>
    <xf numFmtId="0" fontId="35" fillId="0" borderId="140">
      <alignment horizontal="left" vertical="center" wrapText="1" indent="2"/>
    </xf>
    <xf numFmtId="0" fontId="59" fillId="43" borderId="134" applyNumberFormat="0" applyAlignment="0" applyProtection="0"/>
    <xf numFmtId="0" fontId="12" fillId="25" borderId="0" applyNumberFormat="0" applyBorder="0" applyAlignment="0" applyProtection="0"/>
    <xf numFmtId="0" fontId="27" fillId="18" borderId="0" applyNumberFormat="0" applyBorder="0" applyAlignment="0" applyProtection="0"/>
    <xf numFmtId="0" fontId="35" fillId="32" borderId="138">
      <alignment horizontal="left" vertical="center"/>
    </xf>
    <xf numFmtId="0" fontId="5" fillId="59" borderId="136" applyNumberFormat="0" applyFont="0" applyAlignment="0" applyProtection="0"/>
    <xf numFmtId="0" fontId="35" fillId="0" borderId="137" applyNumberFormat="0" applyFill="0" applyAlignment="0" applyProtection="0"/>
    <xf numFmtId="0" fontId="27" fillId="24" borderId="0" applyNumberFormat="0" applyBorder="0" applyAlignment="0" applyProtection="0"/>
    <xf numFmtId="0" fontId="12" fillId="22" borderId="0" applyNumberFormat="0" applyBorder="0" applyAlignment="0" applyProtection="0"/>
    <xf numFmtId="0" fontId="50" fillId="43" borderId="134" applyNumberFormat="0" applyAlignment="0" applyProtection="0"/>
    <xf numFmtId="0" fontId="27" fillId="23" borderId="0" applyNumberFormat="0" applyBorder="0" applyAlignment="0" applyProtection="0"/>
    <xf numFmtId="0" fontId="35" fillId="34" borderId="140">
      <alignment horizontal="left" vertical="center" wrapText="1" indent="2"/>
    </xf>
    <xf numFmtId="0" fontId="35" fillId="33" borderId="137"/>
    <xf numFmtId="0" fontId="37" fillId="32" borderId="137">
      <alignment horizontal="right" vertical="center"/>
    </xf>
    <xf numFmtId="0" fontId="29" fillId="13" borderId="14" applyNumberFormat="0" applyAlignment="0" applyProtection="0"/>
    <xf numFmtId="0" fontId="46" fillId="56" borderId="134" applyNumberFormat="0" applyAlignment="0" applyProtection="0"/>
    <xf numFmtId="0" fontId="27" fillId="14" borderId="0" applyNumberFormat="0" applyBorder="0" applyAlignment="0" applyProtection="0"/>
    <xf numFmtId="0" fontId="1" fillId="0" borderId="0" applyNumberFormat="0" applyFill="0" applyBorder="0" applyAlignment="0" applyProtection="0"/>
    <xf numFmtId="0" fontId="27" fillId="26" borderId="0" applyNumberFormat="0" applyBorder="0" applyAlignment="0" applyProtection="0"/>
    <xf numFmtId="4" fontId="33" fillId="34" borderId="137">
      <alignment horizontal="right" vertical="center"/>
    </xf>
    <xf numFmtId="0" fontId="41" fillId="59" borderId="136" applyNumberFormat="0" applyFont="0" applyAlignment="0" applyProtection="0"/>
    <xf numFmtId="0" fontId="50" fillId="43" borderId="134" applyNumberFormat="0" applyAlignment="0" applyProtection="0"/>
    <xf numFmtId="0" fontId="12" fillId="19" borderId="0" applyNumberFormat="0" applyBorder="0" applyAlignment="0" applyProtection="0"/>
    <xf numFmtId="0" fontId="27" fillId="18" borderId="0" applyNumberFormat="0" applyBorder="0" applyAlignment="0" applyProtection="0"/>
    <xf numFmtId="4" fontId="35" fillId="0" borderId="137">
      <alignment horizontal="right" vertical="center"/>
    </xf>
    <xf numFmtId="0" fontId="33" fillId="32" borderId="137">
      <alignment horizontal="right" vertical="center"/>
    </xf>
    <xf numFmtId="0" fontId="59" fillId="43" borderId="134" applyNumberFormat="0" applyAlignment="0" applyProtection="0"/>
    <xf numFmtId="4" fontId="33" fillId="34" borderId="137">
      <alignment horizontal="right" vertical="center"/>
    </xf>
    <xf numFmtId="0" fontId="63" fillId="56" borderId="141" applyNumberFormat="0" applyAlignment="0" applyProtection="0"/>
    <xf numFmtId="0" fontId="59" fillId="43" borderId="134" applyNumberFormat="0" applyAlignment="0" applyProtection="0"/>
    <xf numFmtId="0" fontId="27" fillId="23" borderId="0" applyNumberFormat="0" applyBorder="0" applyAlignment="0" applyProtection="0"/>
    <xf numFmtId="0" fontId="12" fillId="28" borderId="0" applyNumberFormat="0" applyBorder="0" applyAlignment="0" applyProtection="0"/>
    <xf numFmtId="0" fontId="12" fillId="22" borderId="0" applyNumberFormat="0" applyBorder="0" applyAlignment="0" applyProtection="0"/>
    <xf numFmtId="4" fontId="33" fillId="34" borderId="137">
      <alignment horizontal="right" vertical="center"/>
    </xf>
    <xf numFmtId="4" fontId="33" fillId="34" borderId="137">
      <alignment horizontal="right" vertical="center"/>
    </xf>
    <xf numFmtId="4" fontId="35" fillId="33" borderId="137"/>
    <xf numFmtId="0" fontId="12" fillId="31" borderId="0" applyNumberFormat="0" applyBorder="0" applyAlignment="0" applyProtection="0"/>
    <xf numFmtId="0" fontId="27" fillId="29" borderId="0" applyNumberFormat="0" applyBorder="0" applyAlignment="0" applyProtection="0"/>
    <xf numFmtId="0" fontId="47" fillId="56" borderId="134" applyNumberFormat="0" applyAlignment="0" applyProtection="0"/>
    <xf numFmtId="0" fontId="12" fillId="28" borderId="0" applyNumberFormat="0" applyBorder="0" applyAlignment="0" applyProtection="0"/>
    <xf numFmtId="0" fontId="33" fillId="34" borderId="138">
      <alignment horizontal="right" vertical="center"/>
    </xf>
    <xf numFmtId="49" fontId="35" fillId="0" borderId="137" applyNumberFormat="0" applyFont="0" applyFill="0" applyBorder="0" applyProtection="0">
      <alignment horizontal="left" vertical="center" indent="2"/>
    </xf>
    <xf numFmtId="0" fontId="35" fillId="0" borderId="137">
      <alignment horizontal="right" vertical="center"/>
    </xf>
    <xf numFmtId="0" fontId="27" fillId="18" borderId="0" applyNumberFormat="0" applyBorder="0" applyAlignment="0" applyProtection="0"/>
    <xf numFmtId="0" fontId="12" fillId="22" borderId="0" applyNumberFormat="0" applyBorder="0" applyAlignment="0" applyProtection="0"/>
    <xf numFmtId="0" fontId="35" fillId="33" borderId="137"/>
    <xf numFmtId="49" fontId="35" fillId="0" borderId="137" applyNumberFormat="0" applyFont="0" applyFill="0" applyBorder="0" applyProtection="0">
      <alignment horizontal="left" vertical="center" indent="2"/>
    </xf>
    <xf numFmtId="0" fontId="27" fillId="18" borderId="0" applyNumberFormat="0" applyBorder="0" applyAlignment="0" applyProtection="0"/>
    <xf numFmtId="0" fontId="35" fillId="32" borderId="138">
      <alignment horizontal="left" vertical="center"/>
    </xf>
    <xf numFmtId="0" fontId="35" fillId="0" borderId="140">
      <alignment horizontal="left" vertical="center" wrapText="1" indent="2"/>
    </xf>
    <xf numFmtId="4" fontId="35" fillId="0" borderId="137" applyFill="0" applyBorder="0" applyProtection="0">
      <alignment horizontal="right" vertical="center"/>
    </xf>
    <xf numFmtId="0" fontId="33" fillId="34" borderId="138">
      <alignment horizontal="right" vertical="center"/>
    </xf>
    <xf numFmtId="0" fontId="12" fillId="31" borderId="0" applyNumberFormat="0" applyBorder="0" applyAlignment="0" applyProtection="0"/>
    <xf numFmtId="0" fontId="27" fillId="26" borderId="0" applyNumberFormat="0" applyBorder="0" applyAlignment="0" applyProtection="0"/>
    <xf numFmtId="4" fontId="33" fillId="32" borderId="137">
      <alignment horizontal="right" vertical="center"/>
    </xf>
    <xf numFmtId="0" fontId="2" fillId="0" borderId="15" applyNumberFormat="0" applyFill="0" applyAlignment="0" applyProtection="0"/>
    <xf numFmtId="0" fontId="12" fillId="22" borderId="0" applyNumberFormat="0" applyBorder="0" applyAlignment="0" applyProtection="0"/>
    <xf numFmtId="0" fontId="33" fillId="34" borderId="137">
      <alignment horizontal="right" vertical="center"/>
    </xf>
    <xf numFmtId="0" fontId="27" fillId="24" borderId="0" applyNumberFormat="0" applyBorder="0" applyAlignment="0" applyProtection="0"/>
    <xf numFmtId="0" fontId="47" fillId="56" borderId="134" applyNumberFormat="0" applyAlignment="0" applyProtection="0"/>
    <xf numFmtId="0" fontId="27" fillId="21" borderId="0" applyNumberFormat="0" applyBorder="0" applyAlignment="0" applyProtection="0"/>
    <xf numFmtId="0" fontId="12" fillId="19" borderId="0" applyNumberFormat="0" applyBorder="0" applyAlignment="0" applyProtection="0"/>
    <xf numFmtId="0" fontId="27" fillId="29" borderId="0" applyNumberFormat="0" applyBorder="0" applyAlignment="0" applyProtection="0"/>
    <xf numFmtId="0" fontId="66" fillId="0" borderId="135" applyNumberFormat="0" applyFill="0" applyAlignment="0" applyProtection="0"/>
    <xf numFmtId="0" fontId="47" fillId="56" borderId="134" applyNumberFormat="0" applyAlignment="0" applyProtection="0"/>
    <xf numFmtId="0" fontId="37" fillId="32" borderId="137">
      <alignment horizontal="right" vertical="center"/>
    </xf>
    <xf numFmtId="4" fontId="33" fillId="34" borderId="137">
      <alignment horizontal="right" vertical="center"/>
    </xf>
    <xf numFmtId="0" fontId="2" fillId="0" borderId="15" applyNumberFormat="0" applyFill="0" applyAlignment="0" applyProtection="0"/>
    <xf numFmtId="49" fontId="34" fillId="0" borderId="137" applyNumberFormat="0" applyFill="0" applyBorder="0" applyProtection="0">
      <alignment horizontal="left" vertical="center"/>
    </xf>
    <xf numFmtId="0" fontId="33" fillId="32" borderId="137">
      <alignment horizontal="right" vertical="center"/>
    </xf>
    <xf numFmtId="0" fontId="63" fillId="56" borderId="141" applyNumberFormat="0" applyAlignment="0" applyProtection="0"/>
    <xf numFmtId="0" fontId="35" fillId="0" borderId="137" applyNumberFormat="0" applyFill="0" applyAlignment="0" applyProtection="0"/>
    <xf numFmtId="0" fontId="27" fillId="17" borderId="0" applyNumberFormat="0" applyBorder="0" applyAlignment="0" applyProtection="0"/>
    <xf numFmtId="0" fontId="66" fillId="0" borderId="135" applyNumberFormat="0" applyFill="0" applyAlignment="0" applyProtection="0"/>
    <xf numFmtId="0" fontId="27" fillId="18" borderId="0" applyNumberFormat="0" applyBorder="0" applyAlignment="0" applyProtection="0"/>
    <xf numFmtId="0" fontId="50" fillId="43" borderId="134" applyNumberFormat="0" applyAlignment="0" applyProtection="0"/>
    <xf numFmtId="0" fontId="33" fillId="34" borderId="138">
      <alignment horizontal="right" vertical="center"/>
    </xf>
    <xf numFmtId="0" fontId="2" fillId="0" borderId="15" applyNumberFormat="0" applyFill="0" applyAlignment="0" applyProtection="0"/>
    <xf numFmtId="0" fontId="12" fillId="31" borderId="0" applyNumberFormat="0" applyBorder="0" applyAlignment="0" applyProtection="0"/>
    <xf numFmtId="0" fontId="35" fillId="33" borderId="137"/>
    <xf numFmtId="0" fontId="66" fillId="0" borderId="135" applyNumberFormat="0" applyFill="0" applyAlignment="0" applyProtection="0"/>
    <xf numFmtId="0" fontId="27" fillId="14" borderId="0" applyNumberFormat="0" applyBorder="0" applyAlignment="0" applyProtection="0"/>
    <xf numFmtId="4" fontId="37" fillId="32" borderId="137">
      <alignment horizontal="right" vertical="center"/>
    </xf>
    <xf numFmtId="0" fontId="35" fillId="34" borderId="140">
      <alignment horizontal="left" vertical="center" wrapText="1" indent="2"/>
    </xf>
    <xf numFmtId="0" fontId="35" fillId="0" borderId="137">
      <alignment horizontal="right" vertical="center"/>
    </xf>
    <xf numFmtId="4" fontId="35" fillId="0" borderId="137">
      <alignment horizontal="right" vertical="center"/>
    </xf>
    <xf numFmtId="173" fontId="35" fillId="60" borderId="137" applyNumberFormat="0" applyFont="0" applyBorder="0" applyAlignment="0" applyProtection="0">
      <alignment horizontal="right" vertical="center"/>
    </xf>
    <xf numFmtId="0" fontId="27" fillId="15" borderId="0" applyNumberFormat="0" applyBorder="0" applyAlignment="0" applyProtection="0"/>
    <xf numFmtId="0" fontId="50" fillId="43" borderId="134" applyNumberFormat="0" applyAlignment="0" applyProtection="0"/>
    <xf numFmtId="4" fontId="33" fillId="34" borderId="137">
      <alignment horizontal="right" vertical="center"/>
    </xf>
    <xf numFmtId="0" fontId="35" fillId="0" borderId="140">
      <alignment horizontal="left" vertical="center" wrapText="1" indent="2"/>
    </xf>
    <xf numFmtId="0" fontId="66" fillId="0" borderId="135" applyNumberFormat="0" applyFill="0" applyAlignment="0" applyProtection="0"/>
    <xf numFmtId="0" fontId="59" fillId="43" borderId="134" applyNumberFormat="0" applyAlignment="0" applyProtection="0"/>
    <xf numFmtId="0" fontId="46" fillId="56" borderId="134" applyNumberFormat="0" applyAlignment="0" applyProtection="0"/>
    <xf numFmtId="4" fontId="33" fillId="34" borderId="139">
      <alignment horizontal="right" vertical="center"/>
    </xf>
    <xf numFmtId="0" fontId="27" fillId="30" borderId="0" applyNumberFormat="0" applyBorder="0" applyAlignment="0" applyProtection="0"/>
    <xf numFmtId="0" fontId="27" fillId="15" borderId="0" applyNumberFormat="0" applyBorder="0" applyAlignment="0" applyProtection="0"/>
    <xf numFmtId="0" fontId="27" fillId="23" borderId="0" applyNumberFormat="0" applyBorder="0" applyAlignment="0" applyProtection="0"/>
    <xf numFmtId="0" fontId="35" fillId="0" borderId="137">
      <alignment horizontal="right" vertical="center"/>
    </xf>
    <xf numFmtId="173" fontId="35" fillId="60" borderId="137" applyNumberFormat="0" applyFont="0" applyBorder="0" applyAlignment="0" applyProtection="0">
      <alignment horizontal="right" vertical="center"/>
    </xf>
    <xf numFmtId="4" fontId="33" fillId="34" borderId="137">
      <alignment horizontal="right" vertical="center"/>
    </xf>
    <xf numFmtId="0" fontId="1" fillId="0" borderId="0" applyNumberFormat="0" applyFill="0" applyBorder="0" applyAlignment="0" applyProtection="0"/>
    <xf numFmtId="4" fontId="33" fillId="32" borderId="137">
      <alignment horizontal="right" vertical="center"/>
    </xf>
    <xf numFmtId="0" fontId="27" fillId="24" borderId="0" applyNumberFormat="0" applyBorder="0" applyAlignment="0" applyProtection="0"/>
    <xf numFmtId="0" fontId="41" fillId="59" borderId="136" applyNumberFormat="0" applyFont="0" applyAlignment="0" applyProtection="0"/>
    <xf numFmtId="0" fontId="33" fillId="32" borderId="137">
      <alignment horizontal="right" vertical="center"/>
    </xf>
    <xf numFmtId="0" fontId="27" fillId="26" borderId="0" applyNumberFormat="0" applyBorder="0" applyAlignment="0" applyProtection="0"/>
    <xf numFmtId="0" fontId="41" fillId="59" borderId="136" applyNumberFormat="0" applyFont="0" applyAlignment="0" applyProtection="0"/>
    <xf numFmtId="0" fontId="33" fillId="32" borderId="137">
      <alignment horizontal="right" vertical="center"/>
    </xf>
    <xf numFmtId="0" fontId="27" fillId="29" borderId="0" applyNumberFormat="0" applyBorder="0" applyAlignment="0" applyProtection="0"/>
    <xf numFmtId="0" fontId="12" fillId="25" borderId="0" applyNumberFormat="0" applyBorder="0" applyAlignment="0" applyProtection="0"/>
    <xf numFmtId="0" fontId="27" fillId="20" borderId="0" applyNumberFormat="0" applyBorder="0" applyAlignment="0" applyProtection="0"/>
    <xf numFmtId="0" fontId="12" fillId="22" borderId="0" applyNumberFormat="0" applyBorder="0" applyAlignment="0" applyProtection="0"/>
    <xf numFmtId="0" fontId="35" fillId="34" borderId="140">
      <alignment horizontal="left" vertical="center" wrapText="1" indent="2"/>
    </xf>
    <xf numFmtId="0" fontId="5" fillId="59" borderId="136" applyNumberFormat="0" applyFont="0" applyAlignment="0" applyProtection="0"/>
    <xf numFmtId="0" fontId="12" fillId="19" borderId="0" applyNumberFormat="0" applyBorder="0" applyAlignment="0" applyProtection="0"/>
    <xf numFmtId="0" fontId="33" fillId="34" borderId="138">
      <alignment horizontal="right" vertical="center"/>
    </xf>
    <xf numFmtId="4" fontId="37" fillId="32" borderId="137">
      <alignment horizontal="right" vertical="center"/>
    </xf>
    <xf numFmtId="0" fontId="35" fillId="34" borderId="140">
      <alignment horizontal="left" vertical="center" wrapText="1" indent="2"/>
    </xf>
    <xf numFmtId="0" fontId="44" fillId="56" borderId="141" applyNumberFormat="0" applyAlignment="0" applyProtection="0"/>
    <xf numFmtId="0" fontId="27" fillId="24"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16" borderId="0" applyNumberFormat="0" applyBorder="0" applyAlignment="0" applyProtection="0"/>
    <xf numFmtId="4" fontId="35" fillId="0" borderId="137">
      <alignment horizontal="right" vertical="center"/>
    </xf>
    <xf numFmtId="173" fontId="35" fillId="60" borderId="137" applyNumberFormat="0" applyFont="0" applyBorder="0" applyAlignment="0" applyProtection="0">
      <alignment horizontal="right" vertical="center"/>
    </xf>
    <xf numFmtId="0" fontId="27" fillId="21" borderId="0" applyNumberFormat="0" applyBorder="0" applyAlignment="0" applyProtection="0"/>
    <xf numFmtId="0" fontId="35" fillId="0" borderId="137">
      <alignment horizontal="right" vertical="center"/>
    </xf>
    <xf numFmtId="0" fontId="27" fillId="26" borderId="0" applyNumberFormat="0" applyBorder="0" applyAlignment="0" applyProtection="0"/>
    <xf numFmtId="0" fontId="41" fillId="59" borderId="136" applyNumberFormat="0" applyFont="0" applyAlignment="0" applyProtection="0"/>
    <xf numFmtId="4" fontId="35" fillId="0" borderId="137">
      <alignment horizontal="right" vertical="center"/>
    </xf>
    <xf numFmtId="0" fontId="35" fillId="34" borderId="140">
      <alignment horizontal="left" vertical="center" wrapText="1" indent="2"/>
    </xf>
    <xf numFmtId="0" fontId="27" fillId="14" borderId="0" applyNumberFormat="0" applyBorder="0" applyAlignment="0" applyProtection="0"/>
    <xf numFmtId="0" fontId="30" fillId="13" borderId="13" applyNumberFormat="0" applyAlignment="0" applyProtection="0"/>
    <xf numFmtId="0" fontId="47" fillId="56" borderId="134" applyNumberFormat="0" applyAlignment="0" applyProtection="0"/>
    <xf numFmtId="0" fontId="66" fillId="0" borderId="135" applyNumberFormat="0" applyFill="0" applyAlignment="0" applyProtection="0"/>
    <xf numFmtId="0" fontId="35" fillId="0" borderId="137" applyNumberFormat="0" applyFill="0" applyAlignment="0" applyProtection="0"/>
    <xf numFmtId="49" fontId="34" fillId="0" borderId="137" applyNumberFormat="0" applyFill="0" applyBorder="0" applyProtection="0">
      <alignment horizontal="left" vertical="center"/>
    </xf>
    <xf numFmtId="0" fontId="66" fillId="0" borderId="135" applyNumberFormat="0" applyFill="0" applyAlignment="0" applyProtection="0"/>
    <xf numFmtId="0" fontId="33" fillId="34" borderId="137">
      <alignment horizontal="right" vertical="center"/>
    </xf>
    <xf numFmtId="0" fontId="12" fillId="16" borderId="0" applyNumberFormat="0" applyBorder="0" applyAlignment="0" applyProtection="0"/>
    <xf numFmtId="0" fontId="66" fillId="0" borderId="135" applyNumberFormat="0" applyFill="0" applyAlignment="0" applyProtection="0"/>
    <xf numFmtId="0" fontId="44" fillId="56" borderId="141" applyNumberFormat="0" applyAlignment="0" applyProtection="0"/>
    <xf numFmtId="0" fontId="12" fillId="19" borderId="0" applyNumberFormat="0" applyBorder="0" applyAlignment="0" applyProtection="0"/>
    <xf numFmtId="0" fontId="12" fillId="19" borderId="0" applyNumberFormat="0" applyBorder="0" applyAlignment="0" applyProtection="0"/>
    <xf numFmtId="0" fontId="35" fillId="0" borderId="137" applyNumberFormat="0" applyFill="0" applyAlignment="0" applyProtection="0"/>
    <xf numFmtId="0" fontId="1" fillId="0" borderId="0" applyNumberFormat="0" applyFill="0" applyBorder="0" applyAlignment="0" applyProtection="0"/>
    <xf numFmtId="0" fontId="46" fillId="56" borderId="134" applyNumberFormat="0" applyAlignment="0" applyProtection="0"/>
    <xf numFmtId="0" fontId="2" fillId="0" borderId="15" applyNumberFormat="0" applyFill="0" applyAlignment="0" applyProtection="0"/>
    <xf numFmtId="0" fontId="35" fillId="0" borderId="140">
      <alignment horizontal="left" vertical="center" wrapText="1" indent="2"/>
    </xf>
    <xf numFmtId="0" fontId="59" fillId="43" borderId="134" applyNumberFormat="0" applyAlignment="0" applyProtection="0"/>
    <xf numFmtId="0" fontId="5" fillId="59" borderId="136" applyNumberFormat="0" applyFont="0" applyAlignment="0" applyProtection="0"/>
    <xf numFmtId="0" fontId="2" fillId="0" borderId="15" applyNumberFormat="0" applyFill="0" applyAlignment="0" applyProtection="0"/>
    <xf numFmtId="4" fontId="33" fillId="34" borderId="138">
      <alignment horizontal="right" vertical="center"/>
    </xf>
    <xf numFmtId="4" fontId="35" fillId="0" borderId="137">
      <alignment horizontal="right" vertical="center"/>
    </xf>
    <xf numFmtId="0" fontId="37" fillId="32" borderId="137">
      <alignment horizontal="right" vertical="center"/>
    </xf>
    <xf numFmtId="0" fontId="63" fillId="56" borderId="141" applyNumberFormat="0" applyAlignment="0" applyProtection="0"/>
    <xf numFmtId="0" fontId="59" fillId="43" borderId="134" applyNumberFormat="0" applyAlignment="0" applyProtection="0"/>
    <xf numFmtId="0" fontId="31" fillId="0" borderId="0" applyNumberFormat="0" applyFill="0" applyBorder="0" applyAlignment="0" applyProtection="0"/>
    <xf numFmtId="0" fontId="27" fillId="27" borderId="0" applyNumberFormat="0" applyBorder="0" applyAlignment="0" applyProtection="0"/>
    <xf numFmtId="4" fontId="33" fillId="34" borderId="139">
      <alignment horizontal="right" vertical="center"/>
    </xf>
    <xf numFmtId="0" fontId="46" fillId="56" borderId="134" applyNumberFormat="0" applyAlignment="0" applyProtection="0"/>
    <xf numFmtId="0" fontId="47" fillId="56" borderId="134" applyNumberFormat="0" applyAlignment="0" applyProtection="0"/>
    <xf numFmtId="0" fontId="35" fillId="0" borderId="140">
      <alignment horizontal="left" vertical="center" wrapText="1" indent="2"/>
    </xf>
    <xf numFmtId="0" fontId="27" fillId="17" borderId="0" applyNumberFormat="0" applyBorder="0" applyAlignment="0" applyProtection="0"/>
    <xf numFmtId="4" fontId="37" fillId="32" borderId="137">
      <alignment horizontal="right" vertical="center"/>
    </xf>
    <xf numFmtId="0" fontId="44" fillId="56" borderId="141" applyNumberFormat="0" applyAlignment="0" applyProtection="0"/>
    <xf numFmtId="173" fontId="35" fillId="60" borderId="137" applyNumberFormat="0" applyFont="0" applyBorder="0" applyAlignment="0" applyProtection="0">
      <alignment horizontal="right" vertical="center"/>
    </xf>
    <xf numFmtId="49" fontId="34" fillId="0" borderId="137" applyNumberFormat="0" applyFill="0" applyBorder="0" applyProtection="0">
      <alignment horizontal="left" vertical="center"/>
    </xf>
    <xf numFmtId="0" fontId="51" fillId="0" borderId="135" applyNumberFormat="0" applyFill="0" applyAlignment="0" applyProtection="0"/>
    <xf numFmtId="4" fontId="33" fillId="34" borderId="139">
      <alignment horizontal="right" vertical="center"/>
    </xf>
    <xf numFmtId="4" fontId="33" fillId="34" borderId="137">
      <alignment horizontal="right" vertical="center"/>
    </xf>
    <xf numFmtId="0" fontId="31" fillId="0" borderId="0" applyNumberFormat="0" applyFill="0" applyBorder="0" applyAlignment="0" applyProtection="0"/>
    <xf numFmtId="0" fontId="35" fillId="33" borderId="137"/>
    <xf numFmtId="0" fontId="27" fillId="27" borderId="0" applyNumberFormat="0" applyBorder="0" applyAlignment="0" applyProtection="0"/>
    <xf numFmtId="0" fontId="41" fillId="59" borderId="136" applyNumberFormat="0" applyFont="0" applyAlignment="0" applyProtection="0"/>
    <xf numFmtId="0" fontId="33" fillId="34" borderId="137">
      <alignment horizontal="right" vertical="center"/>
    </xf>
    <xf numFmtId="0" fontId="33" fillId="34" borderId="137">
      <alignment horizontal="right" vertical="center"/>
    </xf>
    <xf numFmtId="0" fontId="27" fillId="17" borderId="0" applyNumberFormat="0" applyBorder="0" applyAlignment="0" applyProtection="0"/>
    <xf numFmtId="4" fontId="35" fillId="33" borderId="137"/>
    <xf numFmtId="0" fontId="59" fillId="43" borderId="134" applyNumberFormat="0" applyAlignment="0" applyProtection="0"/>
    <xf numFmtId="0" fontId="59" fillId="43" borderId="134" applyNumberFormat="0" applyAlignment="0" applyProtection="0"/>
    <xf numFmtId="0" fontId="47" fillId="56" borderId="134" applyNumberFormat="0" applyAlignment="0" applyProtection="0"/>
    <xf numFmtId="0" fontId="31" fillId="0" borderId="0" applyNumberFormat="0" applyFill="0" applyBorder="0" applyAlignment="0" applyProtection="0"/>
    <xf numFmtId="0" fontId="63" fillId="56" borderId="141" applyNumberFormat="0" applyAlignment="0" applyProtection="0"/>
    <xf numFmtId="0" fontId="27" fillId="27" borderId="0" applyNumberFormat="0" applyBorder="0" applyAlignment="0" applyProtection="0"/>
    <xf numFmtId="0" fontId="35" fillId="0" borderId="140">
      <alignment horizontal="left" vertical="center" wrapText="1" indent="2"/>
    </xf>
    <xf numFmtId="0" fontId="44" fillId="56" borderId="141" applyNumberFormat="0" applyAlignment="0" applyProtection="0"/>
    <xf numFmtId="0" fontId="27" fillId="17" borderId="0" applyNumberFormat="0" applyBorder="0" applyAlignment="0" applyProtection="0"/>
    <xf numFmtId="0" fontId="44" fillId="56" borderId="141" applyNumberFormat="0" applyAlignment="0" applyProtection="0"/>
    <xf numFmtId="0" fontId="5" fillId="59" borderId="136" applyNumberFormat="0" applyFont="0" applyAlignment="0" applyProtection="0"/>
    <xf numFmtId="0" fontId="35" fillId="34" borderId="140">
      <alignment horizontal="left" vertical="center" wrapText="1" indent="2"/>
    </xf>
    <xf numFmtId="4" fontId="35" fillId="33" borderId="137"/>
    <xf numFmtId="0" fontId="66" fillId="0" borderId="135" applyNumberFormat="0" applyFill="0" applyAlignment="0" applyProtection="0"/>
    <xf numFmtId="0" fontId="46" fillId="56" borderId="134" applyNumberFormat="0" applyAlignment="0" applyProtection="0"/>
    <xf numFmtId="0" fontId="31" fillId="0" borderId="0" applyNumberFormat="0" applyFill="0" applyBorder="0" applyAlignment="0" applyProtection="0"/>
    <xf numFmtId="0" fontId="66" fillId="0" borderId="135" applyNumberFormat="0" applyFill="0" applyAlignment="0" applyProtection="0"/>
    <xf numFmtId="0" fontId="27" fillId="27" borderId="0" applyNumberFormat="0" applyBorder="0" applyAlignment="0" applyProtection="0"/>
    <xf numFmtId="0" fontId="35" fillId="0" borderId="137" applyNumberFormat="0" applyFill="0" applyAlignment="0" applyProtection="0"/>
    <xf numFmtId="0" fontId="47" fillId="56" borderId="134" applyNumberFormat="0" applyAlignment="0" applyProtection="0"/>
    <xf numFmtId="0" fontId="27" fillId="17" borderId="0" applyNumberFormat="0" applyBorder="0" applyAlignment="0" applyProtection="0"/>
    <xf numFmtId="0" fontId="46" fillId="56" borderId="134" applyNumberFormat="0" applyAlignment="0" applyProtection="0"/>
    <xf numFmtId="0" fontId="35" fillId="34" borderId="140">
      <alignment horizontal="left" vertical="center" wrapText="1" indent="2"/>
    </xf>
    <xf numFmtId="0" fontId="35" fillId="0" borderId="140">
      <alignment horizontal="left" vertical="center" wrapText="1" indent="2"/>
    </xf>
    <xf numFmtId="0" fontId="66" fillId="0" borderId="135" applyNumberFormat="0" applyFill="0" applyAlignment="0" applyProtection="0"/>
    <xf numFmtId="0" fontId="31" fillId="0" borderId="0" applyNumberFormat="0" applyFill="0" applyBorder="0" applyAlignment="0" applyProtection="0"/>
    <xf numFmtId="4" fontId="33" fillId="34" borderId="139">
      <alignment horizontal="right" vertical="center"/>
    </xf>
    <xf numFmtId="0" fontId="27" fillId="27" borderId="0" applyNumberFormat="0" applyBorder="0" applyAlignment="0" applyProtection="0"/>
    <xf numFmtId="0" fontId="33" fillId="34" borderId="137">
      <alignment horizontal="right" vertical="center"/>
    </xf>
    <xf numFmtId="173" fontId="35" fillId="60" borderId="137" applyNumberFormat="0" applyFont="0" applyBorder="0" applyAlignment="0" applyProtection="0">
      <alignment horizontal="right" vertical="center"/>
    </xf>
    <xf numFmtId="0" fontId="46" fillId="56" borderId="134" applyNumberFormat="0" applyAlignment="0" applyProtection="0"/>
    <xf numFmtId="0" fontId="46" fillId="56" borderId="134" applyNumberFormat="0" applyAlignment="0" applyProtection="0"/>
    <xf numFmtId="4" fontId="37" fillId="32" borderId="137">
      <alignment horizontal="right" vertical="center"/>
    </xf>
    <xf numFmtId="0" fontId="66" fillId="0" borderId="135" applyNumberFormat="0" applyFill="0" applyAlignment="0" applyProtection="0"/>
    <xf numFmtId="0" fontId="51" fillId="0" borderId="135" applyNumberFormat="0" applyFill="0" applyAlignment="0" applyProtection="0"/>
    <xf numFmtId="4" fontId="35" fillId="0" borderId="137">
      <alignment horizontal="right" vertical="center"/>
    </xf>
    <xf numFmtId="0" fontId="31" fillId="0" borderId="0" applyNumberFormat="0" applyFill="0" applyBorder="0" applyAlignment="0" applyProtection="0"/>
    <xf numFmtId="0" fontId="35" fillId="33" borderId="137"/>
    <xf numFmtId="0" fontId="27" fillId="27" borderId="0" applyNumberFormat="0" applyBorder="0" applyAlignment="0" applyProtection="0"/>
    <xf numFmtId="0" fontId="50" fillId="43" borderId="134" applyNumberFormat="0" applyAlignment="0" applyProtection="0"/>
    <xf numFmtId="0" fontId="35" fillId="0" borderId="137">
      <alignment horizontal="right" vertical="center"/>
    </xf>
    <xf numFmtId="0" fontId="33" fillId="34" borderId="138">
      <alignment horizontal="right" vertical="center"/>
    </xf>
    <xf numFmtId="4" fontId="33" fillId="32" borderId="137">
      <alignment horizontal="right" vertical="center"/>
    </xf>
    <xf numFmtId="0" fontId="47" fillId="56" borderId="134" applyNumberFormat="0" applyAlignment="0" applyProtection="0"/>
    <xf numFmtId="0" fontId="35" fillId="33" borderId="137"/>
    <xf numFmtId="0" fontId="51" fillId="0" borderId="135" applyNumberFormat="0" applyFill="0" applyAlignment="0" applyProtection="0"/>
    <xf numFmtId="0" fontId="33" fillId="34" borderId="137">
      <alignment horizontal="right" vertical="center"/>
    </xf>
    <xf numFmtId="0" fontId="47" fillId="56" borderId="134" applyNumberFormat="0" applyAlignment="0" applyProtection="0"/>
    <xf numFmtId="0" fontId="27" fillId="27" borderId="0" applyNumberFormat="0" applyBorder="0" applyAlignment="0" applyProtection="0"/>
    <xf numFmtId="0" fontId="35" fillId="0" borderId="137">
      <alignment horizontal="right" vertical="center"/>
    </xf>
    <xf numFmtId="49" fontId="35" fillId="0" borderId="138" applyNumberFormat="0" applyFont="0" applyFill="0" applyBorder="0" applyProtection="0">
      <alignment horizontal="left" vertical="center" indent="5"/>
    </xf>
    <xf numFmtId="0" fontId="35" fillId="0" borderId="140">
      <alignment horizontal="left" vertical="center" wrapText="1" indent="2"/>
    </xf>
    <xf numFmtId="0" fontId="35" fillId="0" borderId="140">
      <alignment horizontal="left" vertical="center" wrapText="1" indent="2"/>
    </xf>
    <xf numFmtId="0" fontId="41" fillId="59" borderId="136" applyNumberFormat="0" applyFont="0" applyAlignment="0" applyProtection="0"/>
    <xf numFmtId="0" fontId="27" fillId="27" borderId="0" applyNumberFormat="0" applyBorder="0" applyAlignment="0" applyProtection="0"/>
    <xf numFmtId="0" fontId="33" fillId="32" borderId="137">
      <alignment horizontal="right" vertical="center"/>
    </xf>
    <xf numFmtId="0" fontId="51" fillId="0" borderId="135" applyNumberFormat="0" applyFill="0" applyAlignment="0" applyProtection="0"/>
    <xf numFmtId="0" fontId="35" fillId="0" borderId="137" applyNumberFormat="0" applyFill="0" applyAlignment="0" applyProtection="0"/>
    <xf numFmtId="0" fontId="51" fillId="0" borderId="135" applyNumberFormat="0" applyFill="0" applyAlignment="0" applyProtection="0"/>
    <xf numFmtId="4" fontId="35" fillId="0" borderId="137" applyFill="0" applyBorder="0" applyProtection="0">
      <alignment horizontal="right" vertical="center"/>
    </xf>
    <xf numFmtId="49" fontId="35" fillId="0" borderId="138" applyNumberFormat="0" applyFont="0" applyFill="0" applyBorder="0" applyProtection="0">
      <alignment horizontal="left" vertical="center" indent="5"/>
    </xf>
    <xf numFmtId="0" fontId="35" fillId="0" borderId="137" applyNumberFormat="0" applyFill="0" applyAlignment="0" applyProtection="0"/>
    <xf numFmtId="0" fontId="59" fillId="43" borderId="134" applyNumberFormat="0" applyAlignment="0" applyProtection="0"/>
    <xf numFmtId="0" fontId="35" fillId="0" borderId="137" applyNumberFormat="0" applyFill="0" applyAlignment="0" applyProtection="0"/>
    <xf numFmtId="4" fontId="33" fillId="34" borderId="137">
      <alignment horizontal="right" vertical="center"/>
    </xf>
    <xf numFmtId="0" fontId="50" fillId="43" borderId="134" applyNumberFormat="0" applyAlignment="0" applyProtection="0"/>
    <xf numFmtId="0" fontId="47" fillId="56" borderId="134" applyNumberFormat="0" applyAlignment="0" applyProtection="0"/>
    <xf numFmtId="4" fontId="35" fillId="0" borderId="137">
      <alignment horizontal="right" vertical="center"/>
    </xf>
    <xf numFmtId="0" fontId="35" fillId="34" borderId="140">
      <alignment horizontal="left" vertical="center" wrapText="1" indent="2"/>
    </xf>
    <xf numFmtId="0" fontId="35" fillId="0" borderId="140">
      <alignment horizontal="left" vertical="center" wrapText="1" indent="2"/>
    </xf>
    <xf numFmtId="0" fontId="63" fillId="56" borderId="141" applyNumberFormat="0" applyAlignment="0" applyProtection="0"/>
    <xf numFmtId="0" fontId="59" fillId="43" borderId="134" applyNumberFormat="0" applyAlignment="0" applyProtection="0"/>
    <xf numFmtId="0" fontId="46" fillId="56" borderId="134" applyNumberFormat="0" applyAlignment="0" applyProtection="0"/>
    <xf numFmtId="0" fontId="44" fillId="56" borderId="141" applyNumberFormat="0" applyAlignment="0" applyProtection="0"/>
    <xf numFmtId="0" fontId="33" fillId="34" borderId="139">
      <alignment horizontal="right" vertical="center"/>
    </xf>
    <xf numFmtId="0" fontId="37" fillId="32" borderId="137">
      <alignment horizontal="right" vertical="center"/>
    </xf>
    <xf numFmtId="4" fontId="33" fillId="32" borderId="137">
      <alignment horizontal="right" vertical="center"/>
    </xf>
    <xf numFmtId="4" fontId="33" fillId="34" borderId="137">
      <alignment horizontal="right" vertical="center"/>
    </xf>
    <xf numFmtId="49" fontId="35" fillId="0" borderId="138" applyNumberFormat="0" applyFont="0" applyFill="0" applyBorder="0" applyProtection="0">
      <alignment horizontal="left" vertical="center" indent="5"/>
    </xf>
    <xf numFmtId="4" fontId="35" fillId="0" borderId="137" applyFill="0" applyBorder="0" applyProtection="0">
      <alignment horizontal="right" vertical="center"/>
    </xf>
    <xf numFmtId="4" fontId="33" fillId="32" borderId="137">
      <alignment horizontal="right" vertical="center"/>
    </xf>
    <xf numFmtId="0" fontId="59" fillId="43" borderId="134" applyNumberFormat="0" applyAlignment="0" applyProtection="0"/>
    <xf numFmtId="0" fontId="50" fillId="43" borderId="134" applyNumberFormat="0" applyAlignment="0" applyProtection="0"/>
    <xf numFmtId="0" fontId="46" fillId="56" borderId="134" applyNumberFormat="0" applyAlignment="0" applyProtection="0"/>
    <xf numFmtId="0" fontId="35" fillId="34" borderId="140">
      <alignment horizontal="left" vertical="center" wrapText="1" indent="2"/>
    </xf>
    <xf numFmtId="0" fontId="35" fillId="0" borderId="140">
      <alignment horizontal="left" vertical="center" wrapText="1" indent="2"/>
    </xf>
    <xf numFmtId="0" fontId="35" fillId="34" borderId="140">
      <alignment horizontal="left" vertical="center" wrapText="1" indent="2"/>
    </xf>
    <xf numFmtId="0" fontId="35" fillId="33" borderId="154"/>
    <xf numFmtId="0" fontId="2" fillId="0" borderId="15" applyNumberFormat="0" applyFill="0" applyAlignment="0" applyProtection="0"/>
    <xf numFmtId="0" fontId="35" fillId="0" borderId="157">
      <alignment horizontal="left" vertical="center" wrapText="1" indent="2"/>
    </xf>
    <xf numFmtId="4" fontId="33" fillId="34" borderId="155">
      <alignment horizontal="right" vertical="center"/>
    </xf>
    <xf numFmtId="0" fontId="27" fillId="27" borderId="0" applyNumberFormat="0" applyBorder="0" applyAlignment="0" applyProtection="0"/>
    <xf numFmtId="0" fontId="35" fillId="32" borderId="163">
      <alignment horizontal="left" vertical="center"/>
    </xf>
    <xf numFmtId="0" fontId="35" fillId="32" borderId="163">
      <alignment horizontal="left" vertical="center"/>
    </xf>
    <xf numFmtId="0" fontId="35" fillId="0" borderId="154" applyNumberFormat="0" applyFill="0" applyAlignment="0" applyProtection="0"/>
    <xf numFmtId="4" fontId="33" fillId="34" borderId="156">
      <alignment horizontal="right" vertical="center"/>
    </xf>
    <xf numFmtId="0" fontId="33" fillId="34" borderId="154">
      <alignment horizontal="right" vertical="center"/>
    </xf>
    <xf numFmtId="49" fontId="35" fillId="0" borderId="162" applyNumberFormat="0" applyFont="0" applyFill="0" applyBorder="0" applyProtection="0">
      <alignment horizontal="left" vertical="center" indent="2"/>
    </xf>
    <xf numFmtId="0" fontId="27" fillId="26" borderId="0" applyNumberFormat="0" applyBorder="0" applyAlignment="0" applyProtection="0"/>
    <xf numFmtId="0" fontId="12" fillId="19" borderId="0" applyNumberFormat="0" applyBorder="0" applyAlignment="0" applyProtection="0"/>
    <xf numFmtId="0" fontId="51" fillId="0" borderId="160" applyNumberFormat="0" applyFill="0" applyAlignment="0" applyProtection="0"/>
    <xf numFmtId="0" fontId="44" fillId="56" borderId="173" applyNumberFormat="0" applyAlignment="0" applyProtection="0"/>
    <xf numFmtId="0" fontId="27" fillId="14" borderId="0" applyNumberFormat="0" applyBorder="0" applyAlignment="0" applyProtection="0"/>
    <xf numFmtId="0" fontId="44" fillId="56" borderId="150" applyNumberFormat="0" applyAlignment="0" applyProtection="0"/>
    <xf numFmtId="0" fontId="35" fillId="0" borderId="162">
      <alignment horizontal="right" vertical="center"/>
    </xf>
    <xf numFmtId="0" fontId="50" fillId="43" borderId="151" applyNumberFormat="0" applyAlignment="0" applyProtection="0"/>
    <xf numFmtId="0" fontId="33" fillId="34" borderId="162">
      <alignment horizontal="right" vertical="center"/>
    </xf>
    <xf numFmtId="0" fontId="1" fillId="0" borderId="0" applyNumberFormat="0" applyFill="0" applyBorder="0" applyAlignment="0" applyProtection="0"/>
    <xf numFmtId="4" fontId="35" fillId="33" borderId="154"/>
    <xf numFmtId="0" fontId="33" fillId="34" borderId="154">
      <alignment horizontal="right" vertical="center"/>
    </xf>
    <xf numFmtId="0" fontId="29" fillId="13" borderId="14" applyNumberFormat="0" applyAlignment="0" applyProtection="0"/>
    <xf numFmtId="49" fontId="35" fillId="0" borderId="154" applyNumberFormat="0" applyFont="0" applyFill="0" applyBorder="0" applyProtection="0">
      <alignment horizontal="left" vertical="center" indent="2"/>
    </xf>
    <xf numFmtId="0" fontId="33" fillId="32" borderId="154">
      <alignment horizontal="right" vertical="center"/>
    </xf>
    <xf numFmtId="0" fontId="5" fillId="59" borderId="153" applyNumberFormat="0" applyFont="0" applyAlignment="0" applyProtection="0"/>
    <xf numFmtId="0" fontId="35" fillId="32" borderId="163">
      <alignment horizontal="left" vertical="center"/>
    </xf>
    <xf numFmtId="0" fontId="27" fillId="23" borderId="0" applyNumberFormat="0" applyBorder="0" applyAlignment="0" applyProtection="0"/>
    <xf numFmtId="4" fontId="37" fillId="32" borderId="154">
      <alignment horizontal="right" vertical="center"/>
    </xf>
    <xf numFmtId="0" fontId="12" fillId="28" borderId="0" applyNumberFormat="0" applyBorder="0" applyAlignment="0" applyProtection="0"/>
    <xf numFmtId="0" fontId="27" fillId="24" borderId="0" applyNumberFormat="0" applyBorder="0" applyAlignment="0" applyProtection="0"/>
    <xf numFmtId="0" fontId="35" fillId="0" borderId="169" applyNumberFormat="0" applyFill="0" applyAlignment="0" applyProtection="0"/>
    <xf numFmtId="0" fontId="31" fillId="0" borderId="0" applyNumberFormat="0" applyFill="0" applyBorder="0" applyAlignment="0" applyProtection="0"/>
    <xf numFmtId="0" fontId="30" fillId="13" borderId="13" applyNumberFormat="0" applyAlignment="0" applyProtection="0"/>
    <xf numFmtId="0" fontId="59" fillId="43" borderId="159" applyNumberFormat="0" applyAlignment="0" applyProtection="0"/>
    <xf numFmtId="0" fontId="12" fillId="16" borderId="0" applyNumberFormat="0" applyBorder="0" applyAlignment="0" applyProtection="0"/>
    <xf numFmtId="0" fontId="33" fillId="34" borderId="162">
      <alignment horizontal="right" vertical="center"/>
    </xf>
    <xf numFmtId="0" fontId="5" fillId="59" borderId="153" applyNumberFormat="0" applyFont="0" applyAlignment="0" applyProtection="0"/>
    <xf numFmtId="0" fontId="47" fillId="56" borderId="151" applyNumberFormat="0" applyAlignment="0" applyProtection="0"/>
    <xf numFmtId="0" fontId="63" fillId="56" borderId="150" applyNumberFormat="0" applyAlignment="0" applyProtection="0"/>
    <xf numFmtId="0" fontId="12" fillId="22" borderId="0" applyNumberFormat="0" applyBorder="0" applyAlignment="0" applyProtection="0"/>
    <xf numFmtId="0" fontId="41" fillId="59" borderId="153" applyNumberFormat="0" applyFont="0" applyAlignment="0" applyProtection="0"/>
    <xf numFmtId="0" fontId="66" fillId="0" borderId="160" applyNumberFormat="0" applyFill="0" applyAlignment="0" applyProtection="0"/>
    <xf numFmtId="0" fontId="12" fillId="19" borderId="0" applyNumberFormat="0" applyBorder="0" applyAlignment="0" applyProtection="0"/>
    <xf numFmtId="0" fontId="35" fillId="0" borderId="162" applyNumberFormat="0" applyFill="0" applyAlignment="0" applyProtection="0"/>
    <xf numFmtId="0" fontId="44" fillId="56" borderId="158" applyNumberFormat="0" applyAlignment="0" applyProtection="0"/>
    <xf numFmtId="4" fontId="35" fillId="33" borderId="154"/>
    <xf numFmtId="0" fontId="66" fillId="0" borderId="152" applyNumberFormat="0" applyFill="0" applyAlignment="0" applyProtection="0"/>
    <xf numFmtId="0" fontId="29" fillId="13" borderId="14" applyNumberFormat="0" applyAlignment="0" applyProtection="0"/>
    <xf numFmtId="0" fontId="30" fillId="13" borderId="13" applyNumberFormat="0" applyAlignment="0" applyProtection="0"/>
    <xf numFmtId="0" fontId="27" fillId="18" borderId="0" applyNumberFormat="0" applyBorder="0" applyAlignment="0" applyProtection="0"/>
    <xf numFmtId="0" fontId="59" fillId="43" borderId="151" applyNumberFormat="0" applyAlignment="0" applyProtection="0"/>
    <xf numFmtId="0" fontId="1" fillId="0" borderId="0" applyNumberFormat="0" applyFill="0" applyBorder="0" applyAlignment="0" applyProtection="0"/>
    <xf numFmtId="4" fontId="33" fillId="34" borderId="154">
      <alignment horizontal="right" vertical="center"/>
    </xf>
    <xf numFmtId="0" fontId="31" fillId="0" borderId="0" applyNumberFormat="0" applyFill="0" applyBorder="0" applyAlignment="0" applyProtection="0"/>
    <xf numFmtId="0" fontId="2" fillId="0" borderId="15" applyNumberFormat="0" applyFill="0" applyAlignment="0" applyProtection="0"/>
    <xf numFmtId="0" fontId="27" fillId="17" borderId="0" applyNumberFormat="0" applyBorder="0" applyAlignment="0" applyProtection="0"/>
    <xf numFmtId="0" fontId="27" fillId="14" borderId="0" applyNumberFormat="0" applyBorder="0" applyAlignment="0" applyProtection="0"/>
    <xf numFmtId="0" fontId="27" fillId="15" borderId="0" applyNumberFormat="0" applyBorder="0" applyAlignment="0" applyProtection="0"/>
    <xf numFmtId="0" fontId="12" fillId="16" borderId="0" applyNumberFormat="0" applyBorder="0" applyAlignment="0" applyProtection="0"/>
    <xf numFmtId="0" fontId="27" fillId="17" borderId="0" applyNumberFormat="0" applyBorder="0" applyAlignment="0" applyProtection="0"/>
    <xf numFmtId="0" fontId="27" fillId="18" borderId="0" applyNumberFormat="0" applyBorder="0" applyAlignment="0" applyProtection="0"/>
    <xf numFmtId="0" fontId="12" fillId="19" borderId="0" applyNumberFormat="0" applyBorder="0" applyAlignment="0" applyProtection="0"/>
    <xf numFmtId="0" fontId="27" fillId="20" borderId="0" applyNumberFormat="0" applyBorder="0" applyAlignment="0" applyProtection="0"/>
    <xf numFmtId="0" fontId="27" fillId="21" borderId="0" applyNumberFormat="0" applyBorder="0" applyAlignment="0" applyProtection="0"/>
    <xf numFmtId="0" fontId="12" fillId="22" borderId="0" applyNumberFormat="0" applyBorder="0" applyAlignment="0" applyProtection="0"/>
    <xf numFmtId="0" fontId="12" fillId="22" borderId="0" applyNumberFormat="0" applyBorder="0" applyAlignment="0" applyProtection="0"/>
    <xf numFmtId="0" fontId="27" fillId="23" borderId="0" applyNumberFormat="0" applyBorder="0" applyAlignment="0" applyProtection="0"/>
    <xf numFmtId="0" fontId="27" fillId="24" borderId="0" applyNumberFormat="0" applyBorder="0" applyAlignment="0" applyProtection="0"/>
    <xf numFmtId="0" fontId="12" fillId="25" borderId="0" applyNumberFormat="0" applyBorder="0" applyAlignment="0" applyProtection="0"/>
    <xf numFmtId="0" fontId="12" fillId="28" borderId="0" applyNumberFormat="0" applyBorder="0" applyAlignment="0" applyProtection="0"/>
    <xf numFmtId="0" fontId="27" fillId="26" borderId="0" applyNumberFormat="0" applyBorder="0" applyAlignment="0" applyProtection="0"/>
    <xf numFmtId="0" fontId="27" fillId="27" borderId="0" applyNumberFormat="0" applyBorder="0" applyAlignment="0" applyProtection="0"/>
    <xf numFmtId="0" fontId="12" fillId="28" borderId="0" applyNumberFormat="0" applyBorder="0" applyAlignment="0" applyProtection="0"/>
    <xf numFmtId="0" fontId="5" fillId="59" borderId="161" applyNumberFormat="0" applyFont="0" applyAlignment="0" applyProtection="0"/>
    <xf numFmtId="0" fontId="27" fillId="29" borderId="0" applyNumberFormat="0" applyBorder="0" applyAlignment="0" applyProtection="0"/>
    <xf numFmtId="0" fontId="27" fillId="30" borderId="0" applyNumberFormat="0" applyBorder="0" applyAlignment="0" applyProtection="0"/>
    <xf numFmtId="0" fontId="12" fillId="31" borderId="0" applyNumberFormat="0" applyBorder="0" applyAlignment="0" applyProtection="0"/>
    <xf numFmtId="0" fontId="35" fillId="0" borderId="137" applyNumberFormat="0" applyFill="0" applyAlignment="0" applyProtection="0"/>
    <xf numFmtId="0" fontId="33" fillId="34" borderId="137">
      <alignment horizontal="right" vertical="center"/>
    </xf>
    <xf numFmtId="0" fontId="33" fillId="34" borderId="137">
      <alignment horizontal="right" vertical="center"/>
    </xf>
    <xf numFmtId="0" fontId="51" fillId="0" borderId="160" applyNumberFormat="0" applyFill="0" applyAlignment="0" applyProtection="0"/>
    <xf numFmtId="0" fontId="33" fillId="34" borderId="156">
      <alignment horizontal="right" vertical="center"/>
    </xf>
    <xf numFmtId="0" fontId="35" fillId="0" borderId="137">
      <alignment horizontal="right" vertical="center"/>
    </xf>
    <xf numFmtId="0" fontId="37" fillId="32" borderId="137">
      <alignment horizontal="right" vertical="center"/>
    </xf>
    <xf numFmtId="0" fontId="35" fillId="33" borderId="137"/>
    <xf numFmtId="0" fontId="33" fillId="32" borderId="137">
      <alignment horizontal="right" vertical="center"/>
    </xf>
    <xf numFmtId="0" fontId="37" fillId="32" borderId="154">
      <alignment horizontal="right" vertical="center"/>
    </xf>
    <xf numFmtId="0" fontId="35" fillId="0" borderId="154">
      <alignment horizontal="right" vertical="center"/>
    </xf>
    <xf numFmtId="0" fontId="47" fillId="56" borderId="151" applyNumberFormat="0" applyAlignment="0" applyProtection="0"/>
    <xf numFmtId="49" fontId="34" fillId="0" borderId="169" applyNumberFormat="0" applyFill="0" applyBorder="0" applyProtection="0">
      <alignment horizontal="left" vertical="center"/>
    </xf>
    <xf numFmtId="0" fontId="27" fillId="17" borderId="0" applyNumberFormat="0" applyBorder="0" applyAlignment="0" applyProtection="0"/>
    <xf numFmtId="4" fontId="33" fillId="34" borderId="162">
      <alignment horizontal="right" vertical="center"/>
    </xf>
    <xf numFmtId="4" fontId="35" fillId="33" borderId="154"/>
    <xf numFmtId="0" fontId="66" fillId="0" borderId="152" applyNumberFormat="0" applyFill="0" applyAlignment="0" applyProtection="0"/>
    <xf numFmtId="0" fontId="46" fillId="56" borderId="151" applyNumberFormat="0" applyAlignment="0" applyProtection="0"/>
    <xf numFmtId="0" fontId="35" fillId="33" borderId="154"/>
    <xf numFmtId="0" fontId="27" fillId="27" borderId="0" applyNumberFormat="0" applyBorder="0" applyAlignment="0" applyProtection="0"/>
    <xf numFmtId="0" fontId="46" fillId="56" borderId="166" applyNumberFormat="0" applyAlignment="0" applyProtection="0"/>
    <xf numFmtId="0" fontId="47" fillId="56" borderId="159" applyNumberFormat="0" applyAlignment="0" applyProtection="0"/>
    <xf numFmtId="0" fontId="27" fillId="29" borderId="0" applyNumberFormat="0" applyBorder="0" applyAlignment="0" applyProtection="0"/>
    <xf numFmtId="4" fontId="33" fillId="32" borderId="169">
      <alignment horizontal="right" vertical="center"/>
    </xf>
    <xf numFmtId="0" fontId="27" fillId="24" borderId="0" applyNumberFormat="0" applyBorder="0" applyAlignment="0" applyProtection="0"/>
    <xf numFmtId="0" fontId="30" fillId="13" borderId="13" applyNumberFormat="0" applyAlignment="0" applyProtection="0"/>
    <xf numFmtId="0" fontId="47" fillId="56" borderId="166" applyNumberFormat="0" applyAlignment="0" applyProtection="0"/>
    <xf numFmtId="4" fontId="33" fillId="32" borderId="162">
      <alignment horizontal="right" vertical="center"/>
    </xf>
    <xf numFmtId="0" fontId="63" fillId="56" borderId="150" applyNumberFormat="0" applyAlignment="0" applyProtection="0"/>
    <xf numFmtId="49" fontId="34" fillId="0" borderId="162" applyNumberFormat="0" applyFill="0" applyBorder="0" applyProtection="0">
      <alignment horizontal="left" vertical="center"/>
    </xf>
    <xf numFmtId="0" fontId="44" fillId="56" borderId="173" applyNumberFormat="0" applyAlignment="0" applyProtection="0"/>
    <xf numFmtId="0" fontId="59" fillId="43" borderId="159" applyNumberFormat="0" applyAlignment="0" applyProtection="0"/>
    <xf numFmtId="0" fontId="27" fillId="30" borderId="0" applyNumberFormat="0" applyBorder="0" applyAlignment="0" applyProtection="0"/>
    <xf numFmtId="0" fontId="30" fillId="13" borderId="13" applyNumberFormat="0" applyAlignment="0" applyProtection="0"/>
    <xf numFmtId="0" fontId="33" fillId="32" borderId="162">
      <alignment horizontal="right" vertical="center"/>
    </xf>
    <xf numFmtId="4" fontId="33" fillId="34" borderId="154">
      <alignment horizontal="right" vertical="center"/>
    </xf>
    <xf numFmtId="0" fontId="35" fillId="33" borderId="154"/>
    <xf numFmtId="49" fontId="34" fillId="0" borderId="162" applyNumberFormat="0" applyFill="0" applyBorder="0" applyProtection="0">
      <alignment horizontal="left" vertical="center"/>
    </xf>
    <xf numFmtId="0" fontId="35" fillId="0" borderId="165">
      <alignment horizontal="left" vertical="center" wrapText="1" indent="2"/>
    </xf>
    <xf numFmtId="0" fontId="33" fillId="34" borderId="162">
      <alignment horizontal="right" vertical="center"/>
    </xf>
    <xf numFmtId="0" fontId="27" fillId="20" borderId="0" applyNumberFormat="0" applyBorder="0" applyAlignment="0" applyProtection="0"/>
    <xf numFmtId="4" fontId="33" fillId="32" borderId="162">
      <alignment horizontal="right" vertical="center"/>
    </xf>
    <xf numFmtId="0" fontId="59" fillId="43" borderId="151" applyNumberFormat="0" applyAlignment="0" applyProtection="0"/>
    <xf numFmtId="0" fontId="31" fillId="0" borderId="0" applyNumberFormat="0" applyFill="0" applyBorder="0" applyAlignment="0" applyProtection="0"/>
    <xf numFmtId="0" fontId="1" fillId="0" borderId="0" applyNumberFormat="0" applyFill="0" applyBorder="0" applyAlignment="0" applyProtection="0"/>
    <xf numFmtId="0" fontId="41" fillId="59" borderId="161" applyNumberFormat="0" applyFont="0" applyAlignment="0" applyProtection="0"/>
    <xf numFmtId="0" fontId="12" fillId="25" borderId="0" applyNumberFormat="0" applyBorder="0" applyAlignment="0" applyProtection="0"/>
    <xf numFmtId="0" fontId="35" fillId="34" borderId="157">
      <alignment horizontal="left" vertical="center" wrapText="1" indent="2"/>
    </xf>
    <xf numFmtId="0" fontId="33" fillId="34" borderId="156">
      <alignment horizontal="right" vertical="center"/>
    </xf>
    <xf numFmtId="0" fontId="33" fillId="34" borderId="171">
      <alignment horizontal="right" vertical="center"/>
    </xf>
    <xf numFmtId="0" fontId="47" fillId="56" borderId="151" applyNumberFormat="0" applyAlignment="0" applyProtection="0"/>
    <xf numFmtId="4" fontId="33" fillId="34" borderId="154">
      <alignment horizontal="right" vertical="center"/>
    </xf>
    <xf numFmtId="0" fontId="33" fillId="34" borderId="154">
      <alignment horizontal="right" vertical="center"/>
    </xf>
    <xf numFmtId="0" fontId="66" fillId="0" borderId="152" applyNumberFormat="0" applyFill="0" applyAlignment="0" applyProtection="0"/>
    <xf numFmtId="0" fontId="33" fillId="34" borderId="155">
      <alignment horizontal="right" vertical="center"/>
    </xf>
    <xf numFmtId="0" fontId="47" fillId="56" borderId="143" applyNumberFormat="0" applyAlignment="0" applyProtection="0"/>
    <xf numFmtId="0" fontId="51" fillId="0" borderId="152" applyNumberFormat="0" applyFill="0" applyAlignment="0" applyProtection="0"/>
    <xf numFmtId="43" fontId="38" fillId="0" borderId="0" applyFont="0" applyFill="0" applyBorder="0" applyAlignment="0" applyProtection="0"/>
    <xf numFmtId="4" fontId="33" fillId="34" borderId="154">
      <alignment horizontal="right" vertical="center"/>
    </xf>
    <xf numFmtId="43" fontId="38" fillId="0" borderId="0" applyFont="0" applyFill="0" applyBorder="0" applyAlignment="0" applyProtection="0"/>
    <xf numFmtId="0" fontId="35" fillId="34" borderId="157">
      <alignment horizontal="left" vertical="center" wrapText="1" indent="2"/>
    </xf>
    <xf numFmtId="4" fontId="35" fillId="33" borderId="169"/>
    <xf numFmtId="4" fontId="33" fillId="34" borderId="169">
      <alignment horizontal="right" vertical="center"/>
    </xf>
    <xf numFmtId="0" fontId="66" fillId="0" borderId="160" applyNumberFormat="0" applyFill="0" applyAlignment="0" applyProtection="0"/>
    <xf numFmtId="0" fontId="66" fillId="0" borderId="167" applyNumberFormat="0" applyFill="0" applyAlignment="0" applyProtection="0"/>
    <xf numFmtId="0" fontId="66" fillId="0" borderId="152" applyNumberFormat="0" applyFill="0" applyAlignment="0" applyProtection="0"/>
    <xf numFmtId="0" fontId="63" fillId="56" borderId="150" applyNumberFormat="0" applyAlignment="0" applyProtection="0"/>
    <xf numFmtId="0" fontId="47" fillId="56" borderId="151" applyNumberFormat="0" applyAlignment="0" applyProtection="0"/>
    <xf numFmtId="0" fontId="66" fillId="0" borderId="152" applyNumberFormat="0" applyFill="0" applyAlignment="0" applyProtection="0"/>
    <xf numFmtId="0" fontId="59" fillId="43" borderId="143" applyNumberFormat="0" applyAlignment="0" applyProtection="0"/>
    <xf numFmtId="4" fontId="35" fillId="0" borderId="154">
      <alignment horizontal="right" vertical="center"/>
    </xf>
    <xf numFmtId="4" fontId="33" fillId="32" borderId="154">
      <alignment horizontal="right" vertical="center"/>
    </xf>
    <xf numFmtId="4" fontId="37" fillId="32" borderId="154">
      <alignment horizontal="right" vertical="center"/>
    </xf>
    <xf numFmtId="49" fontId="34" fillId="0" borderId="154" applyNumberFormat="0" applyFill="0" applyBorder="0" applyProtection="0">
      <alignment horizontal="left" vertical="center"/>
    </xf>
    <xf numFmtId="0" fontId="30" fillId="13" borderId="13" applyNumberFormat="0" applyAlignment="0" applyProtection="0"/>
    <xf numFmtId="0" fontId="41" fillId="59" borderId="153" applyNumberFormat="0" applyFont="0" applyAlignment="0" applyProtection="0"/>
    <xf numFmtId="0" fontId="35" fillId="0" borderId="154">
      <alignment horizontal="right" vertical="center"/>
    </xf>
    <xf numFmtId="49" fontId="34" fillId="0" borderId="169" applyNumberFormat="0" applyFill="0" applyBorder="0" applyProtection="0">
      <alignment horizontal="left" vertical="center"/>
    </xf>
    <xf numFmtId="0" fontId="46" fillId="56" borderId="159" applyNumberFormat="0" applyAlignment="0" applyProtection="0"/>
    <xf numFmtId="4" fontId="33" fillId="34" borderId="162">
      <alignment horizontal="right" vertical="center"/>
    </xf>
    <xf numFmtId="0" fontId="27" fillId="14" borderId="0" applyNumberFormat="0" applyBorder="0" applyAlignment="0" applyProtection="0"/>
    <xf numFmtId="0" fontId="27" fillId="27" borderId="0" applyNumberFormat="0" applyBorder="0" applyAlignment="0" applyProtection="0"/>
    <xf numFmtId="0" fontId="5" fillId="59" borderId="161" applyNumberFormat="0" applyFont="0" applyAlignment="0" applyProtection="0"/>
    <xf numFmtId="0" fontId="35" fillId="0" borderId="162">
      <alignment horizontal="right" vertical="center"/>
    </xf>
    <xf numFmtId="0" fontId="27" fillId="27" borderId="0" applyNumberFormat="0" applyBorder="0" applyAlignment="0" applyProtection="0"/>
    <xf numFmtId="0" fontId="27" fillId="20" borderId="0" applyNumberFormat="0" applyBorder="0" applyAlignment="0" applyProtection="0"/>
    <xf numFmtId="0" fontId="27" fillId="21" borderId="0" applyNumberFormat="0" applyBorder="0" applyAlignment="0" applyProtection="0"/>
    <xf numFmtId="0" fontId="12" fillId="22" borderId="0" applyNumberFormat="0" applyBorder="0" applyAlignment="0" applyProtection="0"/>
    <xf numFmtId="4" fontId="35" fillId="0" borderId="137" applyFill="0" applyBorder="0" applyProtection="0">
      <alignment horizontal="right" vertical="center"/>
    </xf>
    <xf numFmtId="0" fontId="59" fillId="43" borderId="151" applyNumberFormat="0" applyAlignment="0" applyProtection="0"/>
    <xf numFmtId="0" fontId="37" fillId="32" borderId="154">
      <alignment horizontal="right" vertical="center"/>
    </xf>
    <xf numFmtId="0" fontId="41" fillId="59" borderId="161" applyNumberFormat="0" applyFont="0" applyAlignment="0" applyProtection="0"/>
    <xf numFmtId="0" fontId="12" fillId="16" borderId="0" applyNumberFormat="0" applyBorder="0" applyAlignment="0" applyProtection="0"/>
    <xf numFmtId="4" fontId="33" fillId="34" borderId="154">
      <alignment horizontal="right" vertical="center"/>
    </xf>
    <xf numFmtId="0" fontId="37" fillId="32" borderId="154">
      <alignment horizontal="right" vertical="center"/>
    </xf>
    <xf numFmtId="0" fontId="12" fillId="22" borderId="0" applyNumberFormat="0" applyBorder="0" applyAlignment="0" applyProtection="0"/>
    <xf numFmtId="0" fontId="41" fillId="59" borderId="145" applyNumberFormat="0" applyFont="0" applyAlignment="0" applyProtection="0"/>
    <xf numFmtId="0" fontId="5" fillId="59" borderId="145" applyNumberFormat="0" applyFont="0" applyAlignment="0" applyProtection="0"/>
    <xf numFmtId="0" fontId="63" fillId="56" borderId="142" applyNumberFormat="0" applyAlignment="0" applyProtection="0"/>
    <xf numFmtId="0" fontId="27" fillId="29" borderId="0" applyNumberFormat="0" applyBorder="0" applyAlignment="0" applyProtection="0"/>
    <xf numFmtId="0" fontId="33" fillId="34" borderId="170">
      <alignment horizontal="right" vertical="center"/>
    </xf>
    <xf numFmtId="4" fontId="35" fillId="33" borderId="169"/>
    <xf numFmtId="0" fontId="35" fillId="33" borderId="154"/>
    <xf numFmtId="0" fontId="66" fillId="0" borderId="152" applyNumberFormat="0" applyFill="0" applyAlignment="0" applyProtection="0"/>
    <xf numFmtId="0" fontId="27" fillId="15" borderId="0" applyNumberFormat="0" applyBorder="0" applyAlignment="0" applyProtection="0"/>
    <xf numFmtId="0" fontId="66" fillId="0" borderId="144" applyNumberFormat="0" applyFill="0" applyAlignment="0" applyProtection="0"/>
    <xf numFmtId="0" fontId="35" fillId="32" borderId="155">
      <alignment horizontal="left" vertical="center"/>
    </xf>
    <xf numFmtId="0" fontId="46" fillId="56" borderId="151" applyNumberFormat="0" applyAlignment="0" applyProtection="0"/>
    <xf numFmtId="4" fontId="33" fillId="34" borderId="154">
      <alignment horizontal="right" vertical="center"/>
    </xf>
    <xf numFmtId="4" fontId="33" fillId="34" borderId="171">
      <alignment horizontal="right" vertical="center"/>
    </xf>
    <xf numFmtId="0" fontId="27" fillId="29" borderId="0" applyNumberFormat="0" applyBorder="0" applyAlignment="0" applyProtection="0"/>
    <xf numFmtId="0" fontId="27" fillId="15" borderId="0" applyNumberFormat="0" applyBorder="0" applyAlignment="0" applyProtection="0"/>
    <xf numFmtId="0" fontId="35" fillId="0" borderId="165">
      <alignment horizontal="left" vertical="center" wrapText="1" indent="2"/>
    </xf>
    <xf numFmtId="0" fontId="50" fillId="43" borderId="151" applyNumberFormat="0" applyAlignment="0" applyProtection="0"/>
    <xf numFmtId="0" fontId="37" fillId="32" borderId="154">
      <alignment horizontal="right" vertical="center"/>
    </xf>
    <xf numFmtId="0" fontId="47" fillId="56" borderId="159" applyNumberFormat="0" applyAlignment="0" applyProtection="0"/>
    <xf numFmtId="4" fontId="33" fillId="34" borderId="162">
      <alignment horizontal="right" vertical="center"/>
    </xf>
    <xf numFmtId="0" fontId="47" fillId="56" borderId="151" applyNumberFormat="0" applyAlignment="0" applyProtection="0"/>
    <xf numFmtId="4" fontId="33" fillId="34" borderId="156">
      <alignment horizontal="right" vertical="center"/>
    </xf>
    <xf numFmtId="0" fontId="33" fillId="34" borderId="154">
      <alignment horizontal="right" vertical="center"/>
    </xf>
    <xf numFmtId="0" fontId="27" fillId="18" borderId="0" applyNumberFormat="0" applyBorder="0" applyAlignment="0" applyProtection="0"/>
    <xf numFmtId="49" fontId="34" fillId="0" borderId="162" applyNumberFormat="0" applyFill="0" applyBorder="0" applyProtection="0">
      <alignment horizontal="left" vertical="center"/>
    </xf>
    <xf numFmtId="0" fontId="47" fillId="56" borderId="151" applyNumberFormat="0" applyAlignment="0" applyProtection="0"/>
    <xf numFmtId="4" fontId="35" fillId="0" borderId="154">
      <alignment horizontal="right" vertical="center"/>
    </xf>
    <xf numFmtId="0" fontId="5" fillId="59" borderId="153" applyNumberFormat="0" applyFont="0" applyAlignment="0" applyProtection="0"/>
    <xf numFmtId="0" fontId="44" fillId="56" borderId="173" applyNumberFormat="0" applyAlignment="0" applyProtection="0"/>
    <xf numFmtId="0" fontId="27" fillId="15" borderId="0" applyNumberFormat="0" applyBorder="0" applyAlignment="0" applyProtection="0"/>
    <xf numFmtId="0" fontId="27" fillId="30" borderId="0" applyNumberFormat="0" applyBorder="0" applyAlignment="0" applyProtection="0"/>
    <xf numFmtId="4" fontId="33" fillId="34" borderId="155">
      <alignment horizontal="right" vertical="center"/>
    </xf>
    <xf numFmtId="4" fontId="33" fillId="34" borderId="154">
      <alignment horizontal="right" vertical="center"/>
    </xf>
    <xf numFmtId="0" fontId="63" fillId="56" borderId="158" applyNumberFormat="0" applyAlignment="0" applyProtection="0"/>
    <xf numFmtId="4" fontId="33" fillId="34" borderId="171">
      <alignment horizontal="right" vertical="center"/>
    </xf>
    <xf numFmtId="0" fontId="31" fillId="0" borderId="0" applyNumberFormat="0" applyFill="0" applyBorder="0" applyAlignment="0" applyProtection="0"/>
    <xf numFmtId="0" fontId="35" fillId="33" borderId="162"/>
    <xf numFmtId="0" fontId="33" fillId="34" borderId="155">
      <alignment horizontal="right" vertical="center"/>
    </xf>
    <xf numFmtId="4" fontId="35" fillId="0" borderId="169">
      <alignment horizontal="right" vertical="center"/>
    </xf>
    <xf numFmtId="0" fontId="2" fillId="0" borderId="15" applyNumberFormat="0" applyFill="0" applyAlignment="0" applyProtection="0"/>
    <xf numFmtId="0" fontId="33" fillId="34" borderId="163">
      <alignment horizontal="right" vertical="center"/>
    </xf>
    <xf numFmtId="0" fontId="27" fillId="15" borderId="0" applyNumberFormat="0" applyBorder="0" applyAlignment="0" applyProtection="0"/>
    <xf numFmtId="0" fontId="33" fillId="34" borderId="162">
      <alignment horizontal="right" vertical="center"/>
    </xf>
    <xf numFmtId="0" fontId="27" fillId="24" borderId="0" applyNumberFormat="0" applyBorder="0" applyAlignment="0" applyProtection="0"/>
    <xf numFmtId="0" fontId="47" fillId="56" borderId="159" applyNumberFormat="0" applyAlignment="0" applyProtection="0"/>
    <xf numFmtId="4" fontId="35" fillId="0" borderId="169">
      <alignment horizontal="right" vertical="center"/>
    </xf>
    <xf numFmtId="4" fontId="37" fillId="32" borderId="154">
      <alignment horizontal="right" vertical="center"/>
    </xf>
    <xf numFmtId="0" fontId="27" fillId="29" borderId="0" applyNumberFormat="0" applyBorder="0" applyAlignment="0" applyProtection="0"/>
    <xf numFmtId="0" fontId="59" fillId="43" borderId="151" applyNumberFormat="0" applyAlignment="0" applyProtection="0"/>
    <xf numFmtId="0" fontId="33" fillId="34" borderId="154">
      <alignment horizontal="right" vertical="center"/>
    </xf>
    <xf numFmtId="0" fontId="47" fillId="56" borderId="143" applyNumberFormat="0" applyAlignment="0" applyProtection="0"/>
    <xf numFmtId="4" fontId="33" fillId="34" borderId="155">
      <alignment horizontal="right" vertical="center"/>
    </xf>
    <xf numFmtId="0" fontId="12" fillId="19" borderId="0" applyNumberFormat="0" applyBorder="0" applyAlignment="0" applyProtection="0"/>
    <xf numFmtId="0" fontId="44" fillId="56" borderId="150" applyNumberFormat="0" applyAlignment="0" applyProtection="0"/>
    <xf numFmtId="0" fontId="33" fillId="34" borderId="154">
      <alignment horizontal="right" vertical="center"/>
    </xf>
    <xf numFmtId="0" fontId="35" fillId="0" borderId="154">
      <alignment horizontal="right" vertical="center"/>
    </xf>
    <xf numFmtId="0" fontId="33" fillId="34" borderId="154">
      <alignment horizontal="right" vertical="center"/>
    </xf>
    <xf numFmtId="0" fontId="59" fillId="43" borderId="151" applyNumberFormat="0" applyAlignment="0" applyProtection="0"/>
    <xf numFmtId="0" fontId="59" fillId="43" borderId="143" applyNumberFormat="0" applyAlignment="0" applyProtection="0"/>
    <xf numFmtId="0" fontId="27" fillId="21" borderId="0" applyNumberFormat="0" applyBorder="0" applyAlignment="0" applyProtection="0"/>
    <xf numFmtId="0" fontId="30" fillId="13" borderId="13" applyNumberFormat="0" applyAlignment="0" applyProtection="0"/>
    <xf numFmtId="0" fontId="41" fillId="59" borderId="145" applyNumberFormat="0" applyFont="0" applyAlignment="0" applyProtection="0"/>
    <xf numFmtId="0" fontId="63" fillId="56" borderId="142" applyNumberFormat="0" applyAlignment="0" applyProtection="0"/>
    <xf numFmtId="0" fontId="51" fillId="0" borderId="152" applyNumberFormat="0" applyFill="0" applyAlignment="0" applyProtection="0"/>
    <xf numFmtId="0" fontId="66" fillId="0" borderId="144" applyNumberFormat="0" applyFill="0" applyAlignment="0" applyProtection="0"/>
    <xf numFmtId="0" fontId="63" fillId="56" borderId="158" applyNumberFormat="0" applyAlignment="0" applyProtection="0"/>
    <xf numFmtId="4" fontId="33" fillId="34" borderId="156">
      <alignment horizontal="right" vertical="center"/>
    </xf>
    <xf numFmtId="0" fontId="27" fillId="15" borderId="0" applyNumberFormat="0" applyBorder="0" applyAlignment="0" applyProtection="0"/>
    <xf numFmtId="0" fontId="59" fillId="43" borderId="151" applyNumberFormat="0" applyAlignment="0" applyProtection="0"/>
    <xf numFmtId="0" fontId="47" fillId="56" borderId="151" applyNumberFormat="0" applyAlignment="0" applyProtection="0"/>
    <xf numFmtId="49" fontId="35" fillId="0" borderId="154" applyNumberFormat="0" applyFont="0" applyFill="0" applyBorder="0" applyProtection="0">
      <alignment horizontal="left" vertical="center" indent="2"/>
    </xf>
    <xf numFmtId="49" fontId="35" fillId="0" borderId="155" applyNumberFormat="0" applyFont="0" applyFill="0" applyBorder="0" applyProtection="0">
      <alignment horizontal="left" vertical="center" indent="5"/>
    </xf>
    <xf numFmtId="0" fontId="66" fillId="0" borderId="152" applyNumberFormat="0" applyFill="0" applyAlignment="0" applyProtection="0"/>
    <xf numFmtId="0" fontId="35" fillId="34" borderId="157">
      <alignment horizontal="left" vertical="center" wrapText="1" indent="2"/>
    </xf>
    <xf numFmtId="0" fontId="33" fillId="34" borderId="154">
      <alignment horizontal="right" vertical="center"/>
    </xf>
    <xf numFmtId="0" fontId="33" fillId="34" borderId="156">
      <alignment horizontal="right" vertical="center"/>
    </xf>
    <xf numFmtId="0" fontId="35" fillId="0" borderId="157">
      <alignment horizontal="left" vertical="center" wrapText="1" indent="2"/>
    </xf>
    <xf numFmtId="0" fontId="33" fillId="34" borderId="156">
      <alignment horizontal="right" vertical="center"/>
    </xf>
    <xf numFmtId="0" fontId="46" fillId="56" borderId="151" applyNumberFormat="0" applyAlignment="0" applyProtection="0"/>
    <xf numFmtId="0" fontId="66" fillId="0" borderId="152" applyNumberFormat="0" applyFill="0" applyAlignment="0" applyProtection="0"/>
    <xf numFmtId="0" fontId="44" fillId="56" borderId="150" applyNumberFormat="0" applyAlignment="0" applyProtection="0"/>
    <xf numFmtId="0" fontId="33" fillId="34" borderId="155">
      <alignment horizontal="right" vertical="center"/>
    </xf>
    <xf numFmtId="173" fontId="35" fillId="60" borderId="154" applyNumberFormat="0" applyFont="0" applyBorder="0" applyAlignment="0" applyProtection="0">
      <alignment horizontal="right" vertical="center"/>
    </xf>
    <xf numFmtId="49" fontId="34" fillId="0" borderId="154" applyNumberFormat="0" applyFill="0" applyBorder="0" applyProtection="0">
      <alignment horizontal="left" vertical="center"/>
    </xf>
    <xf numFmtId="0" fontId="33" fillId="32" borderId="146">
      <alignment horizontal="right" vertical="center"/>
    </xf>
    <xf numFmtId="4" fontId="33" fillId="32" borderId="146">
      <alignment horizontal="right" vertical="center"/>
    </xf>
    <xf numFmtId="0" fontId="37" fillId="32" borderId="146">
      <alignment horizontal="right" vertical="center"/>
    </xf>
    <xf numFmtId="4" fontId="37" fillId="32" borderId="146">
      <alignment horizontal="right" vertical="center"/>
    </xf>
    <xf numFmtId="0" fontId="33" fillId="34" borderId="146">
      <alignment horizontal="right" vertical="center"/>
    </xf>
    <xf numFmtId="4" fontId="33" fillId="34" borderId="146">
      <alignment horizontal="right" vertical="center"/>
    </xf>
    <xf numFmtId="0" fontId="33" fillId="34" borderId="146">
      <alignment horizontal="right" vertical="center"/>
    </xf>
    <xf numFmtId="4" fontId="33" fillId="34" borderId="146">
      <alignment horizontal="right" vertical="center"/>
    </xf>
    <xf numFmtId="0" fontId="33" fillId="34" borderId="147">
      <alignment horizontal="right" vertical="center"/>
    </xf>
    <xf numFmtId="4" fontId="33" fillId="34" borderId="147">
      <alignment horizontal="right" vertical="center"/>
    </xf>
    <xf numFmtId="0" fontId="33" fillId="34" borderId="148">
      <alignment horizontal="right" vertical="center"/>
    </xf>
    <xf numFmtId="4" fontId="33" fillId="34" borderId="148">
      <alignment horizontal="right" vertical="center"/>
    </xf>
    <xf numFmtId="0" fontId="47" fillId="56" borderId="143" applyNumberFormat="0" applyAlignment="0" applyProtection="0"/>
    <xf numFmtId="0" fontId="35" fillId="34" borderId="149">
      <alignment horizontal="left" vertical="center" wrapText="1" indent="2"/>
    </xf>
    <xf numFmtId="0" fontId="35" fillId="0" borderId="149">
      <alignment horizontal="left" vertical="center" wrapText="1" indent="2"/>
    </xf>
    <xf numFmtId="0" fontId="35" fillId="32" borderId="147">
      <alignment horizontal="left" vertical="center"/>
    </xf>
    <xf numFmtId="0" fontId="27" fillId="21" borderId="0" applyNumberFormat="0" applyBorder="0" applyAlignment="0" applyProtection="0"/>
    <xf numFmtId="0" fontId="59" fillId="43" borderId="143" applyNumberFormat="0" applyAlignment="0" applyProtection="0"/>
    <xf numFmtId="0" fontId="35" fillId="0" borderId="146">
      <alignment horizontal="right" vertical="center"/>
    </xf>
    <xf numFmtId="4" fontId="35" fillId="0" borderId="146">
      <alignment horizontal="right" vertical="center"/>
    </xf>
    <xf numFmtId="0" fontId="12" fillId="22" borderId="0" applyNumberFormat="0" applyBorder="0" applyAlignment="0" applyProtection="0"/>
    <xf numFmtId="0" fontId="35" fillId="0" borderId="146" applyNumberFormat="0" applyFill="0" applyAlignment="0" applyProtection="0"/>
    <xf numFmtId="0" fontId="63" fillId="56" borderId="142" applyNumberFormat="0" applyAlignment="0" applyProtection="0"/>
    <xf numFmtId="173" fontId="35" fillId="60" borderId="146" applyNumberFormat="0" applyFont="0" applyBorder="0" applyAlignment="0" applyProtection="0">
      <alignment horizontal="right" vertical="center"/>
    </xf>
    <xf numFmtId="0" fontId="35" fillId="33" borderId="146"/>
    <xf numFmtId="4" fontId="35" fillId="33" borderId="146"/>
    <xf numFmtId="0" fontId="66" fillId="0" borderId="144" applyNumberFormat="0" applyFill="0" applyAlignment="0" applyProtection="0"/>
    <xf numFmtId="0" fontId="27" fillId="27" borderId="0" applyNumberFormat="0" applyBorder="0" applyAlignment="0" applyProtection="0"/>
    <xf numFmtId="4" fontId="35" fillId="33" borderId="162"/>
    <xf numFmtId="4" fontId="33" fillId="34" borderId="156">
      <alignment horizontal="right" vertical="center"/>
    </xf>
    <xf numFmtId="0" fontId="35" fillId="33" borderId="154"/>
    <xf numFmtId="49" fontId="35" fillId="0" borderId="154" applyNumberFormat="0" applyFont="0" applyFill="0" applyBorder="0" applyProtection="0">
      <alignment horizontal="left" vertical="center" indent="2"/>
    </xf>
    <xf numFmtId="0" fontId="35" fillId="34" borderId="172">
      <alignment horizontal="left" vertical="center" wrapText="1" indent="2"/>
    </xf>
    <xf numFmtId="0" fontId="66" fillId="0" borderId="152" applyNumberFormat="0" applyFill="0" applyAlignment="0" applyProtection="0"/>
    <xf numFmtId="0" fontId="27" fillId="21" borderId="0" applyNumberFormat="0" applyBorder="0" applyAlignment="0" applyProtection="0"/>
    <xf numFmtId="0" fontId="59" fillId="43" borderId="159" applyNumberFormat="0" applyAlignment="0" applyProtection="0"/>
    <xf numFmtId="4" fontId="37" fillId="32" borderId="154">
      <alignment horizontal="right" vertical="center"/>
    </xf>
    <xf numFmtId="0" fontId="66" fillId="0" borderId="160" applyNumberFormat="0" applyFill="0" applyAlignment="0" applyProtection="0"/>
    <xf numFmtId="0" fontId="47" fillId="56" borderId="151" applyNumberFormat="0" applyAlignment="0" applyProtection="0"/>
    <xf numFmtId="0" fontId="27" fillId="30" borderId="0" applyNumberFormat="0" applyBorder="0" applyAlignment="0" applyProtection="0"/>
    <xf numFmtId="0" fontId="35" fillId="32" borderId="170">
      <alignment horizontal="left" vertical="center"/>
    </xf>
    <xf numFmtId="0" fontId="59" fillId="43" borderId="159" applyNumberFormat="0" applyAlignment="0" applyProtection="0"/>
    <xf numFmtId="0" fontId="51" fillId="0" borderId="152" applyNumberFormat="0" applyFill="0" applyAlignment="0" applyProtection="0"/>
    <xf numFmtId="0" fontId="35" fillId="33" borderId="154"/>
    <xf numFmtId="0" fontId="46" fillId="56" borderId="151" applyNumberFormat="0" applyAlignment="0" applyProtection="0"/>
    <xf numFmtId="49" fontId="34" fillId="0" borderId="154" applyNumberFormat="0" applyFill="0" applyBorder="0" applyProtection="0">
      <alignment horizontal="left" vertical="center"/>
    </xf>
    <xf numFmtId="0" fontId="35" fillId="0" borderId="154" applyNumberFormat="0" applyFill="0" applyAlignment="0" applyProtection="0"/>
    <xf numFmtId="0" fontId="5" fillId="59" borderId="153" applyNumberFormat="0" applyFont="0" applyAlignment="0" applyProtection="0"/>
    <xf numFmtId="0" fontId="27" fillId="15" borderId="0" applyNumberFormat="0" applyBorder="0" applyAlignment="0" applyProtection="0"/>
    <xf numFmtId="0" fontId="12" fillId="28" borderId="0" applyNumberFormat="0" applyBorder="0" applyAlignment="0" applyProtection="0"/>
    <xf numFmtId="4" fontId="35" fillId="0" borderId="154">
      <alignment horizontal="right" vertical="center"/>
    </xf>
    <xf numFmtId="0" fontId="27" fillId="20" borderId="0" applyNumberFormat="0" applyBorder="0" applyAlignment="0" applyProtection="0"/>
    <xf numFmtId="0" fontId="46" fillId="56" borderId="151" applyNumberFormat="0" applyAlignment="0" applyProtection="0"/>
    <xf numFmtId="0" fontId="33" fillId="32" borderId="169">
      <alignment horizontal="right" vertical="center"/>
    </xf>
    <xf numFmtId="4" fontId="33" fillId="34" borderId="162">
      <alignment horizontal="right" vertical="center"/>
    </xf>
    <xf numFmtId="0" fontId="27" fillId="18" borderId="0" applyNumberFormat="0" applyBorder="0" applyAlignment="0" applyProtection="0"/>
    <xf numFmtId="0" fontId="27" fillId="14" borderId="0" applyNumberFormat="0" applyBorder="0" applyAlignment="0" applyProtection="0"/>
    <xf numFmtId="0" fontId="33" fillId="34" borderId="164">
      <alignment horizontal="right" vertical="center"/>
    </xf>
    <xf numFmtId="0" fontId="66" fillId="0" borderId="160" applyNumberFormat="0" applyFill="0" applyAlignment="0" applyProtection="0"/>
    <xf numFmtId="0" fontId="37" fillId="32" borderId="154">
      <alignment horizontal="right" vertical="center"/>
    </xf>
    <xf numFmtId="49" fontId="35" fillId="0" borderId="155" applyNumberFormat="0" applyFont="0" applyFill="0" applyBorder="0" applyProtection="0">
      <alignment horizontal="left" vertical="center" indent="5"/>
    </xf>
    <xf numFmtId="0" fontId="66" fillId="0" borderId="152" applyNumberFormat="0" applyFill="0" applyAlignment="0" applyProtection="0"/>
    <xf numFmtId="0" fontId="41" fillId="59" borderId="153" applyNumberFormat="0" applyFont="0" applyAlignment="0" applyProtection="0"/>
    <xf numFmtId="0" fontId="33" fillId="34" borderId="155">
      <alignment horizontal="right" vertical="center"/>
    </xf>
    <xf numFmtId="0" fontId="44" fillId="56" borderId="150" applyNumberFormat="0" applyAlignment="0" applyProtection="0"/>
    <xf numFmtId="4" fontId="33" fillId="34" borderId="156">
      <alignment horizontal="right" vertical="center"/>
    </xf>
    <xf numFmtId="4" fontId="37" fillId="32" borderId="154">
      <alignment horizontal="right" vertical="center"/>
    </xf>
    <xf numFmtId="0" fontId="59" fillId="43" borderId="151" applyNumberFormat="0" applyAlignment="0" applyProtection="0"/>
    <xf numFmtId="0" fontId="47" fillId="56" borderId="151" applyNumberFormat="0" applyAlignment="0" applyProtection="0"/>
    <xf numFmtId="0" fontId="37" fillId="32" borderId="154">
      <alignment horizontal="right" vertical="center"/>
    </xf>
    <xf numFmtId="0" fontId="66" fillId="0" borderId="152" applyNumberFormat="0" applyFill="0" applyAlignment="0" applyProtection="0"/>
    <xf numFmtId="0" fontId="47" fillId="56" borderId="151" applyNumberFormat="0" applyAlignment="0" applyProtection="0"/>
    <xf numFmtId="0" fontId="31" fillId="0" borderId="0" applyNumberFormat="0" applyFill="0" applyBorder="0" applyAlignment="0" applyProtection="0"/>
    <xf numFmtId="0" fontId="12" fillId="25" borderId="0" applyNumberFormat="0" applyBorder="0" applyAlignment="0" applyProtection="0"/>
    <xf numFmtId="0" fontId="27" fillId="30" borderId="0" applyNumberFormat="0" applyBorder="0" applyAlignment="0" applyProtection="0"/>
    <xf numFmtId="0" fontId="5" fillId="59" borderId="153" applyNumberFormat="0" applyFont="0" applyAlignment="0" applyProtection="0"/>
    <xf numFmtId="0" fontId="27" fillId="27" borderId="0" applyNumberFormat="0" applyBorder="0" applyAlignment="0" applyProtection="0"/>
    <xf numFmtId="0" fontId="27" fillId="17" borderId="0" applyNumberFormat="0" applyBorder="0" applyAlignment="0" applyProtection="0"/>
    <xf numFmtId="0" fontId="33" fillId="34" borderId="164">
      <alignment horizontal="right" vertical="center"/>
    </xf>
    <xf numFmtId="0" fontId="27" fillId="14" borderId="0" applyNumberFormat="0" applyBorder="0" applyAlignment="0" applyProtection="0"/>
    <xf numFmtId="0" fontId="50" fillId="43" borderId="159" applyNumberFormat="0" applyAlignment="0" applyProtection="0"/>
    <xf numFmtId="0" fontId="63" fillId="56" borderId="150" applyNumberFormat="0" applyAlignment="0" applyProtection="0"/>
    <xf numFmtId="0" fontId="33" fillId="34" borderId="162">
      <alignment horizontal="right" vertical="center"/>
    </xf>
    <xf numFmtId="0" fontId="27" fillId="18" borderId="0" applyNumberFormat="0" applyBorder="0" applyAlignment="0" applyProtection="0"/>
    <xf numFmtId="4" fontId="37" fillId="32" borderId="154">
      <alignment horizontal="right" vertical="center"/>
    </xf>
    <xf numFmtId="0" fontId="1" fillId="0" borderId="0" applyNumberFormat="0" applyFill="0" applyBorder="0" applyAlignment="0" applyProtection="0"/>
    <xf numFmtId="49" fontId="35" fillId="0" borderId="146" applyNumberFormat="0" applyFont="0" applyFill="0" applyBorder="0" applyProtection="0">
      <alignment horizontal="left" vertical="center" indent="2"/>
    </xf>
    <xf numFmtId="49" fontId="35" fillId="0" borderId="147" applyNumberFormat="0" applyFont="0" applyFill="0" applyBorder="0" applyProtection="0">
      <alignment horizontal="left" vertical="center" indent="5"/>
    </xf>
    <xf numFmtId="0" fontId="2" fillId="0" borderId="15" applyNumberFormat="0" applyFill="0" applyAlignment="0" applyProtection="0"/>
    <xf numFmtId="0" fontId="35" fillId="33" borderId="162"/>
    <xf numFmtId="0" fontId="12" fillId="25" borderId="0" applyNumberFormat="0" applyBorder="0" applyAlignment="0" applyProtection="0"/>
    <xf numFmtId="0" fontId="33" fillId="34" borderId="156">
      <alignment horizontal="right" vertical="center"/>
    </xf>
    <xf numFmtId="0" fontId="33" fillId="32" borderId="154">
      <alignment horizontal="right" vertical="center"/>
    </xf>
    <xf numFmtId="0" fontId="51" fillId="0" borderId="152" applyNumberFormat="0" applyFill="0" applyAlignment="0" applyProtection="0"/>
    <xf numFmtId="0" fontId="27" fillId="27" borderId="0" applyNumberFormat="0" applyBorder="0" applyAlignment="0" applyProtection="0"/>
    <xf numFmtId="49" fontId="34" fillId="0" borderId="162" applyNumberFormat="0" applyFill="0" applyBorder="0" applyProtection="0">
      <alignment horizontal="left" vertical="center"/>
    </xf>
    <xf numFmtId="0" fontId="35" fillId="0" borderId="157">
      <alignment horizontal="left" vertical="center" wrapText="1" indent="2"/>
    </xf>
    <xf numFmtId="4" fontId="35" fillId="0" borderId="146" applyFill="0" applyBorder="0" applyProtection="0">
      <alignment horizontal="right" vertical="center"/>
    </xf>
    <xf numFmtId="49" fontId="34" fillId="0" borderId="146" applyNumberFormat="0" applyFill="0" applyBorder="0" applyProtection="0">
      <alignment horizontal="left" vertical="center"/>
    </xf>
    <xf numFmtId="0" fontId="27" fillId="29" borderId="0" applyNumberFormat="0" applyBorder="0" applyAlignment="0" applyProtection="0"/>
    <xf numFmtId="4" fontId="33" fillId="34" borderId="156">
      <alignment horizontal="right" vertical="center"/>
    </xf>
    <xf numFmtId="4" fontId="35" fillId="0" borderId="154" applyFill="0" applyBorder="0" applyProtection="0">
      <alignment horizontal="right" vertical="center"/>
    </xf>
    <xf numFmtId="0" fontId="46" fillId="56" borderId="151" applyNumberFormat="0" applyAlignment="0" applyProtection="0"/>
    <xf numFmtId="0" fontId="50" fillId="43" borderId="151" applyNumberFormat="0" applyAlignment="0" applyProtection="0"/>
    <xf numFmtId="0" fontId="35" fillId="34" borderId="157">
      <alignment horizontal="left" vertical="center" wrapText="1" indent="2"/>
    </xf>
    <xf numFmtId="4" fontId="35" fillId="0" borderId="162" applyFill="0" applyBorder="0" applyProtection="0">
      <alignment horizontal="right" vertical="center"/>
    </xf>
    <xf numFmtId="4" fontId="37" fillId="32" borderId="154">
      <alignment horizontal="right" vertical="center"/>
    </xf>
    <xf numFmtId="0" fontId="46" fillId="56" borderId="151" applyNumberFormat="0" applyAlignment="0" applyProtection="0"/>
    <xf numFmtId="0" fontId="27" fillId="14" borderId="0" applyNumberFormat="0" applyBorder="0" applyAlignment="0" applyProtection="0"/>
    <xf numFmtId="0" fontId="2" fillId="0" borderId="15" applyNumberFormat="0" applyFill="0" applyAlignment="0" applyProtection="0"/>
    <xf numFmtId="0" fontId="12" fillId="25" borderId="0" applyNumberFormat="0" applyBorder="0" applyAlignment="0" applyProtection="0"/>
    <xf numFmtId="0" fontId="33" fillId="32" borderId="154">
      <alignment horizontal="right" vertical="center"/>
    </xf>
    <xf numFmtId="173" fontId="35" fillId="60" borderId="154" applyNumberFormat="0" applyFont="0" applyBorder="0" applyAlignment="0" applyProtection="0">
      <alignment horizontal="right" vertical="center"/>
    </xf>
    <xf numFmtId="0" fontId="33" fillId="34" borderId="154">
      <alignment horizontal="right" vertical="center"/>
    </xf>
    <xf numFmtId="0" fontId="44" fillId="56" borderId="150" applyNumberFormat="0" applyAlignment="0" applyProtection="0"/>
    <xf numFmtId="0" fontId="66" fillId="0" borderId="152" applyNumberFormat="0" applyFill="0" applyAlignment="0" applyProtection="0"/>
    <xf numFmtId="0" fontId="41" fillId="59" borderId="153" applyNumberFormat="0" applyFont="0" applyAlignment="0" applyProtection="0"/>
    <xf numFmtId="0" fontId="33" fillId="34" borderId="154">
      <alignment horizontal="right" vertical="center"/>
    </xf>
    <xf numFmtId="0" fontId="33" fillId="34" borderId="155">
      <alignment horizontal="right" vertical="center"/>
    </xf>
    <xf numFmtId="0" fontId="47" fillId="56" borderId="151" applyNumberFormat="0" applyAlignment="0" applyProtection="0"/>
    <xf numFmtId="0" fontId="33" fillId="34" borderId="156">
      <alignment horizontal="right" vertical="center"/>
    </xf>
    <xf numFmtId="0" fontId="33" fillId="34" borderId="154">
      <alignment horizontal="right" vertical="center"/>
    </xf>
    <xf numFmtId="0" fontId="50" fillId="43" borderId="151" applyNumberFormat="0" applyAlignment="0" applyProtection="0"/>
    <xf numFmtId="4" fontId="35" fillId="0" borderId="154">
      <alignment horizontal="right" vertical="center"/>
    </xf>
    <xf numFmtId="0" fontId="47" fillId="56" borderId="151" applyNumberFormat="0" applyAlignment="0" applyProtection="0"/>
    <xf numFmtId="0" fontId="35" fillId="32" borderId="155">
      <alignment horizontal="left" vertical="center"/>
    </xf>
    <xf numFmtId="0" fontId="30" fillId="13" borderId="13" applyNumberFormat="0" applyAlignment="0" applyProtection="0"/>
    <xf numFmtId="173" fontId="35" fillId="60" borderId="154" applyNumberFormat="0" applyFont="0" applyBorder="0" applyAlignment="0" applyProtection="0">
      <alignment horizontal="right" vertical="center"/>
    </xf>
    <xf numFmtId="0" fontId="44" fillId="56" borderId="142" applyNumberFormat="0" applyAlignment="0" applyProtection="0"/>
    <xf numFmtId="0" fontId="46" fillId="56" borderId="143" applyNumberFormat="0" applyAlignment="0" applyProtection="0"/>
    <xf numFmtId="0" fontId="51" fillId="0" borderId="144" applyNumberFormat="0" applyFill="0" applyAlignment="0" applyProtection="0"/>
    <xf numFmtId="0" fontId="33" fillId="32" borderId="162">
      <alignment horizontal="right" vertical="center"/>
    </xf>
    <xf numFmtId="4" fontId="37" fillId="32" borderId="154">
      <alignment horizontal="right" vertical="center"/>
    </xf>
    <xf numFmtId="0" fontId="44" fillId="56" borderId="150" applyNumberFormat="0" applyAlignment="0" applyProtection="0"/>
    <xf numFmtId="0" fontId="27" fillId="29" borderId="0" applyNumberFormat="0" applyBorder="0" applyAlignment="0" applyProtection="0"/>
    <xf numFmtId="0" fontId="27" fillId="27" borderId="0" applyNumberFormat="0" applyBorder="0" applyAlignment="0" applyProtection="0"/>
    <xf numFmtId="4" fontId="37" fillId="32" borderId="169">
      <alignment horizontal="right" vertical="center"/>
    </xf>
    <xf numFmtId="0" fontId="47" fillId="56" borderId="151" applyNumberFormat="0" applyAlignment="0" applyProtection="0"/>
    <xf numFmtId="0" fontId="47" fillId="56" borderId="166" applyNumberFormat="0" applyAlignment="0" applyProtection="0"/>
    <xf numFmtId="49" fontId="34" fillId="0" borderId="162" applyNumberFormat="0" applyFill="0" applyBorder="0" applyProtection="0">
      <alignment horizontal="left" vertical="center"/>
    </xf>
    <xf numFmtId="0" fontId="35" fillId="0" borderId="162">
      <alignment horizontal="right" vertical="center"/>
    </xf>
    <xf numFmtId="0" fontId="47" fillId="56" borderId="151" applyNumberFormat="0" applyAlignment="0" applyProtection="0"/>
    <xf numFmtId="0" fontId="1" fillId="0" borderId="0" applyNumberFormat="0" applyFill="0" applyBorder="0" applyAlignment="0" applyProtection="0"/>
    <xf numFmtId="0" fontId="30" fillId="13" borderId="13" applyNumberFormat="0" applyAlignment="0" applyProtection="0"/>
    <xf numFmtId="0" fontId="27" fillId="23" borderId="0" applyNumberFormat="0" applyBorder="0" applyAlignment="0" applyProtection="0"/>
    <xf numFmtId="0" fontId="59" fillId="43" borderId="166" applyNumberFormat="0" applyAlignment="0" applyProtection="0"/>
    <xf numFmtId="0" fontId="31" fillId="0" borderId="0" applyNumberFormat="0" applyFill="0" applyBorder="0" applyAlignment="0" applyProtection="0"/>
    <xf numFmtId="0" fontId="35" fillId="32" borderId="155">
      <alignment horizontal="left" vertical="center"/>
    </xf>
    <xf numFmtId="4" fontId="35" fillId="0" borderId="154">
      <alignment horizontal="right" vertical="center"/>
    </xf>
    <xf numFmtId="4" fontId="33" fillId="34" borderId="154">
      <alignment horizontal="right" vertical="center"/>
    </xf>
    <xf numFmtId="0" fontId="63" fillId="56" borderId="150" applyNumberFormat="0" applyAlignment="0" applyProtection="0"/>
    <xf numFmtId="0" fontId="51" fillId="0" borderId="152" applyNumberFormat="0" applyFill="0" applyAlignment="0" applyProtection="0"/>
    <xf numFmtId="49" fontId="35" fillId="0" borderId="162" applyNumberFormat="0" applyFont="0" applyFill="0" applyBorder="0" applyProtection="0">
      <alignment horizontal="left" vertical="center" indent="2"/>
    </xf>
    <xf numFmtId="0" fontId="50" fillId="43" borderId="143" applyNumberFormat="0" applyAlignment="0" applyProtection="0"/>
    <xf numFmtId="49" fontId="35" fillId="0" borderId="154" applyNumberFormat="0" applyFont="0" applyFill="0" applyBorder="0" applyProtection="0">
      <alignment horizontal="left" vertical="center" indent="2"/>
    </xf>
    <xf numFmtId="173" fontId="35" fillId="60" borderId="154" applyNumberFormat="0" applyFont="0" applyBorder="0" applyAlignment="0" applyProtection="0">
      <alignment horizontal="right" vertical="center"/>
    </xf>
    <xf numFmtId="4" fontId="35" fillId="0" borderId="162">
      <alignment horizontal="right" vertical="center"/>
    </xf>
    <xf numFmtId="0" fontId="12" fillId="19" borderId="0" applyNumberFormat="0" applyBorder="0" applyAlignment="0" applyProtection="0"/>
    <xf numFmtId="4" fontId="33" fillId="34" borderId="162">
      <alignment horizontal="right" vertical="center"/>
    </xf>
    <xf numFmtId="49" fontId="35" fillId="0" borderId="162" applyNumberFormat="0" applyFont="0" applyFill="0" applyBorder="0" applyProtection="0">
      <alignment horizontal="left" vertical="center" indent="2"/>
    </xf>
    <xf numFmtId="0" fontId="27" fillId="14" borderId="0" applyNumberFormat="0" applyBorder="0" applyAlignment="0" applyProtection="0"/>
    <xf numFmtId="4" fontId="33" fillId="34" borderId="156">
      <alignment horizontal="right" vertical="center"/>
    </xf>
    <xf numFmtId="0" fontId="27" fillId="23" borderId="0" applyNumberFormat="0" applyBorder="0" applyAlignment="0" applyProtection="0"/>
    <xf numFmtId="4" fontId="35" fillId="0" borderId="169" applyFill="0" applyBorder="0" applyProtection="0">
      <alignment horizontal="right" vertical="center"/>
    </xf>
    <xf numFmtId="0" fontId="29" fillId="13" borderId="14" applyNumberFormat="0" applyAlignment="0" applyProtection="0"/>
    <xf numFmtId="0" fontId="35" fillId="34" borderId="165">
      <alignment horizontal="left" vertical="center" wrapText="1" indent="2"/>
    </xf>
    <xf numFmtId="0" fontId="27" fillId="29" borderId="0" applyNumberFormat="0" applyBorder="0" applyAlignment="0" applyProtection="0"/>
    <xf numFmtId="0" fontId="12" fillId="19" borderId="0" applyNumberFormat="0" applyBorder="0" applyAlignment="0" applyProtection="0"/>
    <xf numFmtId="0" fontId="59" fillId="43" borderId="151" applyNumberFormat="0" applyAlignment="0" applyProtection="0"/>
    <xf numFmtId="0" fontId="35" fillId="34" borderId="157">
      <alignment horizontal="left" vertical="center" wrapText="1" indent="2"/>
    </xf>
    <xf numFmtId="0" fontId="51" fillId="0" borderId="152" applyNumberFormat="0" applyFill="0" applyAlignment="0" applyProtection="0"/>
    <xf numFmtId="4" fontId="35" fillId="33" borderId="154"/>
    <xf numFmtId="0" fontId="30" fillId="13" borderId="13" applyNumberFormat="0" applyAlignment="0" applyProtection="0"/>
    <xf numFmtId="0" fontId="35" fillId="34" borderId="149">
      <alignment horizontal="left" vertical="center" wrapText="1" indent="2"/>
    </xf>
    <xf numFmtId="0" fontId="35" fillId="0" borderId="149">
      <alignment horizontal="left" vertical="center" wrapText="1" indent="2"/>
    </xf>
    <xf numFmtId="0" fontId="27" fillId="27" borderId="0" applyNumberFormat="0" applyBorder="0" applyAlignment="0" applyProtection="0"/>
    <xf numFmtId="0" fontId="1" fillId="0" borderId="0" applyNumberFormat="0" applyFill="0" applyBorder="0" applyAlignment="0" applyProtection="0"/>
    <xf numFmtId="0" fontId="27" fillId="27" borderId="0" applyNumberFormat="0" applyBorder="0" applyAlignment="0" applyProtection="0"/>
    <xf numFmtId="0" fontId="27" fillId="18" borderId="0" applyNumberFormat="0" applyBorder="0" applyAlignment="0" applyProtection="0"/>
    <xf numFmtId="0" fontId="27" fillId="21" borderId="0" applyNumberFormat="0" applyBorder="0" applyAlignment="0" applyProtection="0"/>
    <xf numFmtId="0" fontId="35" fillId="34" borderId="165">
      <alignment horizontal="left" vertical="center" wrapText="1" indent="2"/>
    </xf>
    <xf numFmtId="0" fontId="59" fillId="43" borderId="151" applyNumberFormat="0" applyAlignment="0" applyProtection="0"/>
    <xf numFmtId="0" fontId="12" fillId="31" borderId="0" applyNumberFormat="0" applyBorder="0" applyAlignment="0" applyProtection="0"/>
    <xf numFmtId="0" fontId="29" fillId="13" borderId="14" applyNumberFormat="0" applyAlignment="0" applyProtection="0"/>
    <xf numFmtId="0" fontId="12" fillId="31" borderId="0" applyNumberFormat="0" applyBorder="0" applyAlignment="0" applyProtection="0"/>
    <xf numFmtId="0" fontId="46" fillId="56" borderId="159" applyNumberFormat="0" applyAlignment="0" applyProtection="0"/>
    <xf numFmtId="0" fontId="12" fillId="19" borderId="0" applyNumberFormat="0" applyBorder="0" applyAlignment="0" applyProtection="0"/>
    <xf numFmtId="4" fontId="33" fillId="34" borderId="169">
      <alignment horizontal="right" vertical="center"/>
    </xf>
    <xf numFmtId="0" fontId="66" fillId="0" borderId="160" applyNumberFormat="0" applyFill="0" applyAlignment="0" applyProtection="0"/>
    <xf numFmtId="0" fontId="33" fillId="34" borderId="171">
      <alignment horizontal="right" vertical="center"/>
    </xf>
    <xf numFmtId="0" fontId="27" fillId="30" borderId="0" applyNumberFormat="0" applyBorder="0" applyAlignment="0" applyProtection="0"/>
    <xf numFmtId="0" fontId="59" fillId="43" borderId="159" applyNumberFormat="0" applyAlignment="0" applyProtection="0"/>
    <xf numFmtId="4" fontId="33" fillId="34" borderId="163">
      <alignment horizontal="right" vertical="center"/>
    </xf>
    <xf numFmtId="0" fontId="35" fillId="0" borderId="154">
      <alignment horizontal="right" vertical="center"/>
    </xf>
    <xf numFmtId="4" fontId="33" fillId="32" borderId="162">
      <alignment horizontal="right" vertical="center"/>
    </xf>
    <xf numFmtId="0" fontId="44" fillId="56" borderId="150" applyNumberFormat="0" applyAlignment="0" applyProtection="0"/>
    <xf numFmtId="4" fontId="33" fillId="32" borderId="154">
      <alignment horizontal="right" vertical="center"/>
    </xf>
    <xf numFmtId="0" fontId="51" fillId="0" borderId="152" applyNumberFormat="0" applyFill="0" applyAlignment="0" applyProtection="0"/>
    <xf numFmtId="0" fontId="47" fillId="56" borderId="151" applyNumberFormat="0" applyAlignment="0" applyProtection="0"/>
    <xf numFmtId="4" fontId="33" fillId="34" borderId="155">
      <alignment horizontal="right" vertical="center"/>
    </xf>
    <xf numFmtId="0" fontId="12" fillId="31" borderId="0" applyNumberFormat="0" applyBorder="0" applyAlignment="0" applyProtection="0"/>
    <xf numFmtId="0" fontId="46" fillId="56" borderId="151" applyNumberFormat="0" applyAlignment="0" applyProtection="0"/>
    <xf numFmtId="0" fontId="35" fillId="0" borderId="157">
      <alignment horizontal="left" vertical="center" wrapText="1" indent="2"/>
    </xf>
    <xf numFmtId="49" fontId="35" fillId="0" borderId="154" applyNumberFormat="0" applyFont="0" applyFill="0" applyBorder="0" applyProtection="0">
      <alignment horizontal="left" vertical="center" indent="2"/>
    </xf>
    <xf numFmtId="0" fontId="59" fillId="43" borderId="151" applyNumberFormat="0" applyAlignment="0" applyProtection="0"/>
    <xf numFmtId="0" fontId="41" fillId="59" borderId="153" applyNumberFormat="0" applyFont="0" applyAlignment="0" applyProtection="0"/>
    <xf numFmtId="4" fontId="33" fillId="34" borderId="155">
      <alignment horizontal="right" vertical="center"/>
    </xf>
    <xf numFmtId="0" fontId="35" fillId="34" borderId="157">
      <alignment horizontal="left" vertical="center" wrapText="1" indent="2"/>
    </xf>
    <xf numFmtId="0" fontId="51" fillId="0" borderId="152" applyNumberFormat="0" applyFill="0" applyAlignment="0" applyProtection="0"/>
    <xf numFmtId="0" fontId="63" fillId="56" borderId="150" applyNumberFormat="0" applyAlignment="0" applyProtection="0"/>
    <xf numFmtId="0" fontId="41" fillId="59" borderId="153" applyNumberFormat="0" applyFont="0" applyAlignment="0" applyProtection="0"/>
    <xf numFmtId="0" fontId="59" fillId="43" borderId="151" applyNumberFormat="0" applyAlignment="0" applyProtection="0"/>
    <xf numFmtId="0" fontId="35" fillId="0" borderId="154" applyNumberFormat="0" applyFill="0" applyAlignment="0" applyProtection="0"/>
    <xf numFmtId="0" fontId="33" fillId="32" borderId="154">
      <alignment horizontal="right" vertical="center"/>
    </xf>
    <xf numFmtId="0" fontId="33" fillId="34" borderId="154">
      <alignment horizontal="right" vertical="center"/>
    </xf>
    <xf numFmtId="0" fontId="41" fillId="59" borderId="153" applyNumberFormat="0" applyFont="0" applyAlignment="0" applyProtection="0"/>
    <xf numFmtId="0" fontId="51" fillId="0" borderId="152" applyNumberFormat="0" applyFill="0" applyAlignment="0" applyProtection="0"/>
    <xf numFmtId="0" fontId="33" fillId="32" borderId="154">
      <alignment horizontal="right" vertical="center"/>
    </xf>
    <xf numFmtId="4" fontId="35" fillId="0" borderId="154" applyFill="0" applyBorder="0" applyProtection="0">
      <alignment horizontal="right" vertical="center"/>
    </xf>
    <xf numFmtId="49" fontId="35" fillId="0" borderId="154" applyNumberFormat="0" applyFont="0" applyFill="0" applyBorder="0" applyProtection="0">
      <alignment horizontal="left" vertical="center" indent="2"/>
    </xf>
    <xf numFmtId="0" fontId="50" fillId="43" borderId="151" applyNumberFormat="0" applyAlignment="0" applyProtection="0"/>
    <xf numFmtId="0" fontId="5" fillId="59" borderId="161" applyNumberFormat="0" applyFont="0" applyAlignment="0" applyProtection="0"/>
    <xf numFmtId="0" fontId="12" fillId="22" borderId="0" applyNumberFormat="0" applyBorder="0" applyAlignment="0" applyProtection="0"/>
    <xf numFmtId="0" fontId="27" fillId="15" borderId="0" applyNumberFormat="0" applyBorder="0" applyAlignment="0" applyProtection="0"/>
    <xf numFmtId="0" fontId="12" fillId="31" borderId="0" applyNumberFormat="0" applyBorder="0" applyAlignment="0" applyProtection="0"/>
    <xf numFmtId="0" fontId="51" fillId="0" borderId="160" applyNumberFormat="0" applyFill="0" applyAlignment="0" applyProtection="0"/>
    <xf numFmtId="0" fontId="27" fillId="29" borderId="0" applyNumberFormat="0" applyBorder="0" applyAlignment="0" applyProtection="0"/>
    <xf numFmtId="0" fontId="27" fillId="21" borderId="0" applyNumberFormat="0" applyBorder="0" applyAlignment="0" applyProtection="0"/>
    <xf numFmtId="0" fontId="27" fillId="26" borderId="0" applyNumberFormat="0" applyBorder="0" applyAlignment="0" applyProtection="0"/>
    <xf numFmtId="0" fontId="27" fillId="24" borderId="0" applyNumberFormat="0" applyBorder="0" applyAlignment="0" applyProtection="0"/>
    <xf numFmtId="0" fontId="12" fillId="16" borderId="0" applyNumberFormat="0" applyBorder="0" applyAlignment="0" applyProtection="0"/>
    <xf numFmtId="0" fontId="27" fillId="18" borderId="0" applyNumberFormat="0" applyBorder="0" applyAlignment="0" applyProtection="0"/>
    <xf numFmtId="0" fontId="12" fillId="19" borderId="0" applyNumberFormat="0" applyBorder="0" applyAlignment="0" applyProtection="0"/>
    <xf numFmtId="0" fontId="33" fillId="32" borderId="169">
      <alignment horizontal="right" vertical="center"/>
    </xf>
    <xf numFmtId="0" fontId="2" fillId="0" borderId="15" applyNumberFormat="0" applyFill="0" applyAlignment="0" applyProtection="0"/>
    <xf numFmtId="0" fontId="12" fillId="28" borderId="0" applyNumberFormat="0" applyBorder="0" applyAlignment="0" applyProtection="0"/>
    <xf numFmtId="0" fontId="27" fillId="30" borderId="0" applyNumberFormat="0" applyBorder="0" applyAlignment="0" applyProtection="0"/>
    <xf numFmtId="0" fontId="59" fillId="43" borderId="159" applyNumberFormat="0" applyAlignment="0" applyProtection="0"/>
    <xf numFmtId="0" fontId="50" fillId="43" borderId="151" applyNumberFormat="0" applyAlignment="0" applyProtection="0"/>
    <xf numFmtId="4" fontId="35" fillId="33" borderId="154"/>
    <xf numFmtId="0" fontId="12" fillId="19" borderId="0" applyNumberFormat="0" applyBorder="0" applyAlignment="0" applyProtection="0"/>
    <xf numFmtId="4" fontId="33" fillId="34" borderId="146">
      <alignment horizontal="right" vertical="center"/>
    </xf>
    <xf numFmtId="0" fontId="35" fillId="33" borderId="146"/>
    <xf numFmtId="0" fontId="46" fillId="56" borderId="143" applyNumberFormat="0" applyAlignment="0" applyProtection="0"/>
    <xf numFmtId="0" fontId="33" fillId="32" borderId="146">
      <alignment horizontal="right" vertical="center"/>
    </xf>
    <xf numFmtId="0" fontId="35" fillId="0" borderId="146">
      <alignment horizontal="right" vertical="center"/>
    </xf>
    <xf numFmtId="0" fontId="66" fillId="0" borderId="144" applyNumberFormat="0" applyFill="0" applyAlignment="0" applyProtection="0"/>
    <xf numFmtId="0" fontId="35" fillId="32" borderId="147">
      <alignment horizontal="left" vertical="center"/>
    </xf>
    <xf numFmtId="0" fontId="59" fillId="43" borderId="143" applyNumberFormat="0" applyAlignment="0" applyProtection="0"/>
    <xf numFmtId="173" fontId="35" fillId="60" borderId="146" applyNumberFormat="0" applyFont="0" applyBorder="0" applyAlignment="0" applyProtection="0">
      <alignment horizontal="right" vertical="center"/>
    </xf>
    <xf numFmtId="0" fontId="41" fillId="59" borderId="145" applyNumberFormat="0" applyFont="0" applyAlignment="0" applyProtection="0"/>
    <xf numFmtId="0" fontId="35" fillId="0" borderId="149">
      <alignment horizontal="left" vertical="center" wrapText="1" indent="2"/>
    </xf>
    <xf numFmtId="4" fontId="35" fillId="33" borderId="146"/>
    <xf numFmtId="49" fontId="34" fillId="0" borderId="146" applyNumberFormat="0" applyFill="0" applyBorder="0" applyProtection="0">
      <alignment horizontal="left" vertical="center"/>
    </xf>
    <xf numFmtId="0" fontId="35" fillId="0" borderId="146">
      <alignment horizontal="right" vertical="center"/>
    </xf>
    <xf numFmtId="4" fontId="33" fillId="34" borderId="148">
      <alignment horizontal="right" vertical="center"/>
    </xf>
    <xf numFmtId="4" fontId="33" fillId="34" borderId="146">
      <alignment horizontal="right" vertical="center"/>
    </xf>
    <xf numFmtId="4" fontId="33" fillId="34" borderId="146">
      <alignment horizontal="right" vertical="center"/>
    </xf>
    <xf numFmtId="0" fontId="37" fillId="32" borderId="146">
      <alignment horizontal="right" vertical="center"/>
    </xf>
    <xf numFmtId="0" fontId="33" fillId="32" borderId="146">
      <alignment horizontal="right" vertical="center"/>
    </xf>
    <xf numFmtId="49" fontId="35" fillId="0" borderId="146" applyNumberFormat="0" applyFont="0" applyFill="0" applyBorder="0" applyProtection="0">
      <alignment horizontal="left" vertical="center" indent="2"/>
    </xf>
    <xf numFmtId="0" fontId="59" fillId="43" borderId="143" applyNumberFormat="0" applyAlignment="0" applyProtection="0"/>
    <xf numFmtId="0" fontId="44" fillId="56" borderId="142" applyNumberFormat="0" applyAlignment="0" applyProtection="0"/>
    <xf numFmtId="49" fontId="35" fillId="0" borderId="146" applyNumberFormat="0" applyFont="0" applyFill="0" applyBorder="0" applyProtection="0">
      <alignment horizontal="left" vertical="center" indent="2"/>
    </xf>
    <xf numFmtId="0" fontId="50" fillId="43" borderId="143" applyNumberFormat="0" applyAlignment="0" applyProtection="0"/>
    <xf numFmtId="4" fontId="35" fillId="0" borderId="146" applyFill="0" applyBorder="0" applyProtection="0">
      <alignment horizontal="right" vertical="center"/>
    </xf>
    <xf numFmtId="0" fontId="47" fillId="56" borderId="143" applyNumberFormat="0" applyAlignment="0" applyProtection="0"/>
    <xf numFmtId="0" fontId="66" fillId="0" borderId="144" applyNumberFormat="0" applyFill="0" applyAlignment="0" applyProtection="0"/>
    <xf numFmtId="0" fontId="63" fillId="56" borderId="142" applyNumberFormat="0" applyAlignment="0" applyProtection="0"/>
    <xf numFmtId="0" fontId="35" fillId="0" borderId="146" applyNumberFormat="0" applyFill="0" applyAlignment="0" applyProtection="0"/>
    <xf numFmtId="4" fontId="35" fillId="0" borderId="146">
      <alignment horizontal="right" vertical="center"/>
    </xf>
    <xf numFmtId="0" fontId="35" fillId="0" borderId="146">
      <alignment horizontal="right" vertical="center"/>
    </xf>
    <xf numFmtId="0" fontId="59" fillId="43" borderId="143" applyNumberFormat="0" applyAlignment="0" applyProtection="0"/>
    <xf numFmtId="0" fontId="44" fillId="56" borderId="142" applyNumberFormat="0" applyAlignment="0" applyProtection="0"/>
    <xf numFmtId="0" fontId="46" fillId="56" borderId="143" applyNumberFormat="0" applyAlignment="0" applyProtection="0"/>
    <xf numFmtId="0" fontId="35" fillId="34" borderId="149">
      <alignment horizontal="left" vertical="center" wrapText="1" indent="2"/>
    </xf>
    <xf numFmtId="0" fontId="47" fillId="56" borderId="143" applyNumberFormat="0" applyAlignment="0" applyProtection="0"/>
    <xf numFmtId="0" fontId="47" fillId="56" borderId="143" applyNumberFormat="0" applyAlignment="0" applyProtection="0"/>
    <xf numFmtId="4" fontId="33" fillId="34" borderId="147">
      <alignment horizontal="right" vertical="center"/>
    </xf>
    <xf numFmtId="0" fontId="33" fillId="34" borderId="147">
      <alignment horizontal="right" vertical="center"/>
    </xf>
    <xf numFmtId="0" fontId="33" fillId="34" borderId="146">
      <alignment horizontal="right" vertical="center"/>
    </xf>
    <xf numFmtId="4" fontId="37" fillId="32" borderId="146">
      <alignment horizontal="right" vertical="center"/>
    </xf>
    <xf numFmtId="0" fontId="50" fillId="43" borderId="143" applyNumberFormat="0" applyAlignment="0" applyProtection="0"/>
    <xf numFmtId="0" fontId="51" fillId="0" borderId="144" applyNumberFormat="0" applyFill="0" applyAlignment="0" applyProtection="0"/>
    <xf numFmtId="0" fontId="66" fillId="0" borderId="144" applyNumberFormat="0" applyFill="0" applyAlignment="0" applyProtection="0"/>
    <xf numFmtId="0" fontId="41" fillId="59" borderId="145" applyNumberFormat="0" applyFont="0" applyAlignment="0" applyProtection="0"/>
    <xf numFmtId="0" fontId="59" fillId="43" borderId="143" applyNumberFormat="0" applyAlignment="0" applyProtection="0"/>
    <xf numFmtId="49" fontId="34" fillId="0" borderId="146" applyNumberFormat="0" applyFill="0" applyBorder="0" applyProtection="0">
      <alignment horizontal="left" vertical="center"/>
    </xf>
    <xf numFmtId="0" fontId="35" fillId="34" borderId="149">
      <alignment horizontal="left" vertical="center" wrapText="1" indent="2"/>
    </xf>
    <xf numFmtId="0" fontId="47" fillId="56" borderId="143" applyNumberFormat="0" applyAlignment="0" applyProtection="0"/>
    <xf numFmtId="0" fontId="35" fillId="0" borderId="149">
      <alignment horizontal="left" vertical="center" wrapText="1" indent="2"/>
    </xf>
    <xf numFmtId="0" fontId="41" fillId="59" borderId="145" applyNumberFormat="0" applyFont="0" applyAlignment="0" applyProtection="0"/>
    <xf numFmtId="0" fontId="5" fillId="59" borderId="145" applyNumberFormat="0" applyFont="0" applyAlignment="0" applyProtection="0"/>
    <xf numFmtId="0" fontId="63" fillId="56" borderId="142" applyNumberFormat="0" applyAlignment="0" applyProtection="0"/>
    <xf numFmtId="0" fontId="66" fillId="0" borderId="144" applyNumberFormat="0" applyFill="0" applyAlignment="0" applyProtection="0"/>
    <xf numFmtId="4" fontId="35" fillId="33" borderId="146"/>
    <xf numFmtId="0" fontId="33" fillId="34" borderId="146">
      <alignment horizontal="right" vertical="center"/>
    </xf>
    <xf numFmtId="0" fontId="66" fillId="0" borderId="144" applyNumberFormat="0" applyFill="0" applyAlignment="0" applyProtection="0"/>
    <xf numFmtId="4" fontId="33" fillId="34" borderId="148">
      <alignment horizontal="right" vertical="center"/>
    </xf>
    <xf numFmtId="0" fontId="46" fillId="56" borderId="143" applyNumberFormat="0" applyAlignment="0" applyProtection="0"/>
    <xf numFmtId="0" fontId="33" fillId="34" borderId="147">
      <alignment horizontal="right" vertical="center"/>
    </xf>
    <xf numFmtId="0" fontId="47" fillId="56" borderId="143" applyNumberFormat="0" applyAlignment="0" applyProtection="0"/>
    <xf numFmtId="0" fontId="51" fillId="0" borderId="144" applyNumberFormat="0" applyFill="0" applyAlignment="0" applyProtection="0"/>
    <xf numFmtId="0" fontId="41" fillId="59" borderId="145" applyNumberFormat="0" applyFont="0" applyAlignment="0" applyProtection="0"/>
    <xf numFmtId="4" fontId="33" fillId="34" borderId="147">
      <alignment horizontal="right" vertical="center"/>
    </xf>
    <xf numFmtId="0" fontId="35" fillId="34" borderId="149">
      <alignment horizontal="left" vertical="center" wrapText="1" indent="2"/>
    </xf>
    <xf numFmtId="0" fontId="35" fillId="33" borderId="146"/>
    <xf numFmtId="173" fontId="35" fillId="60" borderId="146" applyNumberFormat="0" applyFont="0" applyBorder="0" applyAlignment="0" applyProtection="0">
      <alignment horizontal="right" vertical="center"/>
    </xf>
    <xf numFmtId="0" fontId="35" fillId="0" borderId="146" applyNumberFormat="0" applyFill="0" applyAlignment="0" applyProtection="0"/>
    <xf numFmtId="4" fontId="35" fillId="0" borderId="146" applyFill="0" applyBorder="0" applyProtection="0">
      <alignment horizontal="right" vertical="center"/>
    </xf>
    <xf numFmtId="4" fontId="33" fillId="32" borderId="146">
      <alignment horizontal="right" vertical="center"/>
    </xf>
    <xf numFmtId="0" fontId="51" fillId="0" borderId="144" applyNumberFormat="0" applyFill="0" applyAlignment="0" applyProtection="0"/>
    <xf numFmtId="49" fontId="34" fillId="0" borderId="146" applyNumberFormat="0" applyFill="0" applyBorder="0" applyProtection="0">
      <alignment horizontal="left" vertical="center"/>
    </xf>
    <xf numFmtId="49" fontId="35" fillId="0" borderId="147" applyNumberFormat="0" applyFont="0" applyFill="0" applyBorder="0" applyProtection="0">
      <alignment horizontal="left" vertical="center" indent="5"/>
    </xf>
    <xf numFmtId="0" fontId="35" fillId="32" borderId="147">
      <alignment horizontal="left" vertical="center"/>
    </xf>
    <xf numFmtId="0" fontId="47" fillId="56" borderId="143" applyNumberFormat="0" applyAlignment="0" applyProtection="0"/>
    <xf numFmtId="4" fontId="33" fillId="34" borderId="148">
      <alignment horizontal="right" vertical="center"/>
    </xf>
    <xf numFmtId="0" fontId="59" fillId="43" borderId="143" applyNumberFormat="0" applyAlignment="0" applyProtection="0"/>
    <xf numFmtId="0" fontId="59" fillId="43" borderId="143" applyNumberFormat="0" applyAlignment="0" applyProtection="0"/>
    <xf numFmtId="0" fontId="41" fillId="59" borderId="145" applyNumberFormat="0" applyFont="0" applyAlignment="0" applyProtection="0"/>
    <xf numFmtId="0" fontId="63" fillId="56" borderId="142" applyNumberFormat="0" applyAlignment="0" applyProtection="0"/>
    <xf numFmtId="0" fontId="66" fillId="0" borderId="144" applyNumberFormat="0" applyFill="0" applyAlignment="0" applyProtection="0"/>
    <xf numFmtId="0" fontId="33" fillId="34" borderId="146">
      <alignment horizontal="right" vertical="center"/>
    </xf>
    <xf numFmtId="0" fontId="5" fillId="59" borderId="145" applyNumberFormat="0" applyFont="0" applyAlignment="0" applyProtection="0"/>
    <xf numFmtId="4" fontId="35" fillId="0" borderId="146">
      <alignment horizontal="right" vertical="center"/>
    </xf>
    <xf numFmtId="0" fontId="66" fillId="0" borderId="144" applyNumberFormat="0" applyFill="0" applyAlignment="0" applyProtection="0"/>
    <xf numFmtId="0" fontId="33" fillId="34" borderId="146">
      <alignment horizontal="right" vertical="center"/>
    </xf>
    <xf numFmtId="0" fontId="33" fillId="34" borderId="146">
      <alignment horizontal="right" vertical="center"/>
    </xf>
    <xf numFmtId="4" fontId="37" fillId="32" borderId="146">
      <alignment horizontal="right" vertical="center"/>
    </xf>
    <xf numFmtId="0" fontId="33" fillId="32" borderId="146">
      <alignment horizontal="right" vertical="center"/>
    </xf>
    <xf numFmtId="4" fontId="33" fillId="32" borderId="146">
      <alignment horizontal="right" vertical="center"/>
    </xf>
    <xf numFmtId="0" fontId="37" fillId="32" borderId="146">
      <alignment horizontal="right" vertical="center"/>
    </xf>
    <xf numFmtId="4" fontId="37" fillId="32" borderId="146">
      <alignment horizontal="right" vertical="center"/>
    </xf>
    <xf numFmtId="0" fontId="33" fillId="34" borderId="146">
      <alignment horizontal="right" vertical="center"/>
    </xf>
    <xf numFmtId="4" fontId="33" fillId="34" borderId="146">
      <alignment horizontal="right" vertical="center"/>
    </xf>
    <xf numFmtId="0" fontId="33" fillId="34" borderId="146">
      <alignment horizontal="right" vertical="center"/>
    </xf>
    <xf numFmtId="4" fontId="33" fillId="34" borderId="146">
      <alignment horizontal="right" vertical="center"/>
    </xf>
    <xf numFmtId="0" fontId="33" fillId="34" borderId="147">
      <alignment horizontal="right" vertical="center"/>
    </xf>
    <xf numFmtId="4" fontId="33" fillId="34" borderId="147">
      <alignment horizontal="right" vertical="center"/>
    </xf>
    <xf numFmtId="0" fontId="33" fillId="34" borderId="148">
      <alignment horizontal="right" vertical="center"/>
    </xf>
    <xf numFmtId="4" fontId="33" fillId="34" borderId="148">
      <alignment horizontal="right" vertical="center"/>
    </xf>
    <xf numFmtId="0" fontId="47" fillId="56" borderId="143" applyNumberFormat="0" applyAlignment="0" applyProtection="0"/>
    <xf numFmtId="0" fontId="35" fillId="34" borderId="149">
      <alignment horizontal="left" vertical="center" wrapText="1" indent="2"/>
    </xf>
    <xf numFmtId="0" fontId="35" fillId="0" borderId="149">
      <alignment horizontal="left" vertical="center" wrapText="1" indent="2"/>
    </xf>
    <xf numFmtId="0" fontId="35" fillId="32" borderId="147">
      <alignment horizontal="left" vertical="center"/>
    </xf>
    <xf numFmtId="0" fontId="59" fillId="43" borderId="143" applyNumberFormat="0" applyAlignment="0" applyProtection="0"/>
    <xf numFmtId="0" fontId="35" fillId="0" borderId="146">
      <alignment horizontal="right" vertical="center"/>
    </xf>
    <xf numFmtId="4" fontId="35" fillId="0" borderId="146">
      <alignment horizontal="right" vertical="center"/>
    </xf>
    <xf numFmtId="0" fontId="35" fillId="0" borderId="146" applyNumberFormat="0" applyFill="0" applyAlignment="0" applyProtection="0"/>
    <xf numFmtId="0" fontId="63" fillId="56" borderId="142" applyNumberFormat="0" applyAlignment="0" applyProtection="0"/>
    <xf numFmtId="173" fontId="35" fillId="60" borderId="146" applyNumberFormat="0" applyFont="0" applyBorder="0" applyAlignment="0" applyProtection="0">
      <alignment horizontal="right" vertical="center"/>
    </xf>
    <xf numFmtId="0" fontId="35" fillId="33" borderId="146"/>
    <xf numFmtId="4" fontId="35" fillId="33" borderId="146"/>
    <xf numFmtId="0" fontId="66" fillId="0" borderId="144" applyNumberFormat="0" applyFill="0" applyAlignment="0" applyProtection="0"/>
    <xf numFmtId="0" fontId="5" fillId="59" borderId="145" applyNumberFormat="0" applyFont="0" applyAlignment="0" applyProtection="0"/>
    <xf numFmtId="0" fontId="41" fillId="59" borderId="145" applyNumberFormat="0" applyFont="0" applyAlignment="0" applyProtection="0"/>
    <xf numFmtId="0" fontId="35" fillId="0" borderId="146" applyNumberFormat="0" applyFill="0" applyAlignment="0" applyProtection="0"/>
    <xf numFmtId="0" fontId="51" fillId="0" borderId="144" applyNumberFormat="0" applyFill="0" applyAlignment="0" applyProtection="0"/>
    <xf numFmtId="0" fontId="66" fillId="0" borderId="144" applyNumberFormat="0" applyFill="0" applyAlignment="0" applyProtection="0"/>
    <xf numFmtId="0" fontId="50" fillId="43" borderId="143" applyNumberFormat="0" applyAlignment="0" applyProtection="0"/>
    <xf numFmtId="0" fontId="47" fillId="56" borderId="143" applyNumberFormat="0" applyAlignment="0" applyProtection="0"/>
    <xf numFmtId="4" fontId="37" fillId="32" borderId="146">
      <alignment horizontal="right" vertical="center"/>
    </xf>
    <xf numFmtId="0" fontId="33" fillId="32" borderId="146">
      <alignment horizontal="right" vertical="center"/>
    </xf>
    <xf numFmtId="173" fontId="35" fillId="60" borderId="146" applyNumberFormat="0" applyFont="0" applyBorder="0" applyAlignment="0" applyProtection="0">
      <alignment horizontal="right" vertical="center"/>
    </xf>
    <xf numFmtId="0" fontId="51" fillId="0" borderId="144" applyNumberFormat="0" applyFill="0" applyAlignment="0" applyProtection="0"/>
    <xf numFmtId="49" fontId="35" fillId="0" borderId="146" applyNumberFormat="0" applyFont="0" applyFill="0" applyBorder="0" applyProtection="0">
      <alignment horizontal="left" vertical="center" indent="2"/>
    </xf>
    <xf numFmtId="49" fontId="35" fillId="0" borderId="147" applyNumberFormat="0" applyFont="0" applyFill="0" applyBorder="0" applyProtection="0">
      <alignment horizontal="left" vertical="center" indent="5"/>
    </xf>
    <xf numFmtId="49" fontId="35" fillId="0" borderId="146" applyNumberFormat="0" applyFont="0" applyFill="0" applyBorder="0" applyProtection="0">
      <alignment horizontal="left" vertical="center" indent="2"/>
    </xf>
    <xf numFmtId="4" fontId="35" fillId="0" borderId="146" applyFill="0" applyBorder="0" applyProtection="0">
      <alignment horizontal="right" vertical="center"/>
    </xf>
    <xf numFmtId="49" fontId="34" fillId="0" borderId="146" applyNumberFormat="0" applyFill="0" applyBorder="0" applyProtection="0">
      <alignment horizontal="left" vertical="center"/>
    </xf>
    <xf numFmtId="0" fontId="35" fillId="0" borderId="149">
      <alignment horizontal="left" vertical="center" wrapText="1" indent="2"/>
    </xf>
    <xf numFmtId="0" fontId="63" fillId="56" borderId="142" applyNumberFormat="0" applyAlignment="0" applyProtection="0"/>
    <xf numFmtId="0" fontId="33" fillId="34" borderId="148">
      <alignment horizontal="right" vertical="center"/>
    </xf>
    <xf numFmtId="0" fontId="50" fillId="43" borderId="143" applyNumberFormat="0" applyAlignment="0" applyProtection="0"/>
    <xf numFmtId="0" fontId="33" fillId="34" borderId="148">
      <alignment horizontal="right" vertical="center"/>
    </xf>
    <xf numFmtId="4" fontId="33" fillId="34" borderId="146">
      <alignment horizontal="right" vertical="center"/>
    </xf>
    <xf numFmtId="0" fontId="33" fillId="34" borderId="146">
      <alignment horizontal="right" vertical="center"/>
    </xf>
    <xf numFmtId="0" fontId="44" fillId="56" borderId="142" applyNumberFormat="0" applyAlignment="0" applyProtection="0"/>
    <xf numFmtId="0" fontId="46" fillId="56" borderId="143" applyNumberFormat="0" applyAlignment="0" applyProtection="0"/>
    <xf numFmtId="0" fontId="51" fillId="0" borderId="144" applyNumberFormat="0" applyFill="0" applyAlignment="0" applyProtection="0"/>
    <xf numFmtId="0" fontId="35" fillId="33" borderId="146"/>
    <xf numFmtId="4" fontId="35" fillId="33" borderId="146"/>
    <xf numFmtId="4" fontId="33" fillId="34" borderId="146">
      <alignment horizontal="right" vertical="center"/>
    </xf>
    <xf numFmtId="0" fontId="37" fillId="32" borderId="146">
      <alignment horizontal="right" vertical="center"/>
    </xf>
    <xf numFmtId="0" fontId="50" fillId="43" borderId="143" applyNumberFormat="0" applyAlignment="0" applyProtection="0"/>
    <xf numFmtId="0" fontId="47" fillId="56" borderId="143" applyNumberFormat="0" applyAlignment="0" applyProtection="0"/>
    <xf numFmtId="4" fontId="35" fillId="0" borderId="146">
      <alignment horizontal="right" vertical="center"/>
    </xf>
    <xf numFmtId="0" fontId="35" fillId="34" borderId="149">
      <alignment horizontal="left" vertical="center" wrapText="1" indent="2"/>
    </xf>
    <xf numFmtId="0" fontId="35" fillId="0" borderId="149">
      <alignment horizontal="left" vertical="center" wrapText="1" indent="2"/>
    </xf>
    <xf numFmtId="0" fontId="63" fillId="56" borderId="142" applyNumberFormat="0" applyAlignment="0" applyProtection="0"/>
    <xf numFmtId="0" fontId="59" fillId="43" borderId="143" applyNumberFormat="0" applyAlignment="0" applyProtection="0"/>
    <xf numFmtId="0" fontId="46" fillId="56" borderId="143" applyNumberFormat="0" applyAlignment="0" applyProtection="0"/>
    <xf numFmtId="0" fontId="44" fillId="56" borderId="142" applyNumberFormat="0" applyAlignment="0" applyProtection="0"/>
    <xf numFmtId="0" fontId="33" fillId="34" borderId="148">
      <alignment horizontal="right" vertical="center"/>
    </xf>
    <xf numFmtId="0" fontId="37" fillId="32" borderId="146">
      <alignment horizontal="right" vertical="center"/>
    </xf>
    <xf numFmtId="4" fontId="33" fillId="32" borderId="146">
      <alignment horizontal="right" vertical="center"/>
    </xf>
    <xf numFmtId="4" fontId="33" fillId="34" borderId="146">
      <alignment horizontal="right" vertical="center"/>
    </xf>
    <xf numFmtId="49" fontId="35" fillId="0" borderId="147" applyNumberFormat="0" applyFont="0" applyFill="0" applyBorder="0" applyProtection="0">
      <alignment horizontal="left" vertical="center" indent="5"/>
    </xf>
    <xf numFmtId="4" fontId="35" fillId="0" borderId="146" applyFill="0" applyBorder="0" applyProtection="0">
      <alignment horizontal="right" vertical="center"/>
    </xf>
    <xf numFmtId="4" fontId="33" fillId="32" borderId="146">
      <alignment horizontal="right" vertical="center"/>
    </xf>
    <xf numFmtId="0" fontId="27" fillId="14" borderId="0" applyNumberFormat="0" applyBorder="0" applyAlignment="0" applyProtection="0"/>
    <xf numFmtId="0" fontId="59" fillId="43" borderId="143" applyNumberFormat="0" applyAlignment="0" applyProtection="0"/>
    <xf numFmtId="0" fontId="50" fillId="43" borderId="143" applyNumberFormat="0" applyAlignment="0" applyProtection="0"/>
    <xf numFmtId="0" fontId="46" fillId="56" borderId="143" applyNumberFormat="0" applyAlignment="0" applyProtection="0"/>
    <xf numFmtId="0" fontId="35" fillId="34" borderId="149">
      <alignment horizontal="left" vertical="center" wrapText="1" indent="2"/>
    </xf>
    <xf numFmtId="0" fontId="35" fillId="0" borderId="149">
      <alignment horizontal="left" vertical="center" wrapText="1" indent="2"/>
    </xf>
    <xf numFmtId="0" fontId="35" fillId="34" borderId="149">
      <alignment horizontal="left" vertical="center" wrapText="1" indent="2"/>
    </xf>
    <xf numFmtId="0" fontId="35" fillId="0" borderId="149">
      <alignment horizontal="left" vertical="center" wrapText="1" indent="2"/>
    </xf>
    <xf numFmtId="0" fontId="44" fillId="56" borderId="142" applyNumberFormat="0" applyAlignment="0" applyProtection="0"/>
    <xf numFmtId="0" fontId="46" fillId="56" borderId="143" applyNumberFormat="0" applyAlignment="0" applyProtection="0"/>
    <xf numFmtId="0" fontId="47" fillId="56" borderId="143" applyNumberFormat="0" applyAlignment="0" applyProtection="0"/>
    <xf numFmtId="0" fontId="50" fillId="43" borderId="143" applyNumberFormat="0" applyAlignment="0" applyProtection="0"/>
    <xf numFmtId="0" fontId="51" fillId="0" borderId="144" applyNumberFormat="0" applyFill="0" applyAlignment="0" applyProtection="0"/>
    <xf numFmtId="0" fontId="59" fillId="43" borderId="143" applyNumberFormat="0" applyAlignment="0" applyProtection="0"/>
    <xf numFmtId="0" fontId="41" fillId="59" borderId="145" applyNumberFormat="0" applyFont="0" applyAlignment="0" applyProtection="0"/>
    <xf numFmtId="0" fontId="5" fillId="59" borderId="145" applyNumberFormat="0" applyFont="0" applyAlignment="0" applyProtection="0"/>
    <xf numFmtId="0" fontId="63" fillId="56" borderId="142" applyNumberFormat="0" applyAlignment="0" applyProtection="0"/>
    <xf numFmtId="0" fontId="66" fillId="0" borderId="144" applyNumberFormat="0" applyFill="0" applyAlignment="0" applyProtection="0"/>
    <xf numFmtId="0" fontId="47" fillId="56" borderId="143" applyNumberFormat="0" applyAlignment="0" applyProtection="0"/>
    <xf numFmtId="0" fontId="59" fillId="43" borderId="143" applyNumberFormat="0" applyAlignment="0" applyProtection="0"/>
    <xf numFmtId="0" fontId="41" fillId="59" borderId="145" applyNumberFormat="0" applyFont="0" applyAlignment="0" applyProtection="0"/>
    <xf numFmtId="0" fontId="63" fillId="56" borderId="142" applyNumberFormat="0" applyAlignment="0" applyProtection="0"/>
    <xf numFmtId="0" fontId="66" fillId="0" borderId="144" applyNumberFormat="0" applyFill="0" applyAlignment="0" applyProtection="0"/>
    <xf numFmtId="0" fontId="41" fillId="59" borderId="168" applyNumberFormat="0" applyFont="0" applyAlignment="0" applyProtection="0"/>
    <xf numFmtId="0" fontId="35" fillId="0" borderId="154" applyNumberFormat="0" applyFill="0" applyAlignment="0" applyProtection="0"/>
    <xf numFmtId="4" fontId="33" fillId="34" borderId="156">
      <alignment horizontal="right" vertical="center"/>
    </xf>
    <xf numFmtId="0" fontId="33" fillId="34" borderId="154">
      <alignment horizontal="right" vertical="center"/>
    </xf>
    <xf numFmtId="0" fontId="47" fillId="56" borderId="143" applyNumberFormat="0" applyAlignment="0" applyProtection="0"/>
    <xf numFmtId="4" fontId="33" fillId="34" borderId="154">
      <alignment horizontal="right" vertical="center"/>
    </xf>
    <xf numFmtId="0" fontId="12" fillId="28" borderId="0" applyNumberFormat="0" applyBorder="0" applyAlignment="0" applyProtection="0"/>
    <xf numFmtId="0" fontId="66" fillId="0" borderId="167" applyNumberFormat="0" applyFill="0" applyAlignment="0" applyProtection="0"/>
    <xf numFmtId="0" fontId="59" fillId="43" borderId="143" applyNumberFormat="0" applyAlignment="0" applyProtection="0"/>
    <xf numFmtId="0" fontId="63" fillId="56" borderId="142" applyNumberFormat="0" applyAlignment="0" applyProtection="0"/>
    <xf numFmtId="0" fontId="66" fillId="0" borderId="144" applyNumberFormat="0" applyFill="0" applyAlignment="0" applyProtection="0"/>
    <xf numFmtId="4" fontId="33" fillId="34" borderId="164">
      <alignment horizontal="right" vertical="center"/>
    </xf>
    <xf numFmtId="0" fontId="44" fillId="56" borderId="142" applyNumberFormat="0" applyAlignment="0" applyProtection="0"/>
    <xf numFmtId="0" fontId="46" fillId="56" borderId="143" applyNumberFormat="0" applyAlignment="0" applyProtection="0"/>
    <xf numFmtId="0" fontId="51" fillId="0" borderId="144" applyNumberFormat="0" applyFill="0" applyAlignment="0" applyProtection="0"/>
    <xf numFmtId="49" fontId="35" fillId="0" borderId="146" applyNumberFormat="0" applyFont="0" applyFill="0" applyBorder="0" applyProtection="0">
      <alignment horizontal="left" vertical="center" indent="2"/>
    </xf>
    <xf numFmtId="0" fontId="33" fillId="32" borderId="146">
      <alignment horizontal="right" vertical="center"/>
    </xf>
    <xf numFmtId="4" fontId="33" fillId="32" borderId="146">
      <alignment horizontal="right" vertical="center"/>
    </xf>
    <xf numFmtId="0" fontId="37" fillId="32" borderId="146">
      <alignment horizontal="right" vertical="center"/>
    </xf>
    <xf numFmtId="4" fontId="37" fillId="32" borderId="146">
      <alignment horizontal="right" vertical="center"/>
    </xf>
    <xf numFmtId="0" fontId="33" fillId="34" borderId="146">
      <alignment horizontal="right" vertical="center"/>
    </xf>
    <xf numFmtId="4" fontId="33" fillId="34" borderId="146">
      <alignment horizontal="right" vertical="center"/>
    </xf>
    <xf numFmtId="0" fontId="33" fillId="34" borderId="146">
      <alignment horizontal="right" vertical="center"/>
    </xf>
    <xf numFmtId="4" fontId="33" fillId="34" borderId="146">
      <alignment horizontal="right" vertical="center"/>
    </xf>
    <xf numFmtId="0" fontId="50" fillId="43" borderId="143" applyNumberFormat="0" applyAlignment="0" applyProtection="0"/>
    <xf numFmtId="0" fontId="35" fillId="0" borderId="146">
      <alignment horizontal="right" vertical="center"/>
    </xf>
    <xf numFmtId="4" fontId="35" fillId="0" borderId="146">
      <alignment horizontal="right" vertical="center"/>
    </xf>
    <xf numFmtId="4" fontId="35" fillId="0" borderId="146" applyFill="0" applyBorder="0" applyProtection="0">
      <alignment horizontal="right" vertical="center"/>
    </xf>
    <xf numFmtId="49" fontId="34" fillId="0" borderId="146" applyNumberFormat="0" applyFill="0" applyBorder="0" applyProtection="0">
      <alignment horizontal="left" vertical="center"/>
    </xf>
    <xf numFmtId="0" fontId="35" fillId="0" borderId="146" applyNumberFormat="0" applyFill="0" applyAlignment="0" applyProtection="0"/>
    <xf numFmtId="173" fontId="35" fillId="60" borderId="146" applyNumberFormat="0" applyFont="0" applyBorder="0" applyAlignment="0" applyProtection="0">
      <alignment horizontal="right" vertical="center"/>
    </xf>
    <xf numFmtId="0" fontId="35" fillId="33" borderId="146"/>
    <xf numFmtId="4" fontId="35" fillId="33" borderId="146"/>
    <xf numFmtId="4" fontId="33" fillId="34" borderId="146">
      <alignment horizontal="right" vertical="center"/>
    </xf>
    <xf numFmtId="0" fontId="35" fillId="33" borderId="146"/>
    <xf numFmtId="0" fontId="46" fillId="56" borderId="143" applyNumberFormat="0" applyAlignment="0" applyProtection="0"/>
    <xf numFmtId="0" fontId="33" fillId="32" borderId="146">
      <alignment horizontal="right" vertical="center"/>
    </xf>
    <xf numFmtId="0" fontId="35" fillId="0" borderId="146">
      <alignment horizontal="right" vertical="center"/>
    </xf>
    <xf numFmtId="0" fontId="66" fillId="0" borderId="144" applyNumberFormat="0" applyFill="0" applyAlignment="0" applyProtection="0"/>
    <xf numFmtId="0" fontId="35" fillId="32" borderId="147">
      <alignment horizontal="left" vertical="center"/>
    </xf>
    <xf numFmtId="0" fontId="59" fillId="43" borderId="143" applyNumberFormat="0" applyAlignment="0" applyProtection="0"/>
    <xf numFmtId="173" fontId="35" fillId="60" borderId="146" applyNumberFormat="0" applyFont="0" applyBorder="0" applyAlignment="0" applyProtection="0">
      <alignment horizontal="right" vertical="center"/>
    </xf>
    <xf numFmtId="0" fontId="41" fillId="59" borderId="145" applyNumberFormat="0" applyFont="0" applyAlignment="0" applyProtection="0"/>
    <xf numFmtId="0" fontId="35" fillId="0" borderId="149">
      <alignment horizontal="left" vertical="center" wrapText="1" indent="2"/>
    </xf>
    <xf numFmtId="4" fontId="35" fillId="33" borderId="146"/>
    <xf numFmtId="49" fontId="34" fillId="0" borderId="146" applyNumberFormat="0" applyFill="0" applyBorder="0" applyProtection="0">
      <alignment horizontal="left" vertical="center"/>
    </xf>
    <xf numFmtId="0" fontId="35" fillId="0" borderId="146">
      <alignment horizontal="right" vertical="center"/>
    </xf>
    <xf numFmtId="4" fontId="33" fillId="34" borderId="148">
      <alignment horizontal="right" vertical="center"/>
    </xf>
    <xf numFmtId="4" fontId="33" fillId="34" borderId="146">
      <alignment horizontal="right" vertical="center"/>
    </xf>
    <xf numFmtId="4" fontId="33" fillId="34" borderId="146">
      <alignment horizontal="right" vertical="center"/>
    </xf>
    <xf numFmtId="0" fontId="37" fillId="32" borderId="146">
      <alignment horizontal="right" vertical="center"/>
    </xf>
    <xf numFmtId="0" fontId="33" fillId="32" borderId="146">
      <alignment horizontal="right" vertical="center"/>
    </xf>
    <xf numFmtId="49" fontId="35" fillId="0" borderId="146" applyNumberFormat="0" applyFont="0" applyFill="0" applyBorder="0" applyProtection="0">
      <alignment horizontal="left" vertical="center" indent="2"/>
    </xf>
    <xf numFmtId="0" fontId="59" fillId="43" borderId="143" applyNumberFormat="0" applyAlignment="0" applyProtection="0"/>
    <xf numFmtId="0" fontId="44" fillId="56" borderId="142" applyNumberFormat="0" applyAlignment="0" applyProtection="0"/>
    <xf numFmtId="49" fontId="35" fillId="0" borderId="146" applyNumberFormat="0" applyFont="0" applyFill="0" applyBorder="0" applyProtection="0">
      <alignment horizontal="left" vertical="center" indent="2"/>
    </xf>
    <xf numFmtId="0" fontId="50" fillId="43" borderId="143" applyNumberFormat="0" applyAlignment="0" applyProtection="0"/>
    <xf numFmtId="4" fontId="35" fillId="0" borderId="146" applyFill="0" applyBorder="0" applyProtection="0">
      <alignment horizontal="right" vertical="center"/>
    </xf>
    <xf numFmtId="0" fontId="47" fillId="56" borderId="143" applyNumberFormat="0" applyAlignment="0" applyProtection="0"/>
    <xf numFmtId="0" fontId="66" fillId="0" borderId="144" applyNumberFormat="0" applyFill="0" applyAlignment="0" applyProtection="0"/>
    <xf numFmtId="0" fontId="63" fillId="56" borderId="142" applyNumberFormat="0" applyAlignment="0" applyProtection="0"/>
    <xf numFmtId="0" fontId="35" fillId="0" borderId="146" applyNumberFormat="0" applyFill="0" applyAlignment="0" applyProtection="0"/>
    <xf numFmtId="4" fontId="35" fillId="0" borderId="146">
      <alignment horizontal="right" vertical="center"/>
    </xf>
    <xf numFmtId="0" fontId="35" fillId="0" borderId="146">
      <alignment horizontal="right" vertical="center"/>
    </xf>
    <xf numFmtId="0" fontId="59" fillId="43" borderId="143" applyNumberFormat="0" applyAlignment="0" applyProtection="0"/>
    <xf numFmtId="0" fontId="44" fillId="56" borderId="142" applyNumberFormat="0" applyAlignment="0" applyProtection="0"/>
    <xf numFmtId="0" fontId="46" fillId="56" borderId="143" applyNumberFormat="0" applyAlignment="0" applyProtection="0"/>
    <xf numFmtId="0" fontId="35" fillId="34" borderId="149">
      <alignment horizontal="left" vertical="center" wrapText="1" indent="2"/>
    </xf>
    <xf numFmtId="0" fontId="47" fillId="56" borderId="143" applyNumberFormat="0" applyAlignment="0" applyProtection="0"/>
    <xf numFmtId="0" fontId="47" fillId="56" borderId="143" applyNumberFormat="0" applyAlignment="0" applyProtection="0"/>
    <xf numFmtId="4" fontId="33" fillId="34" borderId="147">
      <alignment horizontal="right" vertical="center"/>
    </xf>
    <xf numFmtId="0" fontId="33" fillId="34" borderId="147">
      <alignment horizontal="right" vertical="center"/>
    </xf>
    <xf numFmtId="0" fontId="33" fillId="34" borderId="146">
      <alignment horizontal="right" vertical="center"/>
    </xf>
    <xf numFmtId="4" fontId="37" fillId="32" borderId="146">
      <alignment horizontal="right" vertical="center"/>
    </xf>
    <xf numFmtId="0" fontId="50" fillId="43" borderId="143" applyNumberFormat="0" applyAlignment="0" applyProtection="0"/>
    <xf numFmtId="0" fontId="51" fillId="0" borderId="144" applyNumberFormat="0" applyFill="0" applyAlignment="0" applyProtection="0"/>
    <xf numFmtId="0" fontId="66" fillId="0" borderId="144" applyNumberFormat="0" applyFill="0" applyAlignment="0" applyProtection="0"/>
    <xf numFmtId="0" fontId="41" fillId="59" borderId="145" applyNumberFormat="0" applyFont="0" applyAlignment="0" applyProtection="0"/>
    <xf numFmtId="0" fontId="59" fillId="43" borderId="143" applyNumberFormat="0" applyAlignment="0" applyProtection="0"/>
    <xf numFmtId="49" fontId="34" fillId="0" borderId="146" applyNumberFormat="0" applyFill="0" applyBorder="0" applyProtection="0">
      <alignment horizontal="left" vertical="center"/>
    </xf>
    <xf numFmtId="0" fontId="35" fillId="34" borderId="149">
      <alignment horizontal="left" vertical="center" wrapText="1" indent="2"/>
    </xf>
    <xf numFmtId="0" fontId="47" fillId="56" borderId="143" applyNumberFormat="0" applyAlignment="0" applyProtection="0"/>
    <xf numFmtId="0" fontId="35" fillId="0" borderId="149">
      <alignment horizontal="left" vertical="center" wrapText="1" indent="2"/>
    </xf>
    <xf numFmtId="0" fontId="41" fillId="59" borderId="145" applyNumberFormat="0" applyFont="0" applyAlignment="0" applyProtection="0"/>
    <xf numFmtId="0" fontId="5" fillId="59" borderId="145" applyNumberFormat="0" applyFont="0" applyAlignment="0" applyProtection="0"/>
    <xf numFmtId="0" fontId="63" fillId="56" borderId="142" applyNumberFormat="0" applyAlignment="0" applyProtection="0"/>
    <xf numFmtId="0" fontId="66" fillId="0" borderId="144" applyNumberFormat="0" applyFill="0" applyAlignment="0" applyProtection="0"/>
    <xf numFmtId="4" fontId="35" fillId="33" borderId="146"/>
    <xf numFmtId="0" fontId="33" fillId="34" borderId="146">
      <alignment horizontal="right" vertical="center"/>
    </xf>
    <xf numFmtId="0" fontId="66" fillId="0" borderId="144" applyNumberFormat="0" applyFill="0" applyAlignment="0" applyProtection="0"/>
    <xf numFmtId="4" fontId="33" fillId="34" borderId="148">
      <alignment horizontal="right" vertical="center"/>
    </xf>
    <xf numFmtId="0" fontId="46" fillId="56" borderId="143" applyNumberFormat="0" applyAlignment="0" applyProtection="0"/>
    <xf numFmtId="0" fontId="33" fillId="34" borderId="147">
      <alignment horizontal="right" vertical="center"/>
    </xf>
    <xf numFmtId="0" fontId="47" fillId="56" borderId="143" applyNumberFormat="0" applyAlignment="0" applyProtection="0"/>
    <xf numFmtId="0" fontId="51" fillId="0" borderId="144" applyNumberFormat="0" applyFill="0" applyAlignment="0" applyProtection="0"/>
    <xf numFmtId="0" fontId="41" fillId="59" borderId="145" applyNumberFormat="0" applyFont="0" applyAlignment="0" applyProtection="0"/>
    <xf numFmtId="4" fontId="33" fillId="34" borderId="147">
      <alignment horizontal="right" vertical="center"/>
    </xf>
    <xf numFmtId="0" fontId="35" fillId="34" borderId="149">
      <alignment horizontal="left" vertical="center" wrapText="1" indent="2"/>
    </xf>
    <xf numFmtId="0" fontId="35" fillId="33" borderId="146"/>
    <xf numFmtId="173" fontId="35" fillId="60" borderId="146" applyNumberFormat="0" applyFont="0" applyBorder="0" applyAlignment="0" applyProtection="0">
      <alignment horizontal="right" vertical="center"/>
    </xf>
    <xf numFmtId="0" fontId="35" fillId="0" borderId="146" applyNumberFormat="0" applyFill="0" applyAlignment="0" applyProtection="0"/>
    <xf numFmtId="4" fontId="35" fillId="0" borderId="146" applyFill="0" applyBorder="0" applyProtection="0">
      <alignment horizontal="right" vertical="center"/>
    </xf>
    <xf numFmtId="4" fontId="33" fillId="32" borderId="146">
      <alignment horizontal="right" vertical="center"/>
    </xf>
    <xf numFmtId="0" fontId="51" fillId="0" borderId="144" applyNumberFormat="0" applyFill="0" applyAlignment="0" applyProtection="0"/>
    <xf numFmtId="49" fontId="34" fillId="0" borderId="146" applyNumberFormat="0" applyFill="0" applyBorder="0" applyProtection="0">
      <alignment horizontal="left" vertical="center"/>
    </xf>
    <xf numFmtId="49" fontId="35" fillId="0" borderId="147" applyNumberFormat="0" applyFont="0" applyFill="0" applyBorder="0" applyProtection="0">
      <alignment horizontal="left" vertical="center" indent="5"/>
    </xf>
    <xf numFmtId="0" fontId="35" fillId="32" borderId="147">
      <alignment horizontal="left" vertical="center"/>
    </xf>
    <xf numFmtId="0" fontId="47" fillId="56" borderId="143" applyNumberFormat="0" applyAlignment="0" applyProtection="0"/>
    <xf numFmtId="4" fontId="33" fillId="34" borderId="148">
      <alignment horizontal="right" vertical="center"/>
    </xf>
    <xf numFmtId="0" fontId="59" fillId="43" borderId="143" applyNumberFormat="0" applyAlignment="0" applyProtection="0"/>
    <xf numFmtId="0" fontId="59" fillId="43" borderId="143" applyNumberFormat="0" applyAlignment="0" applyProtection="0"/>
    <xf numFmtId="0" fontId="41" fillId="59" borderId="145" applyNumberFormat="0" applyFont="0" applyAlignment="0" applyProtection="0"/>
    <xf numFmtId="0" fontId="63" fillId="56" borderId="142" applyNumberFormat="0" applyAlignment="0" applyProtection="0"/>
    <xf numFmtId="0" fontId="66" fillId="0" borderId="144" applyNumberFormat="0" applyFill="0" applyAlignment="0" applyProtection="0"/>
    <xf numFmtId="0" fontId="33" fillId="34" borderId="146">
      <alignment horizontal="right" vertical="center"/>
    </xf>
    <xf numFmtId="0" fontId="5" fillId="59" borderId="145" applyNumberFormat="0" applyFont="0" applyAlignment="0" applyProtection="0"/>
    <xf numFmtId="4" fontId="35" fillId="0" borderId="146">
      <alignment horizontal="right" vertical="center"/>
    </xf>
    <xf numFmtId="0" fontId="66" fillId="0" borderId="144" applyNumberFormat="0" applyFill="0" applyAlignment="0" applyProtection="0"/>
    <xf numFmtId="0" fontId="33" fillId="34" borderId="146">
      <alignment horizontal="right" vertical="center"/>
    </xf>
    <xf numFmtId="0" fontId="33" fillId="34" borderId="146">
      <alignment horizontal="right" vertical="center"/>
    </xf>
    <xf numFmtId="4" fontId="37" fillId="32" borderId="146">
      <alignment horizontal="right" vertical="center"/>
    </xf>
    <xf numFmtId="0" fontId="33" fillId="32" borderId="146">
      <alignment horizontal="right" vertical="center"/>
    </xf>
    <xf numFmtId="4" fontId="33" fillId="32" borderId="146">
      <alignment horizontal="right" vertical="center"/>
    </xf>
    <xf numFmtId="0" fontId="37" fillId="32" borderId="146">
      <alignment horizontal="right" vertical="center"/>
    </xf>
    <xf numFmtId="4" fontId="37" fillId="32" borderId="146">
      <alignment horizontal="right" vertical="center"/>
    </xf>
    <xf numFmtId="0" fontId="33" fillId="34" borderId="146">
      <alignment horizontal="right" vertical="center"/>
    </xf>
    <xf numFmtId="4" fontId="33" fillId="34" borderId="146">
      <alignment horizontal="right" vertical="center"/>
    </xf>
    <xf numFmtId="0" fontId="33" fillId="34" borderId="146">
      <alignment horizontal="right" vertical="center"/>
    </xf>
    <xf numFmtId="4" fontId="33" fillId="34" borderId="146">
      <alignment horizontal="right" vertical="center"/>
    </xf>
    <xf numFmtId="0" fontId="33" fillId="34" borderId="147">
      <alignment horizontal="right" vertical="center"/>
    </xf>
    <xf numFmtId="4" fontId="33" fillId="34" borderId="147">
      <alignment horizontal="right" vertical="center"/>
    </xf>
    <xf numFmtId="0" fontId="33" fillId="34" borderId="148">
      <alignment horizontal="right" vertical="center"/>
    </xf>
    <xf numFmtId="4" fontId="33" fillId="34" borderId="148">
      <alignment horizontal="right" vertical="center"/>
    </xf>
    <xf numFmtId="0" fontId="47" fillId="56" borderId="143" applyNumberFormat="0" applyAlignment="0" applyProtection="0"/>
    <xf numFmtId="0" fontId="35" fillId="34" borderId="149">
      <alignment horizontal="left" vertical="center" wrapText="1" indent="2"/>
    </xf>
    <xf numFmtId="0" fontId="35" fillId="0" borderId="149">
      <alignment horizontal="left" vertical="center" wrapText="1" indent="2"/>
    </xf>
    <xf numFmtId="0" fontId="35" fillId="32" borderId="147">
      <alignment horizontal="left" vertical="center"/>
    </xf>
    <xf numFmtId="0" fontId="59" fillId="43" borderId="143" applyNumberFormat="0" applyAlignment="0" applyProtection="0"/>
    <xf numFmtId="0" fontId="35" fillId="0" borderId="146">
      <alignment horizontal="right" vertical="center"/>
    </xf>
    <xf numFmtId="4" fontId="35" fillId="0" borderId="146">
      <alignment horizontal="right" vertical="center"/>
    </xf>
    <xf numFmtId="0" fontId="35" fillId="0" borderId="146" applyNumberFormat="0" applyFill="0" applyAlignment="0" applyProtection="0"/>
    <xf numFmtId="0" fontId="63" fillId="56" borderId="142" applyNumberFormat="0" applyAlignment="0" applyProtection="0"/>
    <xf numFmtId="173" fontId="35" fillId="60" borderId="146" applyNumberFormat="0" applyFont="0" applyBorder="0" applyAlignment="0" applyProtection="0">
      <alignment horizontal="right" vertical="center"/>
    </xf>
    <xf numFmtId="0" fontId="35" fillId="33" borderId="146"/>
    <xf numFmtId="4" fontId="35" fillId="33" borderId="146"/>
    <xf numFmtId="0" fontId="66" fillId="0" borderId="144" applyNumberFormat="0" applyFill="0" applyAlignment="0" applyProtection="0"/>
    <xf numFmtId="0" fontId="5" fillId="59" borderId="145" applyNumberFormat="0" applyFont="0" applyAlignment="0" applyProtection="0"/>
    <xf numFmtId="0" fontId="41" fillId="59" borderId="145" applyNumberFormat="0" applyFont="0" applyAlignment="0" applyProtection="0"/>
    <xf numFmtId="0" fontId="35" fillId="0" borderId="146" applyNumberFormat="0" applyFill="0" applyAlignment="0" applyProtection="0"/>
    <xf numFmtId="0" fontId="51" fillId="0" borderId="144" applyNumberFormat="0" applyFill="0" applyAlignment="0" applyProtection="0"/>
    <xf numFmtId="0" fontId="66" fillId="0" borderId="144" applyNumberFormat="0" applyFill="0" applyAlignment="0" applyProtection="0"/>
    <xf numFmtId="0" fontId="50" fillId="43" borderId="143" applyNumberFormat="0" applyAlignment="0" applyProtection="0"/>
    <xf numFmtId="0" fontId="47" fillId="56" borderId="143" applyNumberFormat="0" applyAlignment="0" applyProtection="0"/>
    <xf numFmtId="4" fontId="37" fillId="32" borderId="146">
      <alignment horizontal="right" vertical="center"/>
    </xf>
    <xf numFmtId="0" fontId="33" fillId="32" borderId="146">
      <alignment horizontal="right" vertical="center"/>
    </xf>
    <xf numFmtId="173" fontId="35" fillId="60" borderId="146" applyNumberFormat="0" applyFont="0" applyBorder="0" applyAlignment="0" applyProtection="0">
      <alignment horizontal="right" vertical="center"/>
    </xf>
    <xf numFmtId="0" fontId="51" fillId="0" borderId="144" applyNumberFormat="0" applyFill="0" applyAlignment="0" applyProtection="0"/>
    <xf numFmtId="49" fontId="35" fillId="0" borderId="146" applyNumberFormat="0" applyFont="0" applyFill="0" applyBorder="0" applyProtection="0">
      <alignment horizontal="left" vertical="center" indent="2"/>
    </xf>
    <xf numFmtId="49" fontId="35" fillId="0" borderId="147" applyNumberFormat="0" applyFont="0" applyFill="0" applyBorder="0" applyProtection="0">
      <alignment horizontal="left" vertical="center" indent="5"/>
    </xf>
    <xf numFmtId="49" fontId="35" fillId="0" borderId="146" applyNumberFormat="0" applyFont="0" applyFill="0" applyBorder="0" applyProtection="0">
      <alignment horizontal="left" vertical="center" indent="2"/>
    </xf>
    <xf numFmtId="4" fontId="35" fillId="0" borderId="146" applyFill="0" applyBorder="0" applyProtection="0">
      <alignment horizontal="right" vertical="center"/>
    </xf>
    <xf numFmtId="49" fontId="34" fillId="0" borderId="146" applyNumberFormat="0" applyFill="0" applyBorder="0" applyProtection="0">
      <alignment horizontal="left" vertical="center"/>
    </xf>
    <xf numFmtId="0" fontId="35" fillId="0" borderId="149">
      <alignment horizontal="left" vertical="center" wrapText="1" indent="2"/>
    </xf>
    <xf numFmtId="0" fontId="63" fillId="56" borderId="142" applyNumberFormat="0" applyAlignment="0" applyProtection="0"/>
    <xf numFmtId="0" fontId="33" fillId="34" borderId="148">
      <alignment horizontal="right" vertical="center"/>
    </xf>
    <xf numFmtId="0" fontId="50" fillId="43" borderId="143" applyNumberFormat="0" applyAlignment="0" applyProtection="0"/>
    <xf numFmtId="0" fontId="33" fillId="34" borderId="148">
      <alignment horizontal="right" vertical="center"/>
    </xf>
    <xf numFmtId="4" fontId="33" fillId="34" borderId="146">
      <alignment horizontal="right" vertical="center"/>
    </xf>
    <xf numFmtId="0" fontId="33" fillId="34" borderId="146">
      <alignment horizontal="right" vertical="center"/>
    </xf>
    <xf numFmtId="0" fontId="44" fillId="56" borderId="142" applyNumberFormat="0" applyAlignment="0" applyProtection="0"/>
    <xf numFmtId="0" fontId="46" fillId="56" borderId="143" applyNumberFormat="0" applyAlignment="0" applyProtection="0"/>
    <xf numFmtId="0" fontId="51" fillId="0" borderId="144" applyNumberFormat="0" applyFill="0" applyAlignment="0" applyProtection="0"/>
    <xf numFmtId="0" fontId="35" fillId="33" borderId="146"/>
    <xf numFmtId="4" fontId="35" fillId="33" borderId="146"/>
    <xf numFmtId="4" fontId="33" fillId="34" borderId="146">
      <alignment horizontal="right" vertical="center"/>
    </xf>
    <xf numFmtId="0" fontId="37" fillId="32" borderId="146">
      <alignment horizontal="right" vertical="center"/>
    </xf>
    <xf numFmtId="0" fontId="50" fillId="43" borderId="143" applyNumberFormat="0" applyAlignment="0" applyProtection="0"/>
    <xf numFmtId="0" fontId="47" fillId="56" borderId="143" applyNumberFormat="0" applyAlignment="0" applyProtection="0"/>
    <xf numFmtId="4" fontId="35" fillId="0" borderId="146">
      <alignment horizontal="right" vertical="center"/>
    </xf>
    <xf numFmtId="0" fontId="35" fillId="34" borderId="149">
      <alignment horizontal="left" vertical="center" wrapText="1" indent="2"/>
    </xf>
    <xf numFmtId="0" fontId="35" fillId="0" borderId="149">
      <alignment horizontal="left" vertical="center" wrapText="1" indent="2"/>
    </xf>
    <xf numFmtId="0" fontId="63" fillId="56" borderId="142" applyNumberFormat="0" applyAlignment="0" applyProtection="0"/>
    <xf numFmtId="0" fontId="59" fillId="43" borderId="143" applyNumberFormat="0" applyAlignment="0" applyProtection="0"/>
    <xf numFmtId="0" fontId="46" fillId="56" borderId="143" applyNumberFormat="0" applyAlignment="0" applyProtection="0"/>
    <xf numFmtId="0" fontId="44" fillId="56" borderId="142" applyNumberFormat="0" applyAlignment="0" applyProtection="0"/>
    <xf numFmtId="0" fontId="33" fillId="34" borderId="148">
      <alignment horizontal="right" vertical="center"/>
    </xf>
    <xf numFmtId="0" fontId="37" fillId="32" borderId="146">
      <alignment horizontal="right" vertical="center"/>
    </xf>
    <xf numFmtId="4" fontId="33" fillId="32" borderId="146">
      <alignment horizontal="right" vertical="center"/>
    </xf>
    <xf numFmtId="4" fontId="33" fillId="34" borderId="146">
      <alignment horizontal="right" vertical="center"/>
    </xf>
    <xf numFmtId="49" fontId="35" fillId="0" borderId="147" applyNumberFormat="0" applyFont="0" applyFill="0" applyBorder="0" applyProtection="0">
      <alignment horizontal="left" vertical="center" indent="5"/>
    </xf>
    <xf numFmtId="4" fontId="35" fillId="0" borderId="146" applyFill="0" applyBorder="0" applyProtection="0">
      <alignment horizontal="right" vertical="center"/>
    </xf>
    <xf numFmtId="4" fontId="33" fillId="32" borderId="146">
      <alignment horizontal="right" vertical="center"/>
    </xf>
    <xf numFmtId="0" fontId="59" fillId="43" borderId="143" applyNumberFormat="0" applyAlignment="0" applyProtection="0"/>
    <xf numFmtId="0" fontId="50" fillId="43" borderId="143" applyNumberFormat="0" applyAlignment="0" applyProtection="0"/>
    <xf numFmtId="0" fontId="46" fillId="56" borderId="143" applyNumberFormat="0" applyAlignment="0" applyProtection="0"/>
    <xf numFmtId="0" fontId="35" fillId="34" borderId="149">
      <alignment horizontal="left" vertical="center" wrapText="1" indent="2"/>
    </xf>
    <xf numFmtId="0" fontId="35" fillId="0" borderId="149">
      <alignment horizontal="left" vertical="center" wrapText="1" indent="2"/>
    </xf>
    <xf numFmtId="0" fontId="35" fillId="34" borderId="149">
      <alignment horizontal="left" vertical="center" wrapText="1" indent="2"/>
    </xf>
    <xf numFmtId="0" fontId="35" fillId="0" borderId="149">
      <alignment horizontal="left" vertical="center" wrapText="1" indent="2"/>
    </xf>
    <xf numFmtId="0" fontId="27" fillId="23" borderId="0" applyNumberFormat="0" applyBorder="0" applyAlignment="0" applyProtection="0"/>
    <xf numFmtId="0" fontId="27" fillId="15" borderId="0" applyNumberFormat="0" applyBorder="0" applyAlignment="0" applyProtection="0"/>
    <xf numFmtId="0" fontId="27" fillId="26" borderId="0" applyNumberFormat="0" applyBorder="0" applyAlignment="0" applyProtection="0"/>
    <xf numFmtId="0" fontId="27" fillId="29" borderId="0" applyNumberFormat="0" applyBorder="0" applyAlignment="0" applyProtection="0"/>
    <xf numFmtId="0" fontId="35" fillId="33" borderId="162"/>
    <xf numFmtId="0" fontId="29" fillId="13" borderId="14" applyNumberFormat="0" applyAlignment="0" applyProtection="0"/>
    <xf numFmtId="0" fontId="35" fillId="32" borderId="155">
      <alignment horizontal="left" vertical="center"/>
    </xf>
    <xf numFmtId="0" fontId="35" fillId="0" borderId="165">
      <alignment horizontal="left" vertical="center" wrapText="1" indent="2"/>
    </xf>
    <xf numFmtId="0" fontId="41" fillId="59" borderId="153" applyNumberFormat="0" applyFont="0" applyAlignment="0" applyProtection="0"/>
    <xf numFmtId="0" fontId="41" fillId="59" borderId="161" applyNumberFormat="0" applyFont="0" applyAlignment="0" applyProtection="0"/>
    <xf numFmtId="0" fontId="27" fillId="29" borderId="0" applyNumberFormat="0" applyBorder="0" applyAlignment="0" applyProtection="0"/>
    <xf numFmtId="0" fontId="27" fillId="14" borderId="0" applyNumberFormat="0" applyBorder="0" applyAlignment="0" applyProtection="0"/>
    <xf numFmtId="0" fontId="27" fillId="14" borderId="0" applyNumberFormat="0" applyBorder="0" applyAlignment="0" applyProtection="0"/>
    <xf numFmtId="4" fontId="35" fillId="33" borderId="162"/>
    <xf numFmtId="49" fontId="35" fillId="0" borderId="163" applyNumberFormat="0" applyFont="0" applyFill="0" applyBorder="0" applyProtection="0">
      <alignment horizontal="left" vertical="center" indent="5"/>
    </xf>
    <xf numFmtId="0" fontId="27" fillId="26" borderId="0" applyNumberFormat="0" applyBorder="0" applyAlignment="0" applyProtection="0"/>
    <xf numFmtId="0" fontId="27" fillId="17" borderId="0" applyNumberFormat="0" applyBorder="0" applyAlignment="0" applyProtection="0"/>
    <xf numFmtId="0" fontId="27" fillId="30" borderId="0" applyNumberFormat="0" applyBorder="0" applyAlignment="0" applyProtection="0"/>
    <xf numFmtId="0" fontId="27" fillId="29" borderId="0" applyNumberFormat="0" applyBorder="0" applyAlignment="0" applyProtection="0"/>
    <xf numFmtId="0" fontId="27" fillId="30" borderId="0" applyNumberFormat="0" applyBorder="0" applyAlignment="0" applyProtection="0"/>
    <xf numFmtId="0" fontId="63" fillId="56" borderId="158" applyNumberFormat="0" applyAlignment="0" applyProtection="0"/>
    <xf numFmtId="0" fontId="35" fillId="34" borderId="157">
      <alignment horizontal="left" vertical="center" wrapText="1" indent="2"/>
    </xf>
    <xf numFmtId="0" fontId="63" fillId="56" borderId="150" applyNumberFormat="0" applyAlignment="0" applyProtection="0"/>
    <xf numFmtId="4" fontId="35" fillId="33" borderId="154"/>
    <xf numFmtId="0" fontId="66" fillId="0" borderId="152" applyNumberFormat="0" applyFill="0" applyAlignment="0" applyProtection="0"/>
    <xf numFmtId="173" fontId="35" fillId="60" borderId="154" applyNumberFormat="0" applyFont="0" applyBorder="0" applyAlignment="0" applyProtection="0">
      <alignment horizontal="right" vertical="center"/>
    </xf>
    <xf numFmtId="0" fontId="35" fillId="0" borderId="154">
      <alignment horizontal="right" vertical="center"/>
    </xf>
    <xf numFmtId="4" fontId="35" fillId="0" borderId="154">
      <alignment horizontal="right" vertical="center"/>
    </xf>
    <xf numFmtId="0" fontId="12" fillId="28" borderId="0" applyNumberFormat="0" applyBorder="0" applyAlignment="0" applyProtection="0"/>
    <xf numFmtId="0" fontId="35" fillId="0" borderId="157">
      <alignment horizontal="left" vertical="center" wrapText="1" indent="2"/>
    </xf>
    <xf numFmtId="4" fontId="33" fillId="34" borderId="154">
      <alignment horizontal="right" vertical="center"/>
    </xf>
    <xf numFmtId="0" fontId="33" fillId="34" borderId="155">
      <alignment horizontal="right" vertical="center"/>
    </xf>
    <xf numFmtId="4" fontId="33" fillId="34" borderId="155">
      <alignment horizontal="right" vertical="center"/>
    </xf>
    <xf numFmtId="0" fontId="33" fillId="34" borderId="154">
      <alignment horizontal="right" vertical="center"/>
    </xf>
    <xf numFmtId="4" fontId="33" fillId="32" borderId="154">
      <alignment horizontal="right" vertical="center"/>
    </xf>
    <xf numFmtId="0" fontId="37" fillId="32" borderId="154">
      <alignment horizontal="right" vertical="center"/>
    </xf>
    <xf numFmtId="0" fontId="66" fillId="0" borderId="167" applyNumberFormat="0" applyFill="0" applyAlignment="0" applyProtection="0"/>
    <xf numFmtId="0" fontId="12" fillId="22" borderId="0" applyNumberFormat="0" applyBorder="0" applyAlignment="0" applyProtection="0"/>
    <xf numFmtId="0" fontId="27" fillId="27" borderId="0" applyNumberFormat="0" applyBorder="0" applyAlignment="0" applyProtection="0"/>
    <xf numFmtId="0" fontId="12" fillId="28" borderId="0" applyNumberFormat="0" applyBorder="0" applyAlignment="0" applyProtection="0"/>
    <xf numFmtId="0" fontId="35" fillId="0" borderId="165">
      <alignment horizontal="left" vertical="center" wrapText="1" indent="2"/>
    </xf>
    <xf numFmtId="0" fontId="12" fillId="16" borderId="0" applyNumberFormat="0" applyBorder="0" applyAlignment="0" applyProtection="0"/>
    <xf numFmtId="0" fontId="41" fillId="59" borderId="161" applyNumberFormat="0" applyFont="0" applyAlignment="0" applyProtection="0"/>
    <xf numFmtId="0" fontId="66" fillId="0" borderId="152" applyNumberFormat="0" applyFill="0" applyAlignment="0" applyProtection="0"/>
    <xf numFmtId="0" fontId="27" fillId="15" borderId="0" applyNumberFormat="0" applyBorder="0" applyAlignment="0" applyProtection="0"/>
    <xf numFmtId="0" fontId="63" fillId="56" borderId="150" applyNumberFormat="0" applyAlignment="0" applyProtection="0"/>
    <xf numFmtId="0" fontId="27" fillId="17" borderId="0" applyNumberFormat="0" applyBorder="0" applyAlignment="0" applyProtection="0"/>
    <xf numFmtId="0" fontId="2" fillId="0" borderId="15" applyNumberFormat="0" applyFill="0" applyAlignment="0" applyProtection="0"/>
    <xf numFmtId="0" fontId="30" fillId="13" borderId="13" applyNumberFormat="0" applyAlignment="0" applyProtection="0"/>
    <xf numFmtId="0" fontId="63" fillId="56" borderId="158" applyNumberFormat="0" applyAlignment="0" applyProtection="0"/>
    <xf numFmtId="0" fontId="12" fillId="31" borderId="0" applyNumberFormat="0" applyBorder="0" applyAlignment="0" applyProtection="0"/>
    <xf numFmtId="0" fontId="12" fillId="31" borderId="0" applyNumberFormat="0" applyBorder="0" applyAlignment="0" applyProtection="0"/>
    <xf numFmtId="0" fontId="31" fillId="0" borderId="0" applyNumberFormat="0" applyFill="0" applyBorder="0" applyAlignment="0" applyProtection="0"/>
    <xf numFmtId="0" fontId="27" fillId="15" borderId="0" applyNumberFormat="0" applyBorder="0" applyAlignment="0" applyProtection="0"/>
    <xf numFmtId="4" fontId="37" fillId="32" borderId="169">
      <alignment horizontal="right" vertical="center"/>
    </xf>
    <xf numFmtId="0" fontId="1" fillId="0" borderId="0" applyNumberFormat="0" applyFill="0" applyBorder="0" applyAlignment="0" applyProtection="0"/>
    <xf numFmtId="0" fontId="35" fillId="0" borderId="165">
      <alignment horizontal="left" vertical="center" wrapText="1" indent="2"/>
    </xf>
    <xf numFmtId="4" fontId="33" fillId="34" borderId="163">
      <alignment horizontal="right" vertical="center"/>
    </xf>
    <xf numFmtId="0" fontId="27" fillId="24" borderId="0" applyNumberFormat="0" applyBorder="0" applyAlignment="0" applyProtection="0"/>
    <xf numFmtId="0" fontId="27" fillId="15" borderId="0" applyNumberFormat="0" applyBorder="0" applyAlignment="0" applyProtection="0"/>
    <xf numFmtId="0" fontId="33" fillId="34" borderId="163">
      <alignment horizontal="right" vertical="center"/>
    </xf>
    <xf numFmtId="0" fontId="35" fillId="34" borderId="165">
      <alignment horizontal="left" vertical="center" wrapText="1" indent="2"/>
    </xf>
    <xf numFmtId="0" fontId="27" fillId="26" borderId="0" applyNumberFormat="0" applyBorder="0" applyAlignment="0" applyProtection="0"/>
    <xf numFmtId="0" fontId="44" fillId="56" borderId="158" applyNumberFormat="0" applyAlignment="0" applyProtection="0"/>
    <xf numFmtId="0" fontId="47" fillId="56" borderId="159" applyNumberFormat="0" applyAlignment="0" applyProtection="0"/>
    <xf numFmtId="0" fontId="47" fillId="56" borderId="166" applyNumberFormat="0" applyAlignment="0" applyProtection="0"/>
    <xf numFmtId="0" fontId="50" fillId="43" borderId="159" applyNumberFormat="0" applyAlignment="0" applyProtection="0"/>
    <xf numFmtId="0" fontId="27" fillId="27" borderId="0" applyNumberFormat="0" applyBorder="0" applyAlignment="0" applyProtection="0"/>
    <xf numFmtId="0" fontId="31" fillId="0" borderId="0" applyNumberFormat="0" applyFill="0" applyBorder="0" applyAlignment="0" applyProtection="0"/>
    <xf numFmtId="0" fontId="12" fillId="16" borderId="0" applyNumberFormat="0" applyBorder="0" applyAlignment="0" applyProtection="0"/>
    <xf numFmtId="0" fontId="66" fillId="0" borderId="152" applyNumberFormat="0" applyFill="0" applyAlignment="0" applyProtection="0"/>
    <xf numFmtId="0" fontId="41" fillId="59" borderId="153" applyNumberFormat="0" applyFont="0" applyAlignment="0" applyProtection="0"/>
    <xf numFmtId="0" fontId="27" fillId="23" borderId="0" applyNumberFormat="0" applyBorder="0" applyAlignment="0" applyProtection="0"/>
    <xf numFmtId="0" fontId="5" fillId="59" borderId="153" applyNumberFormat="0" applyFont="0" applyAlignment="0" applyProtection="0"/>
    <xf numFmtId="49" fontId="35" fillId="0" borderId="162" applyNumberFormat="0" applyFont="0" applyFill="0" applyBorder="0" applyProtection="0">
      <alignment horizontal="left" vertical="center" indent="2"/>
    </xf>
    <xf numFmtId="0" fontId="37" fillId="32" borderId="169">
      <alignment horizontal="right" vertical="center"/>
    </xf>
    <xf numFmtId="0" fontId="12" fillId="16" borderId="0" applyNumberFormat="0" applyBorder="0" applyAlignment="0" applyProtection="0"/>
    <xf numFmtId="0" fontId="27" fillId="18" borderId="0" applyNumberFormat="0" applyBorder="0" applyAlignment="0" applyProtection="0"/>
    <xf numFmtId="4" fontId="35" fillId="33" borderId="169"/>
    <xf numFmtId="4" fontId="33" fillId="32" borderId="169">
      <alignment horizontal="right" vertical="center"/>
    </xf>
    <xf numFmtId="0" fontId="12" fillId="16" borderId="0" applyNumberFormat="0" applyBorder="0" applyAlignment="0" applyProtection="0"/>
    <xf numFmtId="0" fontId="35" fillId="34" borderId="165">
      <alignment horizontal="left" vertical="center" wrapText="1" indent="2"/>
    </xf>
    <xf numFmtId="0" fontId="27" fillId="24" borderId="0" applyNumberFormat="0" applyBorder="0" applyAlignment="0" applyProtection="0"/>
    <xf numFmtId="0" fontId="59" fillId="43" borderId="151" applyNumberFormat="0" applyAlignment="0" applyProtection="0"/>
    <xf numFmtId="0" fontId="12" fillId="25" borderId="0" applyNumberFormat="0" applyBorder="0" applyAlignment="0" applyProtection="0"/>
    <xf numFmtId="0" fontId="35" fillId="34" borderId="157">
      <alignment horizontal="left" vertical="center" wrapText="1" indent="2"/>
    </xf>
    <xf numFmtId="4" fontId="37" fillId="32" borderId="154">
      <alignment horizontal="right" vertical="center"/>
    </xf>
    <xf numFmtId="173" fontId="35" fillId="60" borderId="169" applyNumberFormat="0" applyFont="0" applyBorder="0" applyAlignment="0" applyProtection="0">
      <alignment horizontal="right" vertical="center"/>
    </xf>
    <xf numFmtId="0" fontId="35" fillId="34" borderId="165">
      <alignment horizontal="left" vertical="center" wrapText="1" indent="2"/>
    </xf>
    <xf numFmtId="0" fontId="27" fillId="29" borderId="0" applyNumberFormat="0" applyBorder="0" applyAlignment="0" applyProtection="0"/>
    <xf numFmtId="0" fontId="1" fillId="0" borderId="0" applyNumberFormat="0" applyFill="0" applyBorder="0" applyAlignment="0" applyProtection="0"/>
    <xf numFmtId="0" fontId="27" fillId="21" borderId="0" applyNumberFormat="0" applyBorder="0" applyAlignment="0" applyProtection="0"/>
    <xf numFmtId="0" fontId="47" fillId="56" borderId="166" applyNumberFormat="0" applyAlignment="0" applyProtection="0"/>
    <xf numFmtId="0" fontId="27" fillId="20" borderId="0" applyNumberFormat="0" applyBorder="0" applyAlignment="0" applyProtection="0"/>
    <xf numFmtId="0" fontId="2" fillId="0" borderId="15" applyNumberFormat="0" applyFill="0" applyAlignment="0" applyProtection="0"/>
    <xf numFmtId="0" fontId="27" fillId="27" borderId="0" applyNumberFormat="0" applyBorder="0" applyAlignment="0" applyProtection="0"/>
    <xf numFmtId="4" fontId="37" fillId="32" borderId="154">
      <alignment horizontal="right" vertical="center"/>
    </xf>
    <xf numFmtId="4" fontId="33" fillId="32" borderId="154">
      <alignment horizontal="right" vertical="center"/>
    </xf>
    <xf numFmtId="0" fontId="35" fillId="0" borderId="157">
      <alignment horizontal="left" vertical="center" wrapText="1" indent="2"/>
    </xf>
    <xf numFmtId="0" fontId="63" fillId="56" borderId="150" applyNumberFormat="0" applyAlignment="0" applyProtection="0"/>
    <xf numFmtId="0" fontId="35" fillId="0" borderId="154">
      <alignment horizontal="right" vertical="center"/>
    </xf>
    <xf numFmtId="0" fontId="66" fillId="0" borderId="152" applyNumberFormat="0" applyFill="0" applyAlignment="0" applyProtection="0"/>
    <xf numFmtId="49" fontId="34" fillId="0" borderId="154" applyNumberFormat="0" applyFill="0" applyBorder="0" applyProtection="0">
      <alignment horizontal="left" vertical="center"/>
    </xf>
    <xf numFmtId="4" fontId="35" fillId="33" borderId="154"/>
    <xf numFmtId="0" fontId="59" fillId="43" borderId="151" applyNumberFormat="0" applyAlignment="0" applyProtection="0"/>
    <xf numFmtId="173" fontId="35" fillId="60" borderId="162" applyNumberFormat="0" applyFont="0" applyBorder="0" applyAlignment="0" applyProtection="0">
      <alignment horizontal="right" vertical="center"/>
    </xf>
    <xf numFmtId="0" fontId="47" fillId="56" borderId="166" applyNumberFormat="0" applyAlignment="0" applyProtection="0"/>
    <xf numFmtId="173" fontId="35" fillId="60" borderId="154" applyNumberFormat="0" applyFont="0" applyBorder="0" applyAlignment="0" applyProtection="0">
      <alignment horizontal="right" vertical="center"/>
    </xf>
    <xf numFmtId="0" fontId="66" fillId="0" borderId="167" applyNumberFormat="0" applyFill="0" applyAlignment="0" applyProtection="0"/>
    <xf numFmtId="0" fontId="47" fillId="56" borderId="151" applyNumberFormat="0" applyAlignment="0" applyProtection="0"/>
    <xf numFmtId="0" fontId="66" fillId="0" borderId="167" applyNumberFormat="0" applyFill="0" applyAlignment="0" applyProtection="0"/>
    <xf numFmtId="0" fontId="1" fillId="0" borderId="0" applyNumberFormat="0" applyFill="0" applyBorder="0" applyAlignment="0" applyProtection="0"/>
    <xf numFmtId="0" fontId="12" fillId="22" borderId="0" applyNumberFormat="0" applyBorder="0" applyAlignment="0" applyProtection="0"/>
    <xf numFmtId="0" fontId="35" fillId="0" borderId="165">
      <alignment horizontal="left" vertical="center" wrapText="1" indent="2"/>
    </xf>
    <xf numFmtId="0" fontId="59" fillId="43" borderId="151" applyNumberFormat="0" applyAlignment="0" applyProtection="0"/>
    <xf numFmtId="0" fontId="44" fillId="56" borderId="150" applyNumberFormat="0" applyAlignment="0" applyProtection="0"/>
    <xf numFmtId="0" fontId="51" fillId="0" borderId="167" applyNumberFormat="0" applyFill="0" applyAlignment="0" applyProtection="0"/>
    <xf numFmtId="49" fontId="34" fillId="0" borderId="154" applyNumberFormat="0" applyFill="0" applyBorder="0" applyProtection="0">
      <alignment horizontal="left" vertical="center"/>
    </xf>
    <xf numFmtId="0" fontId="66" fillId="0" borderId="152" applyNumberFormat="0" applyFill="0" applyAlignment="0" applyProtection="0"/>
    <xf numFmtId="0" fontId="35" fillId="0" borderId="154">
      <alignment horizontal="right" vertical="center"/>
    </xf>
    <xf numFmtId="0" fontId="33" fillId="34" borderId="155">
      <alignment horizontal="right" vertical="center"/>
    </xf>
    <xf numFmtId="0" fontId="66" fillId="0" borderId="152" applyNumberFormat="0" applyFill="0" applyAlignment="0" applyProtection="0"/>
    <xf numFmtId="4" fontId="35" fillId="33" borderId="169"/>
    <xf numFmtId="0" fontId="27" fillId="18" borderId="0" applyNumberFormat="0" applyBorder="0" applyAlignment="0" applyProtection="0"/>
    <xf numFmtId="0" fontId="27" fillId="18" borderId="0" applyNumberFormat="0" applyBorder="0" applyAlignment="0" applyProtection="0"/>
    <xf numFmtId="0" fontId="12" fillId="19" borderId="0" applyNumberFormat="0" applyBorder="0" applyAlignment="0" applyProtection="0"/>
    <xf numFmtId="0" fontId="66" fillId="0" borderId="160" applyNumberFormat="0" applyFill="0" applyAlignment="0" applyProtection="0"/>
    <xf numFmtId="0" fontId="27" fillId="20" borderId="0" applyNumberFormat="0" applyBorder="0" applyAlignment="0" applyProtection="0"/>
    <xf numFmtId="0" fontId="33" fillId="34" borderId="162">
      <alignment horizontal="right" vertical="center"/>
    </xf>
    <xf numFmtId="0" fontId="47" fillId="56" borderId="159" applyNumberFormat="0" applyAlignment="0" applyProtection="0"/>
    <xf numFmtId="4" fontId="35" fillId="0" borderId="154" applyFill="0" applyBorder="0" applyProtection="0">
      <alignment horizontal="right" vertical="center"/>
    </xf>
    <xf numFmtId="0" fontId="5" fillId="59" borderId="168" applyNumberFormat="0" applyFont="0" applyAlignment="0" applyProtection="0"/>
    <xf numFmtId="0" fontId="35" fillId="33" borderId="162"/>
    <xf numFmtId="0" fontId="31" fillId="0" borderId="0" applyNumberFormat="0" applyFill="0" applyBorder="0" applyAlignment="0" applyProtection="0"/>
    <xf numFmtId="0" fontId="27" fillId="20" borderId="0" applyNumberFormat="0" applyBorder="0" applyAlignment="0" applyProtection="0"/>
    <xf numFmtId="0" fontId="35" fillId="0" borderId="157">
      <alignment horizontal="left" vertical="center" wrapText="1" indent="2"/>
    </xf>
    <xf numFmtId="0" fontId="12" fillId="31" borderId="0" applyNumberFormat="0" applyBorder="0" applyAlignment="0" applyProtection="0"/>
    <xf numFmtId="0" fontId="66" fillId="0" borderId="152" applyNumberFormat="0" applyFill="0" applyAlignment="0" applyProtection="0"/>
    <xf numFmtId="0" fontId="44" fillId="56" borderId="150" applyNumberFormat="0" applyAlignment="0" applyProtection="0"/>
    <xf numFmtId="0" fontId="33" fillId="34" borderId="154">
      <alignment horizontal="right" vertical="center"/>
    </xf>
    <xf numFmtId="0" fontId="46" fillId="56" borderId="151" applyNumberFormat="0" applyAlignment="0" applyProtection="0"/>
    <xf numFmtId="4" fontId="35" fillId="0" borderId="162">
      <alignment horizontal="right" vertical="center"/>
    </xf>
    <xf numFmtId="0" fontId="27" fillId="17" borderId="0" applyNumberFormat="0" applyBorder="0" applyAlignment="0" applyProtection="0"/>
    <xf numFmtId="0" fontId="35" fillId="32" borderId="155">
      <alignment horizontal="left" vertical="center"/>
    </xf>
    <xf numFmtId="0" fontId="59" fillId="43" borderId="166" applyNumberFormat="0" applyAlignment="0" applyProtection="0"/>
    <xf numFmtId="4" fontId="33" fillId="34" borderId="163">
      <alignment horizontal="right" vertical="center"/>
    </xf>
    <xf numFmtId="0" fontId="1" fillId="0" borderId="0" applyNumberFormat="0" applyFill="0" applyBorder="0" applyAlignment="0" applyProtection="0"/>
    <xf numFmtId="0" fontId="27" fillId="26" borderId="0" applyNumberFormat="0" applyBorder="0" applyAlignment="0" applyProtection="0"/>
    <xf numFmtId="0" fontId="51" fillId="0" borderId="160" applyNumberFormat="0" applyFill="0" applyAlignment="0" applyProtection="0"/>
    <xf numFmtId="0" fontId="33" fillId="32" borderId="154">
      <alignment horizontal="right" vertical="center"/>
    </xf>
    <xf numFmtId="0" fontId="27" fillId="24" borderId="0" applyNumberFormat="0" applyBorder="0" applyAlignment="0" applyProtection="0"/>
    <xf numFmtId="0" fontId="5" fillId="59" borderId="161" applyNumberFormat="0" applyFont="0" applyAlignment="0" applyProtection="0"/>
    <xf numFmtId="0" fontId="51" fillId="0" borderId="152" applyNumberFormat="0" applyFill="0" applyAlignment="0" applyProtection="0"/>
    <xf numFmtId="0" fontId="51" fillId="0" borderId="160" applyNumberFormat="0" applyFill="0" applyAlignment="0" applyProtection="0"/>
    <xf numFmtId="0" fontId="35" fillId="0" borderId="154">
      <alignment horizontal="right" vertical="center"/>
    </xf>
    <xf numFmtId="0" fontId="5" fillId="59" borderId="153" applyNumberFormat="0" applyFont="0" applyAlignment="0" applyProtection="0"/>
    <xf numFmtId="0" fontId="2" fillId="0" borderId="15" applyNumberFormat="0" applyFill="0" applyAlignment="0" applyProtection="0"/>
    <xf numFmtId="0" fontId="27" fillId="17" borderId="0" applyNumberFormat="0" applyBorder="0" applyAlignment="0" applyProtection="0"/>
    <xf numFmtId="0" fontId="59" fillId="43" borderId="159" applyNumberFormat="0" applyAlignment="0" applyProtection="0"/>
    <xf numFmtId="0" fontId="12" fillId="31" borderId="0" applyNumberFormat="0" applyBorder="0" applyAlignment="0" applyProtection="0"/>
    <xf numFmtId="0" fontId="29" fillId="13" borderId="14" applyNumberFormat="0" applyAlignment="0" applyProtection="0"/>
    <xf numFmtId="0" fontId="59" fillId="43" borderId="151" applyNumberFormat="0" applyAlignment="0" applyProtection="0"/>
    <xf numFmtId="49" fontId="35" fillId="0" borderId="155" applyNumberFormat="0" applyFont="0" applyFill="0" applyBorder="0" applyProtection="0">
      <alignment horizontal="left" vertical="center" indent="5"/>
    </xf>
    <xf numFmtId="0" fontId="27" fillId="20" borderId="0" applyNumberFormat="0" applyBorder="0" applyAlignment="0" applyProtection="0"/>
    <xf numFmtId="0" fontId="35" fillId="0" borderId="154" applyNumberFormat="0" applyFill="0" applyAlignment="0" applyProtection="0"/>
    <xf numFmtId="0" fontId="51" fillId="0" borderId="152" applyNumberFormat="0" applyFill="0" applyAlignment="0" applyProtection="0"/>
    <xf numFmtId="0" fontId="63" fillId="56" borderId="150" applyNumberFormat="0" applyAlignment="0" applyProtection="0"/>
    <xf numFmtId="4" fontId="33" fillId="34" borderId="154">
      <alignment horizontal="right" vertical="center"/>
    </xf>
    <xf numFmtId="4" fontId="35" fillId="33" borderId="154"/>
    <xf numFmtId="0" fontId="66" fillId="0" borderId="152" applyNumberFormat="0" applyFill="0" applyAlignment="0" applyProtection="0"/>
    <xf numFmtId="0" fontId="29" fillId="13" borderId="14" applyNumberFormat="0" applyAlignment="0" applyProtection="0"/>
    <xf numFmtId="0" fontId="44" fillId="56" borderId="150" applyNumberFormat="0" applyAlignment="0" applyProtection="0"/>
    <xf numFmtId="0" fontId="46" fillId="56" borderId="151" applyNumberFormat="0" applyAlignment="0" applyProtection="0"/>
    <xf numFmtId="0" fontId="47" fillId="56" borderId="151" applyNumberFormat="0" applyAlignment="0" applyProtection="0"/>
    <xf numFmtId="0" fontId="63" fillId="56" borderId="150" applyNumberFormat="0" applyAlignment="0" applyProtection="0"/>
    <xf numFmtId="0" fontId="33" fillId="34" borderId="156">
      <alignment horizontal="right" vertical="center"/>
    </xf>
    <xf numFmtId="0" fontId="35" fillId="0" borderId="154" applyNumberFormat="0" applyFill="0" applyAlignment="0" applyProtection="0"/>
    <xf numFmtId="49" fontId="35" fillId="0" borderId="155" applyNumberFormat="0" applyFont="0" applyFill="0" applyBorder="0" applyProtection="0">
      <alignment horizontal="left" vertical="center" indent="5"/>
    </xf>
    <xf numFmtId="0" fontId="66" fillId="0" borderId="152" applyNumberFormat="0" applyFill="0" applyAlignment="0" applyProtection="0"/>
    <xf numFmtId="0" fontId="35" fillId="0" borderId="154" applyNumberFormat="0" applyFill="0" applyAlignment="0" applyProtection="0"/>
    <xf numFmtId="4" fontId="35" fillId="0" borderId="162" applyFill="0" applyBorder="0" applyProtection="0">
      <alignment horizontal="right" vertical="center"/>
    </xf>
    <xf numFmtId="0" fontId="12" fillId="28" borderId="0" applyNumberFormat="0" applyBorder="0" applyAlignment="0" applyProtection="0"/>
    <xf numFmtId="0" fontId="27" fillId="14" borderId="0" applyNumberFormat="0" applyBorder="0" applyAlignment="0" applyProtection="0"/>
    <xf numFmtId="0" fontId="27" fillId="21" borderId="0" applyNumberFormat="0" applyBorder="0" applyAlignment="0" applyProtection="0"/>
    <xf numFmtId="0" fontId="27" fillId="29" borderId="0" applyNumberFormat="0" applyBorder="0" applyAlignment="0" applyProtection="0"/>
    <xf numFmtId="0" fontId="41" fillId="59" borderId="153" applyNumberFormat="0" applyFont="0" applyAlignment="0" applyProtection="0"/>
    <xf numFmtId="0" fontId="50" fillId="43" borderId="166" applyNumberFormat="0" applyAlignment="0" applyProtection="0"/>
    <xf numFmtId="0" fontId="27" fillId="20" borderId="0" applyNumberFormat="0" applyBorder="0" applyAlignment="0" applyProtection="0"/>
    <xf numFmtId="0" fontId="29" fillId="13" borderId="14" applyNumberFormat="0" applyAlignment="0" applyProtection="0"/>
    <xf numFmtId="173" fontId="35" fillId="60" borderId="169" applyNumberFormat="0" applyFont="0" applyBorder="0" applyAlignment="0" applyProtection="0">
      <alignment horizontal="right" vertical="center"/>
    </xf>
    <xf numFmtId="0" fontId="41" fillId="59" borderId="168" applyNumberFormat="0" applyFont="0" applyAlignment="0" applyProtection="0"/>
    <xf numFmtId="4" fontId="33" fillId="34" borderId="171">
      <alignment horizontal="right" vertical="center"/>
    </xf>
    <xf numFmtId="0" fontId="27" fillId="20" borderId="0" applyNumberFormat="0" applyBorder="0" applyAlignment="0" applyProtection="0"/>
    <xf numFmtId="0" fontId="33" fillId="34" borderId="162">
      <alignment horizontal="right" vertical="center"/>
    </xf>
    <xf numFmtId="0" fontId="31" fillId="0" borderId="0" applyNumberFormat="0" applyFill="0" applyBorder="0" applyAlignment="0" applyProtection="0"/>
    <xf numFmtId="0" fontId="35" fillId="34" borderId="165">
      <alignment horizontal="left" vertical="center" wrapText="1" indent="2"/>
    </xf>
    <xf numFmtId="0" fontId="35" fillId="0" borderId="157">
      <alignment horizontal="left" vertical="center" wrapText="1" indent="2"/>
    </xf>
    <xf numFmtId="0" fontId="46" fillId="56" borderId="166" applyNumberFormat="0" applyAlignment="0" applyProtection="0"/>
    <xf numFmtId="4" fontId="33" fillId="32" borderId="154">
      <alignment horizontal="right" vertical="center"/>
    </xf>
    <xf numFmtId="0" fontId="1" fillId="0" borderId="0" applyNumberFormat="0" applyFill="0" applyBorder="0" applyAlignment="0" applyProtection="0"/>
    <xf numFmtId="0" fontId="27" fillId="17" borderId="0" applyNumberFormat="0" applyBorder="0" applyAlignment="0" applyProtection="0"/>
    <xf numFmtId="0" fontId="63" fillId="56" borderId="150" applyNumberFormat="0" applyAlignment="0" applyProtection="0"/>
    <xf numFmtId="49" fontId="35" fillId="0" borderId="155" applyNumberFormat="0" applyFont="0" applyFill="0" applyBorder="0" applyProtection="0">
      <alignment horizontal="left" vertical="center" indent="5"/>
    </xf>
    <xf numFmtId="4" fontId="35" fillId="0" borderId="154">
      <alignment horizontal="right" vertical="center"/>
    </xf>
    <xf numFmtId="0" fontId="66" fillId="0" borderId="160" applyNumberFormat="0" applyFill="0" applyAlignment="0" applyProtection="0"/>
    <xf numFmtId="0" fontId="46" fillId="56" borderId="166" applyNumberFormat="0" applyAlignment="0" applyProtection="0"/>
    <xf numFmtId="0" fontId="12" fillId="22" borderId="0" applyNumberFormat="0" applyBorder="0" applyAlignment="0" applyProtection="0"/>
    <xf numFmtId="0" fontId="27" fillId="29" borderId="0" applyNumberFormat="0" applyBorder="0" applyAlignment="0" applyProtection="0"/>
    <xf numFmtId="0" fontId="51" fillId="0" borderId="152" applyNumberFormat="0" applyFill="0" applyAlignment="0" applyProtection="0"/>
    <xf numFmtId="0" fontId="33" fillId="34" borderId="163">
      <alignment horizontal="right" vertical="center"/>
    </xf>
    <xf numFmtId="4" fontId="33" fillId="34" borderId="156">
      <alignment horizontal="right" vertical="center"/>
    </xf>
    <xf numFmtId="4" fontId="33" fillId="34" borderId="154">
      <alignment horizontal="right" vertical="center"/>
    </xf>
    <xf numFmtId="4" fontId="33" fillId="34" borderId="154">
      <alignment horizontal="right" vertical="center"/>
    </xf>
    <xf numFmtId="0" fontId="66" fillId="0" borderId="152" applyNumberFormat="0" applyFill="0" applyAlignment="0" applyProtection="0"/>
    <xf numFmtId="0" fontId="47" fillId="56" borderId="151" applyNumberFormat="0" applyAlignment="0" applyProtection="0"/>
    <xf numFmtId="0" fontId="50" fillId="43" borderId="151" applyNumberFormat="0" applyAlignment="0" applyProtection="0"/>
    <xf numFmtId="0" fontId="66" fillId="0" borderId="160" applyNumberFormat="0" applyFill="0" applyAlignment="0" applyProtection="0"/>
    <xf numFmtId="0" fontId="30" fillId="13" borderId="13" applyNumberFormat="0" applyAlignment="0" applyProtection="0"/>
    <xf numFmtId="49" fontId="34" fillId="0" borderId="154" applyNumberFormat="0" applyFill="0" applyBorder="0" applyProtection="0">
      <alignment horizontal="left" vertical="center"/>
    </xf>
    <xf numFmtId="0" fontId="5" fillId="59" borderId="153" applyNumberFormat="0" applyFont="0" applyAlignment="0" applyProtection="0"/>
    <xf numFmtId="4" fontId="33" fillId="34" borderId="162">
      <alignment horizontal="right" vertical="center"/>
    </xf>
    <xf numFmtId="4" fontId="33" fillId="34" borderId="154">
      <alignment horizontal="right" vertical="center"/>
    </xf>
    <xf numFmtId="0" fontId="27" fillId="23" borderId="0" applyNumberFormat="0" applyBorder="0" applyAlignment="0" applyProtection="0"/>
    <xf numFmtId="0" fontId="27" fillId="17" borderId="0" applyNumberFormat="0" applyBorder="0" applyAlignment="0" applyProtection="0"/>
    <xf numFmtId="49" fontId="35" fillId="0" borderId="163" applyNumberFormat="0" applyFont="0" applyFill="0" applyBorder="0" applyProtection="0">
      <alignment horizontal="left" vertical="center" indent="5"/>
    </xf>
    <xf numFmtId="4" fontId="33" fillId="34" borderId="163">
      <alignment horizontal="right" vertical="center"/>
    </xf>
    <xf numFmtId="0" fontId="27" fillId="18" borderId="0" applyNumberFormat="0" applyBorder="0" applyAlignment="0" applyProtection="0"/>
    <xf numFmtId="49" fontId="35" fillId="0" borderId="154" applyNumberFormat="0" applyFont="0" applyFill="0" applyBorder="0" applyProtection="0">
      <alignment horizontal="left" vertical="center" indent="2"/>
    </xf>
    <xf numFmtId="0" fontId="66" fillId="0" borderId="152" applyNumberFormat="0" applyFill="0" applyAlignment="0" applyProtection="0"/>
    <xf numFmtId="4" fontId="35" fillId="0" borderId="154" applyFill="0" applyBorder="0" applyProtection="0">
      <alignment horizontal="right" vertical="center"/>
    </xf>
    <xf numFmtId="0" fontId="59" fillId="43" borderId="151" applyNumberFormat="0" applyAlignment="0" applyProtection="0"/>
    <xf numFmtId="49" fontId="34" fillId="0" borderId="154" applyNumberFormat="0" applyFill="0" applyBorder="0" applyProtection="0">
      <alignment horizontal="left" vertical="center"/>
    </xf>
    <xf numFmtId="49" fontId="35" fillId="0" borderId="154" applyNumberFormat="0" applyFont="0" applyFill="0" applyBorder="0" applyProtection="0">
      <alignment horizontal="left" vertical="center" indent="2"/>
    </xf>
    <xf numFmtId="4" fontId="35" fillId="0" borderId="154" applyFill="0" applyBorder="0" applyProtection="0">
      <alignment horizontal="right" vertical="center"/>
    </xf>
    <xf numFmtId="4" fontId="33" fillId="34" borderId="164">
      <alignment horizontal="right" vertical="center"/>
    </xf>
    <xf numFmtId="173" fontId="35" fillId="60" borderId="154" applyNumberFormat="0" applyFont="0" applyBorder="0" applyAlignment="0" applyProtection="0">
      <alignment horizontal="right" vertical="center"/>
    </xf>
    <xf numFmtId="0" fontId="5" fillId="59" borderId="161" applyNumberFormat="0" applyFont="0" applyAlignment="0" applyProtection="0"/>
    <xf numFmtId="0" fontId="46" fillId="56" borderId="159" applyNumberFormat="0" applyAlignment="0" applyProtection="0"/>
    <xf numFmtId="0" fontId="35" fillId="0" borderId="165">
      <alignment horizontal="left" vertical="center" wrapText="1" indent="2"/>
    </xf>
    <xf numFmtId="0" fontId="37" fillId="32" borderId="154">
      <alignment horizontal="right" vertical="center"/>
    </xf>
    <xf numFmtId="4" fontId="35" fillId="33" borderId="162"/>
    <xf numFmtId="0" fontId="12" fillId="31" borderId="0" applyNumberFormat="0" applyBorder="0" applyAlignment="0" applyProtection="0"/>
    <xf numFmtId="49" fontId="35" fillId="0" borderId="163" applyNumberFormat="0" applyFont="0" applyFill="0" applyBorder="0" applyProtection="0">
      <alignment horizontal="left" vertical="center" indent="5"/>
    </xf>
    <xf numFmtId="0" fontId="50" fillId="43" borderId="151" applyNumberFormat="0" applyAlignment="0" applyProtection="0"/>
    <xf numFmtId="4" fontId="33" fillId="34" borderId="154">
      <alignment horizontal="right" vertical="center"/>
    </xf>
    <xf numFmtId="0" fontId="35" fillId="32" borderId="155">
      <alignment horizontal="left" vertical="center"/>
    </xf>
    <xf numFmtId="0" fontId="27" fillId="26" borderId="0" applyNumberFormat="0" applyBorder="0" applyAlignment="0" applyProtection="0"/>
    <xf numFmtId="0" fontId="27" fillId="17" borderId="0" applyNumberFormat="0" applyBorder="0" applyAlignment="0" applyProtection="0"/>
    <xf numFmtId="0" fontId="30" fillId="13" borderId="13" applyNumberFormat="0" applyAlignment="0" applyProtection="0"/>
    <xf numFmtId="0" fontId="29" fillId="13" borderId="14" applyNumberFormat="0" applyAlignment="0" applyProtection="0"/>
    <xf numFmtId="0" fontId="12" fillId="16" borderId="0" applyNumberFormat="0" applyBorder="0" applyAlignment="0" applyProtection="0"/>
    <xf numFmtId="0" fontId="33" fillId="32" borderId="162">
      <alignment horizontal="right" vertical="center"/>
    </xf>
    <xf numFmtId="0" fontId="27" fillId="21" borderId="0" applyNumberFormat="0" applyBorder="0" applyAlignment="0" applyProtection="0"/>
    <xf numFmtId="4" fontId="35" fillId="0" borderId="162">
      <alignment horizontal="right" vertical="center"/>
    </xf>
    <xf numFmtId="0" fontId="27" fillId="20" borderId="0" applyNumberFormat="0" applyBorder="0" applyAlignment="0" applyProtection="0"/>
    <xf numFmtId="0" fontId="12" fillId="28" borderId="0" applyNumberFormat="0" applyBorder="0" applyAlignment="0" applyProtection="0"/>
    <xf numFmtId="0" fontId="33" fillId="34" borderId="154">
      <alignment horizontal="right" vertical="center"/>
    </xf>
    <xf numFmtId="0" fontId="35" fillId="34" borderId="157">
      <alignment horizontal="left" vertical="center" wrapText="1" indent="2"/>
    </xf>
    <xf numFmtId="173" fontId="35" fillId="60" borderId="154" applyNumberFormat="0" applyFont="0" applyBorder="0" applyAlignment="0" applyProtection="0">
      <alignment horizontal="right" vertical="center"/>
    </xf>
    <xf numFmtId="0" fontId="41" fillId="59" borderId="153" applyNumberFormat="0" applyFont="0" applyAlignment="0" applyProtection="0"/>
    <xf numFmtId="49" fontId="35" fillId="0" borderId="154" applyNumberFormat="0" applyFont="0" applyFill="0" applyBorder="0" applyProtection="0">
      <alignment horizontal="left" vertical="center" indent="2"/>
    </xf>
    <xf numFmtId="4" fontId="37" fillId="32" borderId="162">
      <alignment horizontal="right" vertical="center"/>
    </xf>
    <xf numFmtId="0" fontId="12" fillId="19" borderId="0" applyNumberFormat="0" applyBorder="0" applyAlignment="0" applyProtection="0"/>
    <xf numFmtId="49" fontId="35" fillId="0" borderId="169" applyNumberFormat="0" applyFont="0" applyFill="0" applyBorder="0" applyProtection="0">
      <alignment horizontal="left" vertical="center" indent="2"/>
    </xf>
    <xf numFmtId="0" fontId="35" fillId="34" borderId="172">
      <alignment horizontal="left" vertical="center" wrapText="1" indent="2"/>
    </xf>
    <xf numFmtId="49" fontId="34" fillId="0" borderId="154" applyNumberFormat="0" applyFill="0" applyBorder="0" applyProtection="0">
      <alignment horizontal="left" vertical="center"/>
    </xf>
    <xf numFmtId="0" fontId="35" fillId="0" borderId="169">
      <alignment horizontal="right" vertical="center"/>
    </xf>
    <xf numFmtId="173" fontId="35" fillId="60" borderId="154" applyNumberFormat="0" applyFont="0" applyBorder="0" applyAlignment="0" applyProtection="0">
      <alignment horizontal="right" vertical="center"/>
    </xf>
    <xf numFmtId="0" fontId="63" fillId="56" borderId="150" applyNumberFormat="0" applyAlignment="0" applyProtection="0"/>
    <xf numFmtId="0" fontId="35" fillId="0" borderId="154">
      <alignment horizontal="right" vertical="center"/>
    </xf>
    <xf numFmtId="0" fontId="44" fillId="56" borderId="158" applyNumberFormat="0" applyAlignment="0" applyProtection="0"/>
    <xf numFmtId="0" fontId="35" fillId="33" borderId="154"/>
    <xf numFmtId="4" fontId="33" fillId="34" borderId="154">
      <alignment horizontal="right" vertical="center"/>
    </xf>
    <xf numFmtId="0" fontId="35" fillId="33" borderId="154"/>
    <xf numFmtId="0" fontId="59" fillId="43" borderId="151" applyNumberFormat="0" applyAlignment="0" applyProtection="0"/>
    <xf numFmtId="49" fontId="34" fillId="0" borderId="162" applyNumberFormat="0" applyFill="0" applyBorder="0" applyProtection="0">
      <alignment horizontal="left" vertical="center"/>
    </xf>
    <xf numFmtId="0" fontId="37" fillId="32" borderId="154">
      <alignment horizontal="right" vertical="center"/>
    </xf>
    <xf numFmtId="0" fontId="35" fillId="0" borderId="157">
      <alignment horizontal="left" vertical="center" wrapText="1" indent="2"/>
    </xf>
    <xf numFmtId="0" fontId="33" fillId="32" borderId="154">
      <alignment horizontal="right" vertical="center"/>
    </xf>
    <xf numFmtId="0" fontId="50" fillId="43" borderId="151" applyNumberFormat="0" applyAlignment="0" applyProtection="0"/>
    <xf numFmtId="0" fontId="35" fillId="34" borderId="157">
      <alignment horizontal="left" vertical="center" wrapText="1" indent="2"/>
    </xf>
    <xf numFmtId="0" fontId="63" fillId="56" borderId="173" applyNumberFormat="0" applyAlignment="0" applyProtection="0"/>
    <xf numFmtId="0" fontId="27" fillId="29" borderId="0" applyNumberFormat="0" applyBorder="0" applyAlignment="0" applyProtection="0"/>
    <xf numFmtId="0" fontId="30" fillId="13" borderId="13" applyNumberFormat="0" applyAlignment="0" applyProtection="0"/>
    <xf numFmtId="0" fontId="27" fillId="14" borderId="0" applyNumberFormat="0" applyBorder="0" applyAlignment="0" applyProtection="0"/>
    <xf numFmtId="0" fontId="31" fillId="0" borderId="0" applyNumberFormat="0" applyFill="0" applyBorder="0" applyAlignment="0" applyProtection="0"/>
    <xf numFmtId="0" fontId="27" fillId="24" borderId="0" applyNumberFormat="0" applyBorder="0" applyAlignment="0" applyProtection="0"/>
    <xf numFmtId="0" fontId="51" fillId="0" borderId="160" applyNumberFormat="0" applyFill="0" applyAlignment="0" applyProtection="0"/>
    <xf numFmtId="4" fontId="35" fillId="0" borderId="162" applyFill="0" applyBorder="0" applyProtection="0">
      <alignment horizontal="right" vertical="center"/>
    </xf>
    <xf numFmtId="0" fontId="35" fillId="0" borderId="162" applyNumberFormat="0" applyFill="0" applyAlignment="0" applyProtection="0"/>
    <xf numFmtId="0" fontId="27" fillId="26" borderId="0" applyNumberFormat="0" applyBorder="0" applyAlignment="0" applyProtection="0"/>
    <xf numFmtId="0" fontId="46" fillId="56" borderId="151" applyNumberFormat="0" applyAlignment="0" applyProtection="0"/>
    <xf numFmtId="0" fontId="37" fillId="32" borderId="154">
      <alignment horizontal="right" vertical="center"/>
    </xf>
    <xf numFmtId="0" fontId="31" fillId="0" borderId="0" applyNumberFormat="0" applyFill="0" applyBorder="0" applyAlignment="0" applyProtection="0"/>
    <xf numFmtId="0" fontId="33" fillId="34" borderId="162">
      <alignment horizontal="right" vertical="center"/>
    </xf>
    <xf numFmtId="49" fontId="34" fillId="0" borderId="169" applyNumberFormat="0" applyFill="0" applyBorder="0" applyProtection="0">
      <alignment horizontal="left" vertical="center"/>
    </xf>
    <xf numFmtId="0" fontId="29" fillId="13" borderId="14" applyNumberFormat="0" applyAlignment="0" applyProtection="0"/>
    <xf numFmtId="0" fontId="27" fillId="20" borderId="0" applyNumberFormat="0" applyBorder="0" applyAlignment="0" applyProtection="0"/>
    <xf numFmtId="0" fontId="46" fillId="56" borderId="166" applyNumberFormat="0" applyAlignment="0" applyProtection="0"/>
    <xf numFmtId="0" fontId="50" fillId="43" borderId="159" applyNumberFormat="0" applyAlignment="0" applyProtection="0"/>
    <xf numFmtId="0" fontId="31" fillId="0" borderId="0" applyNumberFormat="0" applyFill="0" applyBorder="0" applyAlignment="0" applyProtection="0"/>
    <xf numFmtId="0" fontId="33" fillId="34" borderId="169">
      <alignment horizontal="right" vertical="center"/>
    </xf>
    <xf numFmtId="0" fontId="33" fillId="34" borderId="154">
      <alignment horizontal="right" vertical="center"/>
    </xf>
    <xf numFmtId="4" fontId="35" fillId="0" borderId="154" applyFill="0" applyBorder="0" applyProtection="0">
      <alignment horizontal="right" vertical="center"/>
    </xf>
    <xf numFmtId="0" fontId="35" fillId="34" borderId="157">
      <alignment horizontal="left" vertical="center" wrapText="1" indent="2"/>
    </xf>
    <xf numFmtId="0" fontId="41" fillId="59" borderId="153" applyNumberFormat="0" applyFont="0" applyAlignment="0" applyProtection="0"/>
    <xf numFmtId="0" fontId="50" fillId="43" borderId="151" applyNumberFormat="0" applyAlignment="0" applyProtection="0"/>
    <xf numFmtId="4" fontId="35" fillId="33" borderId="154"/>
    <xf numFmtId="4" fontId="35" fillId="0" borderId="154" applyFill="0" applyBorder="0" applyProtection="0">
      <alignment horizontal="right" vertical="center"/>
    </xf>
    <xf numFmtId="0" fontId="66" fillId="0" borderId="152" applyNumberFormat="0" applyFill="0" applyAlignment="0" applyProtection="0"/>
    <xf numFmtId="0" fontId="35" fillId="32" borderId="155">
      <alignment horizontal="left" vertical="center"/>
    </xf>
    <xf numFmtId="0" fontId="35" fillId="0" borderId="157">
      <alignment horizontal="left" vertical="center" wrapText="1" indent="2"/>
    </xf>
    <xf numFmtId="0" fontId="59" fillId="43" borderId="159" applyNumberFormat="0" applyAlignment="0" applyProtection="0"/>
    <xf numFmtId="0" fontId="59" fillId="43" borderId="151" applyNumberFormat="0" applyAlignment="0" applyProtection="0"/>
    <xf numFmtId="0" fontId="27" fillId="15" borderId="0" applyNumberFormat="0" applyBorder="0" applyAlignment="0" applyProtection="0"/>
    <xf numFmtId="0" fontId="35" fillId="34" borderId="157">
      <alignment horizontal="left" vertical="center" wrapText="1" indent="2"/>
    </xf>
    <xf numFmtId="0" fontId="41" fillId="59" borderId="161" applyNumberFormat="0" applyFont="0" applyAlignment="0" applyProtection="0"/>
    <xf numFmtId="0" fontId="27" fillId="15" borderId="0" applyNumberFormat="0" applyBorder="0" applyAlignment="0" applyProtection="0"/>
    <xf numFmtId="4" fontId="37" fillId="32" borderId="169">
      <alignment horizontal="right" vertical="center"/>
    </xf>
    <xf numFmtId="0" fontId="27" fillId="17" borderId="0" applyNumberFormat="0" applyBorder="0" applyAlignment="0" applyProtection="0"/>
    <xf numFmtId="0" fontId="41" fillId="59" borderId="153" applyNumberFormat="0" applyFont="0" applyAlignment="0" applyProtection="0"/>
    <xf numFmtId="0" fontId="59" fillId="43" borderId="151" applyNumberFormat="0" applyAlignment="0" applyProtection="0"/>
    <xf numFmtId="0" fontId="46" fillId="56" borderId="166" applyNumberFormat="0" applyAlignment="0" applyProtection="0"/>
    <xf numFmtId="4" fontId="35" fillId="33" borderId="154"/>
    <xf numFmtId="0" fontId="47" fillId="56" borderId="151" applyNumberFormat="0" applyAlignment="0" applyProtection="0"/>
    <xf numFmtId="0" fontId="59" fillId="43" borderId="151" applyNumberFormat="0" applyAlignment="0" applyProtection="0"/>
    <xf numFmtId="4" fontId="33" fillId="34" borderId="154">
      <alignment horizontal="right" vertical="center"/>
    </xf>
    <xf numFmtId="0" fontId="51" fillId="0" borderId="152" applyNumberFormat="0" applyFill="0" applyAlignment="0" applyProtection="0"/>
    <xf numFmtId="0" fontId="59" fillId="43" borderId="159" applyNumberFormat="0" applyAlignment="0" applyProtection="0"/>
    <xf numFmtId="0" fontId="12" fillId="16" borderId="0" applyNumberFormat="0" applyBorder="0" applyAlignment="0" applyProtection="0"/>
    <xf numFmtId="0" fontId="46" fillId="56" borderId="166" applyNumberFormat="0" applyAlignment="0" applyProtection="0"/>
    <xf numFmtId="0" fontId="35" fillId="0" borderId="172">
      <alignment horizontal="left" vertical="center" wrapText="1" indent="2"/>
    </xf>
    <xf numFmtId="4" fontId="37" fillId="32" borderId="162">
      <alignment horizontal="right" vertical="center"/>
    </xf>
    <xf numFmtId="0" fontId="47" fillId="56" borderId="151" applyNumberFormat="0" applyAlignment="0" applyProtection="0"/>
    <xf numFmtId="0" fontId="27" fillId="17" borderId="0" applyNumberFormat="0" applyBorder="0" applyAlignment="0" applyProtection="0"/>
    <xf numFmtId="0" fontId="50" fillId="43" borderId="151" applyNumberFormat="0" applyAlignment="0" applyProtection="0"/>
    <xf numFmtId="0" fontId="27" fillId="14" borderId="0" applyNumberFormat="0" applyBorder="0" applyAlignment="0" applyProtection="0"/>
    <xf numFmtId="0" fontId="27" fillId="17" borderId="0" applyNumberFormat="0" applyBorder="0" applyAlignment="0" applyProtection="0"/>
    <xf numFmtId="0" fontId="51" fillId="0" borderId="160" applyNumberFormat="0" applyFill="0" applyAlignment="0" applyProtection="0"/>
    <xf numFmtId="0" fontId="33" fillId="32" borderId="162">
      <alignment horizontal="right" vertical="center"/>
    </xf>
    <xf numFmtId="0" fontId="35" fillId="34" borderId="157">
      <alignment horizontal="left" vertical="center" wrapText="1" indent="2"/>
    </xf>
    <xf numFmtId="0" fontId="35" fillId="0" borderId="169" applyNumberFormat="0" applyFill="0" applyAlignment="0" applyProtection="0"/>
    <xf numFmtId="0" fontId="63" fillId="56" borderId="150" applyNumberFormat="0" applyAlignment="0" applyProtection="0"/>
    <xf numFmtId="0" fontId="59" fillId="43" borderId="151" applyNumberFormat="0" applyAlignment="0" applyProtection="0"/>
    <xf numFmtId="4" fontId="33" fillId="34" borderId="154">
      <alignment horizontal="right" vertical="center"/>
    </xf>
    <xf numFmtId="0" fontId="35" fillId="33" borderId="154"/>
    <xf numFmtId="4" fontId="35" fillId="0" borderId="169">
      <alignment horizontal="right" vertical="center"/>
    </xf>
    <xf numFmtId="0" fontId="27" fillId="24" borderId="0" applyNumberFormat="0" applyBorder="0" applyAlignment="0" applyProtection="0"/>
    <xf numFmtId="0" fontId="35" fillId="0" borderId="157">
      <alignment horizontal="left" vertical="center" wrapText="1" indent="2"/>
    </xf>
    <xf numFmtId="0" fontId="12" fillId="22" borderId="0" applyNumberFormat="0" applyBorder="0" applyAlignment="0" applyProtection="0"/>
    <xf numFmtId="4" fontId="35" fillId="33" borderId="162"/>
    <xf numFmtId="0" fontId="12" fillId="25" borderId="0" applyNumberFormat="0" applyBorder="0" applyAlignment="0" applyProtection="0"/>
    <xf numFmtId="0" fontId="46" fillId="56" borderId="159" applyNumberFormat="0" applyAlignment="0" applyProtection="0"/>
    <xf numFmtId="0" fontId="46" fillId="56" borderId="151" applyNumberFormat="0" applyAlignment="0" applyProtection="0"/>
    <xf numFmtId="4" fontId="33" fillId="32" borderId="154">
      <alignment horizontal="right" vertical="center"/>
    </xf>
    <xf numFmtId="0" fontId="27" fillId="18" borderId="0" applyNumberFormat="0" applyBorder="0" applyAlignment="0" applyProtection="0"/>
    <xf numFmtId="0" fontId="33" fillId="32" borderId="154">
      <alignment horizontal="right" vertical="center"/>
    </xf>
    <xf numFmtId="0" fontId="33" fillId="34" borderId="154">
      <alignment horizontal="right" vertical="center"/>
    </xf>
    <xf numFmtId="0" fontId="66" fillId="0" borderId="160" applyNumberFormat="0" applyFill="0" applyAlignment="0" applyProtection="0"/>
    <xf numFmtId="0" fontId="59" fillId="43" borderId="159" applyNumberFormat="0" applyAlignment="0" applyProtection="0"/>
    <xf numFmtId="0" fontId="27" fillId="30" borderId="0" applyNumberFormat="0" applyBorder="0" applyAlignment="0" applyProtection="0"/>
    <xf numFmtId="0" fontId="27" fillId="29" borderId="0" applyNumberFormat="0" applyBorder="0" applyAlignment="0" applyProtection="0"/>
    <xf numFmtId="0" fontId="63" fillId="56" borderId="150" applyNumberFormat="0" applyAlignment="0" applyProtection="0"/>
    <xf numFmtId="4" fontId="35" fillId="0" borderId="162">
      <alignment horizontal="right" vertical="center"/>
    </xf>
    <xf numFmtId="49" fontId="35" fillId="0" borderId="154" applyNumberFormat="0" applyFont="0" applyFill="0" applyBorder="0" applyProtection="0">
      <alignment horizontal="left" vertical="center" indent="2"/>
    </xf>
    <xf numFmtId="0" fontId="33" fillId="34" borderId="171">
      <alignment horizontal="right" vertical="center"/>
    </xf>
    <xf numFmtId="0" fontId="41" fillId="59" borderId="153" applyNumberFormat="0" applyFont="0" applyAlignment="0" applyProtection="0"/>
    <xf numFmtId="173" fontId="35" fillId="60" borderId="154" applyNumberFormat="0" applyFont="0" applyBorder="0" applyAlignment="0" applyProtection="0">
      <alignment horizontal="right" vertical="center"/>
    </xf>
    <xf numFmtId="0" fontId="59" fillId="43" borderId="151" applyNumberFormat="0" applyAlignment="0" applyProtection="0"/>
    <xf numFmtId="0" fontId="33" fillId="34" borderId="154">
      <alignment horizontal="right" vertical="center"/>
    </xf>
    <xf numFmtId="0" fontId="35" fillId="33" borderId="154"/>
    <xf numFmtId="0" fontId="63" fillId="56" borderId="150" applyNumberFormat="0" applyAlignment="0" applyProtection="0"/>
    <xf numFmtId="0" fontId="47" fillId="56" borderId="151" applyNumberFormat="0" applyAlignment="0" applyProtection="0"/>
    <xf numFmtId="0" fontId="46" fillId="56" borderId="151" applyNumberFormat="0" applyAlignment="0" applyProtection="0"/>
    <xf numFmtId="0" fontId="50" fillId="43" borderId="151" applyNumberFormat="0" applyAlignment="0" applyProtection="0"/>
    <xf numFmtId="0" fontId="50" fillId="43" borderId="151" applyNumberFormat="0" applyAlignment="0" applyProtection="0"/>
    <xf numFmtId="0" fontId="35" fillId="0" borderId="157">
      <alignment horizontal="left" vertical="center" wrapText="1" indent="2"/>
    </xf>
    <xf numFmtId="4" fontId="33" fillId="34" borderId="155">
      <alignment horizontal="right" vertical="center"/>
    </xf>
    <xf numFmtId="4" fontId="35" fillId="0" borderId="154">
      <alignment horizontal="right" vertical="center"/>
    </xf>
    <xf numFmtId="49" fontId="34" fillId="0" borderId="154" applyNumberFormat="0" applyFill="0" applyBorder="0" applyProtection="0">
      <alignment horizontal="left" vertical="center"/>
    </xf>
    <xf numFmtId="4" fontId="35" fillId="0" borderId="154">
      <alignment horizontal="right" vertical="center"/>
    </xf>
    <xf numFmtId="0" fontId="63" fillId="56" borderId="150" applyNumberFormat="0" applyAlignment="0" applyProtection="0"/>
    <xf numFmtId="0" fontId="37" fillId="32" borderId="162">
      <alignment horizontal="right" vertical="center"/>
    </xf>
    <xf numFmtId="0" fontId="27" fillId="14" borderId="0" applyNumberFormat="0" applyBorder="0" applyAlignment="0" applyProtection="0"/>
    <xf numFmtId="0" fontId="35" fillId="0" borderId="172">
      <alignment horizontal="left" vertical="center" wrapText="1" indent="2"/>
    </xf>
    <xf numFmtId="0" fontId="27" fillId="20" borderId="0" applyNumberFormat="0" applyBorder="0" applyAlignment="0" applyProtection="0"/>
    <xf numFmtId="0" fontId="1" fillId="0" borderId="0" applyNumberFormat="0" applyFill="0" applyBorder="0" applyAlignment="0" applyProtection="0"/>
    <xf numFmtId="0" fontId="35" fillId="0" borderId="157">
      <alignment horizontal="left" vertical="center" wrapText="1" indent="2"/>
    </xf>
    <xf numFmtId="0" fontId="12" fillId="22" borderId="0" applyNumberFormat="0" applyBorder="0" applyAlignment="0" applyProtection="0"/>
    <xf numFmtId="0" fontId="27" fillId="21" borderId="0" applyNumberFormat="0" applyBorder="0" applyAlignment="0" applyProtection="0"/>
    <xf numFmtId="0" fontId="47" fillId="56" borderId="166" applyNumberFormat="0" applyAlignment="0" applyProtection="0"/>
    <xf numFmtId="0" fontId="12" fillId="31" borderId="0" applyNumberFormat="0" applyBorder="0" applyAlignment="0" applyProtection="0"/>
    <xf numFmtId="0" fontId="35" fillId="32" borderId="163">
      <alignment horizontal="left" vertical="center"/>
    </xf>
    <xf numFmtId="0" fontId="33" fillId="34" borderId="162">
      <alignment horizontal="right" vertical="center"/>
    </xf>
    <xf numFmtId="0" fontId="12" fillId="22" borderId="0" applyNumberFormat="0" applyBorder="0" applyAlignment="0" applyProtection="0"/>
    <xf numFmtId="0" fontId="33" fillId="34" borderId="162">
      <alignment horizontal="right" vertical="center"/>
    </xf>
    <xf numFmtId="0" fontId="12" fillId="28" borderId="0" applyNumberFormat="0" applyBorder="0" applyAlignment="0" applyProtection="0"/>
    <xf numFmtId="0" fontId="41" fillId="59" borderId="153" applyNumberFormat="0" applyFont="0" applyAlignment="0" applyProtection="0"/>
    <xf numFmtId="0" fontId="35" fillId="33" borderId="169"/>
    <xf numFmtId="0" fontId="33" fillId="32" borderId="154">
      <alignment horizontal="right" vertical="center"/>
    </xf>
    <xf numFmtId="0" fontId="12" fillId="19" borderId="0" applyNumberFormat="0" applyBorder="0" applyAlignment="0" applyProtection="0"/>
    <xf numFmtId="0" fontId="50" fillId="43" borderId="159" applyNumberFormat="0" applyAlignment="0" applyProtection="0"/>
    <xf numFmtId="0" fontId="35" fillId="0" borderId="154" applyNumberFormat="0" applyFill="0" applyAlignment="0" applyProtection="0"/>
    <xf numFmtId="49" fontId="34" fillId="0" borderId="154" applyNumberFormat="0" applyFill="0" applyBorder="0" applyProtection="0">
      <alignment horizontal="left" vertical="center"/>
    </xf>
    <xf numFmtId="0" fontId="35" fillId="0" borderId="154">
      <alignment horizontal="right" vertical="center"/>
    </xf>
    <xf numFmtId="0" fontId="27" fillId="29" borderId="0" applyNumberFormat="0" applyBorder="0" applyAlignment="0" applyProtection="0"/>
    <xf numFmtId="0" fontId="35" fillId="32" borderId="163">
      <alignment horizontal="left" vertical="center"/>
    </xf>
    <xf numFmtId="0" fontId="47" fillId="56" borderId="159" applyNumberFormat="0" applyAlignment="0" applyProtection="0"/>
    <xf numFmtId="4" fontId="33" fillId="32" borderId="154">
      <alignment horizontal="right" vertical="center"/>
    </xf>
    <xf numFmtId="0" fontId="27" fillId="21" borderId="0" applyNumberFormat="0" applyBorder="0" applyAlignment="0" applyProtection="0"/>
    <xf numFmtId="0" fontId="47" fillId="56" borderId="151" applyNumberFormat="0" applyAlignment="0" applyProtection="0"/>
    <xf numFmtId="0" fontId="33" fillId="34" borderId="156">
      <alignment horizontal="right" vertical="center"/>
    </xf>
    <xf numFmtId="4" fontId="33" fillId="32" borderId="154">
      <alignment horizontal="right" vertical="center"/>
    </xf>
    <xf numFmtId="0" fontId="33" fillId="34" borderId="154">
      <alignment horizontal="right" vertical="center"/>
    </xf>
    <xf numFmtId="0" fontId="47" fillId="56" borderId="151" applyNumberFormat="0" applyAlignment="0" applyProtection="0"/>
    <xf numFmtId="4" fontId="33" fillId="32" borderId="169">
      <alignment horizontal="right" vertical="center"/>
    </xf>
    <xf numFmtId="0" fontId="29" fillId="13" borderId="14" applyNumberFormat="0" applyAlignment="0" applyProtection="0"/>
    <xf numFmtId="4" fontId="35" fillId="0" borderId="154" applyFill="0" applyBorder="0" applyProtection="0">
      <alignment horizontal="right" vertical="center"/>
    </xf>
    <xf numFmtId="0" fontId="41" fillId="59" borderId="153" applyNumberFormat="0" applyFont="0" applyAlignment="0" applyProtection="0"/>
    <xf numFmtId="0" fontId="63" fillId="56" borderId="173" applyNumberFormat="0" applyAlignment="0" applyProtection="0"/>
    <xf numFmtId="0" fontId="2" fillId="0" borderId="15" applyNumberFormat="0" applyFill="0" applyAlignment="0" applyProtection="0"/>
    <xf numFmtId="0" fontId="33" fillId="34" borderId="162">
      <alignment horizontal="right" vertical="center"/>
    </xf>
    <xf numFmtId="0" fontId="12" fillId="19" borderId="0" applyNumberFormat="0" applyBorder="0" applyAlignment="0" applyProtection="0"/>
    <xf numFmtId="0" fontId="41" fillId="59" borderId="161" applyNumberFormat="0" applyFont="0" applyAlignment="0" applyProtection="0"/>
    <xf numFmtId="0" fontId="59" fillId="43" borderId="159" applyNumberFormat="0" applyAlignment="0" applyProtection="0"/>
    <xf numFmtId="0" fontId="44" fillId="56" borderId="173" applyNumberFormat="0" applyAlignment="0" applyProtection="0"/>
    <xf numFmtId="0" fontId="33" fillId="32" borderId="154">
      <alignment horizontal="right" vertical="center"/>
    </xf>
    <xf numFmtId="0" fontId="51" fillId="0" borderId="152" applyNumberFormat="0" applyFill="0" applyAlignment="0" applyProtection="0"/>
    <xf numFmtId="0" fontId="35" fillId="0" borderId="154" applyNumberFormat="0" applyFill="0" applyAlignment="0" applyProtection="0"/>
    <xf numFmtId="0" fontId="51" fillId="0" borderId="152" applyNumberFormat="0" applyFill="0" applyAlignment="0" applyProtection="0"/>
    <xf numFmtId="4" fontId="35" fillId="0" borderId="154" applyFill="0" applyBorder="0" applyProtection="0">
      <alignment horizontal="right" vertical="center"/>
    </xf>
    <xf numFmtId="49" fontId="35" fillId="0" borderId="155" applyNumberFormat="0" applyFont="0" applyFill="0" applyBorder="0" applyProtection="0">
      <alignment horizontal="left" vertical="center" indent="5"/>
    </xf>
    <xf numFmtId="0" fontId="35" fillId="0" borderId="154" applyNumberFormat="0" applyFill="0" applyAlignment="0" applyProtection="0"/>
    <xf numFmtId="49" fontId="35" fillId="0" borderId="162" applyNumberFormat="0" applyFont="0" applyFill="0" applyBorder="0" applyProtection="0">
      <alignment horizontal="left" vertical="center" indent="2"/>
    </xf>
    <xf numFmtId="0" fontId="35" fillId="0" borderId="154" applyNumberFormat="0" applyFill="0" applyAlignment="0" applyProtection="0"/>
    <xf numFmtId="0" fontId="59" fillId="43" borderId="159" applyNumberFormat="0" applyAlignment="0" applyProtection="0"/>
    <xf numFmtId="4" fontId="33" fillId="34" borderId="154">
      <alignment horizontal="right" vertical="center"/>
    </xf>
    <xf numFmtId="4" fontId="33" fillId="34" borderId="164">
      <alignment horizontal="right" vertical="center"/>
    </xf>
    <xf numFmtId="0" fontId="31" fillId="0" borderId="0" applyNumberFormat="0" applyFill="0" applyBorder="0" applyAlignment="0" applyProtection="0"/>
    <xf numFmtId="0" fontId="12" fillId="19" borderId="0" applyNumberFormat="0" applyBorder="0" applyAlignment="0" applyProtection="0"/>
    <xf numFmtId="0" fontId="27" fillId="26" borderId="0" applyNumberFormat="0" applyBorder="0" applyAlignment="0" applyProtection="0"/>
    <xf numFmtId="0" fontId="50" fillId="43" borderId="151" applyNumberFormat="0" applyAlignment="0" applyProtection="0"/>
    <xf numFmtId="0" fontId="47" fillId="56" borderId="151" applyNumberFormat="0" applyAlignment="0" applyProtection="0"/>
    <xf numFmtId="4" fontId="35" fillId="0" borderId="154">
      <alignment horizontal="right" vertical="center"/>
    </xf>
    <xf numFmtId="0" fontId="35" fillId="34" borderId="157">
      <alignment horizontal="left" vertical="center" wrapText="1" indent="2"/>
    </xf>
    <xf numFmtId="0" fontId="35" fillId="0" borderId="157">
      <alignment horizontal="left" vertical="center" wrapText="1" indent="2"/>
    </xf>
    <xf numFmtId="0" fontId="63" fillId="56" borderId="150" applyNumberFormat="0" applyAlignment="0" applyProtection="0"/>
    <xf numFmtId="0" fontId="59" fillId="43" borderId="151" applyNumberFormat="0" applyAlignment="0" applyProtection="0"/>
    <xf numFmtId="0" fontId="46" fillId="56" borderId="151" applyNumberFormat="0" applyAlignment="0" applyProtection="0"/>
    <xf numFmtId="0" fontId="44" fillId="56" borderId="150" applyNumberFormat="0" applyAlignment="0" applyProtection="0"/>
    <xf numFmtId="0" fontId="33" fillId="34" borderId="156">
      <alignment horizontal="right" vertical="center"/>
    </xf>
    <xf numFmtId="0" fontId="37" fillId="32" borderId="154">
      <alignment horizontal="right" vertical="center"/>
    </xf>
    <xf numFmtId="4" fontId="33" fillId="32" borderId="154">
      <alignment horizontal="right" vertical="center"/>
    </xf>
    <xf numFmtId="4" fontId="33" fillId="34" borderId="154">
      <alignment horizontal="right" vertical="center"/>
    </xf>
    <xf numFmtId="49" fontId="35" fillId="0" borderId="155" applyNumberFormat="0" applyFont="0" applyFill="0" applyBorder="0" applyProtection="0">
      <alignment horizontal="left" vertical="center" indent="5"/>
    </xf>
    <xf numFmtId="4" fontId="35" fillId="0" borderId="154" applyFill="0" applyBorder="0" applyProtection="0">
      <alignment horizontal="right" vertical="center"/>
    </xf>
    <xf numFmtId="4" fontId="33" fillId="32" borderId="154">
      <alignment horizontal="right" vertical="center"/>
    </xf>
    <xf numFmtId="0" fontId="59" fillId="43" borderId="151" applyNumberFormat="0" applyAlignment="0" applyProtection="0"/>
    <xf numFmtId="0" fontId="50" fillId="43" borderId="151" applyNumberFormat="0" applyAlignment="0" applyProtection="0"/>
    <xf numFmtId="0" fontId="46" fillId="56" borderId="151" applyNumberFormat="0" applyAlignment="0" applyProtection="0"/>
    <xf numFmtId="0" fontId="35" fillId="34" borderId="157">
      <alignment horizontal="left" vertical="center" wrapText="1" indent="2"/>
    </xf>
    <xf numFmtId="0" fontId="35" fillId="0" borderId="157">
      <alignment horizontal="left" vertical="center" wrapText="1" indent="2"/>
    </xf>
    <xf numFmtId="0" fontId="35" fillId="34" borderId="157">
      <alignment horizontal="left" vertical="center" wrapText="1" indent="2"/>
    </xf>
    <xf numFmtId="0" fontId="35" fillId="0" borderId="157">
      <alignment horizontal="left" vertical="center" wrapText="1" indent="2"/>
    </xf>
    <xf numFmtId="0" fontId="30" fillId="13" borderId="13" applyNumberFormat="0" applyAlignment="0" applyProtection="0"/>
    <xf numFmtId="0" fontId="12" fillId="28" borderId="0" applyNumberFormat="0" applyBorder="0" applyAlignment="0" applyProtection="0"/>
    <xf numFmtId="0" fontId="31" fillId="0" borderId="0" applyNumberFormat="0" applyFill="0" applyBorder="0" applyAlignment="0" applyProtection="0"/>
    <xf numFmtId="0" fontId="35" fillId="0" borderId="162" applyNumberFormat="0" applyFill="0" applyAlignment="0" applyProtection="0"/>
    <xf numFmtId="0" fontId="27" fillId="26" borderId="0" applyNumberFormat="0" applyBorder="0" applyAlignment="0" applyProtection="0"/>
    <xf numFmtId="0" fontId="35" fillId="0" borderId="165">
      <alignment horizontal="left" vertical="center" wrapText="1" indent="2"/>
    </xf>
    <xf numFmtId="0" fontId="44" fillId="56" borderId="158" applyNumberFormat="0" applyAlignment="0" applyProtection="0"/>
    <xf numFmtId="0" fontId="47" fillId="56" borderId="159" applyNumberFormat="0" applyAlignment="0" applyProtection="0"/>
    <xf numFmtId="0" fontId="59" fillId="43" borderId="166" applyNumberFormat="0" applyAlignment="0" applyProtection="0"/>
    <xf numFmtId="0" fontId="35" fillId="34" borderId="165">
      <alignment horizontal="left" vertical="center" wrapText="1" indent="2"/>
    </xf>
    <xf numFmtId="0" fontId="27" fillId="26" borderId="0" applyNumberFormat="0" applyBorder="0" applyAlignment="0" applyProtection="0"/>
    <xf numFmtId="4" fontId="33" fillId="32" borderId="162">
      <alignment horizontal="right" vertical="center"/>
    </xf>
    <xf numFmtId="0" fontId="27" fillId="14" borderId="0" applyNumberFormat="0" applyBorder="0" applyAlignment="0" applyProtection="0"/>
    <xf numFmtId="0" fontId="12" fillId="31" borderId="0" applyNumberFormat="0" applyBorder="0" applyAlignment="0" applyProtection="0"/>
    <xf numFmtId="0" fontId="2" fillId="0" borderId="15" applyNumberFormat="0" applyFill="0" applyAlignment="0" applyProtection="0"/>
    <xf numFmtId="0" fontId="33" fillId="34" borderId="162">
      <alignment horizontal="right" vertical="center"/>
    </xf>
    <xf numFmtId="0" fontId="12" fillId="25" borderId="0" applyNumberFormat="0" applyBorder="0" applyAlignment="0" applyProtection="0"/>
    <xf numFmtId="0" fontId="27" fillId="20" borderId="0" applyNumberFormat="0" applyBorder="0" applyAlignment="0" applyProtection="0"/>
    <xf numFmtId="49" fontId="34" fillId="0" borderId="162" applyNumberFormat="0" applyFill="0" applyBorder="0" applyProtection="0">
      <alignment horizontal="left" vertical="center"/>
    </xf>
    <xf numFmtId="0" fontId="63" fillId="56" borderId="158" applyNumberFormat="0" applyAlignment="0" applyProtection="0"/>
    <xf numFmtId="0" fontId="37" fillId="32" borderId="169">
      <alignment horizontal="right" vertical="center"/>
    </xf>
    <xf numFmtId="0" fontId="12" fillId="22" borderId="0" applyNumberFormat="0" applyBorder="0" applyAlignment="0" applyProtection="0"/>
    <xf numFmtId="0" fontId="50" fillId="43" borderId="159" applyNumberFormat="0" applyAlignment="0" applyProtection="0"/>
    <xf numFmtId="0" fontId="27" fillId="24" borderId="0" applyNumberFormat="0" applyBorder="0" applyAlignment="0" applyProtection="0"/>
    <xf numFmtId="0" fontId="27" fillId="14" borderId="0" applyNumberFormat="0" applyBorder="0" applyAlignment="0" applyProtection="0"/>
    <xf numFmtId="0" fontId="35" fillId="32" borderId="170">
      <alignment horizontal="left" vertical="center"/>
    </xf>
    <xf numFmtId="0" fontId="12" fillId="31" borderId="0" applyNumberFormat="0" applyBorder="0" applyAlignment="0" applyProtection="0"/>
    <xf numFmtId="0" fontId="47" fillId="56" borderId="159" applyNumberFormat="0" applyAlignment="0" applyProtection="0"/>
    <xf numFmtId="0" fontId="66" fillId="0" borderId="160" applyNumberFormat="0" applyFill="0" applyAlignment="0" applyProtection="0"/>
    <xf numFmtId="0" fontId="47" fillId="56" borderId="159" applyNumberFormat="0" applyAlignment="0" applyProtection="0"/>
    <xf numFmtId="0" fontId="35" fillId="0" borderId="162">
      <alignment horizontal="right" vertical="center"/>
    </xf>
    <xf numFmtId="0" fontId="35" fillId="0" borderId="169" applyNumberFormat="0" applyFill="0" applyAlignment="0" applyProtection="0"/>
    <xf numFmtId="0" fontId="27" fillId="18" borderId="0" applyNumberFormat="0" applyBorder="0" applyAlignment="0" applyProtection="0"/>
    <xf numFmtId="4" fontId="33" fillId="34" borderId="162">
      <alignment horizontal="right" vertical="center"/>
    </xf>
    <xf numFmtId="0" fontId="46" fillId="56" borderId="159" applyNumberFormat="0" applyAlignment="0" applyProtection="0"/>
    <xf numFmtId="0" fontId="12" fillId="19" borderId="0" applyNumberFormat="0" applyBorder="0" applyAlignment="0" applyProtection="0"/>
    <xf numFmtId="0" fontId="27" fillId="26" borderId="0" applyNumberFormat="0" applyBorder="0" applyAlignment="0" applyProtection="0"/>
    <xf numFmtId="0" fontId="27" fillId="17" borderId="0" applyNumberFormat="0" applyBorder="0" applyAlignment="0" applyProtection="0"/>
    <xf numFmtId="0" fontId="37" fillId="32" borderId="169">
      <alignment horizontal="right" vertical="center"/>
    </xf>
    <xf numFmtId="0" fontId="44" fillId="56" borderId="158" applyNumberFormat="0" applyAlignment="0" applyProtection="0"/>
    <xf numFmtId="0" fontId="2" fillId="0" borderId="15" applyNumberFormat="0" applyFill="0" applyAlignment="0" applyProtection="0"/>
    <xf numFmtId="4" fontId="33" fillId="32" borderId="162">
      <alignment horizontal="right" vertical="center"/>
    </xf>
    <xf numFmtId="0" fontId="63" fillId="56" borderId="158" applyNumberFormat="0" applyAlignment="0" applyProtection="0"/>
    <xf numFmtId="173" fontId="35" fillId="60" borderId="169" applyNumberFormat="0" applyFont="0" applyBorder="0" applyAlignment="0" applyProtection="0">
      <alignment horizontal="right" vertical="center"/>
    </xf>
    <xf numFmtId="0" fontId="35" fillId="0" borderId="162" applyNumberFormat="0" applyFill="0" applyAlignment="0" applyProtection="0"/>
    <xf numFmtId="0" fontId="27" fillId="17" borderId="0" applyNumberFormat="0" applyBorder="0" applyAlignment="0" applyProtection="0"/>
    <xf numFmtId="0" fontId="2" fillId="0" borderId="15" applyNumberFormat="0" applyFill="0" applyAlignment="0" applyProtection="0"/>
    <xf numFmtId="4" fontId="33" fillId="32" borderId="162">
      <alignment horizontal="right" vertical="center"/>
    </xf>
    <xf numFmtId="49" fontId="35" fillId="0" borderId="169" applyNumberFormat="0" applyFont="0" applyFill="0" applyBorder="0" applyProtection="0">
      <alignment horizontal="left" vertical="center" indent="2"/>
    </xf>
    <xf numFmtId="0" fontId="27" fillId="21" borderId="0" applyNumberFormat="0" applyBorder="0" applyAlignment="0" applyProtection="0"/>
    <xf numFmtId="0" fontId="27" fillId="30" borderId="0" applyNumberFormat="0" applyBorder="0" applyAlignment="0" applyProtection="0"/>
    <xf numFmtId="0" fontId="1" fillId="0" borderId="0" applyNumberFormat="0" applyFill="0" applyBorder="0" applyAlignment="0" applyProtection="0"/>
    <xf numFmtId="0" fontId="2" fillId="0" borderId="15" applyNumberFormat="0" applyFill="0" applyAlignment="0" applyProtection="0"/>
    <xf numFmtId="0" fontId="27" fillId="26" borderId="0" applyNumberFormat="0" applyBorder="0" applyAlignment="0" applyProtection="0"/>
    <xf numFmtId="0" fontId="29" fillId="13" borderId="14" applyNumberFormat="0" applyAlignment="0" applyProtection="0"/>
    <xf numFmtId="0" fontId="33" fillId="32" borderId="162">
      <alignment horizontal="right" vertical="center"/>
    </xf>
    <xf numFmtId="0" fontId="12" fillId="25" borderId="0" applyNumberFormat="0" applyBorder="0" applyAlignment="0" applyProtection="0"/>
    <xf numFmtId="0" fontId="27" fillId="27" borderId="0" applyNumberFormat="0" applyBorder="0" applyAlignment="0" applyProtection="0"/>
    <xf numFmtId="4" fontId="35" fillId="0" borderId="162">
      <alignment horizontal="right" vertical="center"/>
    </xf>
    <xf numFmtId="0" fontId="44" fillId="56" borderId="173" applyNumberFormat="0" applyAlignment="0" applyProtection="0"/>
    <xf numFmtId="0" fontId="27" fillId="27" borderId="0" applyNumberFormat="0" applyBorder="0" applyAlignment="0" applyProtection="0"/>
    <xf numFmtId="4" fontId="35" fillId="0" borderId="169">
      <alignment horizontal="right" vertical="center"/>
    </xf>
    <xf numFmtId="0" fontId="27" fillId="26" borderId="0" applyNumberFormat="0" applyBorder="0" applyAlignment="0" applyProtection="0"/>
    <xf numFmtId="0" fontId="35" fillId="0" borderId="172">
      <alignment horizontal="left" vertical="center" wrapText="1" indent="2"/>
    </xf>
    <xf numFmtId="0" fontId="27" fillId="20" borderId="0" applyNumberFormat="0" applyBorder="0" applyAlignment="0" applyProtection="0"/>
    <xf numFmtId="0" fontId="27" fillId="14" borderId="0" applyNumberFormat="0" applyBorder="0" applyAlignment="0" applyProtection="0"/>
    <xf numFmtId="0" fontId="66" fillId="0" borderId="160" applyNumberFormat="0" applyFill="0" applyAlignment="0" applyProtection="0"/>
    <xf numFmtId="0" fontId="47" fillId="56" borderId="159" applyNumberFormat="0" applyAlignment="0" applyProtection="0"/>
    <xf numFmtId="0" fontId="35" fillId="0" borderId="162">
      <alignment horizontal="right" vertical="center"/>
    </xf>
    <xf numFmtId="0" fontId="35" fillId="33" borderId="162"/>
    <xf numFmtId="0" fontId="35" fillId="32" borderId="170">
      <alignment horizontal="left" vertical="center"/>
    </xf>
    <xf numFmtId="0" fontId="12" fillId="22" borderId="0" applyNumberFormat="0" applyBorder="0" applyAlignment="0" applyProtection="0"/>
    <xf numFmtId="0" fontId="33" fillId="34" borderId="169">
      <alignment horizontal="right" vertical="center"/>
    </xf>
    <xf numFmtId="0" fontId="29" fillId="13" borderId="14" applyNumberFormat="0" applyAlignment="0" applyProtection="0"/>
    <xf numFmtId="0" fontId="35" fillId="0" borderId="162">
      <alignment horizontal="right" vertical="center"/>
    </xf>
    <xf numFmtId="0" fontId="2" fillId="0" borderId="15" applyNumberFormat="0" applyFill="0" applyAlignment="0" applyProtection="0"/>
    <xf numFmtId="0" fontId="29" fillId="13" borderId="14" applyNumberFormat="0" applyAlignment="0" applyProtection="0"/>
    <xf numFmtId="49" fontId="35" fillId="0" borderId="163" applyNumberFormat="0" applyFont="0" applyFill="0" applyBorder="0" applyProtection="0">
      <alignment horizontal="left" vertical="center" indent="5"/>
    </xf>
    <xf numFmtId="0" fontId="33" fillId="34" borderId="162">
      <alignment horizontal="right" vertical="center"/>
    </xf>
    <xf numFmtId="0" fontId="35" fillId="0" borderId="162">
      <alignment horizontal="right" vertical="center"/>
    </xf>
    <xf numFmtId="0" fontId="31" fillId="0" borderId="0" applyNumberFormat="0" applyFill="0" applyBorder="0" applyAlignment="0" applyProtection="0"/>
    <xf numFmtId="0" fontId="12" fillId="31" borderId="0" applyNumberFormat="0" applyBorder="0" applyAlignment="0" applyProtection="0"/>
    <xf numFmtId="0" fontId="33" fillId="34" borderId="154">
      <alignment horizontal="right" vertical="center"/>
    </xf>
    <xf numFmtId="0" fontId="63" fillId="56" borderId="158" applyNumberFormat="0" applyAlignment="0" applyProtection="0"/>
    <xf numFmtId="4" fontId="35" fillId="0" borderId="162">
      <alignment horizontal="right" vertical="center"/>
    </xf>
    <xf numFmtId="0" fontId="35" fillId="0" borderId="162">
      <alignment horizontal="right" vertical="center"/>
    </xf>
    <xf numFmtId="0" fontId="27" fillId="24" borderId="0" applyNumberFormat="0" applyBorder="0" applyAlignment="0" applyProtection="0"/>
    <xf numFmtId="0" fontId="27" fillId="18" borderId="0" applyNumberFormat="0" applyBorder="0" applyAlignment="0" applyProtection="0"/>
    <xf numFmtId="4" fontId="33" fillId="32" borderId="169">
      <alignment horizontal="right" vertical="center"/>
    </xf>
    <xf numFmtId="0" fontId="27" fillId="23" borderId="0" applyNumberFormat="0" applyBorder="0" applyAlignment="0" applyProtection="0"/>
    <xf numFmtId="0" fontId="29" fillId="13" borderId="14" applyNumberFormat="0" applyAlignment="0" applyProtection="0"/>
    <xf numFmtId="4" fontId="33" fillId="34" borderId="162">
      <alignment horizontal="right" vertical="center"/>
    </xf>
    <xf numFmtId="0" fontId="63" fillId="56" borderId="158" applyNumberFormat="0" applyAlignment="0" applyProtection="0"/>
    <xf numFmtId="4" fontId="37" fillId="32" borderId="162">
      <alignment horizontal="right" vertical="center"/>
    </xf>
    <xf numFmtId="4" fontId="37" fillId="32" borderId="162">
      <alignment horizontal="right" vertical="center"/>
    </xf>
    <xf numFmtId="0" fontId="27" fillId="30" borderId="0" applyNumberFormat="0" applyBorder="0" applyAlignment="0" applyProtection="0"/>
    <xf numFmtId="0" fontId="47" fillId="56" borderId="159" applyNumberFormat="0" applyAlignment="0" applyProtection="0"/>
    <xf numFmtId="0" fontId="31" fillId="0" borderId="0" applyNumberFormat="0" applyFill="0" applyBorder="0" applyAlignment="0" applyProtection="0"/>
    <xf numFmtId="49" fontId="35" fillId="0" borderId="162" applyNumberFormat="0" applyFont="0" applyFill="0" applyBorder="0" applyProtection="0">
      <alignment horizontal="left" vertical="center" indent="2"/>
    </xf>
    <xf numFmtId="0" fontId="29" fillId="13" borderId="14" applyNumberFormat="0" applyAlignment="0" applyProtection="0"/>
    <xf numFmtId="0" fontId="12" fillId="31" borderId="0" applyNumberFormat="0" applyBorder="0" applyAlignment="0" applyProtection="0"/>
    <xf numFmtId="0" fontId="1" fillId="0" borderId="0" applyNumberFormat="0" applyFill="0" applyBorder="0" applyAlignment="0" applyProtection="0"/>
    <xf numFmtId="4" fontId="33" fillId="34" borderId="164">
      <alignment horizontal="right" vertical="center"/>
    </xf>
    <xf numFmtId="0" fontId="27" fillId="24" borderId="0" applyNumberFormat="0" applyBorder="0" applyAlignment="0" applyProtection="0"/>
    <xf numFmtId="0" fontId="41" fillId="59" borderId="161" applyNumberFormat="0" applyFont="0" applyAlignment="0" applyProtection="0"/>
    <xf numFmtId="0" fontId="41" fillId="59" borderId="161" applyNumberFormat="0" applyFont="0" applyAlignment="0" applyProtection="0"/>
    <xf numFmtId="0" fontId="1" fillId="0" borderId="0" applyNumberFormat="0" applyFill="0" applyBorder="0" applyAlignment="0" applyProtection="0"/>
    <xf numFmtId="0" fontId="30" fillId="13" borderId="13" applyNumberFormat="0" applyAlignment="0" applyProtection="0"/>
    <xf numFmtId="173" fontId="35" fillId="60" borderId="162" applyNumberFormat="0" applyFont="0" applyBorder="0" applyAlignment="0" applyProtection="0">
      <alignment horizontal="right" vertical="center"/>
    </xf>
    <xf numFmtId="0" fontId="41" fillId="59" borderId="161" applyNumberFormat="0" applyFont="0" applyAlignment="0" applyProtection="0"/>
    <xf numFmtId="0" fontId="59" fillId="43" borderId="166" applyNumberFormat="0" applyAlignment="0" applyProtection="0"/>
    <xf numFmtId="0" fontId="29" fillId="13" borderId="14" applyNumberFormat="0" applyAlignment="0" applyProtection="0"/>
    <xf numFmtId="0" fontId="50" fillId="43" borderId="166" applyNumberFormat="0" applyAlignment="0" applyProtection="0"/>
    <xf numFmtId="0" fontId="27" fillId="21" borderId="0" applyNumberFormat="0" applyBorder="0" applyAlignment="0" applyProtection="0"/>
    <xf numFmtId="0" fontId="27" fillId="21" borderId="0" applyNumberFormat="0" applyBorder="0" applyAlignment="0" applyProtection="0"/>
    <xf numFmtId="0" fontId="27" fillId="14" borderId="0" applyNumberFormat="0" applyBorder="0" applyAlignment="0" applyProtection="0"/>
    <xf numFmtId="0" fontId="33" fillId="34" borderId="171">
      <alignment horizontal="right" vertical="center"/>
    </xf>
    <xf numFmtId="0" fontId="35" fillId="34" borderId="165">
      <alignment horizontal="left" vertical="center" wrapText="1" indent="2"/>
    </xf>
    <xf numFmtId="0" fontId="35" fillId="0" borderId="172">
      <alignment horizontal="left" vertical="center" wrapText="1" indent="2"/>
    </xf>
    <xf numFmtId="0" fontId="27" fillId="21" borderId="0" applyNumberFormat="0" applyBorder="0" applyAlignment="0" applyProtection="0"/>
    <xf numFmtId="0" fontId="27" fillId="26" borderId="0" applyNumberFormat="0" applyBorder="0" applyAlignment="0" applyProtection="0"/>
    <xf numFmtId="0" fontId="46" fillId="56" borderId="166" applyNumberFormat="0" applyAlignment="0" applyProtection="0"/>
    <xf numFmtId="0" fontId="27" fillId="26" borderId="0" applyNumberFormat="0" applyBorder="0" applyAlignment="0" applyProtection="0"/>
    <xf numFmtId="0" fontId="63" fillId="56" borderId="158" applyNumberFormat="0" applyAlignment="0" applyProtection="0"/>
    <xf numFmtId="0" fontId="35" fillId="0" borderId="162" applyNumberFormat="0" applyFill="0" applyAlignment="0" applyProtection="0"/>
    <xf numFmtId="4" fontId="33" fillId="34" borderId="164">
      <alignment horizontal="right" vertical="center"/>
    </xf>
    <xf numFmtId="49" fontId="34" fillId="0" borderId="169" applyNumberFormat="0" applyFill="0" applyBorder="0" applyProtection="0">
      <alignment horizontal="left" vertical="center"/>
    </xf>
    <xf numFmtId="0" fontId="33" fillId="34" borderId="164">
      <alignment horizontal="right" vertical="center"/>
    </xf>
    <xf numFmtId="0" fontId="51" fillId="0" borderId="160" applyNumberFormat="0" applyFill="0" applyAlignment="0" applyProtection="0"/>
    <xf numFmtId="49" fontId="34" fillId="0" borderId="169" applyNumberFormat="0" applyFill="0" applyBorder="0" applyProtection="0">
      <alignment horizontal="left" vertical="center"/>
    </xf>
    <xf numFmtId="0" fontId="50" fillId="43" borderId="166" applyNumberFormat="0" applyAlignment="0" applyProtection="0"/>
    <xf numFmtId="0" fontId="27" fillId="21" borderId="0" applyNumberFormat="0" applyBorder="0" applyAlignment="0" applyProtection="0"/>
    <xf numFmtId="0" fontId="33" fillId="34" borderId="162">
      <alignment horizontal="right" vertical="center"/>
    </xf>
    <xf numFmtId="0" fontId="35" fillId="34" borderId="165">
      <alignment horizontal="left" vertical="center" wrapText="1" indent="2"/>
    </xf>
    <xf numFmtId="4" fontId="37" fillId="32" borderId="162">
      <alignment horizontal="right" vertical="center"/>
    </xf>
    <xf numFmtId="0" fontId="27" fillId="15" borderId="0" applyNumberFormat="0" applyBorder="0" applyAlignment="0" applyProtection="0"/>
    <xf numFmtId="0" fontId="12" fillId="19" borderId="0" applyNumberFormat="0" applyBorder="0" applyAlignment="0" applyProtection="0"/>
    <xf numFmtId="0" fontId="1" fillId="0" borderId="0" applyNumberFormat="0" applyFill="0" applyBorder="0" applyAlignment="0" applyProtection="0"/>
    <xf numFmtId="0" fontId="35" fillId="0" borderId="162" applyNumberFormat="0" applyFill="0" applyAlignment="0" applyProtection="0"/>
    <xf numFmtId="0" fontId="12" fillId="28" borderId="0" applyNumberFormat="0" applyBorder="0" applyAlignment="0" applyProtection="0"/>
    <xf numFmtId="4" fontId="37" fillId="32" borderId="162">
      <alignment horizontal="right" vertical="center"/>
    </xf>
    <xf numFmtId="0" fontId="66" fillId="0" borderId="160" applyNumberFormat="0" applyFill="0" applyAlignment="0" applyProtection="0"/>
    <xf numFmtId="0" fontId="27" fillId="29" borderId="0" applyNumberFormat="0" applyBorder="0" applyAlignment="0" applyProtection="0"/>
    <xf numFmtId="4" fontId="33" fillId="34" borderId="162">
      <alignment horizontal="right" vertical="center"/>
    </xf>
    <xf numFmtId="0" fontId="12" fillId="28" borderId="0" applyNumberFormat="0" applyBorder="0" applyAlignment="0" applyProtection="0"/>
    <xf numFmtId="0" fontId="66" fillId="0" borderId="160" applyNumberFormat="0" applyFill="0" applyAlignment="0" applyProtection="0"/>
    <xf numFmtId="0" fontId="51" fillId="0" borderId="167" applyNumberFormat="0" applyFill="0" applyAlignment="0" applyProtection="0"/>
    <xf numFmtId="0" fontId="27" fillId="18" borderId="0" applyNumberFormat="0" applyBorder="0" applyAlignment="0" applyProtection="0"/>
    <xf numFmtId="49" fontId="35" fillId="0" borderId="163" applyNumberFormat="0" applyFont="0" applyFill="0" applyBorder="0" applyProtection="0">
      <alignment horizontal="left" vertical="center" indent="5"/>
    </xf>
    <xf numFmtId="0" fontId="27" fillId="21" borderId="0" applyNumberFormat="0" applyBorder="0" applyAlignment="0" applyProtection="0"/>
    <xf numFmtId="0" fontId="33" fillId="34" borderId="169">
      <alignment horizontal="right" vertical="center"/>
    </xf>
    <xf numFmtId="0" fontId="30" fillId="13" borderId="13" applyNumberFormat="0" applyAlignment="0" applyProtection="0"/>
    <xf numFmtId="0" fontId="35" fillId="0" borderId="162" applyNumberFormat="0" applyFill="0" applyAlignment="0" applyProtection="0"/>
    <xf numFmtId="0" fontId="44" fillId="56" borderId="158" applyNumberFormat="0" applyAlignment="0" applyProtection="0"/>
    <xf numFmtId="0" fontId="1" fillId="0" borderId="0" applyNumberFormat="0" applyFill="0" applyBorder="0" applyAlignment="0" applyProtection="0"/>
    <xf numFmtId="0" fontId="51" fillId="0" borderId="167" applyNumberFormat="0" applyFill="0" applyAlignment="0" applyProtection="0"/>
    <xf numFmtId="0" fontId="33" fillId="34" borderId="164">
      <alignment horizontal="right" vertical="center"/>
    </xf>
    <xf numFmtId="0" fontId="33" fillId="34" borderId="164">
      <alignment horizontal="right" vertical="center"/>
    </xf>
    <xf numFmtId="0" fontId="59" fillId="43" borderId="166" applyNumberFormat="0" applyAlignment="0" applyProtection="0"/>
    <xf numFmtId="0" fontId="27" fillId="14" borderId="0" applyNumberFormat="0" applyBorder="0" applyAlignment="0" applyProtection="0"/>
    <xf numFmtId="4" fontId="33" fillId="34" borderId="162">
      <alignment horizontal="right" vertical="center"/>
    </xf>
    <xf numFmtId="0" fontId="1" fillId="0" borderId="0" applyNumberFormat="0" applyFill="0" applyBorder="0" applyAlignment="0" applyProtection="0"/>
    <xf numFmtId="0" fontId="33" fillId="32" borderId="162">
      <alignment horizontal="right" vertical="center"/>
    </xf>
    <xf numFmtId="0" fontId="12" fillId="22" borderId="0" applyNumberFormat="0" applyBorder="0" applyAlignment="0" applyProtection="0"/>
    <xf numFmtId="0" fontId="35" fillId="34" borderId="165">
      <alignment horizontal="left" vertical="center" wrapText="1" indent="2"/>
    </xf>
    <xf numFmtId="173" fontId="35" fillId="60" borderId="162" applyNumberFormat="0" applyFont="0" applyBorder="0" applyAlignment="0" applyProtection="0">
      <alignment horizontal="right" vertical="center"/>
    </xf>
    <xf numFmtId="0" fontId="27" fillId="23" borderId="0" applyNumberFormat="0" applyBorder="0" applyAlignment="0" applyProtection="0"/>
    <xf numFmtId="0" fontId="66" fillId="0" borderId="167" applyNumberFormat="0" applyFill="0" applyAlignment="0" applyProtection="0"/>
    <xf numFmtId="0" fontId="31" fillId="0" borderId="0" applyNumberFormat="0" applyFill="0" applyBorder="0" applyAlignment="0" applyProtection="0"/>
    <xf numFmtId="0" fontId="27" fillId="17" borderId="0" applyNumberFormat="0" applyBorder="0" applyAlignment="0" applyProtection="0"/>
    <xf numFmtId="0" fontId="12" fillId="31" borderId="0" applyNumberFormat="0" applyBorder="0" applyAlignment="0" applyProtection="0"/>
    <xf numFmtId="4" fontId="33" fillId="32" borderId="169">
      <alignment horizontal="right" vertical="center"/>
    </xf>
    <xf numFmtId="0" fontId="50" fillId="43" borderId="159" applyNumberFormat="0" applyAlignment="0" applyProtection="0"/>
    <xf numFmtId="0" fontId="35" fillId="32" borderId="163">
      <alignment horizontal="left" vertical="center"/>
    </xf>
    <xf numFmtId="0" fontId="12" fillId="28" borderId="0" applyNumberFormat="0" applyBorder="0" applyAlignment="0" applyProtection="0"/>
    <xf numFmtId="0" fontId="27" fillId="26" borderId="0" applyNumberFormat="0" applyBorder="0" applyAlignment="0" applyProtection="0"/>
    <xf numFmtId="0" fontId="35" fillId="0" borderId="169">
      <alignment horizontal="right" vertical="center"/>
    </xf>
    <xf numFmtId="0" fontId="33" fillId="34" borderId="171">
      <alignment horizontal="right" vertical="center"/>
    </xf>
    <xf numFmtId="0" fontId="63" fillId="56" borderId="158" applyNumberFormat="0" applyAlignment="0" applyProtection="0"/>
    <xf numFmtId="0" fontId="12" fillId="22" borderId="0" applyNumberFormat="0" applyBorder="0" applyAlignment="0" applyProtection="0"/>
    <xf numFmtId="0" fontId="63" fillId="56" borderId="158" applyNumberFormat="0" applyAlignment="0" applyProtection="0"/>
    <xf numFmtId="0" fontId="35" fillId="33" borderId="162"/>
    <xf numFmtId="0" fontId="12" fillId="19" borderId="0" applyNumberFormat="0" applyBorder="0" applyAlignment="0" applyProtection="0"/>
    <xf numFmtId="173" fontId="35" fillId="60" borderId="162" applyNumberFormat="0" applyFont="0" applyBorder="0" applyAlignment="0" applyProtection="0">
      <alignment horizontal="right" vertical="center"/>
    </xf>
    <xf numFmtId="0" fontId="12" fillId="28" borderId="0" applyNumberFormat="0" applyBorder="0" applyAlignment="0" applyProtection="0"/>
    <xf numFmtId="4" fontId="35" fillId="33" borderId="169"/>
    <xf numFmtId="0" fontId="47" fillId="56" borderId="159" applyNumberFormat="0" applyAlignment="0" applyProtection="0"/>
    <xf numFmtId="0" fontId="12" fillId="19" borderId="0" applyNumberFormat="0" applyBorder="0" applyAlignment="0" applyProtection="0"/>
    <xf numFmtId="0" fontId="12" fillId="25" borderId="0" applyNumberFormat="0" applyBorder="0" applyAlignment="0" applyProtection="0"/>
    <xf numFmtId="0" fontId="31" fillId="0" borderId="0" applyNumberFormat="0" applyFill="0" applyBorder="0" applyAlignment="0" applyProtection="0"/>
    <xf numFmtId="0" fontId="30" fillId="13" borderId="13" applyNumberFormat="0" applyAlignment="0" applyProtection="0"/>
    <xf numFmtId="0" fontId="51" fillId="0" borderId="167" applyNumberFormat="0" applyFill="0" applyAlignment="0" applyProtection="0"/>
    <xf numFmtId="0" fontId="12" fillId="28" borderId="0" applyNumberFormat="0" applyBorder="0" applyAlignment="0" applyProtection="0"/>
    <xf numFmtId="0" fontId="27" fillId="24" borderId="0" applyNumberFormat="0" applyBorder="0" applyAlignment="0" applyProtection="0"/>
    <xf numFmtId="0" fontId="27" fillId="23" borderId="0" applyNumberFormat="0" applyBorder="0" applyAlignment="0" applyProtection="0"/>
    <xf numFmtId="0" fontId="41" fillId="59" borderId="161" applyNumberFormat="0" applyFont="0" applyAlignment="0" applyProtection="0"/>
    <xf numFmtId="4" fontId="35" fillId="0" borderId="169">
      <alignment horizontal="right" vertical="center"/>
    </xf>
    <xf numFmtId="0" fontId="27" fillId="30" borderId="0" applyNumberFormat="0" applyBorder="0" applyAlignment="0" applyProtection="0"/>
    <xf numFmtId="0" fontId="35" fillId="0" borderId="172">
      <alignment horizontal="left" vertical="center" wrapText="1" indent="2"/>
    </xf>
    <xf numFmtId="49" fontId="35" fillId="0" borderId="169" applyNumberFormat="0" applyFont="0" applyFill="0" applyBorder="0" applyProtection="0">
      <alignment horizontal="left" vertical="center" indent="2"/>
    </xf>
    <xf numFmtId="0" fontId="37" fillId="32" borderId="162">
      <alignment horizontal="right" vertical="center"/>
    </xf>
    <xf numFmtId="0" fontId="12" fillId="31" borderId="0" applyNumberFormat="0" applyBorder="0" applyAlignment="0" applyProtection="0"/>
    <xf numFmtId="0" fontId="27" fillId="14" borderId="0" applyNumberFormat="0" applyBorder="0" applyAlignment="0" applyProtection="0"/>
    <xf numFmtId="0" fontId="27" fillId="23" borderId="0" applyNumberFormat="0" applyBorder="0" applyAlignment="0" applyProtection="0"/>
    <xf numFmtId="0" fontId="33" fillId="34" borderId="170">
      <alignment horizontal="right" vertical="center"/>
    </xf>
    <xf numFmtId="4" fontId="37" fillId="32" borderId="169">
      <alignment horizontal="right" vertical="center"/>
    </xf>
    <xf numFmtId="0" fontId="47" fillId="56" borderId="159" applyNumberFormat="0" applyAlignment="0" applyProtection="0"/>
    <xf numFmtId="0" fontId="35" fillId="33" borderId="169"/>
    <xf numFmtId="0" fontId="27" fillId="24" borderId="0" applyNumberFormat="0" applyBorder="0" applyAlignment="0" applyProtection="0"/>
    <xf numFmtId="0" fontId="66" fillId="0" borderId="160" applyNumberFormat="0" applyFill="0" applyAlignment="0" applyProtection="0"/>
    <xf numFmtId="0" fontId="33" fillId="32" borderId="162">
      <alignment horizontal="right" vertical="center"/>
    </xf>
    <xf numFmtId="4" fontId="37" fillId="32" borderId="162">
      <alignment horizontal="right" vertical="center"/>
    </xf>
    <xf numFmtId="0" fontId="63" fillId="56" borderId="173" applyNumberFormat="0" applyAlignment="0" applyProtection="0"/>
    <xf numFmtId="0" fontId="63" fillId="56" borderId="158" applyNumberFormat="0" applyAlignment="0" applyProtection="0"/>
    <xf numFmtId="0" fontId="2" fillId="0" borderId="15" applyNumberFormat="0" applyFill="0" applyAlignment="0" applyProtection="0"/>
    <xf numFmtId="4" fontId="35" fillId="33" borderId="162"/>
    <xf numFmtId="0" fontId="27" fillId="27" borderId="0" applyNumberFormat="0" applyBorder="0" applyAlignment="0" applyProtection="0"/>
    <xf numFmtId="0" fontId="46" fillId="56" borderId="166" applyNumberFormat="0" applyAlignment="0" applyProtection="0"/>
    <xf numFmtId="0" fontId="27" fillId="20" borderId="0" applyNumberFormat="0" applyBorder="0" applyAlignment="0" applyProtection="0"/>
    <xf numFmtId="0" fontId="47" fillId="56" borderId="159" applyNumberFormat="0" applyAlignment="0" applyProtection="0"/>
    <xf numFmtId="0" fontId="31" fillId="0" borderId="0" applyNumberFormat="0" applyFill="0" applyBorder="0" applyAlignment="0" applyProtection="0"/>
    <xf numFmtId="0" fontId="33" fillId="34" borderId="162">
      <alignment horizontal="right" vertical="center"/>
    </xf>
    <xf numFmtId="0" fontId="33" fillId="34" borderId="169">
      <alignment horizontal="right" vertical="center"/>
    </xf>
    <xf numFmtId="0" fontId="66" fillId="0" borderId="160" applyNumberFormat="0" applyFill="0" applyAlignment="0" applyProtection="0"/>
    <xf numFmtId="49" fontId="35" fillId="0" borderId="169" applyNumberFormat="0" applyFont="0" applyFill="0" applyBorder="0" applyProtection="0">
      <alignment horizontal="left" vertical="center" indent="2"/>
    </xf>
    <xf numFmtId="0" fontId="30" fillId="13" borderId="13" applyNumberFormat="0" applyAlignment="0" applyProtection="0"/>
    <xf numFmtId="0" fontId="27" fillId="30" borderId="0" applyNumberFormat="0" applyBorder="0" applyAlignment="0" applyProtection="0"/>
    <xf numFmtId="0" fontId="1" fillId="0" borderId="0" applyNumberFormat="0" applyFill="0" applyBorder="0" applyAlignment="0" applyProtection="0"/>
    <xf numFmtId="0" fontId="2" fillId="0" borderId="15" applyNumberFormat="0" applyFill="0" applyAlignment="0" applyProtection="0"/>
    <xf numFmtId="0" fontId="27" fillId="29" borderId="0" applyNumberFormat="0" applyBorder="0" applyAlignment="0" applyProtection="0"/>
    <xf numFmtId="0" fontId="27" fillId="26" borderId="0" applyNumberFormat="0" applyBorder="0" applyAlignment="0" applyProtection="0"/>
    <xf numFmtId="0" fontId="27" fillId="20" borderId="0" applyNumberFormat="0" applyBorder="0" applyAlignment="0" applyProtection="0"/>
    <xf numFmtId="4" fontId="35" fillId="0" borderId="162" applyFill="0" applyBorder="0" applyProtection="0">
      <alignment horizontal="right" vertical="center"/>
    </xf>
    <xf numFmtId="0" fontId="41" fillId="59" borderId="168" applyNumberFormat="0" applyFont="0" applyAlignment="0" applyProtection="0"/>
    <xf numFmtId="4" fontId="33" fillId="34" borderId="170">
      <alignment horizontal="right" vertical="center"/>
    </xf>
    <xf numFmtId="4" fontId="35" fillId="0" borderId="169" applyFill="0" applyBorder="0" applyProtection="0">
      <alignment horizontal="right" vertical="center"/>
    </xf>
    <xf numFmtId="0" fontId="27" fillId="24" borderId="0" applyNumberFormat="0" applyBorder="0" applyAlignment="0" applyProtection="0"/>
    <xf numFmtId="0" fontId="47" fillId="56" borderId="159" applyNumberFormat="0" applyAlignment="0" applyProtection="0"/>
    <xf numFmtId="0" fontId="29" fillId="13" borderId="14" applyNumberFormat="0" applyAlignment="0" applyProtection="0"/>
    <xf numFmtId="0" fontId="31" fillId="0" borderId="0" applyNumberFormat="0" applyFill="0" applyBorder="0" applyAlignment="0" applyProtection="0"/>
    <xf numFmtId="0" fontId="41" fillId="59" borderId="168" applyNumberFormat="0" applyFont="0" applyAlignment="0" applyProtection="0"/>
    <xf numFmtId="0" fontId="27" fillId="17" borderId="0" applyNumberFormat="0" applyBorder="0" applyAlignment="0" applyProtection="0"/>
    <xf numFmtId="4" fontId="35" fillId="33" borderId="162"/>
    <xf numFmtId="0" fontId="27" fillId="23" borderId="0" applyNumberFormat="0" applyBorder="0" applyAlignment="0" applyProtection="0"/>
    <xf numFmtId="0" fontId="27" fillId="18" borderId="0" applyNumberFormat="0" applyBorder="0" applyAlignment="0" applyProtection="0"/>
    <xf numFmtId="0" fontId="47" fillId="56" borderId="166" applyNumberFormat="0" applyAlignment="0" applyProtection="0"/>
    <xf numFmtId="0" fontId="1" fillId="0" borderId="0" applyNumberFormat="0" applyFill="0" applyBorder="0" applyAlignment="0" applyProtection="0"/>
    <xf numFmtId="0" fontId="27" fillId="30" borderId="0" applyNumberFormat="0" applyBorder="0" applyAlignment="0" applyProtection="0"/>
    <xf numFmtId="0" fontId="35" fillId="33" borderId="169"/>
    <xf numFmtId="0" fontId="27" fillId="17" borderId="0" applyNumberFormat="0" applyBorder="0" applyAlignment="0" applyProtection="0"/>
    <xf numFmtId="0" fontId="12" fillId="22" borderId="0" applyNumberFormat="0" applyBorder="0" applyAlignment="0" applyProtection="0"/>
    <xf numFmtId="4" fontId="33" fillId="32" borderId="162">
      <alignment horizontal="right" vertical="center"/>
    </xf>
    <xf numFmtId="0" fontId="44" fillId="56" borderId="158" applyNumberFormat="0" applyAlignment="0" applyProtection="0"/>
    <xf numFmtId="4" fontId="35" fillId="0" borderId="169" applyFill="0" applyBorder="0" applyProtection="0">
      <alignment horizontal="right" vertical="center"/>
    </xf>
    <xf numFmtId="4" fontId="33" fillId="34" borderId="169">
      <alignment horizontal="right" vertical="center"/>
    </xf>
    <xf numFmtId="0" fontId="33" fillId="32" borderId="162">
      <alignment horizontal="right" vertical="center"/>
    </xf>
    <xf numFmtId="0" fontId="27" fillId="30" borderId="0" applyNumberFormat="0" applyBorder="0" applyAlignment="0" applyProtection="0"/>
    <xf numFmtId="0" fontId="35" fillId="0" borderId="165">
      <alignment horizontal="left" vertical="center" wrapText="1" indent="2"/>
    </xf>
    <xf numFmtId="0" fontId="30" fillId="13" borderId="13" applyNumberFormat="0" applyAlignment="0" applyProtection="0"/>
    <xf numFmtId="0" fontId="12" fillId="31" borderId="0" applyNumberFormat="0" applyBorder="0" applyAlignment="0" applyProtection="0"/>
    <xf numFmtId="0" fontId="63" fillId="56" borderId="173" applyNumberFormat="0" applyAlignment="0" applyProtection="0"/>
    <xf numFmtId="4" fontId="35" fillId="0" borderId="169" applyFill="0" applyBorder="0" applyProtection="0">
      <alignment horizontal="right" vertical="center"/>
    </xf>
    <xf numFmtId="0" fontId="27" fillId="15" borderId="0" applyNumberFormat="0" applyBorder="0" applyAlignment="0" applyProtection="0"/>
    <xf numFmtId="0" fontId="27" fillId="23" borderId="0" applyNumberFormat="0" applyBorder="0" applyAlignment="0" applyProtection="0"/>
    <xf numFmtId="0" fontId="12" fillId="25" borderId="0" applyNumberFormat="0" applyBorder="0" applyAlignment="0" applyProtection="0"/>
    <xf numFmtId="0" fontId="66" fillId="0" borderId="160" applyNumberFormat="0" applyFill="0" applyAlignment="0" applyProtection="0"/>
    <xf numFmtId="0" fontId="47" fillId="56" borderId="159" applyNumberFormat="0" applyAlignment="0" applyProtection="0"/>
    <xf numFmtId="0" fontId="27" fillId="21" borderId="0" applyNumberFormat="0" applyBorder="0" applyAlignment="0" applyProtection="0"/>
    <xf numFmtId="0" fontId="30" fillId="13" borderId="13" applyNumberFormat="0" applyAlignment="0" applyProtection="0"/>
    <xf numFmtId="0" fontId="46" fillId="56" borderId="159" applyNumberFormat="0" applyAlignment="0" applyProtection="0"/>
    <xf numFmtId="0" fontId="30" fillId="13" borderId="13" applyNumberFormat="0" applyAlignment="0" applyProtection="0"/>
    <xf numFmtId="0" fontId="29" fillId="13" borderId="14" applyNumberFormat="0" applyAlignment="0" applyProtection="0"/>
    <xf numFmtId="0" fontId="51" fillId="0" borderId="160" applyNumberFormat="0" applyFill="0" applyAlignment="0" applyProtection="0"/>
    <xf numFmtId="0" fontId="63" fillId="56" borderId="158" applyNumberFormat="0" applyAlignment="0" applyProtection="0"/>
    <xf numFmtId="4" fontId="35" fillId="33" borderId="162"/>
    <xf numFmtId="0" fontId="27" fillId="30" borderId="0" applyNumberFormat="0" applyBorder="0" applyAlignment="0" applyProtection="0"/>
    <xf numFmtId="0" fontId="2" fillId="0" borderId="15" applyNumberFormat="0" applyFill="0" applyAlignment="0" applyProtection="0"/>
    <xf numFmtId="4" fontId="33" fillId="34" borderId="162">
      <alignment horizontal="right" vertical="center"/>
    </xf>
    <xf numFmtId="173" fontId="35" fillId="60" borderId="169" applyNumberFormat="0" applyFont="0" applyBorder="0" applyAlignment="0" applyProtection="0">
      <alignment horizontal="right" vertical="center"/>
    </xf>
    <xf numFmtId="0" fontId="50" fillId="43" borderId="159" applyNumberFormat="0" applyAlignment="0" applyProtection="0"/>
    <xf numFmtId="4" fontId="33" fillId="34" borderId="162">
      <alignment horizontal="right" vertical="center"/>
    </xf>
    <xf numFmtId="0" fontId="33" fillId="34" borderId="162">
      <alignment horizontal="right" vertical="center"/>
    </xf>
    <xf numFmtId="0" fontId="12" fillId="19" borderId="0" applyNumberFormat="0" applyBorder="0" applyAlignment="0" applyProtection="0"/>
    <xf numFmtId="0" fontId="12" fillId="28" borderId="0" applyNumberFormat="0" applyBorder="0" applyAlignment="0" applyProtection="0"/>
    <xf numFmtId="0" fontId="27" fillId="23" borderId="0" applyNumberFormat="0" applyBorder="0" applyAlignment="0" applyProtection="0"/>
    <xf numFmtId="0" fontId="12" fillId="25" borderId="0" applyNumberFormat="0" applyBorder="0" applyAlignment="0" applyProtection="0"/>
    <xf numFmtId="0" fontId="27" fillId="23" borderId="0" applyNumberFormat="0" applyBorder="0" applyAlignment="0" applyProtection="0"/>
    <xf numFmtId="0" fontId="27" fillId="18" borderId="0" applyNumberFormat="0" applyBorder="0" applyAlignment="0" applyProtection="0"/>
    <xf numFmtId="0" fontId="47" fillId="56" borderId="159" applyNumberFormat="0" applyAlignment="0" applyProtection="0"/>
    <xf numFmtId="0" fontId="46" fillId="56" borderId="159" applyNumberFormat="0" applyAlignment="0" applyProtection="0"/>
    <xf numFmtId="0" fontId="27" fillId="20" borderId="0" applyNumberFormat="0" applyBorder="0" applyAlignment="0" applyProtection="0"/>
    <xf numFmtId="0" fontId="59" fillId="43" borderId="166" applyNumberFormat="0" applyAlignment="0" applyProtection="0"/>
    <xf numFmtId="0" fontId="12" fillId="22" borderId="0" applyNumberFormat="0" applyBorder="0" applyAlignment="0" applyProtection="0"/>
    <xf numFmtId="0" fontId="29" fillId="13" borderId="14" applyNumberFormat="0" applyAlignment="0" applyProtection="0"/>
    <xf numFmtId="0" fontId="35" fillId="34" borderId="165">
      <alignment horizontal="left" vertical="center" wrapText="1" indent="2"/>
    </xf>
    <xf numFmtId="0" fontId="37" fillId="32" borderId="169">
      <alignment horizontal="right" vertical="center"/>
    </xf>
    <xf numFmtId="4" fontId="33" fillId="34" borderId="169">
      <alignment horizontal="right" vertical="center"/>
    </xf>
    <xf numFmtId="0" fontId="35" fillId="0" borderId="165">
      <alignment horizontal="left" vertical="center" wrapText="1" indent="2"/>
    </xf>
    <xf numFmtId="0" fontId="31" fillId="0" borderId="0" applyNumberFormat="0" applyFill="0" applyBorder="0" applyAlignment="0" applyProtection="0"/>
    <xf numFmtId="4" fontId="35" fillId="0" borderId="162" applyFill="0" applyBorder="0" applyProtection="0">
      <alignment horizontal="right" vertical="center"/>
    </xf>
    <xf numFmtId="0" fontId="12" fillId="28" borderId="0" applyNumberFormat="0" applyBorder="0" applyAlignment="0" applyProtection="0"/>
    <xf numFmtId="0" fontId="12" fillId="22" borderId="0" applyNumberFormat="0" applyBorder="0" applyAlignment="0" applyProtection="0"/>
    <xf numFmtId="0" fontId="35" fillId="0" borderId="165">
      <alignment horizontal="left" vertical="center" wrapText="1" indent="2"/>
    </xf>
    <xf numFmtId="4" fontId="35" fillId="0" borderId="162" applyFill="0" applyBorder="0" applyProtection="0">
      <alignment horizontal="right" vertical="center"/>
    </xf>
    <xf numFmtId="0" fontId="33" fillId="34" borderId="164">
      <alignment horizontal="right" vertical="center"/>
    </xf>
    <xf numFmtId="0" fontId="12" fillId="16" borderId="0" applyNumberFormat="0" applyBorder="0" applyAlignment="0" applyProtection="0"/>
    <xf numFmtId="0" fontId="35" fillId="34" borderId="165">
      <alignment horizontal="left" vertical="center" wrapText="1" indent="2"/>
    </xf>
    <xf numFmtId="0" fontId="59" fillId="43" borderId="166" applyNumberFormat="0" applyAlignment="0" applyProtection="0"/>
    <xf numFmtId="0" fontId="27" fillId="24" borderId="0" applyNumberFormat="0" applyBorder="0" applyAlignment="0" applyProtection="0"/>
    <xf numFmtId="0" fontId="27" fillId="20" borderId="0" applyNumberFormat="0" applyBorder="0" applyAlignment="0" applyProtection="0"/>
    <xf numFmtId="0" fontId="35" fillId="0" borderId="172">
      <alignment horizontal="left" vertical="center" wrapText="1" indent="2"/>
    </xf>
    <xf numFmtId="0" fontId="12" fillId="19" borderId="0" applyNumberFormat="0" applyBorder="0" applyAlignment="0" applyProtection="0"/>
    <xf numFmtId="0" fontId="33" fillId="34" borderId="169">
      <alignment horizontal="right" vertical="center"/>
    </xf>
    <xf numFmtId="49" fontId="35" fillId="0" borderId="169" applyNumberFormat="0" applyFont="0" applyFill="0" applyBorder="0" applyProtection="0">
      <alignment horizontal="left" vertical="center" indent="2"/>
    </xf>
    <xf numFmtId="4" fontId="35" fillId="0" borderId="162" applyFill="0" applyBorder="0" applyProtection="0">
      <alignment horizontal="right" vertical="center"/>
    </xf>
    <xf numFmtId="0" fontId="27" fillId="17" borderId="0" applyNumberFormat="0" applyBorder="0" applyAlignment="0" applyProtection="0"/>
    <xf numFmtId="0" fontId="35" fillId="33" borderId="162"/>
    <xf numFmtId="4" fontId="33" fillId="34" borderId="164">
      <alignment horizontal="right" vertical="center"/>
    </xf>
    <xf numFmtId="0" fontId="63" fillId="56" borderId="173" applyNumberFormat="0" applyAlignment="0" applyProtection="0"/>
    <xf numFmtId="0" fontId="27" fillId="23" borderId="0" applyNumberFormat="0" applyBorder="0" applyAlignment="0" applyProtection="0"/>
    <xf numFmtId="0" fontId="37" fillId="32" borderId="162">
      <alignment horizontal="right" vertical="center"/>
    </xf>
    <xf numFmtId="0" fontId="2" fillId="0" borderId="15" applyNumberFormat="0" applyFill="0" applyAlignment="0" applyProtection="0"/>
    <xf numFmtId="4" fontId="37" fillId="32" borderId="162">
      <alignment horizontal="right" vertical="center"/>
    </xf>
    <xf numFmtId="0" fontId="41" fillId="59" borderId="161" applyNumberFormat="0" applyFont="0" applyAlignment="0" applyProtection="0"/>
    <xf numFmtId="0" fontId="29" fillId="13" borderId="14" applyNumberFormat="0" applyAlignment="0" applyProtection="0"/>
    <xf numFmtId="0" fontId="51" fillId="0" borderId="160" applyNumberFormat="0" applyFill="0" applyAlignment="0" applyProtection="0"/>
    <xf numFmtId="0" fontId="27" fillId="23" borderId="0" applyNumberFormat="0" applyBorder="0" applyAlignment="0" applyProtection="0"/>
    <xf numFmtId="0" fontId="27" fillId="17" borderId="0" applyNumberFormat="0" applyBorder="0" applyAlignment="0" applyProtection="0"/>
    <xf numFmtId="0" fontId="27" fillId="18" borderId="0" applyNumberFormat="0" applyBorder="0" applyAlignment="0" applyProtection="0"/>
    <xf numFmtId="4" fontId="35" fillId="0" borderId="162" applyFill="0" applyBorder="0" applyProtection="0">
      <alignment horizontal="right" vertical="center"/>
    </xf>
    <xf numFmtId="0" fontId="59" fillId="43" borderId="159" applyNumberFormat="0" applyAlignment="0" applyProtection="0"/>
    <xf numFmtId="0" fontId="27" fillId="26" borderId="0" applyNumberFormat="0" applyBorder="0" applyAlignment="0" applyProtection="0"/>
    <xf numFmtId="0" fontId="44" fillId="56" borderId="158" applyNumberFormat="0" applyAlignment="0" applyProtection="0"/>
    <xf numFmtId="0" fontId="63" fillId="56" borderId="158" applyNumberFormat="0" applyAlignment="0" applyProtection="0"/>
    <xf numFmtId="0" fontId="27" fillId="27" borderId="0" applyNumberFormat="0" applyBorder="0" applyAlignment="0" applyProtection="0"/>
    <xf numFmtId="49" fontId="34" fillId="0" borderId="169" applyNumberFormat="0" applyFill="0" applyBorder="0" applyProtection="0">
      <alignment horizontal="left" vertical="center"/>
    </xf>
    <xf numFmtId="4" fontId="33" fillId="34" borderId="169">
      <alignment horizontal="right" vertical="center"/>
    </xf>
    <xf numFmtId="0" fontId="12" fillId="19" borderId="0" applyNumberFormat="0" applyBorder="0" applyAlignment="0" applyProtection="0"/>
    <xf numFmtId="0" fontId="59" fillId="43" borderId="159" applyNumberFormat="0" applyAlignment="0" applyProtection="0"/>
    <xf numFmtId="0" fontId="27" fillId="30" borderId="0" applyNumberFormat="0" applyBorder="0" applyAlignment="0" applyProtection="0"/>
    <xf numFmtId="0" fontId="27" fillId="15" borderId="0" applyNumberFormat="0" applyBorder="0" applyAlignment="0" applyProtection="0"/>
    <xf numFmtId="0" fontId="27" fillId="23" borderId="0" applyNumberFormat="0" applyBorder="0" applyAlignment="0" applyProtection="0"/>
    <xf numFmtId="0" fontId="63" fillId="56" borderId="173" applyNumberFormat="0" applyAlignment="0" applyProtection="0"/>
    <xf numFmtId="0" fontId="41" fillId="59" borderId="161" applyNumberFormat="0" applyFont="0" applyAlignment="0" applyProtection="0"/>
    <xf numFmtId="0" fontId="12" fillId="31" borderId="0" applyNumberFormat="0" applyBorder="0" applyAlignment="0" applyProtection="0"/>
    <xf numFmtId="0" fontId="2" fillId="0" borderId="15" applyNumberFormat="0" applyFill="0" applyAlignment="0" applyProtection="0"/>
    <xf numFmtId="0" fontId="37" fillId="32" borderId="162">
      <alignment horizontal="right" vertical="center"/>
    </xf>
    <xf numFmtId="0" fontId="33" fillId="34" borderId="169">
      <alignment horizontal="right" vertical="center"/>
    </xf>
    <xf numFmtId="4" fontId="33" fillId="34" borderId="169">
      <alignment horizontal="right" vertical="center"/>
    </xf>
    <xf numFmtId="0" fontId="46" fillId="56" borderId="159" applyNumberFormat="0" applyAlignment="0" applyProtection="0"/>
    <xf numFmtId="49" fontId="35" fillId="0" borderId="162" applyNumberFormat="0" applyFont="0" applyFill="0" applyBorder="0" applyProtection="0">
      <alignment horizontal="left" vertical="center" indent="2"/>
    </xf>
    <xf numFmtId="0" fontId="12" fillId="28" borderId="0" applyNumberFormat="0" applyBorder="0" applyAlignment="0" applyProtection="0"/>
    <xf numFmtId="0" fontId="35" fillId="0" borderId="165">
      <alignment horizontal="left" vertical="center" wrapText="1" indent="2"/>
    </xf>
    <xf numFmtId="0" fontId="35" fillId="32" borderId="163">
      <alignment horizontal="left" vertical="center"/>
    </xf>
    <xf numFmtId="0" fontId="12" fillId="25" borderId="0" applyNumberFormat="0" applyBorder="0" applyAlignment="0" applyProtection="0"/>
    <xf numFmtId="0" fontId="27" fillId="27" borderId="0" applyNumberFormat="0" applyBorder="0" applyAlignment="0" applyProtection="0"/>
    <xf numFmtId="4" fontId="33" fillId="34" borderId="169">
      <alignment horizontal="right" vertical="center"/>
    </xf>
    <xf numFmtId="0" fontId="35" fillId="0" borderId="169">
      <alignment horizontal="right" vertical="center"/>
    </xf>
    <xf numFmtId="0" fontId="27" fillId="24" borderId="0" applyNumberFormat="0" applyBorder="0" applyAlignment="0" applyProtection="0"/>
    <xf numFmtId="0" fontId="51" fillId="0" borderId="160" applyNumberFormat="0" applyFill="0" applyAlignment="0" applyProtection="0"/>
    <xf numFmtId="0" fontId="27" fillId="15" borderId="0" applyNumberFormat="0" applyBorder="0" applyAlignment="0" applyProtection="0"/>
    <xf numFmtId="0" fontId="27" fillId="14" borderId="0" applyNumberFormat="0" applyBorder="0" applyAlignment="0" applyProtection="0"/>
    <xf numFmtId="0" fontId="59" fillId="43" borderId="159" applyNumberFormat="0" applyAlignment="0" applyProtection="0"/>
    <xf numFmtId="0" fontId="5" fillId="59" borderId="161" applyNumberFormat="0" applyFont="0" applyAlignment="0" applyProtection="0"/>
    <xf numFmtId="0" fontId="12" fillId="16" borderId="0" applyNumberFormat="0" applyBorder="0" applyAlignment="0" applyProtection="0"/>
    <xf numFmtId="4" fontId="33" fillId="34" borderId="163">
      <alignment horizontal="right" vertical="center"/>
    </xf>
    <xf numFmtId="49" fontId="34" fillId="0" borderId="169" applyNumberFormat="0" applyFill="0" applyBorder="0" applyProtection="0">
      <alignment horizontal="left" vertical="center"/>
    </xf>
    <xf numFmtId="0" fontId="27" fillId="18" borderId="0" applyNumberFormat="0" applyBorder="0" applyAlignment="0" applyProtection="0"/>
    <xf numFmtId="0" fontId="63" fillId="56" borderId="158" applyNumberFormat="0" applyAlignment="0" applyProtection="0"/>
    <xf numFmtId="0" fontId="47" fillId="56" borderId="159" applyNumberFormat="0" applyAlignment="0" applyProtection="0"/>
    <xf numFmtId="0" fontId="27" fillId="23" borderId="0" applyNumberFormat="0" applyBorder="0" applyAlignment="0" applyProtection="0"/>
    <xf numFmtId="0" fontId="37" fillId="32" borderId="162">
      <alignment horizontal="right" vertical="center"/>
    </xf>
    <xf numFmtId="0" fontId="12" fillId="16" borderId="0" applyNumberFormat="0" applyBorder="0" applyAlignment="0" applyProtection="0"/>
    <xf numFmtId="0" fontId="5" fillId="59" borderId="168" applyNumberFormat="0" applyFont="0" applyAlignment="0" applyProtection="0"/>
    <xf numFmtId="0" fontId="33" fillId="34" borderId="162">
      <alignment horizontal="right" vertical="center"/>
    </xf>
    <xf numFmtId="4" fontId="33" fillId="34" borderId="164">
      <alignment horizontal="right" vertical="center"/>
    </xf>
    <xf numFmtId="0" fontId="59" fillId="43" borderId="159" applyNumberFormat="0" applyAlignment="0" applyProtection="0"/>
    <xf numFmtId="0" fontId="66" fillId="0" borderId="160" applyNumberFormat="0" applyFill="0" applyAlignment="0" applyProtection="0"/>
    <xf numFmtId="4" fontId="33" fillId="34" borderId="170">
      <alignment horizontal="right" vertical="center"/>
    </xf>
    <xf numFmtId="0" fontId="66" fillId="0" borderId="167" applyNumberFormat="0" applyFill="0" applyAlignment="0" applyProtection="0"/>
    <xf numFmtId="0" fontId="12" fillId="25" borderId="0" applyNumberFormat="0" applyBorder="0" applyAlignment="0" applyProtection="0"/>
    <xf numFmtId="0" fontId="66" fillId="0" borderId="160" applyNumberFormat="0" applyFill="0" applyAlignment="0" applyProtection="0"/>
    <xf numFmtId="0" fontId="12" fillId="16" borderId="0" applyNumberFormat="0" applyBorder="0" applyAlignment="0" applyProtection="0"/>
    <xf numFmtId="173" fontId="35" fillId="60" borderId="162" applyNumberFormat="0" applyFont="0" applyBorder="0" applyAlignment="0" applyProtection="0">
      <alignment horizontal="right" vertical="center"/>
    </xf>
    <xf numFmtId="0" fontId="5" fillId="59" borderId="168" applyNumberFormat="0" applyFont="0" applyAlignment="0" applyProtection="0"/>
    <xf numFmtId="0" fontId="27" fillId="18" borderId="0" applyNumberFormat="0" applyBorder="0" applyAlignment="0" applyProtection="0"/>
    <xf numFmtId="0" fontId="27" fillId="18" borderId="0" applyNumberFormat="0" applyBorder="0" applyAlignment="0" applyProtection="0"/>
    <xf numFmtId="0" fontId="33" fillId="34" borderId="169">
      <alignment horizontal="right" vertical="center"/>
    </xf>
    <xf numFmtId="0" fontId="33" fillId="34" borderId="162">
      <alignment horizontal="right" vertical="center"/>
    </xf>
    <xf numFmtId="0" fontId="37" fillId="32" borderId="162">
      <alignment horizontal="right" vertical="center"/>
    </xf>
    <xf numFmtId="0" fontId="27" fillId="23" borderId="0" applyNumberFormat="0" applyBorder="0" applyAlignment="0" applyProtection="0"/>
    <xf numFmtId="4" fontId="33" fillId="34" borderId="162">
      <alignment horizontal="right" vertical="center"/>
    </xf>
    <xf numFmtId="0" fontId="51" fillId="0" borderId="167" applyNumberFormat="0" applyFill="0" applyAlignment="0" applyProtection="0"/>
    <xf numFmtId="0" fontId="12" fillId="16" borderId="0" applyNumberFormat="0" applyBorder="0" applyAlignment="0" applyProtection="0"/>
    <xf numFmtId="0" fontId="66" fillId="0" borderId="167" applyNumberFormat="0" applyFill="0" applyAlignment="0" applyProtection="0"/>
    <xf numFmtId="0" fontId="35" fillId="34" borderId="172">
      <alignment horizontal="left" vertical="center" wrapText="1" indent="2"/>
    </xf>
    <xf numFmtId="0" fontId="59" fillId="43" borderId="159" applyNumberFormat="0" applyAlignment="0" applyProtection="0"/>
    <xf numFmtId="0" fontId="35" fillId="0" borderId="162" applyNumberFormat="0" applyFill="0" applyAlignment="0" applyProtection="0"/>
    <xf numFmtId="0" fontId="12" fillId="25" borderId="0" applyNumberFormat="0" applyBorder="0" applyAlignment="0" applyProtection="0"/>
    <xf numFmtId="0" fontId="5" fillId="59" borderId="161" applyNumberFormat="0" applyFont="0" applyAlignment="0" applyProtection="0"/>
    <xf numFmtId="0" fontId="12" fillId="16" borderId="0" applyNumberFormat="0" applyBorder="0" applyAlignment="0" applyProtection="0"/>
    <xf numFmtId="0" fontId="51" fillId="0" borderId="160" applyNumberFormat="0" applyFill="0" applyAlignment="0" applyProtection="0"/>
    <xf numFmtId="0" fontId="35" fillId="0" borderId="162" applyNumberFormat="0" applyFill="0" applyAlignment="0" applyProtection="0"/>
    <xf numFmtId="4" fontId="33" fillId="34" borderId="164">
      <alignment horizontal="right" vertical="center"/>
    </xf>
    <xf numFmtId="4" fontId="35" fillId="0" borderId="169" applyFill="0" applyBorder="0" applyProtection="0">
      <alignment horizontal="right" vertical="center"/>
    </xf>
    <xf numFmtId="0" fontId="27" fillId="17" borderId="0" applyNumberFormat="0" applyBorder="0" applyAlignment="0" applyProtection="0"/>
    <xf numFmtId="0" fontId="27" fillId="20" borderId="0" applyNumberFormat="0" applyBorder="0" applyAlignment="0" applyProtection="0"/>
    <xf numFmtId="0" fontId="33" fillId="32" borderId="154">
      <alignment horizontal="right" vertical="center"/>
    </xf>
    <xf numFmtId="0" fontId="27" fillId="23" borderId="0" applyNumberFormat="0" applyBorder="0" applyAlignment="0" applyProtection="0"/>
    <xf numFmtId="4" fontId="33" fillId="34" borderId="171">
      <alignment horizontal="right" vertical="center"/>
    </xf>
    <xf numFmtId="0" fontId="2" fillId="0" borderId="15" applyNumberFormat="0" applyFill="0" applyAlignment="0" applyProtection="0"/>
    <xf numFmtId="0" fontId="27" fillId="15" borderId="0" applyNumberFormat="0" applyBorder="0" applyAlignment="0" applyProtection="0"/>
    <xf numFmtId="4" fontId="35" fillId="33" borderId="162"/>
    <xf numFmtId="0" fontId="27" fillId="30" borderId="0" applyNumberFormat="0" applyBorder="0" applyAlignment="0" applyProtection="0"/>
    <xf numFmtId="0" fontId="35" fillId="0" borderId="162">
      <alignment horizontal="right" vertical="center"/>
    </xf>
    <xf numFmtId="0" fontId="66" fillId="0" borderId="160" applyNumberFormat="0" applyFill="0" applyAlignment="0" applyProtection="0"/>
    <xf numFmtId="0" fontId="33" fillId="34" borderId="169">
      <alignment horizontal="right" vertical="center"/>
    </xf>
    <xf numFmtId="0" fontId="12" fillId="22" borderId="0" applyNumberFormat="0" applyBorder="0" applyAlignment="0" applyProtection="0"/>
    <xf numFmtId="0" fontId="12" fillId="25" borderId="0" applyNumberFormat="0" applyBorder="0" applyAlignment="0" applyProtection="0"/>
    <xf numFmtId="4" fontId="35" fillId="0" borderId="169" applyFill="0" applyBorder="0" applyProtection="0">
      <alignment horizontal="right" vertical="center"/>
    </xf>
    <xf numFmtId="0" fontId="27" fillId="30" borderId="0" applyNumberFormat="0" applyBorder="0" applyAlignment="0" applyProtection="0"/>
    <xf numFmtId="0" fontId="12" fillId="16" borderId="0" applyNumberFormat="0" applyBorder="0" applyAlignment="0" applyProtection="0"/>
    <xf numFmtId="0" fontId="35" fillId="33" borderId="154"/>
    <xf numFmtId="0" fontId="44" fillId="56" borderId="158" applyNumberFormat="0" applyAlignment="0" applyProtection="0"/>
    <xf numFmtId="0" fontId="51" fillId="0" borderId="160" applyNumberFormat="0" applyFill="0" applyAlignment="0" applyProtection="0"/>
    <xf numFmtId="173" fontId="35" fillId="60" borderId="169" applyNumberFormat="0" applyFont="0" applyBorder="0" applyAlignment="0" applyProtection="0">
      <alignment horizontal="right" vertical="center"/>
    </xf>
    <xf numFmtId="0" fontId="33" fillId="34" borderId="162">
      <alignment horizontal="right" vertical="center"/>
    </xf>
    <xf numFmtId="0" fontId="27" fillId="27" borderId="0" applyNumberFormat="0" applyBorder="0" applyAlignment="0" applyProtection="0"/>
    <xf numFmtId="0" fontId="59" fillId="43" borderId="166" applyNumberFormat="0" applyAlignment="0" applyProtection="0"/>
    <xf numFmtId="0" fontId="59" fillId="43" borderId="166" applyNumberFormat="0" applyAlignment="0" applyProtection="0"/>
    <xf numFmtId="0" fontId="50" fillId="43" borderId="166" applyNumberFormat="0" applyAlignment="0" applyProtection="0"/>
    <xf numFmtId="0" fontId="46" fillId="56" borderId="166" applyNumberFormat="0" applyAlignment="0" applyProtection="0"/>
    <xf numFmtId="4" fontId="37" fillId="32" borderId="162">
      <alignment horizontal="right" vertical="center"/>
    </xf>
    <xf numFmtId="0" fontId="33" fillId="34" borderId="163">
      <alignment horizontal="right" vertical="center"/>
    </xf>
    <xf numFmtId="4" fontId="33" fillId="34" borderId="162">
      <alignment horizontal="right" vertical="center"/>
    </xf>
    <xf numFmtId="0" fontId="41" fillId="59" borderId="168" applyNumberFormat="0" applyFont="0" applyAlignment="0" applyProtection="0"/>
    <xf numFmtId="0" fontId="51" fillId="0" borderId="160" applyNumberFormat="0" applyFill="0" applyAlignment="0" applyProtection="0"/>
    <xf numFmtId="0" fontId="12" fillId="25" borderId="0" applyNumberFormat="0" applyBorder="0" applyAlignment="0" applyProtection="0"/>
    <xf numFmtId="0" fontId="66" fillId="0" borderId="160" applyNumberFormat="0" applyFill="0" applyAlignment="0" applyProtection="0"/>
    <xf numFmtId="0" fontId="46" fillId="56" borderId="159" applyNumberFormat="0" applyAlignment="0" applyProtection="0"/>
    <xf numFmtId="0" fontId="12" fillId="16" borderId="0" applyNumberFormat="0" applyBorder="0" applyAlignment="0" applyProtection="0"/>
    <xf numFmtId="0" fontId="33" fillId="34" borderId="162">
      <alignment horizontal="right" vertical="center"/>
    </xf>
    <xf numFmtId="4" fontId="37" fillId="32" borderId="162">
      <alignment horizontal="right" vertical="center"/>
    </xf>
    <xf numFmtId="173" fontId="35" fillId="60" borderId="162" applyNumberFormat="0" applyFont="0" applyBorder="0" applyAlignment="0" applyProtection="0">
      <alignment horizontal="right" vertical="center"/>
    </xf>
    <xf numFmtId="49" fontId="35" fillId="0" borderId="162" applyNumberFormat="0" applyFont="0" applyFill="0" applyBorder="0" applyProtection="0">
      <alignment horizontal="left" vertical="center" indent="2"/>
    </xf>
    <xf numFmtId="0" fontId="12" fillId="25" borderId="0" applyNumberFormat="0" applyBorder="0" applyAlignment="0" applyProtection="0"/>
    <xf numFmtId="0" fontId="51" fillId="0" borderId="160" applyNumberFormat="0" applyFill="0" applyAlignment="0" applyProtection="0"/>
    <xf numFmtId="49" fontId="35" fillId="0" borderId="162" applyNumberFormat="0" applyFont="0" applyFill="0" applyBorder="0" applyProtection="0">
      <alignment horizontal="left" vertical="center" indent="2"/>
    </xf>
    <xf numFmtId="0" fontId="47" fillId="56" borderId="159" applyNumberFormat="0" applyAlignment="0" applyProtection="0"/>
    <xf numFmtId="0" fontId="63" fillId="56" borderId="158" applyNumberFormat="0" applyAlignment="0" applyProtection="0"/>
    <xf numFmtId="0" fontId="47" fillId="56" borderId="159" applyNumberFormat="0" applyAlignment="0" applyProtection="0"/>
    <xf numFmtId="0" fontId="35" fillId="0" borderId="169">
      <alignment horizontal="right" vertical="center"/>
    </xf>
    <xf numFmtId="0" fontId="66" fillId="0" borderId="160" applyNumberFormat="0" applyFill="0" applyAlignment="0" applyProtection="0"/>
    <xf numFmtId="4" fontId="35" fillId="0" borderId="162">
      <alignment horizontal="right" vertical="center"/>
    </xf>
    <xf numFmtId="0" fontId="51" fillId="0" borderId="167" applyNumberFormat="0" applyFill="0" applyAlignment="0" applyProtection="0"/>
    <xf numFmtId="0" fontId="47" fillId="56" borderId="159" applyNumberFormat="0" applyAlignment="0" applyProtection="0"/>
    <xf numFmtId="0" fontId="12" fillId="25" borderId="0" applyNumberFormat="0" applyBorder="0" applyAlignment="0" applyProtection="0"/>
    <xf numFmtId="0" fontId="59" fillId="43" borderId="159" applyNumberFormat="0" applyAlignment="0" applyProtection="0"/>
    <xf numFmtId="0" fontId="35" fillId="34" borderId="172">
      <alignment horizontal="left" vertical="center" wrapText="1" indent="2"/>
    </xf>
    <xf numFmtId="0" fontId="12" fillId="16" borderId="0" applyNumberFormat="0" applyBorder="0" applyAlignment="0" applyProtection="0"/>
    <xf numFmtId="0" fontId="35" fillId="0" borderId="169" applyNumberFormat="0" applyFill="0" applyAlignment="0" applyProtection="0"/>
    <xf numFmtId="4" fontId="33" fillId="34" borderId="169">
      <alignment horizontal="right" vertical="center"/>
    </xf>
    <xf numFmtId="0" fontId="59" fillId="43" borderId="166" applyNumberFormat="0" applyAlignment="0" applyProtection="0"/>
    <xf numFmtId="0" fontId="51" fillId="0" borderId="167" applyNumberFormat="0" applyFill="0" applyAlignment="0" applyProtection="0"/>
    <xf numFmtId="0" fontId="27" fillId="15" borderId="0" applyNumberFormat="0" applyBorder="0" applyAlignment="0" applyProtection="0"/>
    <xf numFmtId="4" fontId="33" fillId="34" borderId="163">
      <alignment horizontal="right" vertical="center"/>
    </xf>
    <xf numFmtId="4" fontId="35" fillId="33" borderId="162"/>
    <xf numFmtId="0" fontId="50" fillId="43" borderId="159" applyNumberFormat="0" applyAlignment="0" applyProtection="0"/>
    <xf numFmtId="0" fontId="66" fillId="0" borderId="160" applyNumberFormat="0" applyFill="0" applyAlignment="0" applyProtection="0"/>
    <xf numFmtId="0" fontId="2" fillId="0" borderId="15" applyNumberFormat="0" applyFill="0" applyAlignment="0" applyProtection="0"/>
    <xf numFmtId="0" fontId="33" fillId="34" borderId="169">
      <alignment horizontal="right" vertical="center"/>
    </xf>
    <xf numFmtId="0" fontId="33" fillId="34" borderId="164">
      <alignment horizontal="right" vertical="center"/>
    </xf>
    <xf numFmtId="0" fontId="27" fillId="27" borderId="0" applyNumberFormat="0" applyBorder="0" applyAlignment="0" applyProtection="0"/>
    <xf numFmtId="0" fontId="35" fillId="0" borderId="154">
      <alignment horizontal="right" vertical="center"/>
    </xf>
    <xf numFmtId="4" fontId="35" fillId="0" borderId="162">
      <alignment horizontal="right" vertical="center"/>
    </xf>
    <xf numFmtId="0" fontId="27" fillId="24" borderId="0" applyNumberFormat="0" applyBorder="0" applyAlignment="0" applyProtection="0"/>
    <xf numFmtId="173" fontId="35" fillId="60" borderId="169" applyNumberFormat="0" applyFont="0" applyBorder="0" applyAlignment="0" applyProtection="0">
      <alignment horizontal="right" vertical="center"/>
    </xf>
    <xf numFmtId="0" fontId="12" fillId="16" borderId="0" applyNumberFormat="0" applyBorder="0" applyAlignment="0" applyProtection="0"/>
    <xf numFmtId="173" fontId="35" fillId="60" borderId="162" applyNumberFormat="0" applyFont="0" applyBorder="0" applyAlignment="0" applyProtection="0">
      <alignment horizontal="right" vertical="center"/>
    </xf>
    <xf numFmtId="0" fontId="63" fillId="56" borderId="173" applyNumberFormat="0" applyAlignment="0" applyProtection="0"/>
    <xf numFmtId="0" fontId="63" fillId="56" borderId="158" applyNumberFormat="0" applyAlignment="0" applyProtection="0"/>
    <xf numFmtId="0" fontId="41" fillId="59" borderId="161" applyNumberFormat="0" applyFont="0" applyAlignment="0" applyProtection="0"/>
    <xf numFmtId="0" fontId="41" fillId="59" borderId="168" applyNumberFormat="0" applyFont="0" applyAlignment="0" applyProtection="0"/>
    <xf numFmtId="0" fontId="35" fillId="0" borderId="169" applyNumberFormat="0" applyFill="0" applyAlignment="0" applyProtection="0"/>
    <xf numFmtId="0" fontId="33" fillId="34" borderId="164">
      <alignment horizontal="right" vertical="center"/>
    </xf>
    <xf numFmtId="4" fontId="33" fillId="34" borderId="169">
      <alignment horizontal="right" vertical="center"/>
    </xf>
    <xf numFmtId="0" fontId="59" fillId="43" borderId="159" applyNumberFormat="0" applyAlignment="0" applyProtection="0"/>
    <xf numFmtId="0" fontId="41" fillId="59" borderId="161" applyNumberFormat="0" applyFont="0" applyAlignment="0" applyProtection="0"/>
    <xf numFmtId="4" fontId="33" fillId="34" borderId="162">
      <alignment horizontal="right" vertical="center"/>
    </xf>
    <xf numFmtId="4" fontId="33" fillId="32" borderId="162">
      <alignment horizontal="right" vertical="center"/>
    </xf>
    <xf numFmtId="0" fontId="35" fillId="0" borderId="169">
      <alignment horizontal="right" vertical="center"/>
    </xf>
    <xf numFmtId="0" fontId="59" fillId="43" borderId="159" applyNumberFormat="0" applyAlignment="0" applyProtection="0"/>
    <xf numFmtId="0" fontId="5" fillId="59" borderId="161" applyNumberFormat="0" applyFont="0" applyAlignment="0" applyProtection="0"/>
    <xf numFmtId="0" fontId="33" fillId="34" borderId="163">
      <alignment horizontal="right" vertical="center"/>
    </xf>
    <xf numFmtId="0" fontId="35" fillId="33" borderId="162"/>
    <xf numFmtId="0" fontId="27" fillId="17" borderId="0" applyNumberFormat="0" applyBorder="0" applyAlignment="0" applyProtection="0"/>
    <xf numFmtId="0" fontId="35" fillId="0" borderId="162">
      <alignment horizontal="right" vertical="center"/>
    </xf>
    <xf numFmtId="0" fontId="12" fillId="16" borderId="0" applyNumberFormat="0" applyBorder="0" applyAlignment="0" applyProtection="0"/>
    <xf numFmtId="4" fontId="33" fillId="34" borderId="162">
      <alignment horizontal="right" vertical="center"/>
    </xf>
    <xf numFmtId="0" fontId="35" fillId="0" borderId="162" applyNumberFormat="0" applyFill="0" applyAlignment="0" applyProtection="0"/>
    <xf numFmtId="173" fontId="35" fillId="60" borderId="169" applyNumberFormat="0" applyFont="0" applyBorder="0" applyAlignment="0" applyProtection="0">
      <alignment horizontal="right" vertical="center"/>
    </xf>
    <xf numFmtId="0" fontId="41" fillId="59" borderId="168" applyNumberFormat="0" applyFont="0" applyAlignment="0" applyProtection="0"/>
    <xf numFmtId="0" fontId="41" fillId="59" borderId="161" applyNumberFormat="0" applyFont="0" applyAlignment="0" applyProtection="0"/>
    <xf numFmtId="0" fontId="1" fillId="0" borderId="0" applyNumberFormat="0" applyFill="0" applyBorder="0" applyAlignment="0" applyProtection="0"/>
    <xf numFmtId="0" fontId="44" fillId="56" borderId="158" applyNumberFormat="0" applyAlignment="0" applyProtection="0"/>
    <xf numFmtId="0" fontId="50" fillId="43" borderId="159" applyNumberFormat="0" applyAlignment="0" applyProtection="0"/>
    <xf numFmtId="0" fontId="46" fillId="56" borderId="159" applyNumberFormat="0" applyAlignment="0" applyProtection="0"/>
    <xf numFmtId="4" fontId="35" fillId="33" borderId="162"/>
    <xf numFmtId="0" fontId="59" fillId="43" borderId="166" applyNumberFormat="0" applyAlignment="0" applyProtection="0"/>
    <xf numFmtId="0" fontId="47" fillId="56" borderId="166" applyNumberFormat="0" applyAlignment="0" applyProtection="0"/>
    <xf numFmtId="4" fontId="33" fillId="34" borderId="162">
      <alignment horizontal="right" vertical="center"/>
    </xf>
    <xf numFmtId="0" fontId="66" fillId="0" borderId="160" applyNumberFormat="0" applyFill="0" applyAlignment="0" applyProtection="0"/>
    <xf numFmtId="0" fontId="12" fillId="16" borderId="0" applyNumberFormat="0" applyBorder="0" applyAlignment="0" applyProtection="0"/>
    <xf numFmtId="0" fontId="41" fillId="59" borderId="168" applyNumberFormat="0" applyFont="0" applyAlignment="0" applyProtection="0"/>
    <xf numFmtId="0" fontId="33" fillId="34" borderId="163">
      <alignment horizontal="right" vertical="center"/>
    </xf>
    <xf numFmtId="4" fontId="35" fillId="0" borderId="169" applyFill="0" applyBorder="0" applyProtection="0">
      <alignment horizontal="right" vertical="center"/>
    </xf>
    <xf numFmtId="0" fontId="33" fillId="34" borderId="170">
      <alignment horizontal="right" vertical="center"/>
    </xf>
    <xf numFmtId="0" fontId="59" fillId="43" borderId="159" applyNumberFormat="0" applyAlignment="0" applyProtection="0"/>
    <xf numFmtId="0" fontId="59" fillId="43" borderId="166" applyNumberFormat="0" applyAlignment="0" applyProtection="0"/>
    <xf numFmtId="173" fontId="35" fillId="60" borderId="162" applyNumberFormat="0" applyFont="0" applyBorder="0" applyAlignment="0" applyProtection="0">
      <alignment horizontal="right" vertical="center"/>
    </xf>
    <xf numFmtId="0" fontId="35" fillId="33" borderId="162"/>
    <xf numFmtId="4" fontId="33" fillId="34" borderId="162">
      <alignment horizontal="right" vertical="center"/>
    </xf>
    <xf numFmtId="0" fontId="66" fillId="0" borderId="160" applyNumberFormat="0" applyFill="0" applyAlignment="0" applyProtection="0"/>
    <xf numFmtId="0" fontId="35" fillId="33" borderId="162"/>
    <xf numFmtId="49" fontId="35" fillId="0" borderId="163" applyNumberFormat="0" applyFont="0" applyFill="0" applyBorder="0" applyProtection="0">
      <alignment horizontal="left" vertical="center" indent="5"/>
    </xf>
    <xf numFmtId="0" fontId="33" fillId="32" borderId="162">
      <alignment horizontal="right" vertical="center"/>
    </xf>
    <xf numFmtId="0" fontId="46" fillId="56" borderId="166" applyNumberFormat="0" applyAlignment="0" applyProtection="0"/>
    <xf numFmtId="0" fontId="46" fillId="56" borderId="159" applyNumberFormat="0" applyAlignment="0" applyProtection="0"/>
    <xf numFmtId="0" fontId="50" fillId="43" borderId="159" applyNumberFormat="0" applyAlignment="0" applyProtection="0"/>
    <xf numFmtId="0" fontId="5" fillId="59" borderId="168" applyNumberFormat="0" applyFont="0" applyAlignment="0" applyProtection="0"/>
    <xf numFmtId="0" fontId="27" fillId="15" borderId="0" applyNumberFormat="0" applyBorder="0" applyAlignment="0" applyProtection="0"/>
    <xf numFmtId="49" fontId="34" fillId="0" borderId="162" applyNumberFormat="0" applyFill="0" applyBorder="0" applyProtection="0">
      <alignment horizontal="left" vertical="center"/>
    </xf>
    <xf numFmtId="0" fontId="27" fillId="26" borderId="0" applyNumberFormat="0" applyBorder="0" applyAlignment="0" applyProtection="0"/>
    <xf numFmtId="0" fontId="37" fillId="32" borderId="162">
      <alignment horizontal="right" vertical="center"/>
    </xf>
    <xf numFmtId="173" fontId="35" fillId="60" borderId="169" applyNumberFormat="0" applyFont="0" applyBorder="0" applyAlignment="0" applyProtection="0">
      <alignment horizontal="right" vertical="center"/>
    </xf>
    <xf numFmtId="0" fontId="33" fillId="32" borderId="162">
      <alignment horizontal="right" vertical="center"/>
    </xf>
    <xf numFmtId="4" fontId="33" fillId="34" borderId="164">
      <alignment horizontal="right" vertical="center"/>
    </xf>
    <xf numFmtId="0" fontId="41" fillId="59" borderId="168" applyNumberFormat="0" applyFont="0" applyAlignment="0" applyProtection="0"/>
    <xf numFmtId="0" fontId="35" fillId="33" borderId="169"/>
    <xf numFmtId="4" fontId="35" fillId="0" borderId="162" applyFill="0" applyBorder="0" applyProtection="0">
      <alignment horizontal="right" vertical="center"/>
    </xf>
    <xf numFmtId="0" fontId="46" fillId="56" borderId="159" applyNumberFormat="0" applyAlignment="0" applyProtection="0"/>
    <xf numFmtId="4" fontId="33" fillId="34" borderId="171">
      <alignment horizontal="right" vertical="center"/>
    </xf>
    <xf numFmtId="0" fontId="33" fillId="34" borderId="163">
      <alignment horizontal="right" vertical="center"/>
    </xf>
    <xf numFmtId="4" fontId="33" fillId="34" borderId="163">
      <alignment horizontal="right" vertical="center"/>
    </xf>
    <xf numFmtId="0" fontId="66" fillId="0" borderId="167" applyNumberFormat="0" applyFill="0" applyAlignment="0" applyProtection="0"/>
    <xf numFmtId="0" fontId="47" fillId="56" borderId="166" applyNumberFormat="0" applyAlignment="0" applyProtection="0"/>
    <xf numFmtId="0" fontId="33" fillId="34" borderId="171">
      <alignment horizontal="right" vertical="center"/>
    </xf>
    <xf numFmtId="0" fontId="46" fillId="56" borderId="159" applyNumberFormat="0" applyAlignment="0" applyProtection="0"/>
    <xf numFmtId="0" fontId="12" fillId="31" borderId="0" applyNumberFormat="0" applyBorder="0" applyAlignment="0" applyProtection="0"/>
    <xf numFmtId="0" fontId="47" fillId="56" borderId="159" applyNumberFormat="0" applyAlignment="0" applyProtection="0"/>
    <xf numFmtId="0" fontId="30" fillId="13" borderId="13" applyNumberFormat="0" applyAlignment="0" applyProtection="0"/>
    <xf numFmtId="0" fontId="47" fillId="56" borderId="159" applyNumberFormat="0" applyAlignment="0" applyProtection="0"/>
    <xf numFmtId="0" fontId="47" fillId="56" borderId="166" applyNumberFormat="0" applyAlignment="0" applyProtection="0"/>
    <xf numFmtId="0" fontId="50" fillId="43" borderId="159" applyNumberFormat="0" applyAlignment="0" applyProtection="0"/>
    <xf numFmtId="4" fontId="35" fillId="0" borderId="169">
      <alignment horizontal="right" vertical="center"/>
    </xf>
    <xf numFmtId="49" fontId="34" fillId="0" borderId="162" applyNumberFormat="0" applyFill="0" applyBorder="0" applyProtection="0">
      <alignment horizontal="left" vertical="center"/>
    </xf>
    <xf numFmtId="0" fontId="35" fillId="0" borderId="169" applyNumberFormat="0" applyFill="0" applyAlignment="0" applyProtection="0"/>
    <xf numFmtId="4" fontId="33" fillId="34" borderId="169">
      <alignment horizontal="right" vertical="center"/>
    </xf>
    <xf numFmtId="4" fontId="33" fillId="34" borderId="171">
      <alignment horizontal="right" vertical="center"/>
    </xf>
    <xf numFmtId="0" fontId="35" fillId="0" borderId="165">
      <alignment horizontal="left" vertical="center" wrapText="1" indent="2"/>
    </xf>
    <xf numFmtId="0" fontId="35" fillId="34" borderId="165">
      <alignment horizontal="left" vertical="center" wrapText="1" indent="2"/>
    </xf>
    <xf numFmtId="0" fontId="35" fillId="34" borderId="172">
      <alignment horizontal="left" vertical="center" wrapText="1" indent="2"/>
    </xf>
    <xf numFmtId="0" fontId="35" fillId="32" borderId="170">
      <alignment horizontal="left" vertical="center"/>
    </xf>
    <xf numFmtId="4" fontId="35" fillId="0" borderId="154" applyFill="0" applyBorder="0" applyProtection="0">
      <alignment horizontal="right" vertical="center"/>
    </xf>
    <xf numFmtId="0" fontId="41" fillId="59" borderId="161" applyNumberFormat="0" applyFont="0" applyAlignment="0" applyProtection="0"/>
    <xf numFmtId="0" fontId="66" fillId="0" borderId="167" applyNumberFormat="0" applyFill="0" applyAlignment="0" applyProtection="0"/>
    <xf numFmtId="0" fontId="35" fillId="33" borderId="169"/>
    <xf numFmtId="0" fontId="27" fillId="24" borderId="0" applyNumberFormat="0" applyBorder="0" applyAlignment="0" applyProtection="0"/>
    <xf numFmtId="0" fontId="12" fillId="25" borderId="0" applyNumberFormat="0" applyBorder="0" applyAlignment="0" applyProtection="0"/>
    <xf numFmtId="0" fontId="33" fillId="34" borderId="154">
      <alignment horizontal="right" vertical="center"/>
    </xf>
    <xf numFmtId="0" fontId="12" fillId="22" borderId="0" applyNumberFormat="0" applyBorder="0" applyAlignment="0" applyProtection="0"/>
    <xf numFmtId="0" fontId="37" fillId="32" borderId="162">
      <alignment horizontal="right" vertical="center"/>
    </xf>
    <xf numFmtId="0" fontId="50" fillId="43" borderId="159" applyNumberFormat="0" applyAlignment="0" applyProtection="0"/>
    <xf numFmtId="173" fontId="35" fillId="60" borderId="162" applyNumberFormat="0" applyFont="0" applyBorder="0" applyAlignment="0" applyProtection="0">
      <alignment horizontal="right" vertical="center"/>
    </xf>
    <xf numFmtId="0" fontId="50" fillId="43" borderId="159" applyNumberFormat="0" applyAlignment="0" applyProtection="0"/>
    <xf numFmtId="4" fontId="35" fillId="0" borderId="162">
      <alignment horizontal="right" vertical="center"/>
    </xf>
    <xf numFmtId="49" fontId="35" fillId="0" borderId="162" applyNumberFormat="0" applyFont="0" applyFill="0" applyBorder="0" applyProtection="0">
      <alignment horizontal="left" vertical="center" indent="2"/>
    </xf>
    <xf numFmtId="173" fontId="35" fillId="60" borderId="162" applyNumberFormat="0" applyFont="0" applyBorder="0" applyAlignment="0" applyProtection="0">
      <alignment horizontal="right" vertical="center"/>
    </xf>
    <xf numFmtId="0" fontId="59" fillId="43" borderId="159" applyNumberFormat="0" applyAlignment="0" applyProtection="0"/>
    <xf numFmtId="49" fontId="34" fillId="0" borderId="162" applyNumberFormat="0" applyFill="0" applyBorder="0" applyProtection="0">
      <alignment horizontal="left" vertical="center"/>
    </xf>
    <xf numFmtId="0" fontId="27" fillId="14" borderId="0" applyNumberFormat="0" applyBorder="0" applyAlignment="0" applyProtection="0"/>
    <xf numFmtId="4" fontId="33" fillId="34" borderId="162">
      <alignment horizontal="right" vertical="center"/>
    </xf>
    <xf numFmtId="0" fontId="27" fillId="18" borderId="0" applyNumberFormat="0" applyBorder="0" applyAlignment="0" applyProtection="0"/>
    <xf numFmtId="0" fontId="5" fillId="59" borderId="168" applyNumberFormat="0" applyFont="0" applyAlignment="0" applyProtection="0"/>
    <xf numFmtId="0" fontId="33" fillId="32" borderId="169">
      <alignment horizontal="right" vertical="center"/>
    </xf>
    <xf numFmtId="0" fontId="37" fillId="32" borderId="162">
      <alignment horizontal="right" vertical="center"/>
    </xf>
    <xf numFmtId="0" fontId="50" fillId="43" borderId="159" applyNumberFormat="0" applyAlignment="0" applyProtection="0"/>
    <xf numFmtId="0" fontId="47" fillId="56" borderId="159" applyNumberFormat="0" applyAlignment="0" applyProtection="0"/>
    <xf numFmtId="4" fontId="35" fillId="0" borderId="162">
      <alignment horizontal="right" vertical="center"/>
    </xf>
    <xf numFmtId="0" fontId="35" fillId="34" borderId="165">
      <alignment horizontal="left" vertical="center" wrapText="1" indent="2"/>
    </xf>
    <xf numFmtId="0" fontId="35" fillId="0" borderId="165">
      <alignment horizontal="left" vertical="center" wrapText="1" indent="2"/>
    </xf>
    <xf numFmtId="0" fontId="63" fillId="56" borderId="158" applyNumberFormat="0" applyAlignment="0" applyProtection="0"/>
    <xf numFmtId="0" fontId="59" fillId="43" borderId="159" applyNumberFormat="0" applyAlignment="0" applyProtection="0"/>
    <xf numFmtId="0" fontId="46" fillId="56" borderId="159" applyNumberFormat="0" applyAlignment="0" applyProtection="0"/>
    <xf numFmtId="0" fontId="44" fillId="56" borderId="158" applyNumberFormat="0" applyAlignment="0" applyProtection="0"/>
    <xf numFmtId="0" fontId="33" fillId="34" borderId="164">
      <alignment horizontal="right" vertical="center"/>
    </xf>
    <xf numFmtId="0" fontId="37" fillId="32" borderId="162">
      <alignment horizontal="right" vertical="center"/>
    </xf>
    <xf numFmtId="4" fontId="33" fillId="32" borderId="162">
      <alignment horizontal="right" vertical="center"/>
    </xf>
    <xf numFmtId="4" fontId="33" fillId="34" borderId="162">
      <alignment horizontal="right" vertical="center"/>
    </xf>
    <xf numFmtId="49" fontId="35" fillId="0" borderId="163" applyNumberFormat="0" applyFont="0" applyFill="0" applyBorder="0" applyProtection="0">
      <alignment horizontal="left" vertical="center" indent="5"/>
    </xf>
    <xf numFmtId="4" fontId="35" fillId="0" borderId="162" applyFill="0" applyBorder="0" applyProtection="0">
      <alignment horizontal="right" vertical="center"/>
    </xf>
    <xf numFmtId="4" fontId="33" fillId="32" borderId="162">
      <alignment horizontal="right" vertical="center"/>
    </xf>
    <xf numFmtId="0" fontId="59" fillId="43" borderId="159" applyNumberFormat="0" applyAlignment="0" applyProtection="0"/>
    <xf numFmtId="0" fontId="50" fillId="43" borderId="159" applyNumberFormat="0" applyAlignment="0" applyProtection="0"/>
    <xf numFmtId="0" fontId="46" fillId="56" borderId="159" applyNumberFormat="0" applyAlignment="0" applyProtection="0"/>
    <xf numFmtId="0" fontId="35" fillId="34" borderId="165">
      <alignment horizontal="left" vertical="center" wrapText="1" indent="2"/>
    </xf>
    <xf numFmtId="0" fontId="35" fillId="0" borderId="165">
      <alignment horizontal="left" vertical="center" wrapText="1" indent="2"/>
    </xf>
    <xf numFmtId="0" fontId="35" fillId="34" borderId="165">
      <alignment horizontal="left" vertical="center" wrapText="1" indent="2"/>
    </xf>
    <xf numFmtId="0" fontId="1" fillId="0" borderId="0" applyNumberFormat="0" applyFill="0" applyBorder="0" applyAlignment="0" applyProtection="0"/>
    <xf numFmtId="173" fontId="35" fillId="60" borderId="169" applyNumberFormat="0" applyFont="0" applyBorder="0" applyAlignment="0" applyProtection="0">
      <alignment horizontal="right" vertical="center"/>
    </xf>
    <xf numFmtId="0" fontId="27" fillId="23" borderId="0" applyNumberFormat="0" applyBorder="0" applyAlignment="0" applyProtection="0"/>
    <xf numFmtId="0" fontId="66" fillId="0" borderId="167" applyNumberFormat="0" applyFill="0" applyAlignment="0" applyProtection="0"/>
    <xf numFmtId="0" fontId="41" fillId="59" borderId="168" applyNumberFormat="0" applyFont="0" applyAlignment="0" applyProtection="0"/>
    <xf numFmtId="0" fontId="50" fillId="43" borderId="166" applyNumberFormat="0" applyAlignment="0" applyProtection="0"/>
    <xf numFmtId="0" fontId="47" fillId="56" borderId="166" applyNumberFormat="0" applyAlignment="0" applyProtection="0"/>
    <xf numFmtId="0" fontId="33" fillId="34" borderId="169">
      <alignment horizontal="right" vertical="center"/>
    </xf>
    <xf numFmtId="4" fontId="35" fillId="33" borderId="169"/>
    <xf numFmtId="0" fontId="27" fillId="15" borderId="0" applyNumberFormat="0" applyBorder="0" applyAlignment="0" applyProtection="0"/>
    <xf numFmtId="0" fontId="47" fillId="56" borderId="166" applyNumberFormat="0" applyAlignment="0" applyProtection="0"/>
    <xf numFmtId="0" fontId="47" fillId="56" borderId="166" applyNumberFormat="0" applyAlignment="0" applyProtection="0"/>
    <xf numFmtId="0" fontId="33" fillId="34" borderId="169">
      <alignment horizontal="right" vertical="center"/>
    </xf>
    <xf numFmtId="0" fontId="35" fillId="34" borderId="172">
      <alignment horizontal="left" vertical="center" wrapText="1" indent="2"/>
    </xf>
    <xf numFmtId="0" fontId="59" fillId="43" borderId="166" applyNumberFormat="0" applyAlignment="0" applyProtection="0"/>
    <xf numFmtId="0" fontId="27" fillId="30" borderId="0" applyNumberFormat="0" applyBorder="0" applyAlignment="0" applyProtection="0"/>
    <xf numFmtId="0" fontId="59" fillId="43" borderId="166" applyNumberFormat="0" applyAlignment="0" applyProtection="0"/>
    <xf numFmtId="0" fontId="41" fillId="59" borderId="168" applyNumberFormat="0" applyFont="0" applyAlignment="0" applyProtection="0"/>
    <xf numFmtId="0" fontId="12" fillId="19" borderId="0" applyNumberFormat="0" applyBorder="0" applyAlignment="0" applyProtection="0"/>
    <xf numFmtId="0" fontId="35" fillId="0" borderId="169">
      <alignment horizontal="right" vertical="center"/>
    </xf>
    <xf numFmtId="0" fontId="37" fillId="32" borderId="169">
      <alignment horizontal="right" vertical="center"/>
    </xf>
    <xf numFmtId="0" fontId="44" fillId="56" borderId="173" applyNumberFormat="0" applyAlignment="0" applyProtection="0"/>
    <xf numFmtId="0" fontId="51" fillId="0" borderId="167" applyNumberFormat="0" applyFill="0" applyAlignment="0" applyProtection="0"/>
    <xf numFmtId="0" fontId="35" fillId="32" borderId="170">
      <alignment horizontal="left" vertical="center"/>
    </xf>
    <xf numFmtId="0" fontId="59" fillId="43" borderId="166" applyNumberFormat="0" applyAlignment="0" applyProtection="0"/>
    <xf numFmtId="0" fontId="41" fillId="59" borderId="168" applyNumberFormat="0" applyFont="0" applyAlignment="0" applyProtection="0"/>
    <xf numFmtId="0" fontId="27" fillId="27" borderId="0" applyNumberFormat="0" applyBorder="0" applyAlignment="0" applyProtection="0"/>
    <xf numFmtId="0" fontId="27" fillId="18" borderId="0" applyNumberFormat="0" applyBorder="0" applyAlignment="0" applyProtection="0"/>
    <xf numFmtId="0" fontId="51" fillId="0" borderId="167" applyNumberFormat="0" applyFill="0" applyAlignment="0" applyProtection="0"/>
    <xf numFmtId="49" fontId="35" fillId="0" borderId="169" applyNumberFormat="0" applyFont="0" applyFill="0" applyBorder="0" applyProtection="0">
      <alignment horizontal="left" vertical="center" indent="2"/>
    </xf>
    <xf numFmtId="0" fontId="47" fillId="56" borderId="166" applyNumberFormat="0" applyAlignment="0" applyProtection="0"/>
    <xf numFmtId="0" fontId="35" fillId="0" borderId="172">
      <alignment horizontal="left" vertical="center" wrapText="1" indent="2"/>
    </xf>
    <xf numFmtId="0" fontId="35" fillId="34" borderId="172">
      <alignment horizontal="left" vertical="center" wrapText="1" indent="2"/>
    </xf>
    <xf numFmtId="0" fontId="51" fillId="0" borderId="167" applyNumberFormat="0" applyFill="0" applyAlignment="0" applyProtection="0"/>
    <xf numFmtId="0" fontId="33" fillId="34" borderId="169">
      <alignment horizontal="right" vertical="center"/>
    </xf>
    <xf numFmtId="0" fontId="50" fillId="43" borderId="166" applyNumberFormat="0" applyAlignment="0" applyProtection="0"/>
    <xf numFmtId="0" fontId="27" fillId="21" borderId="0" applyNumberFormat="0" applyBorder="0" applyAlignment="0" applyProtection="0"/>
    <xf numFmtId="0" fontId="27" fillId="14" borderId="0" applyNumberFormat="0" applyBorder="0" applyAlignment="0" applyProtection="0"/>
    <xf numFmtId="0" fontId="2" fillId="0" borderId="15" applyNumberFormat="0" applyFill="0" applyAlignment="0" applyProtection="0"/>
    <xf numFmtId="0" fontId="66" fillId="0" borderId="167" applyNumberFormat="0" applyFill="0" applyAlignment="0" applyProtection="0"/>
    <xf numFmtId="4" fontId="35" fillId="0" borderId="169">
      <alignment horizontal="right" vertical="center"/>
    </xf>
    <xf numFmtId="4" fontId="33" fillId="34" borderId="170">
      <alignment horizontal="right" vertical="center"/>
    </xf>
    <xf numFmtId="4" fontId="37" fillId="32" borderId="169">
      <alignment horizontal="right" vertical="center"/>
    </xf>
    <xf numFmtId="49" fontId="35" fillId="0" borderId="170" applyNumberFormat="0" applyFont="0" applyFill="0" applyBorder="0" applyProtection="0">
      <alignment horizontal="left" vertical="center" indent="5"/>
    </xf>
    <xf numFmtId="0" fontId="66" fillId="0" borderId="167" applyNumberFormat="0" applyFill="0" applyAlignment="0" applyProtection="0"/>
    <xf numFmtId="0" fontId="35" fillId="0" borderId="172">
      <alignment horizontal="left" vertical="center" wrapText="1" indent="2"/>
    </xf>
    <xf numFmtId="4" fontId="35" fillId="0" borderId="169" applyFill="0" applyBorder="0" applyProtection="0">
      <alignment horizontal="right" vertical="center"/>
    </xf>
    <xf numFmtId="4" fontId="35" fillId="33" borderId="169"/>
    <xf numFmtId="0" fontId="33" fillId="34" borderId="169">
      <alignment horizontal="right" vertical="center"/>
    </xf>
    <xf numFmtId="4" fontId="37" fillId="32" borderId="169">
      <alignment horizontal="right" vertical="center"/>
    </xf>
    <xf numFmtId="4" fontId="35" fillId="33" borderId="169"/>
    <xf numFmtId="4" fontId="37" fillId="32" borderId="169">
      <alignment horizontal="right" vertical="center"/>
    </xf>
    <xf numFmtId="0" fontId="33" fillId="34" borderId="169">
      <alignment horizontal="right" vertical="center"/>
    </xf>
    <xf numFmtId="0" fontId="35" fillId="0" borderId="172">
      <alignment horizontal="left" vertical="center" wrapText="1" indent="2"/>
    </xf>
    <xf numFmtId="0" fontId="44" fillId="56" borderId="173" applyNumberFormat="0" applyAlignment="0" applyProtection="0"/>
    <xf numFmtId="0" fontId="44" fillId="56" borderId="173" applyNumberFormat="0" applyAlignment="0" applyProtection="0"/>
    <xf numFmtId="0" fontId="33" fillId="32" borderId="169">
      <alignment horizontal="right" vertical="center"/>
    </xf>
    <xf numFmtId="0" fontId="33" fillId="32" borderId="169">
      <alignment horizontal="right" vertical="center"/>
    </xf>
    <xf numFmtId="0" fontId="59" fillId="43" borderId="166" applyNumberFormat="0" applyAlignment="0" applyProtection="0"/>
    <xf numFmtId="4" fontId="37" fillId="32" borderId="169">
      <alignment horizontal="right" vertical="center"/>
    </xf>
    <xf numFmtId="49" fontId="34" fillId="0" borderId="169" applyNumberFormat="0" applyFill="0" applyBorder="0" applyProtection="0">
      <alignment horizontal="left" vertical="center"/>
    </xf>
    <xf numFmtId="0" fontId="59" fillId="43" borderId="166" applyNumberFormat="0" applyAlignment="0" applyProtection="0"/>
    <xf numFmtId="0" fontId="50" fillId="43" borderId="166" applyNumberFormat="0" applyAlignment="0" applyProtection="0"/>
    <xf numFmtId="0" fontId="33" fillId="32" borderId="169">
      <alignment horizontal="right" vertical="center"/>
    </xf>
    <xf numFmtId="0" fontId="66" fillId="0" borderId="167" applyNumberFormat="0" applyFill="0" applyAlignment="0" applyProtection="0"/>
    <xf numFmtId="4" fontId="35" fillId="33" borderId="169"/>
    <xf numFmtId="0" fontId="66" fillId="0" borderId="167" applyNumberFormat="0" applyFill="0" applyAlignment="0" applyProtection="0"/>
    <xf numFmtId="0" fontId="44" fillId="56" borderId="173" applyNumberFormat="0" applyAlignment="0" applyProtection="0"/>
    <xf numFmtId="0" fontId="35" fillId="33" borderId="169"/>
    <xf numFmtId="0" fontId="33" fillId="34" borderId="170">
      <alignment horizontal="right" vertical="center"/>
    </xf>
    <xf numFmtId="0" fontId="33" fillId="34" borderId="169">
      <alignment horizontal="right" vertical="center"/>
    </xf>
    <xf numFmtId="0" fontId="12" fillId="31" borderId="0" applyNumberFormat="0" applyBorder="0" applyAlignment="0" applyProtection="0"/>
    <xf numFmtId="0" fontId="35" fillId="0" borderId="172">
      <alignment horizontal="left" vertical="center" wrapText="1" indent="2"/>
    </xf>
    <xf numFmtId="0" fontId="35" fillId="33" borderId="169"/>
    <xf numFmtId="0" fontId="66" fillId="0" borderId="167" applyNumberFormat="0" applyFill="0" applyAlignment="0" applyProtection="0"/>
    <xf numFmtId="0" fontId="35" fillId="34" borderId="172">
      <alignment horizontal="left" vertical="center" wrapText="1" indent="2"/>
    </xf>
    <xf numFmtId="49" fontId="35" fillId="0" borderId="170" applyNumberFormat="0" applyFont="0" applyFill="0" applyBorder="0" applyProtection="0">
      <alignment horizontal="left" vertical="center" indent="5"/>
    </xf>
    <xf numFmtId="4" fontId="37" fillId="32" borderId="169">
      <alignment horizontal="right" vertical="center"/>
    </xf>
    <xf numFmtId="49" fontId="35" fillId="0" borderId="169" applyNumberFormat="0" applyFont="0" applyFill="0" applyBorder="0" applyProtection="0">
      <alignment horizontal="left" vertical="center" indent="2"/>
    </xf>
    <xf numFmtId="0" fontId="50" fillId="43" borderId="166" applyNumberFormat="0" applyAlignment="0" applyProtection="0"/>
    <xf numFmtId="0" fontId="63" fillId="56" borderId="173" applyNumberFormat="0" applyAlignment="0" applyProtection="0"/>
    <xf numFmtId="4" fontId="33" fillId="34" borderId="171">
      <alignment horizontal="right" vertical="center"/>
    </xf>
    <xf numFmtId="0" fontId="27" fillId="26" borderId="0" applyNumberFormat="0" applyBorder="0" applyAlignment="0" applyProtection="0"/>
    <xf numFmtId="0" fontId="66" fillId="0" borderId="167" applyNumberFormat="0" applyFill="0" applyAlignment="0" applyProtection="0"/>
    <xf numFmtId="0" fontId="59" fillId="43" borderId="166" applyNumberFormat="0" applyAlignment="0" applyProtection="0"/>
    <xf numFmtId="0" fontId="63" fillId="56" borderId="173" applyNumberFormat="0" applyAlignment="0" applyProtection="0"/>
    <xf numFmtId="0" fontId="66" fillId="0" borderId="167" applyNumberFormat="0" applyFill="0" applyAlignment="0" applyProtection="0"/>
    <xf numFmtId="4" fontId="33" fillId="34" borderId="170">
      <alignment horizontal="right" vertical="center"/>
    </xf>
    <xf numFmtId="0" fontId="27" fillId="21" borderId="0" applyNumberFormat="0" applyBorder="0" applyAlignment="0" applyProtection="0"/>
    <xf numFmtId="0" fontId="12" fillId="28" borderId="0" applyNumberFormat="0" applyBorder="0" applyAlignment="0" applyProtection="0"/>
    <xf numFmtId="4" fontId="33" fillId="34" borderId="169">
      <alignment horizontal="right" vertical="center"/>
    </xf>
    <xf numFmtId="4" fontId="33" fillId="34" borderId="170">
      <alignment horizontal="right" vertical="center"/>
    </xf>
    <xf numFmtId="0" fontId="33" fillId="34" borderId="170">
      <alignment horizontal="right" vertical="center"/>
    </xf>
    <xf numFmtId="4" fontId="33" fillId="34" borderId="169">
      <alignment horizontal="right" vertical="center"/>
    </xf>
    <xf numFmtId="0" fontId="51" fillId="0" borderId="167" applyNumberFormat="0" applyFill="0" applyAlignment="0" applyProtection="0"/>
    <xf numFmtId="0" fontId="27" fillId="29" borderId="0" applyNumberFormat="0" applyBorder="0" applyAlignment="0" applyProtection="0"/>
    <xf numFmtId="0" fontId="33" fillId="34" borderId="170">
      <alignment horizontal="right" vertical="center"/>
    </xf>
    <xf numFmtId="0" fontId="46" fillId="56" borderId="166" applyNumberFormat="0" applyAlignment="0" applyProtection="0"/>
    <xf numFmtId="0" fontId="30" fillId="13" borderId="13" applyNumberFormat="0" applyAlignment="0" applyProtection="0"/>
    <xf numFmtId="4" fontId="33" fillId="34" borderId="171">
      <alignment horizontal="right" vertical="center"/>
    </xf>
    <xf numFmtId="0" fontId="35" fillId="33" borderId="169"/>
    <xf numFmtId="0" fontId="12" fillId="28" borderId="0" applyNumberFormat="0" applyBorder="0" applyAlignment="0" applyProtection="0"/>
    <xf numFmtId="0" fontId="27" fillId="15" borderId="0" applyNumberFormat="0" applyBorder="0" applyAlignment="0" applyProtection="0"/>
    <xf numFmtId="0" fontId="35" fillId="0" borderId="172">
      <alignment horizontal="left" vertical="center" wrapText="1" indent="2"/>
    </xf>
    <xf numFmtId="4" fontId="35" fillId="0" borderId="169">
      <alignment horizontal="right" vertical="center"/>
    </xf>
    <xf numFmtId="0" fontId="50" fillId="43" borderId="166" applyNumberFormat="0" applyAlignment="0" applyProtection="0"/>
    <xf numFmtId="0" fontId="33" fillId="34" borderId="171">
      <alignment horizontal="right" vertical="center"/>
    </xf>
    <xf numFmtId="173" fontId="35" fillId="60" borderId="169" applyNumberFormat="0" applyFont="0" applyBorder="0" applyAlignment="0" applyProtection="0">
      <alignment horizontal="right" vertical="center"/>
    </xf>
    <xf numFmtId="49" fontId="35" fillId="0" borderId="169" applyNumberFormat="0" applyFont="0" applyFill="0" applyBorder="0" applyProtection="0">
      <alignment horizontal="left" vertical="center" indent="2"/>
    </xf>
    <xf numFmtId="0" fontId="33" fillId="34" borderId="169">
      <alignment horizontal="right" vertical="center"/>
    </xf>
    <xf numFmtId="0" fontId="37" fillId="32" borderId="169">
      <alignment horizontal="right" vertical="center"/>
    </xf>
    <xf numFmtId="4" fontId="33" fillId="34" borderId="170">
      <alignment horizontal="right" vertical="center"/>
    </xf>
    <xf numFmtId="0" fontId="33" fillId="32" borderId="169">
      <alignment horizontal="right" vertical="center"/>
    </xf>
    <xf numFmtId="0" fontId="12" fillId="28" borderId="0" applyNumberFormat="0" applyBorder="0" applyAlignment="0" applyProtection="0"/>
    <xf numFmtId="0" fontId="33" fillId="34" borderId="170">
      <alignment horizontal="right" vertical="center"/>
    </xf>
    <xf numFmtId="0" fontId="63" fillId="56" borderId="173" applyNumberFormat="0" applyAlignment="0" applyProtection="0"/>
    <xf numFmtId="0" fontId="66" fillId="0" borderId="167" applyNumberFormat="0" applyFill="0" applyAlignment="0" applyProtection="0"/>
    <xf numFmtId="0" fontId="27" fillId="23" borderId="0" applyNumberFormat="0" applyBorder="0" applyAlignment="0" applyProtection="0"/>
    <xf numFmtId="0" fontId="41" fillId="59" borderId="168" applyNumberFormat="0" applyFont="0" applyAlignment="0" applyProtection="0"/>
    <xf numFmtId="0" fontId="27" fillId="21" borderId="0" applyNumberFormat="0" applyBorder="0" applyAlignment="0" applyProtection="0"/>
    <xf numFmtId="0" fontId="33" fillId="32" borderId="169">
      <alignment horizontal="right" vertical="center"/>
    </xf>
    <xf numFmtId="0" fontId="63" fillId="56" borderId="173" applyNumberFormat="0" applyAlignment="0" applyProtection="0"/>
    <xf numFmtId="4" fontId="33" fillId="32" borderId="169">
      <alignment horizontal="right" vertical="center"/>
    </xf>
    <xf numFmtId="0" fontId="35" fillId="0" borderId="169" applyNumberFormat="0" applyFill="0" applyAlignment="0" applyProtection="0"/>
    <xf numFmtId="0" fontId="27" fillId="24" borderId="0" applyNumberFormat="0" applyBorder="0" applyAlignment="0" applyProtection="0"/>
    <xf numFmtId="0" fontId="5" fillId="59" borderId="168" applyNumberFormat="0" applyFont="0" applyAlignment="0" applyProtection="0"/>
    <xf numFmtId="0" fontId="59" fillId="43" borderId="166" applyNumberFormat="0" applyAlignment="0" applyProtection="0"/>
    <xf numFmtId="0" fontId="66" fillId="0" borderId="167" applyNumberFormat="0" applyFill="0" applyAlignment="0" applyProtection="0"/>
    <xf numFmtId="0" fontId="27" fillId="29" borderId="0" applyNumberFormat="0" applyBorder="0" applyAlignment="0" applyProtection="0"/>
    <xf numFmtId="0" fontId="27" fillId="20" borderId="0" applyNumberFormat="0" applyBorder="0" applyAlignment="0" applyProtection="0"/>
    <xf numFmtId="0" fontId="35" fillId="33" borderId="169"/>
    <xf numFmtId="0" fontId="46" fillId="56" borderId="166" applyNumberFormat="0" applyAlignment="0" applyProtection="0"/>
    <xf numFmtId="0" fontId="27" fillId="24" borderId="0" applyNumberFormat="0" applyBorder="0" applyAlignment="0" applyProtection="0"/>
    <xf numFmtId="4" fontId="33" fillId="34" borderId="171">
      <alignment horizontal="right" vertical="center"/>
    </xf>
    <xf numFmtId="0" fontId="27" fillId="26" borderId="0" applyNumberFormat="0" applyBorder="0" applyAlignment="0" applyProtection="0"/>
    <xf numFmtId="0" fontId="59" fillId="43" borderId="166" applyNumberFormat="0" applyAlignment="0" applyProtection="0"/>
    <xf numFmtId="0" fontId="35" fillId="0" borderId="169">
      <alignment horizontal="right" vertical="center"/>
    </xf>
    <xf numFmtId="0" fontId="5" fillId="59" borderId="168" applyNumberFormat="0" applyFont="0" applyAlignment="0" applyProtection="0"/>
    <xf numFmtId="0" fontId="27" fillId="20" borderId="0" applyNumberFormat="0" applyBorder="0" applyAlignment="0" applyProtection="0"/>
    <xf numFmtId="0" fontId="31" fillId="0" borderId="0" applyNumberFormat="0" applyFill="0" applyBorder="0" applyAlignment="0" applyProtection="0"/>
    <xf numFmtId="4" fontId="33" fillId="34" borderId="170">
      <alignment horizontal="right" vertical="center"/>
    </xf>
    <xf numFmtId="0" fontId="66" fillId="0" borderId="167" applyNumberFormat="0" applyFill="0" applyAlignment="0" applyProtection="0"/>
    <xf numFmtId="0" fontId="63" fillId="56" borderId="173" applyNumberFormat="0" applyAlignment="0" applyProtection="0"/>
    <xf numFmtId="0" fontId="59" fillId="43" borderId="166" applyNumberFormat="0" applyAlignment="0" applyProtection="0"/>
    <xf numFmtId="49" fontId="34" fillId="0" borderId="169" applyNumberFormat="0" applyFill="0" applyBorder="0" applyProtection="0">
      <alignment horizontal="left" vertical="center"/>
    </xf>
    <xf numFmtId="0" fontId="33" fillId="34" borderId="169">
      <alignment horizontal="right" vertical="center"/>
    </xf>
    <xf numFmtId="49" fontId="35" fillId="0" borderId="170" applyNumberFormat="0" applyFont="0" applyFill="0" applyBorder="0" applyProtection="0">
      <alignment horizontal="left" vertical="center" indent="5"/>
    </xf>
    <xf numFmtId="0" fontId="47" fillId="56" borderId="166" applyNumberFormat="0" applyAlignment="0" applyProtection="0"/>
    <xf numFmtId="0" fontId="51" fillId="0" borderId="167" applyNumberFormat="0" applyFill="0" applyAlignment="0" applyProtection="0"/>
    <xf numFmtId="4" fontId="33" fillId="34" borderId="169">
      <alignment horizontal="right" vertical="center"/>
    </xf>
    <xf numFmtId="0" fontId="12" fillId="16" borderId="0" applyNumberFormat="0" applyBorder="0" applyAlignment="0" applyProtection="0"/>
    <xf numFmtId="0" fontId="35" fillId="0" borderId="169">
      <alignment horizontal="right" vertical="center"/>
    </xf>
    <xf numFmtId="0" fontId="5" fillId="59" borderId="168" applyNumberFormat="0" applyFont="0" applyAlignment="0" applyProtection="0"/>
    <xf numFmtId="0" fontId="66" fillId="0" borderId="167" applyNumberFormat="0" applyFill="0" applyAlignment="0" applyProtection="0"/>
    <xf numFmtId="0" fontId="12" fillId="31" borderId="0" applyNumberFormat="0" applyBorder="0" applyAlignment="0" applyProtection="0"/>
    <xf numFmtId="0" fontId="66" fillId="0" borderId="167" applyNumberFormat="0" applyFill="0" applyAlignment="0" applyProtection="0"/>
    <xf numFmtId="0" fontId="37" fillId="32" borderId="169">
      <alignment horizontal="right" vertical="center"/>
    </xf>
    <xf numFmtId="0" fontId="59" fillId="43" borderId="166" applyNumberFormat="0" applyAlignment="0" applyProtection="0"/>
    <xf numFmtId="4" fontId="33" fillId="34" borderId="169">
      <alignment horizontal="right" vertical="center"/>
    </xf>
    <xf numFmtId="0" fontId="50" fillId="43" borderId="166" applyNumberFormat="0" applyAlignment="0" applyProtection="0"/>
    <xf numFmtId="0" fontId="35" fillId="34" borderId="172">
      <alignment horizontal="left" vertical="center" wrapText="1" indent="2"/>
    </xf>
    <xf numFmtId="4" fontId="33" fillId="34" borderId="169">
      <alignment horizontal="right" vertical="center"/>
    </xf>
    <xf numFmtId="0" fontId="33" fillId="34" borderId="169">
      <alignment horizontal="right" vertical="center"/>
    </xf>
    <xf numFmtId="0" fontId="27" fillId="27" borderId="0" applyNumberFormat="0" applyBorder="0" applyAlignment="0" applyProtection="0"/>
    <xf numFmtId="0" fontId="37" fillId="32" borderId="169">
      <alignment horizontal="right" vertical="center"/>
    </xf>
    <xf numFmtId="0" fontId="41" fillId="59" borderId="168" applyNumberFormat="0" applyFont="0" applyAlignment="0" applyProtection="0"/>
    <xf numFmtId="0" fontId="12" fillId="25" borderId="0" applyNumberFormat="0" applyBorder="0" applyAlignment="0" applyProtection="0"/>
    <xf numFmtId="0" fontId="33" fillId="34" borderId="169">
      <alignment horizontal="right" vertical="center"/>
    </xf>
    <xf numFmtId="0" fontId="47" fillId="56" borderId="166" applyNumberFormat="0" applyAlignment="0" applyProtection="0"/>
    <xf numFmtId="4" fontId="33" fillId="34" borderId="169">
      <alignment horizontal="right" vertical="center"/>
    </xf>
    <xf numFmtId="0" fontId="12" fillId="31" borderId="0" applyNumberFormat="0" applyBorder="0" applyAlignment="0" applyProtection="0"/>
    <xf numFmtId="49" fontId="35" fillId="0" borderId="169" applyNumberFormat="0" applyFont="0" applyFill="0" applyBorder="0" applyProtection="0">
      <alignment horizontal="left" vertical="center" indent="2"/>
    </xf>
    <xf numFmtId="0" fontId="63" fillId="56" borderId="173" applyNumberFormat="0" applyAlignment="0" applyProtection="0"/>
    <xf numFmtId="0" fontId="27" fillId="30" borderId="0" applyNumberFormat="0" applyBorder="0" applyAlignment="0" applyProtection="0"/>
    <xf numFmtId="4" fontId="37" fillId="32" borderId="169">
      <alignment horizontal="right" vertical="center"/>
    </xf>
    <xf numFmtId="0" fontId="35" fillId="33" borderId="169"/>
    <xf numFmtId="0" fontId="66" fillId="0" borderId="167" applyNumberFormat="0" applyFill="0" applyAlignment="0" applyProtection="0"/>
    <xf numFmtId="0" fontId="47" fillId="56" borderId="166" applyNumberFormat="0" applyAlignment="0" applyProtection="0"/>
    <xf numFmtId="0" fontId="47" fillId="56" borderId="166" applyNumberFormat="0" applyAlignment="0" applyProtection="0"/>
    <xf numFmtId="0" fontId="35" fillId="34" borderId="172">
      <alignment horizontal="left" vertical="center" wrapText="1" indent="2"/>
    </xf>
    <xf numFmtId="0" fontId="50" fillId="43" borderId="166" applyNumberFormat="0" applyAlignment="0" applyProtection="0"/>
    <xf numFmtId="0" fontId="27" fillId="24" borderId="0" applyNumberFormat="0" applyBorder="0" applyAlignment="0" applyProtection="0"/>
    <xf numFmtId="0" fontId="47" fillId="56" borderId="166" applyNumberFormat="0" applyAlignment="0" applyProtection="0"/>
    <xf numFmtId="0" fontId="27" fillId="29" borderId="0" applyNumberFormat="0" applyBorder="0" applyAlignment="0" applyProtection="0"/>
    <xf numFmtId="0" fontId="37" fillId="32" borderId="169">
      <alignment horizontal="right" vertical="center"/>
    </xf>
    <xf numFmtId="0" fontId="27" fillId="21" borderId="0" applyNumberFormat="0" applyBorder="0" applyAlignment="0" applyProtection="0"/>
    <xf numFmtId="0" fontId="33" fillId="34" borderId="169">
      <alignment horizontal="right" vertical="center"/>
    </xf>
    <xf numFmtId="0" fontId="50" fillId="43" borderId="166" applyNumberFormat="0" applyAlignment="0" applyProtection="0"/>
    <xf numFmtId="0" fontId="35" fillId="34" borderId="172">
      <alignment horizontal="left" vertical="center" wrapText="1" indent="2"/>
    </xf>
    <xf numFmtId="0" fontId="35" fillId="34" borderId="172">
      <alignment horizontal="left" vertical="center" wrapText="1" indent="2"/>
    </xf>
    <xf numFmtId="0" fontId="35" fillId="0" borderId="172">
      <alignment horizontal="left" vertical="center" wrapText="1" indent="2"/>
    </xf>
    <xf numFmtId="0" fontId="35" fillId="32" borderId="170">
      <alignment horizontal="left" vertical="center"/>
    </xf>
    <xf numFmtId="0" fontId="12" fillId="22" borderId="0" applyNumberFormat="0" applyBorder="0" applyAlignment="0" applyProtection="0"/>
    <xf numFmtId="0" fontId="50" fillId="43" borderId="166" applyNumberFormat="0" applyAlignment="0" applyProtection="0"/>
    <xf numFmtId="4" fontId="33" fillId="34" borderId="169">
      <alignment horizontal="right" vertical="center"/>
    </xf>
    <xf numFmtId="49" fontId="34" fillId="0" borderId="169" applyNumberFormat="0" applyFill="0" applyBorder="0" applyProtection="0">
      <alignment horizontal="left" vertical="center"/>
    </xf>
    <xf numFmtId="0" fontId="51" fillId="0" borderId="167" applyNumberFormat="0" applyFill="0" applyAlignment="0" applyProtection="0"/>
    <xf numFmtId="0" fontId="33" fillId="32" borderId="169">
      <alignment horizontal="right" vertical="center"/>
    </xf>
    <xf numFmtId="0" fontId="12" fillId="19" borderId="0" applyNumberFormat="0" applyBorder="0" applyAlignment="0" applyProtection="0"/>
    <xf numFmtId="4" fontId="33" fillId="34" borderId="169">
      <alignment horizontal="right" vertical="center"/>
    </xf>
    <xf numFmtId="0" fontId="12" fillId="25" borderId="0" applyNumberFormat="0" applyBorder="0" applyAlignment="0" applyProtection="0"/>
    <xf numFmtId="0" fontId="47" fillId="56" borderId="166" applyNumberFormat="0" applyAlignment="0" applyProtection="0"/>
    <xf numFmtId="0" fontId="46" fillId="56" borderId="166" applyNumberFormat="0" applyAlignment="0" applyProtection="0"/>
    <xf numFmtId="49" fontId="35" fillId="0" borderId="170" applyNumberFormat="0" applyFont="0" applyFill="0" applyBorder="0" applyProtection="0">
      <alignment horizontal="left" vertical="center" indent="5"/>
    </xf>
    <xf numFmtId="4" fontId="35" fillId="33" borderId="169"/>
    <xf numFmtId="0" fontId="41" fillId="59" borderId="168" applyNumberFormat="0" applyFont="0" applyAlignment="0" applyProtection="0"/>
    <xf numFmtId="0" fontId="29" fillId="13" borderId="14" applyNumberFormat="0" applyAlignment="0" applyProtection="0"/>
    <xf numFmtId="4" fontId="33" fillId="32" borderId="169">
      <alignment horizontal="right" vertical="center"/>
    </xf>
    <xf numFmtId="0" fontId="47" fillId="56" borderId="166" applyNumberFormat="0" applyAlignment="0" applyProtection="0"/>
    <xf numFmtId="0" fontId="12" fillId="25" borderId="0" applyNumberFormat="0" applyBorder="0" applyAlignment="0" applyProtection="0"/>
    <xf numFmtId="0" fontId="33" fillId="34" borderId="171">
      <alignment horizontal="right" vertical="center"/>
    </xf>
    <xf numFmtId="0" fontId="41" fillId="59" borderId="168" applyNumberFormat="0" applyFont="0" applyAlignment="0" applyProtection="0"/>
    <xf numFmtId="4" fontId="33" fillId="32" borderId="169">
      <alignment horizontal="right" vertical="center"/>
    </xf>
    <xf numFmtId="0" fontId="47" fillId="56" borderId="166" applyNumberFormat="0" applyAlignment="0" applyProtection="0"/>
    <xf numFmtId="0" fontId="47" fillId="56" borderId="166" applyNumberFormat="0" applyAlignment="0" applyProtection="0"/>
    <xf numFmtId="0" fontId="63" fillId="56" borderId="173" applyNumberFormat="0" applyAlignment="0" applyProtection="0"/>
    <xf numFmtId="0" fontId="35" fillId="0" borderId="169">
      <alignment horizontal="right" vertical="center"/>
    </xf>
    <xf numFmtId="49" fontId="35" fillId="0" borderId="169" applyNumberFormat="0" applyFont="0" applyFill="0" applyBorder="0" applyProtection="0">
      <alignment horizontal="left" vertical="center" indent="2"/>
    </xf>
    <xf numFmtId="0" fontId="29" fillId="13" borderId="14" applyNumberFormat="0" applyAlignment="0" applyProtection="0"/>
    <xf numFmtId="0" fontId="35" fillId="34" borderId="172">
      <alignment horizontal="left" vertical="center" wrapText="1" indent="2"/>
    </xf>
    <xf numFmtId="4" fontId="35" fillId="0" borderId="169">
      <alignment horizontal="right" vertical="center"/>
    </xf>
    <xf numFmtId="0" fontId="35" fillId="0" borderId="169">
      <alignment horizontal="right" vertical="center"/>
    </xf>
    <xf numFmtId="49" fontId="35" fillId="0" borderId="170" applyNumberFormat="0" applyFont="0" applyFill="0" applyBorder="0" applyProtection="0">
      <alignment horizontal="left" vertical="center" indent="5"/>
    </xf>
    <xf numFmtId="0" fontId="35" fillId="32" borderId="170">
      <alignment horizontal="left" vertical="center"/>
    </xf>
    <xf numFmtId="0" fontId="35" fillId="0" borderId="172">
      <alignment horizontal="left" vertical="center" wrapText="1" indent="2"/>
    </xf>
    <xf numFmtId="0" fontId="1" fillId="0" borderId="0" applyNumberFormat="0" applyFill="0" applyBorder="0" applyAlignment="0" applyProtection="0"/>
    <xf numFmtId="0" fontId="27" fillId="30" borderId="0" applyNumberFormat="0" applyBorder="0" applyAlignment="0" applyProtection="0"/>
    <xf numFmtId="0" fontId="33" fillId="32" borderId="169">
      <alignment horizontal="right" vertical="center"/>
    </xf>
    <xf numFmtId="0" fontId="51" fillId="0" borderId="167" applyNumberFormat="0" applyFill="0" applyAlignment="0" applyProtection="0"/>
    <xf numFmtId="0" fontId="35" fillId="0" borderId="169" applyNumberFormat="0" applyFill="0" applyAlignment="0" applyProtection="0"/>
    <xf numFmtId="0" fontId="51" fillId="0" borderId="167" applyNumberFormat="0" applyFill="0" applyAlignment="0" applyProtection="0"/>
    <xf numFmtId="4" fontId="35" fillId="0" borderId="169" applyFill="0" applyBorder="0" applyProtection="0">
      <alignment horizontal="right" vertical="center"/>
    </xf>
    <xf numFmtId="49" fontId="35" fillId="0" borderId="170" applyNumberFormat="0" applyFont="0" applyFill="0" applyBorder="0" applyProtection="0">
      <alignment horizontal="left" vertical="center" indent="5"/>
    </xf>
    <xf numFmtId="0" fontId="35" fillId="0" borderId="169" applyNumberFormat="0" applyFill="0" applyAlignment="0" applyProtection="0"/>
    <xf numFmtId="0" fontId="35" fillId="0" borderId="169" applyNumberFormat="0" applyFill="0" applyAlignment="0" applyProtection="0"/>
    <xf numFmtId="4" fontId="33" fillId="34" borderId="169">
      <alignment horizontal="right" vertical="center"/>
    </xf>
    <xf numFmtId="0" fontId="27" fillId="20" borderId="0" applyNumberFormat="0" applyBorder="0" applyAlignment="0" applyProtection="0"/>
    <xf numFmtId="0" fontId="50" fillId="43" borderId="166" applyNumberFormat="0" applyAlignment="0" applyProtection="0"/>
    <xf numFmtId="0" fontId="47" fillId="56" borderId="166" applyNumberFormat="0" applyAlignment="0" applyProtection="0"/>
    <xf numFmtId="4" fontId="35" fillId="0" borderId="169">
      <alignment horizontal="right" vertical="center"/>
    </xf>
    <xf numFmtId="0" fontId="35" fillId="34" borderId="172">
      <alignment horizontal="left" vertical="center" wrapText="1" indent="2"/>
    </xf>
    <xf numFmtId="0" fontId="35" fillId="0" borderId="172">
      <alignment horizontal="left" vertical="center" wrapText="1" indent="2"/>
    </xf>
    <xf numFmtId="0" fontId="63" fillId="56" borderId="173" applyNumberFormat="0" applyAlignment="0" applyProtection="0"/>
    <xf numFmtId="0" fontId="59" fillId="43" borderId="166" applyNumberFormat="0" applyAlignment="0" applyProtection="0"/>
    <xf numFmtId="0" fontId="46" fillId="56" borderId="166" applyNumberFormat="0" applyAlignment="0" applyProtection="0"/>
    <xf numFmtId="0" fontId="44" fillId="56" borderId="173" applyNumberFormat="0" applyAlignment="0" applyProtection="0"/>
    <xf numFmtId="0" fontId="33" fillId="34" borderId="171">
      <alignment horizontal="right" vertical="center"/>
    </xf>
    <xf numFmtId="0" fontId="37" fillId="32" borderId="169">
      <alignment horizontal="right" vertical="center"/>
    </xf>
    <xf numFmtId="4" fontId="33" fillId="32" borderId="169">
      <alignment horizontal="right" vertical="center"/>
    </xf>
    <xf numFmtId="4" fontId="33" fillId="34" borderId="169">
      <alignment horizontal="right" vertical="center"/>
    </xf>
    <xf numFmtId="49" fontId="35" fillId="0" borderId="170" applyNumberFormat="0" applyFont="0" applyFill="0" applyBorder="0" applyProtection="0">
      <alignment horizontal="left" vertical="center" indent="5"/>
    </xf>
    <xf numFmtId="4" fontId="35" fillId="0" borderId="169" applyFill="0" applyBorder="0" applyProtection="0">
      <alignment horizontal="right" vertical="center"/>
    </xf>
    <xf numFmtId="4" fontId="33" fillId="32" borderId="169">
      <alignment horizontal="right" vertical="center"/>
    </xf>
    <xf numFmtId="0" fontId="59" fillId="43" borderId="166" applyNumberFormat="0" applyAlignment="0" applyProtection="0"/>
    <xf numFmtId="0" fontId="50" fillId="43" borderId="166" applyNumberFormat="0" applyAlignment="0" applyProtection="0"/>
    <xf numFmtId="0" fontId="46" fillId="56" borderId="166" applyNumberFormat="0" applyAlignment="0" applyProtection="0"/>
    <xf numFmtId="0" fontId="35" fillId="34" borderId="172">
      <alignment horizontal="left" vertical="center" wrapText="1" indent="2"/>
    </xf>
    <xf numFmtId="0" fontId="35" fillId="0" borderId="172">
      <alignment horizontal="left" vertical="center" wrapText="1" indent="2"/>
    </xf>
    <xf numFmtId="0" fontId="35" fillId="34" borderId="172">
      <alignment horizontal="left" vertical="center" wrapText="1" indent="2"/>
    </xf>
    <xf numFmtId="0" fontId="35" fillId="33" borderId="187"/>
    <xf numFmtId="0" fontId="2" fillId="0" borderId="15" applyNumberFormat="0" applyFill="0" applyAlignment="0" applyProtection="0"/>
    <xf numFmtId="0" fontId="35" fillId="0" borderId="190">
      <alignment horizontal="left" vertical="center" wrapText="1" indent="2"/>
    </xf>
    <xf numFmtId="4" fontId="33" fillId="34" borderId="187">
      <alignment horizontal="right" vertical="center"/>
    </xf>
    <xf numFmtId="4" fontId="33" fillId="34" borderId="211">
      <alignment horizontal="right" vertical="center"/>
    </xf>
    <xf numFmtId="0" fontId="2" fillId="0" borderId="15" applyNumberFormat="0" applyFill="0" applyAlignment="0" applyProtection="0"/>
    <xf numFmtId="0" fontId="47" fillId="56" borderId="205" applyNumberFormat="0" applyAlignment="0" applyProtection="0"/>
    <xf numFmtId="0" fontId="27" fillId="18" borderId="0" applyNumberFormat="0" applyBorder="0" applyAlignment="0" applyProtection="0"/>
    <xf numFmtId="4" fontId="33" fillId="34" borderId="188">
      <alignment horizontal="right" vertical="center"/>
    </xf>
    <xf numFmtId="0" fontId="33" fillId="34" borderId="187">
      <alignment horizontal="right" vertical="center"/>
    </xf>
    <xf numFmtId="0" fontId="33" fillId="34" borderId="188">
      <alignment horizontal="right" vertical="center"/>
    </xf>
    <xf numFmtId="0" fontId="41" fillId="59" borderId="199" applyNumberFormat="0" applyFont="0" applyAlignment="0" applyProtection="0"/>
    <xf numFmtId="0" fontId="66" fillId="0" borderId="198" applyNumberFormat="0" applyFill="0" applyAlignment="0" applyProtection="0"/>
    <xf numFmtId="0" fontId="46" fillId="56" borderId="197" applyNumberFormat="0" applyAlignment="0" applyProtection="0"/>
    <xf numFmtId="0" fontId="33" fillId="34" borderId="192">
      <alignment horizontal="right" vertical="center"/>
    </xf>
    <xf numFmtId="4" fontId="33" fillId="34" borderId="187">
      <alignment horizontal="right" vertical="center"/>
    </xf>
    <xf numFmtId="4" fontId="35" fillId="0" borderId="211">
      <alignment horizontal="right" vertical="center"/>
    </xf>
    <xf numFmtId="0" fontId="50" fillId="43" borderId="184" applyNumberFormat="0" applyAlignment="0" applyProtection="0"/>
    <xf numFmtId="0" fontId="33" fillId="32" borderId="211">
      <alignment horizontal="right" vertical="center"/>
    </xf>
    <xf numFmtId="0" fontId="27" fillId="15" borderId="0" applyNumberFormat="0" applyBorder="0" applyAlignment="0" applyProtection="0"/>
    <xf numFmtId="4" fontId="35" fillId="33" borderId="187"/>
    <xf numFmtId="0" fontId="35" fillId="0" borderId="187" applyNumberFormat="0" applyFill="0" applyAlignment="0" applyProtection="0"/>
    <xf numFmtId="4" fontId="33" fillId="34" borderId="200">
      <alignment horizontal="right" vertical="center"/>
    </xf>
    <xf numFmtId="49" fontId="35" fillId="0" borderId="187" applyNumberFormat="0" applyFont="0" applyFill="0" applyBorder="0" applyProtection="0">
      <alignment horizontal="left" vertical="center" indent="2"/>
    </xf>
    <xf numFmtId="0" fontId="33" fillId="32" borderId="187">
      <alignment horizontal="right" vertical="center"/>
    </xf>
    <xf numFmtId="0" fontId="27" fillId="23" borderId="0" applyNumberFormat="0" applyBorder="0" applyAlignment="0" applyProtection="0"/>
    <xf numFmtId="0" fontId="1" fillId="0" borderId="0" applyNumberFormat="0" applyFill="0" applyBorder="0" applyAlignment="0" applyProtection="0"/>
    <xf numFmtId="0" fontId="5" fillId="59" borderId="186" applyNumberFormat="0" applyFont="0" applyAlignment="0" applyProtection="0"/>
    <xf numFmtId="0" fontId="33" fillId="34" borderId="189">
      <alignment horizontal="right" vertical="center"/>
    </xf>
    <xf numFmtId="0" fontId="41" fillId="59" borderId="199" applyNumberFormat="0" applyFont="0" applyAlignment="0" applyProtection="0"/>
    <xf numFmtId="0" fontId="33" fillId="34" borderId="192">
      <alignment horizontal="right" vertical="center"/>
    </xf>
    <xf numFmtId="0" fontId="35" fillId="34" borderId="214">
      <alignment horizontal="left" vertical="center" wrapText="1" indent="2"/>
    </xf>
    <xf numFmtId="0" fontId="31" fillId="0" borderId="0" applyNumberFormat="0" applyFill="0" applyBorder="0" applyAlignment="0" applyProtection="0"/>
    <xf numFmtId="0" fontId="59" fillId="43" borderId="205" applyNumberFormat="0" applyAlignment="0" applyProtection="0"/>
    <xf numFmtId="0" fontId="2" fillId="0" borderId="15" applyNumberFormat="0" applyFill="0" applyAlignment="0" applyProtection="0"/>
    <xf numFmtId="0" fontId="12" fillId="16" borderId="0" applyNumberFormat="0" applyBorder="0" applyAlignment="0" applyProtection="0"/>
    <xf numFmtId="0" fontId="35" fillId="33" borderId="192"/>
    <xf numFmtId="0" fontId="5" fillId="59" borderId="186" applyNumberFormat="0" applyFont="0" applyAlignment="0" applyProtection="0"/>
    <xf numFmtId="0" fontId="47" fillId="56" borderId="184" applyNumberFormat="0" applyAlignment="0" applyProtection="0"/>
    <xf numFmtId="0" fontId="35" fillId="32" borderId="188">
      <alignment horizontal="left" vertical="center"/>
    </xf>
    <xf numFmtId="0" fontId="46" fillId="56" borderId="205" applyNumberFormat="0" applyAlignment="0" applyProtection="0"/>
    <xf numFmtId="0" fontId="41" fillId="59" borderId="186" applyNumberFormat="0" applyFont="0" applyAlignment="0" applyProtection="0"/>
    <xf numFmtId="0" fontId="66" fillId="0" borderId="209" applyNumberFormat="0" applyFill="0" applyAlignment="0" applyProtection="0"/>
    <xf numFmtId="0" fontId="47" fillId="56" borderId="197" applyNumberFormat="0" applyAlignment="0" applyProtection="0"/>
    <xf numFmtId="0" fontId="44" fillId="56" borderId="215" applyNumberFormat="0" applyAlignment="0" applyProtection="0"/>
    <xf numFmtId="0" fontId="27" fillId="29" borderId="0" applyNumberFormat="0" applyBorder="0" applyAlignment="0" applyProtection="0"/>
    <xf numFmtId="4" fontId="35" fillId="33" borderId="187"/>
    <xf numFmtId="0" fontId="66" fillId="0" borderId="185" applyNumberFormat="0" applyFill="0" applyAlignment="0" applyProtection="0"/>
    <xf numFmtId="0" fontId="29" fillId="13" borderId="14" applyNumberFormat="0" applyAlignment="0" applyProtection="0"/>
    <xf numFmtId="0" fontId="30" fillId="13" borderId="13" applyNumberFormat="0" applyAlignment="0" applyProtection="0"/>
    <xf numFmtId="0" fontId="35" fillId="0" borderId="192">
      <alignment horizontal="right" vertical="center"/>
    </xf>
    <xf numFmtId="0" fontId="59" fillId="43" borderId="184" applyNumberFormat="0" applyAlignment="0" applyProtection="0"/>
    <xf numFmtId="0" fontId="1" fillId="0" borderId="0" applyNumberFormat="0" applyFill="0" applyBorder="0" applyAlignment="0" applyProtection="0"/>
    <xf numFmtId="4" fontId="33" fillId="34" borderId="187">
      <alignment horizontal="right" vertical="center"/>
    </xf>
    <xf numFmtId="0" fontId="31" fillId="0" borderId="0" applyNumberFormat="0" applyFill="0" applyBorder="0" applyAlignment="0" applyProtection="0"/>
    <xf numFmtId="0" fontId="2" fillId="0" borderId="15" applyNumberFormat="0" applyFill="0" applyAlignment="0" applyProtection="0"/>
    <xf numFmtId="4" fontId="33" fillId="34" borderId="202">
      <alignment horizontal="right" vertical="center"/>
    </xf>
    <xf numFmtId="0" fontId="27" fillId="14" borderId="0" applyNumberFormat="0" applyBorder="0" applyAlignment="0" applyProtection="0"/>
    <xf numFmtId="0" fontId="27" fillId="15" borderId="0" applyNumberFormat="0" applyBorder="0" applyAlignment="0" applyProtection="0"/>
    <xf numFmtId="0" fontId="12" fillId="16" borderId="0" applyNumberFormat="0" applyBorder="0" applyAlignment="0" applyProtection="0"/>
    <xf numFmtId="4" fontId="33" fillId="32" borderId="192">
      <alignment horizontal="right" vertical="center"/>
    </xf>
    <xf numFmtId="0" fontId="27" fillId="17" borderId="0" applyNumberFormat="0" applyBorder="0" applyAlignment="0" applyProtection="0"/>
    <xf numFmtId="0" fontId="27" fillId="18" borderId="0" applyNumberFormat="0" applyBorder="0" applyAlignment="0" applyProtection="0"/>
    <xf numFmtId="0" fontId="12" fillId="19" borderId="0" applyNumberFormat="0" applyBorder="0" applyAlignment="0" applyProtection="0"/>
    <xf numFmtId="0" fontId="27" fillId="24" borderId="0" applyNumberFormat="0" applyBorder="0" applyAlignment="0" applyProtection="0"/>
    <xf numFmtId="0" fontId="27" fillId="20" borderId="0" applyNumberFormat="0" applyBorder="0" applyAlignment="0" applyProtection="0"/>
    <xf numFmtId="0" fontId="27" fillId="21" borderId="0" applyNumberFormat="0" applyBorder="0" applyAlignment="0" applyProtection="0"/>
    <xf numFmtId="0" fontId="12" fillId="22" borderId="0" applyNumberFormat="0" applyBorder="0" applyAlignment="0" applyProtection="0"/>
    <xf numFmtId="0" fontId="27" fillId="27" borderId="0" applyNumberFormat="0" applyBorder="0" applyAlignment="0" applyProtection="0"/>
    <xf numFmtId="0" fontId="27" fillId="23" borderId="0" applyNumberFormat="0" applyBorder="0" applyAlignment="0" applyProtection="0"/>
    <xf numFmtId="0" fontId="27" fillId="24" borderId="0" applyNumberFormat="0" applyBorder="0" applyAlignment="0" applyProtection="0"/>
    <xf numFmtId="0" fontId="12" fillId="25" borderId="0" applyNumberFormat="0" applyBorder="0" applyAlignment="0" applyProtection="0"/>
    <xf numFmtId="0" fontId="44" fillId="56" borderId="204" applyNumberFormat="0" applyAlignment="0" applyProtection="0"/>
    <xf numFmtId="0" fontId="27" fillId="26" borderId="0" applyNumberFormat="0" applyBorder="0" applyAlignment="0" applyProtection="0"/>
    <xf numFmtId="0" fontId="27" fillId="27" borderId="0" applyNumberFormat="0" applyBorder="0" applyAlignment="0" applyProtection="0"/>
    <xf numFmtId="0" fontId="12" fillId="28" borderId="0" applyNumberFormat="0" applyBorder="0" applyAlignment="0" applyProtection="0"/>
    <xf numFmtId="49" fontId="34" fillId="0" borderId="211" applyNumberFormat="0" applyFill="0" applyBorder="0" applyProtection="0">
      <alignment horizontal="left" vertical="center"/>
    </xf>
    <xf numFmtId="0" fontId="27" fillId="29" borderId="0" applyNumberFormat="0" applyBorder="0" applyAlignment="0" applyProtection="0"/>
    <xf numFmtId="0" fontId="27" fillId="30" borderId="0" applyNumberFormat="0" applyBorder="0" applyAlignment="0" applyProtection="0"/>
    <xf numFmtId="0" fontId="12" fillId="31" borderId="0" applyNumberFormat="0" applyBorder="0" applyAlignment="0" applyProtection="0"/>
    <xf numFmtId="0" fontId="35" fillId="0" borderId="169" applyNumberFormat="0" applyFill="0" applyAlignment="0" applyProtection="0"/>
    <xf numFmtId="0" fontId="33" fillId="34" borderId="169">
      <alignment horizontal="right" vertical="center"/>
    </xf>
    <xf numFmtId="0" fontId="33" fillId="34" borderId="169">
      <alignment horizontal="right" vertical="center"/>
    </xf>
    <xf numFmtId="0" fontId="35" fillId="34" borderId="195">
      <alignment horizontal="left" vertical="center" wrapText="1" indent="2"/>
    </xf>
    <xf numFmtId="4" fontId="33" fillId="34" borderId="189">
      <alignment horizontal="right" vertical="center"/>
    </xf>
    <xf numFmtId="0" fontId="35" fillId="0" borderId="169">
      <alignment horizontal="right" vertical="center"/>
    </xf>
    <xf numFmtId="0" fontId="37" fillId="32" borderId="169">
      <alignment horizontal="right" vertical="center"/>
    </xf>
    <xf numFmtId="0" fontId="35" fillId="33" borderId="169"/>
    <xf numFmtId="0" fontId="33" fillId="32" borderId="169">
      <alignment horizontal="right" vertical="center"/>
    </xf>
    <xf numFmtId="0" fontId="33" fillId="32" borderId="192">
      <alignment horizontal="right" vertical="center"/>
    </xf>
    <xf numFmtId="0" fontId="37" fillId="32" borderId="187">
      <alignment horizontal="right" vertical="center"/>
    </xf>
    <xf numFmtId="0" fontId="66" fillId="0" borderId="185" applyNumberFormat="0" applyFill="0" applyAlignment="0" applyProtection="0"/>
    <xf numFmtId="4" fontId="35" fillId="0" borderId="187">
      <alignment horizontal="right" vertical="center"/>
    </xf>
    <xf numFmtId="0" fontId="5" fillId="59" borderId="186" applyNumberFormat="0" applyFont="0" applyAlignment="0" applyProtection="0"/>
    <xf numFmtId="0" fontId="47" fillId="56" borderId="205" applyNumberFormat="0" applyAlignment="0" applyProtection="0"/>
    <xf numFmtId="0" fontId="47" fillId="56" borderId="205" applyNumberFormat="0" applyAlignment="0" applyProtection="0"/>
    <xf numFmtId="4" fontId="33" fillId="34" borderId="192">
      <alignment horizontal="right" vertical="center"/>
    </xf>
    <xf numFmtId="4" fontId="33" fillId="34" borderId="189">
      <alignment horizontal="right" vertical="center"/>
    </xf>
    <xf numFmtId="4" fontId="35" fillId="33" borderId="187"/>
    <xf numFmtId="0" fontId="66" fillId="0" borderId="185" applyNumberFormat="0" applyFill="0" applyAlignment="0" applyProtection="0"/>
    <xf numFmtId="0" fontId="46" fillId="56" borderId="184" applyNumberFormat="0" applyAlignment="0" applyProtection="0"/>
    <xf numFmtId="4" fontId="33" fillId="34" borderId="187">
      <alignment horizontal="right" vertical="center"/>
    </xf>
    <xf numFmtId="4" fontId="33" fillId="34" borderId="200">
      <alignment horizontal="right" vertical="center"/>
    </xf>
    <xf numFmtId="0" fontId="66" fillId="0" borderId="198" applyNumberFormat="0" applyFill="0" applyAlignment="0" applyProtection="0"/>
    <xf numFmtId="0" fontId="33" fillId="32" borderId="192">
      <alignment horizontal="right" vertical="center"/>
    </xf>
    <xf numFmtId="173" fontId="35" fillId="60" borderId="192" applyNumberFormat="0" applyFont="0" applyBorder="0" applyAlignment="0" applyProtection="0">
      <alignment horizontal="right" vertical="center"/>
    </xf>
    <xf numFmtId="4" fontId="33" fillId="34" borderId="194">
      <alignment horizontal="right" vertical="center"/>
    </xf>
    <xf numFmtId="4" fontId="33" fillId="32" borderId="192">
      <alignment horizontal="right" vertical="center"/>
    </xf>
    <xf numFmtId="49" fontId="34" fillId="0" borderId="187" applyNumberFormat="0" applyFill="0" applyBorder="0" applyProtection="0">
      <alignment horizontal="left" vertical="center"/>
    </xf>
    <xf numFmtId="49" fontId="34" fillId="0" borderId="200" applyNumberFormat="0" applyFill="0" applyBorder="0" applyProtection="0">
      <alignment horizontal="left" vertical="center"/>
    </xf>
    <xf numFmtId="0" fontId="46" fillId="56" borderId="197" applyNumberFormat="0" applyAlignment="0" applyProtection="0"/>
    <xf numFmtId="0" fontId="27" fillId="18" borderId="0" applyNumberFormat="0" applyBorder="0" applyAlignment="0" applyProtection="0"/>
    <xf numFmtId="0" fontId="29" fillId="13" borderId="14" applyNumberFormat="0" applyAlignment="0" applyProtection="0"/>
    <xf numFmtId="4" fontId="33" fillId="34" borderId="194">
      <alignment horizontal="right" vertical="center"/>
    </xf>
    <xf numFmtId="0" fontId="5" fillId="59" borderId="199" applyNumberFormat="0" applyFont="0" applyAlignment="0" applyProtection="0"/>
    <xf numFmtId="0" fontId="33" fillId="34" borderId="189">
      <alignment horizontal="right" vertical="center"/>
    </xf>
    <xf numFmtId="0" fontId="12" fillId="31" borderId="0" applyNumberFormat="0" applyBorder="0" applyAlignment="0" applyProtection="0"/>
    <xf numFmtId="0" fontId="33" fillId="32" borderId="187">
      <alignment horizontal="right" vertical="center"/>
    </xf>
    <xf numFmtId="0" fontId="33" fillId="34" borderId="200">
      <alignment horizontal="right" vertical="center"/>
    </xf>
    <xf numFmtId="0" fontId="47" fillId="56" borderId="208" applyNumberFormat="0" applyAlignment="0" applyProtection="0"/>
    <xf numFmtId="0" fontId="51" fillId="0" borderId="206" applyNumberFormat="0" applyFill="0" applyAlignment="0" applyProtection="0"/>
    <xf numFmtId="4" fontId="35" fillId="0" borderId="192">
      <alignment horizontal="right" vertical="center"/>
    </xf>
    <xf numFmtId="0" fontId="33" fillId="34" borderId="187">
      <alignment horizontal="right" vertical="center"/>
    </xf>
    <xf numFmtId="0" fontId="35" fillId="33" borderId="192"/>
    <xf numFmtId="0" fontId="33" fillId="34" borderId="192">
      <alignment horizontal="right" vertical="center"/>
    </xf>
    <xf numFmtId="0" fontId="33" fillId="32" borderId="200">
      <alignment horizontal="right" vertical="center"/>
    </xf>
    <xf numFmtId="0" fontId="35" fillId="0" borderId="192">
      <alignment horizontal="right" vertical="center"/>
    </xf>
    <xf numFmtId="4" fontId="37" fillId="32" borderId="187">
      <alignment horizontal="right" vertical="center"/>
    </xf>
    <xf numFmtId="0" fontId="35" fillId="34" borderId="190">
      <alignment horizontal="left" vertical="center" wrapText="1" indent="2"/>
    </xf>
    <xf numFmtId="0" fontId="33" fillId="34" borderId="189">
      <alignment horizontal="right" vertical="center"/>
    </xf>
    <xf numFmtId="0" fontId="66" fillId="0" borderId="198" applyNumberFormat="0" applyFill="0" applyAlignment="0" applyProtection="0"/>
    <xf numFmtId="0" fontId="47" fillId="56" borderId="184" applyNumberFormat="0" applyAlignment="0" applyProtection="0"/>
    <xf numFmtId="4" fontId="33" fillId="34" borderId="187">
      <alignment horizontal="right" vertical="center"/>
    </xf>
    <xf numFmtId="0" fontId="33" fillId="34" borderId="187">
      <alignment horizontal="right" vertical="center"/>
    </xf>
    <xf numFmtId="4" fontId="33" fillId="34" borderId="189">
      <alignment horizontal="right" vertical="center"/>
    </xf>
    <xf numFmtId="0" fontId="47" fillId="56" borderId="176" applyNumberFormat="0" applyAlignment="0" applyProtection="0"/>
    <xf numFmtId="0" fontId="33" fillId="34" borderId="188">
      <alignment horizontal="right" vertical="center"/>
    </xf>
    <xf numFmtId="43" fontId="38" fillId="0" borderId="0" applyFont="0" applyFill="0" applyBorder="0" applyAlignment="0" applyProtection="0"/>
    <xf numFmtId="4" fontId="37" fillId="32" borderId="187">
      <alignment horizontal="right" vertical="center"/>
    </xf>
    <xf numFmtId="43" fontId="38" fillId="0" borderId="0" applyFont="0" applyFill="0" applyBorder="0" applyAlignment="0" applyProtection="0"/>
    <xf numFmtId="4" fontId="33" fillId="34" borderId="189">
      <alignment horizontal="right" vertical="center"/>
    </xf>
    <xf numFmtId="0" fontId="41" fillId="59" borderId="199" applyNumberFormat="0" applyFont="0" applyAlignment="0" applyProtection="0"/>
    <xf numFmtId="0" fontId="41" fillId="59" borderId="191" applyNumberFormat="0" applyFont="0" applyAlignment="0" applyProtection="0"/>
    <xf numFmtId="0" fontId="47" fillId="56" borderId="197" applyNumberFormat="0" applyAlignment="0" applyProtection="0"/>
    <xf numFmtId="0" fontId="66" fillId="0" borderId="185" applyNumberFormat="0" applyFill="0" applyAlignment="0" applyProtection="0"/>
    <xf numFmtId="0" fontId="63" fillId="56" borderId="183" applyNumberFormat="0" applyAlignment="0" applyProtection="0"/>
    <xf numFmtId="0" fontId="47" fillId="56" borderId="184" applyNumberFormat="0" applyAlignment="0" applyProtection="0"/>
    <xf numFmtId="0" fontId="66" fillId="0" borderId="185" applyNumberFormat="0" applyFill="0" applyAlignment="0" applyProtection="0"/>
    <xf numFmtId="0" fontId="59" fillId="43" borderId="176" applyNumberFormat="0" applyAlignment="0" applyProtection="0"/>
    <xf numFmtId="4" fontId="35" fillId="0" borderId="187">
      <alignment horizontal="right" vertical="center"/>
    </xf>
    <xf numFmtId="4" fontId="33" fillId="32" borderId="187">
      <alignment horizontal="right" vertical="center"/>
    </xf>
    <xf numFmtId="4" fontId="37" fillId="32" borderId="187">
      <alignment horizontal="right" vertical="center"/>
    </xf>
    <xf numFmtId="49" fontId="34" fillId="0" borderId="187" applyNumberFormat="0" applyFill="0" applyBorder="0" applyProtection="0">
      <alignment horizontal="left" vertical="center"/>
    </xf>
    <xf numFmtId="0" fontId="35" fillId="0" borderId="192">
      <alignment horizontal="right" vertical="center"/>
    </xf>
    <xf numFmtId="4" fontId="33" fillId="34" borderId="193">
      <alignment horizontal="right" vertical="center"/>
    </xf>
    <xf numFmtId="0" fontId="41" fillId="59" borderId="186" applyNumberFormat="0" applyFont="0" applyAlignment="0" applyProtection="0"/>
    <xf numFmtId="0" fontId="35" fillId="0" borderId="187">
      <alignment horizontal="right" vertical="center"/>
    </xf>
    <xf numFmtId="0" fontId="66" fillId="0" borderId="198" applyNumberFormat="0" applyFill="0" applyAlignment="0" applyProtection="0"/>
    <xf numFmtId="0" fontId="31" fillId="0" borderId="0" applyNumberFormat="0" applyFill="0" applyBorder="0" applyAlignment="0" applyProtection="0"/>
    <xf numFmtId="0" fontId="35" fillId="34" borderId="203">
      <alignment horizontal="left" vertical="center" wrapText="1" indent="2"/>
    </xf>
    <xf numFmtId="0" fontId="27" fillId="14" borderId="0" applyNumberFormat="0" applyBorder="0" applyAlignment="0" applyProtection="0"/>
    <xf numFmtId="4" fontId="37" fillId="32" borderId="192">
      <alignment horizontal="right" vertical="center"/>
    </xf>
    <xf numFmtId="0" fontId="35" fillId="34" borderId="203">
      <alignment horizontal="left" vertical="center" wrapText="1" indent="2"/>
    </xf>
    <xf numFmtId="0" fontId="33" fillId="34" borderId="192">
      <alignment horizontal="right" vertical="center"/>
    </xf>
    <xf numFmtId="173" fontId="35" fillId="60" borderId="192" applyNumberFormat="0" applyFont="0" applyBorder="0" applyAlignment="0" applyProtection="0">
      <alignment horizontal="right" vertical="center"/>
    </xf>
    <xf numFmtId="0" fontId="27" fillId="20" borderId="0" applyNumberFormat="0" applyBorder="0" applyAlignment="0" applyProtection="0"/>
    <xf numFmtId="4" fontId="33" fillId="34" borderId="194">
      <alignment horizontal="right" vertical="center"/>
    </xf>
    <xf numFmtId="4" fontId="35" fillId="0" borderId="169" applyFill="0" applyBorder="0" applyProtection="0">
      <alignment horizontal="right" vertical="center"/>
    </xf>
    <xf numFmtId="0" fontId="59" fillId="43" borderId="184" applyNumberFormat="0" applyAlignment="0" applyProtection="0"/>
    <xf numFmtId="0" fontId="29" fillId="13" borderId="14" applyNumberFormat="0" applyAlignment="0" applyProtection="0"/>
    <xf numFmtId="0" fontId="37" fillId="32" borderId="187">
      <alignment horizontal="right" vertical="center"/>
    </xf>
    <xf numFmtId="0" fontId="12" fillId="16" borderId="0" applyNumberFormat="0" applyBorder="0" applyAlignment="0" applyProtection="0"/>
    <xf numFmtId="4" fontId="33" fillId="34" borderId="187">
      <alignment horizontal="right" vertical="center"/>
    </xf>
    <xf numFmtId="0" fontId="37" fillId="32" borderId="187">
      <alignment horizontal="right" vertical="center"/>
    </xf>
    <xf numFmtId="4" fontId="33" fillId="34" borderId="193">
      <alignment horizontal="right" vertical="center"/>
    </xf>
    <xf numFmtId="0" fontId="41" fillId="59" borderId="178" applyNumberFormat="0" applyFont="0" applyAlignment="0" applyProtection="0"/>
    <xf numFmtId="0" fontId="5" fillId="59" borderId="178" applyNumberFormat="0" applyFont="0" applyAlignment="0" applyProtection="0"/>
    <xf numFmtId="0" fontId="63" fillId="56" borderId="175" applyNumberFormat="0" applyAlignment="0" applyProtection="0"/>
    <xf numFmtId="49" fontId="34" fillId="0" borderId="200" applyNumberFormat="0" applyFill="0" applyBorder="0" applyProtection="0">
      <alignment horizontal="left" vertical="center"/>
    </xf>
    <xf numFmtId="4" fontId="35" fillId="0" borderId="211" applyFill="0" applyBorder="0" applyProtection="0">
      <alignment horizontal="right" vertical="center"/>
    </xf>
    <xf numFmtId="0" fontId="33" fillId="34" borderId="193">
      <alignment horizontal="right" vertical="center"/>
    </xf>
    <xf numFmtId="0" fontId="35" fillId="33" borderId="187"/>
    <xf numFmtId="0" fontId="66" fillId="0" borderId="185" applyNumberFormat="0" applyFill="0" applyAlignment="0" applyProtection="0"/>
    <xf numFmtId="0" fontId="47" fillId="56" borderId="197" applyNumberFormat="0" applyAlignment="0" applyProtection="0"/>
    <xf numFmtId="0" fontId="66" fillId="0" borderId="177" applyNumberFormat="0" applyFill="0" applyAlignment="0" applyProtection="0"/>
    <xf numFmtId="0" fontId="35" fillId="32" borderId="188">
      <alignment horizontal="left" vertical="center"/>
    </xf>
    <xf numFmtId="0" fontId="46" fillId="56" borderId="184" applyNumberFormat="0" applyAlignment="0" applyProtection="0"/>
    <xf numFmtId="4" fontId="33" fillId="34" borderId="187">
      <alignment horizontal="right" vertical="center"/>
    </xf>
    <xf numFmtId="0" fontId="35" fillId="0" borderId="200" applyNumberFormat="0" applyFill="0" applyAlignment="0" applyProtection="0"/>
    <xf numFmtId="0" fontId="33" fillId="34" borderId="194">
      <alignment horizontal="right" vertical="center"/>
    </xf>
    <xf numFmtId="0" fontId="27" fillId="15" borderId="0" applyNumberFormat="0" applyBorder="0" applyAlignment="0" applyProtection="0"/>
    <xf numFmtId="4" fontId="33" fillId="34" borderId="200">
      <alignment horizontal="right" vertical="center"/>
    </xf>
    <xf numFmtId="0" fontId="50" fillId="43" borderId="184" applyNumberFormat="0" applyAlignment="0" applyProtection="0"/>
    <xf numFmtId="0" fontId="37" fillId="32" borderId="187">
      <alignment horizontal="right" vertical="center"/>
    </xf>
    <xf numFmtId="0" fontId="41" fillId="59" borderId="191" applyNumberFormat="0" applyFont="0" applyAlignment="0" applyProtection="0"/>
    <xf numFmtId="0" fontId="33" fillId="32" borderId="192">
      <alignment horizontal="right" vertical="center"/>
    </xf>
    <xf numFmtId="0" fontId="41" fillId="59" borderId="199" applyNumberFormat="0" applyFont="0" applyAlignment="0" applyProtection="0"/>
    <xf numFmtId="0" fontId="5" fillId="59" borderId="191" applyNumberFormat="0" applyFont="0" applyAlignment="0" applyProtection="0"/>
    <xf numFmtId="0" fontId="33" fillId="34" borderId="187">
      <alignment horizontal="right" vertical="center"/>
    </xf>
    <xf numFmtId="0" fontId="27" fillId="18" borderId="0" applyNumberFormat="0" applyBorder="0" applyAlignment="0" applyProtection="0"/>
    <xf numFmtId="0" fontId="66" fillId="0" borderId="198" applyNumberFormat="0" applyFill="0" applyAlignment="0" applyProtection="0"/>
    <xf numFmtId="0" fontId="27" fillId="30" borderId="0" applyNumberFormat="0" applyBorder="0" applyAlignment="0" applyProtection="0"/>
    <xf numFmtId="0" fontId="47" fillId="56" borderId="184" applyNumberFormat="0" applyAlignment="0" applyProtection="0"/>
    <xf numFmtId="0" fontId="35" fillId="0" borderId="187">
      <alignment horizontal="right" vertical="center"/>
    </xf>
    <xf numFmtId="0" fontId="47" fillId="56" borderId="184" applyNumberFormat="0" applyAlignment="0" applyProtection="0"/>
    <xf numFmtId="0" fontId="51" fillId="0" borderId="198" applyNumberFormat="0" applyFill="0" applyAlignment="0" applyProtection="0"/>
    <xf numFmtId="0" fontId="35" fillId="0" borderId="195">
      <alignment horizontal="left" vertical="center" wrapText="1" indent="2"/>
    </xf>
    <xf numFmtId="4" fontId="33" fillId="32" borderId="200">
      <alignment horizontal="right" vertical="center"/>
    </xf>
    <xf numFmtId="0" fontId="33" fillId="34" borderId="192">
      <alignment horizontal="right" vertical="center"/>
    </xf>
    <xf numFmtId="0" fontId="35" fillId="33" borderId="187"/>
    <xf numFmtId="0" fontId="27" fillId="27" borderId="0" applyNumberFormat="0" applyBorder="0" applyAlignment="0" applyProtection="0"/>
    <xf numFmtId="0" fontId="33" fillId="32" borderId="192">
      <alignment horizontal="right" vertical="center"/>
    </xf>
    <xf numFmtId="173" fontId="35" fillId="60" borderId="200" applyNumberFormat="0" applyFont="0" applyBorder="0" applyAlignment="0" applyProtection="0">
      <alignment horizontal="right" vertical="center"/>
    </xf>
    <xf numFmtId="0" fontId="27" fillId="29" borderId="0" applyNumberFormat="0" applyBorder="0" applyAlignment="0" applyProtection="0"/>
    <xf numFmtId="0" fontId="46" fillId="56" borderId="197" applyNumberFormat="0" applyAlignment="0" applyProtection="0"/>
    <xf numFmtId="0" fontId="33" fillId="34" borderId="202">
      <alignment horizontal="right" vertical="center"/>
    </xf>
    <xf numFmtId="0" fontId="59" fillId="43" borderId="208" applyNumberFormat="0" applyAlignment="0" applyProtection="0"/>
    <xf numFmtId="0" fontId="63" fillId="56" borderId="183" applyNumberFormat="0" applyAlignment="0" applyProtection="0"/>
    <xf numFmtId="4" fontId="35" fillId="0" borderId="192">
      <alignment horizontal="right" vertical="center"/>
    </xf>
    <xf numFmtId="0" fontId="46" fillId="56" borderId="197" applyNumberFormat="0" applyAlignment="0" applyProtection="0"/>
    <xf numFmtId="0" fontId="51" fillId="0" borderId="198" applyNumberFormat="0" applyFill="0" applyAlignment="0" applyProtection="0"/>
    <xf numFmtId="4" fontId="33" fillId="34" borderId="201">
      <alignment horizontal="right" vertical="center"/>
    </xf>
    <xf numFmtId="49" fontId="35" fillId="0" borderId="192" applyNumberFormat="0" applyFont="0" applyFill="0" applyBorder="0" applyProtection="0">
      <alignment horizontal="left" vertical="center" indent="2"/>
    </xf>
    <xf numFmtId="4" fontId="33" fillId="34" borderId="187">
      <alignment horizontal="right" vertical="center"/>
    </xf>
    <xf numFmtId="0" fontId="35" fillId="33" borderId="187"/>
    <xf numFmtId="0" fontId="66" fillId="0" borderId="185" applyNumberFormat="0" applyFill="0" applyAlignment="0" applyProtection="0"/>
    <xf numFmtId="0" fontId="47" fillId="56" borderId="176" applyNumberFormat="0" applyAlignment="0" applyProtection="0"/>
    <xf numFmtId="0" fontId="51" fillId="0" borderId="185" applyNumberFormat="0" applyFill="0" applyAlignment="0" applyProtection="0"/>
    <xf numFmtId="173" fontId="35" fillId="60" borderId="192" applyNumberFormat="0" applyFont="0" applyBorder="0" applyAlignment="0" applyProtection="0">
      <alignment horizontal="right" vertical="center"/>
    </xf>
    <xf numFmtId="0" fontId="44" fillId="56" borderId="183" applyNumberFormat="0" applyAlignment="0" applyProtection="0"/>
    <xf numFmtId="0" fontId="33" fillId="34" borderId="187">
      <alignment horizontal="right" vertical="center"/>
    </xf>
    <xf numFmtId="0" fontId="35" fillId="0" borderId="187">
      <alignment horizontal="right" vertical="center"/>
    </xf>
    <xf numFmtId="0" fontId="33" fillId="34" borderId="187">
      <alignment horizontal="right" vertical="center"/>
    </xf>
    <xf numFmtId="0" fontId="59" fillId="43" borderId="184" applyNumberFormat="0" applyAlignment="0" applyProtection="0"/>
    <xf numFmtId="0" fontId="59" fillId="43" borderId="176" applyNumberFormat="0" applyAlignment="0" applyProtection="0"/>
    <xf numFmtId="0" fontId="35" fillId="32" borderId="193">
      <alignment horizontal="left" vertical="center"/>
    </xf>
    <xf numFmtId="0" fontId="30" fillId="13" borderId="13" applyNumberFormat="0" applyAlignment="0" applyProtection="0"/>
    <xf numFmtId="0" fontId="41" fillId="59" borderId="178" applyNumberFormat="0" applyFont="0" applyAlignment="0" applyProtection="0"/>
    <xf numFmtId="0" fontId="63" fillId="56" borderId="175" applyNumberFormat="0" applyAlignment="0" applyProtection="0"/>
    <xf numFmtId="0" fontId="51" fillId="0" borderId="185" applyNumberFormat="0" applyFill="0" applyAlignment="0" applyProtection="0"/>
    <xf numFmtId="0" fontId="66" fillId="0" borderId="177" applyNumberFormat="0" applyFill="0" applyAlignment="0" applyProtection="0"/>
    <xf numFmtId="0" fontId="47" fillId="56" borderId="208" applyNumberFormat="0" applyAlignment="0" applyProtection="0"/>
    <xf numFmtId="4" fontId="33" fillId="34" borderId="188">
      <alignment horizontal="right" vertical="center"/>
    </xf>
    <xf numFmtId="0" fontId="12" fillId="25" borderId="0" applyNumberFormat="0" applyBorder="0" applyAlignment="0" applyProtection="0"/>
    <xf numFmtId="0" fontId="33" fillId="32" borderId="187">
      <alignment horizontal="right" vertical="center"/>
    </xf>
    <xf numFmtId="173" fontId="35" fillId="60" borderId="187" applyNumberFormat="0" applyFont="0" applyBorder="0" applyAlignment="0" applyProtection="0">
      <alignment horizontal="right" vertical="center"/>
    </xf>
    <xf numFmtId="0" fontId="33" fillId="34" borderId="187">
      <alignment horizontal="right" vertical="center"/>
    </xf>
    <xf numFmtId="0" fontId="44" fillId="56" borderId="183" applyNumberFormat="0" applyAlignment="0" applyProtection="0"/>
    <xf numFmtId="0" fontId="66" fillId="0" borderId="185" applyNumberFormat="0" applyFill="0" applyAlignment="0" applyProtection="0"/>
    <xf numFmtId="0" fontId="41" fillId="59" borderId="186" applyNumberFormat="0" applyFont="0" applyAlignment="0" applyProtection="0"/>
    <xf numFmtId="0" fontId="33" fillId="34" borderId="187">
      <alignment horizontal="right" vertical="center"/>
    </xf>
    <xf numFmtId="0" fontId="33" fillId="34" borderId="188">
      <alignment horizontal="right" vertical="center"/>
    </xf>
    <xf numFmtId="0" fontId="47" fillId="56" borderId="184" applyNumberFormat="0" applyAlignment="0" applyProtection="0"/>
    <xf numFmtId="0" fontId="33" fillId="34" borderId="189">
      <alignment horizontal="right" vertical="center"/>
    </xf>
    <xf numFmtId="0" fontId="33" fillId="34" borderId="187">
      <alignment horizontal="right" vertical="center"/>
    </xf>
    <xf numFmtId="0" fontId="50" fillId="43" borderId="184" applyNumberFormat="0" applyAlignment="0" applyProtection="0"/>
    <xf numFmtId="4" fontId="35" fillId="0" borderId="187">
      <alignment horizontal="right" vertical="center"/>
    </xf>
    <xf numFmtId="0" fontId="47" fillId="56" borderId="184" applyNumberFormat="0" applyAlignment="0" applyProtection="0"/>
    <xf numFmtId="0" fontId="35" fillId="32" borderId="188">
      <alignment horizontal="left" vertical="center"/>
    </xf>
    <xf numFmtId="0" fontId="30" fillId="13" borderId="13" applyNumberFormat="0" applyAlignment="0" applyProtection="0"/>
    <xf numFmtId="173" fontId="35" fillId="60" borderId="187" applyNumberFormat="0" applyFont="0" applyBorder="0" applyAlignment="0" applyProtection="0">
      <alignment horizontal="right" vertical="center"/>
    </xf>
    <xf numFmtId="0" fontId="33" fillId="32" borderId="179">
      <alignment horizontal="right" vertical="center"/>
    </xf>
    <xf numFmtId="4" fontId="33" fillId="32" borderId="179">
      <alignment horizontal="right" vertical="center"/>
    </xf>
    <xf numFmtId="0" fontId="37" fillId="32" borderId="179">
      <alignment horizontal="right" vertical="center"/>
    </xf>
    <xf numFmtId="4" fontId="37" fillId="32" borderId="179">
      <alignment horizontal="right" vertical="center"/>
    </xf>
    <xf numFmtId="0" fontId="33" fillId="34" borderId="179">
      <alignment horizontal="right" vertical="center"/>
    </xf>
    <xf numFmtId="4" fontId="33" fillId="34" borderId="179">
      <alignment horizontal="right" vertical="center"/>
    </xf>
    <xf numFmtId="0" fontId="33" fillId="34" borderId="179">
      <alignment horizontal="right" vertical="center"/>
    </xf>
    <xf numFmtId="4" fontId="33" fillId="34" borderId="179">
      <alignment horizontal="right" vertical="center"/>
    </xf>
    <xf numFmtId="0" fontId="33" fillId="34" borderId="180">
      <alignment horizontal="right" vertical="center"/>
    </xf>
    <xf numFmtId="4" fontId="33" fillId="34" borderId="180">
      <alignment horizontal="right" vertical="center"/>
    </xf>
    <xf numFmtId="0" fontId="33" fillId="34" borderId="181">
      <alignment horizontal="right" vertical="center"/>
    </xf>
    <xf numFmtId="4" fontId="33" fillId="34" borderId="181">
      <alignment horizontal="right" vertical="center"/>
    </xf>
    <xf numFmtId="0" fontId="47" fillId="56" borderId="176" applyNumberFormat="0" applyAlignment="0" applyProtection="0"/>
    <xf numFmtId="0" fontId="35" fillId="34" borderId="182">
      <alignment horizontal="left" vertical="center" wrapText="1" indent="2"/>
    </xf>
    <xf numFmtId="0" fontId="35" fillId="0" borderId="182">
      <alignment horizontal="left" vertical="center" wrapText="1" indent="2"/>
    </xf>
    <xf numFmtId="0" fontId="35" fillId="32" borderId="180">
      <alignment horizontal="left" vertical="center"/>
    </xf>
    <xf numFmtId="0" fontId="59" fillId="43" borderId="176" applyNumberFormat="0" applyAlignment="0" applyProtection="0"/>
    <xf numFmtId="0" fontId="35" fillId="0" borderId="179">
      <alignment horizontal="right" vertical="center"/>
    </xf>
    <xf numFmtId="4" fontId="35" fillId="0" borderId="179">
      <alignment horizontal="right" vertical="center"/>
    </xf>
    <xf numFmtId="0" fontId="12" fillId="22" borderId="0" applyNumberFormat="0" applyBorder="0" applyAlignment="0" applyProtection="0"/>
    <xf numFmtId="0" fontId="35" fillId="0" borderId="179" applyNumberFormat="0" applyFill="0" applyAlignment="0" applyProtection="0"/>
    <xf numFmtId="0" fontId="63" fillId="56" borderId="175" applyNumberFormat="0" applyAlignment="0" applyProtection="0"/>
    <xf numFmtId="173" fontId="35" fillId="60" borderId="179" applyNumberFormat="0" applyFont="0" applyBorder="0" applyAlignment="0" applyProtection="0">
      <alignment horizontal="right" vertical="center"/>
    </xf>
    <xf numFmtId="0" fontId="35" fillId="33" borderId="179"/>
    <xf numFmtId="4" fontId="35" fillId="33" borderId="179"/>
    <xf numFmtId="0" fontId="66" fillId="0" borderId="177" applyNumberFormat="0" applyFill="0" applyAlignment="0" applyProtection="0"/>
    <xf numFmtId="0" fontId="35" fillId="34" borderId="214">
      <alignment horizontal="left" vertical="center" wrapText="1" indent="2"/>
    </xf>
    <xf numFmtId="49" fontId="35" fillId="0" borderId="212" applyNumberFormat="0" applyFont="0" applyFill="0" applyBorder="0" applyProtection="0">
      <alignment horizontal="left" vertical="center" indent="5"/>
    </xf>
    <xf numFmtId="0" fontId="35" fillId="34" borderId="203">
      <alignment horizontal="left" vertical="center" wrapText="1" indent="2"/>
    </xf>
    <xf numFmtId="4" fontId="33" fillId="34" borderId="189">
      <alignment horizontal="right" vertical="center"/>
    </xf>
    <xf numFmtId="0" fontId="35" fillId="33" borderId="187"/>
    <xf numFmtId="49" fontId="35" fillId="0" borderId="187" applyNumberFormat="0" applyFont="0" applyFill="0" applyBorder="0" applyProtection="0">
      <alignment horizontal="left" vertical="center" indent="2"/>
    </xf>
    <xf numFmtId="0" fontId="66" fillId="0" borderId="185" applyNumberFormat="0" applyFill="0" applyAlignment="0" applyProtection="0"/>
    <xf numFmtId="0" fontId="27" fillId="21" borderId="0" applyNumberFormat="0" applyBorder="0" applyAlignment="0" applyProtection="0"/>
    <xf numFmtId="4" fontId="37" fillId="32" borderId="187">
      <alignment horizontal="right" vertical="center"/>
    </xf>
    <xf numFmtId="0" fontId="35" fillId="32" borderId="212">
      <alignment horizontal="left" vertical="center"/>
    </xf>
    <xf numFmtId="0" fontId="47" fillId="56" borderId="184" applyNumberFormat="0" applyAlignment="0" applyProtection="0"/>
    <xf numFmtId="0" fontId="12" fillId="28" borderId="0" applyNumberFormat="0" applyBorder="0" applyAlignment="0" applyProtection="0"/>
    <xf numFmtId="0" fontId="27" fillId="30" borderId="0" applyNumberFormat="0" applyBorder="0" applyAlignment="0" applyProtection="0"/>
    <xf numFmtId="0" fontId="30" fillId="13" borderId="13" applyNumberFormat="0" applyAlignment="0" applyProtection="0"/>
    <xf numFmtId="0" fontId="66" fillId="0" borderId="198" applyNumberFormat="0" applyFill="0" applyAlignment="0" applyProtection="0"/>
    <xf numFmtId="0" fontId="51" fillId="0" borderId="185" applyNumberFormat="0" applyFill="0" applyAlignment="0" applyProtection="0"/>
    <xf numFmtId="0" fontId="35" fillId="33" borderId="187"/>
    <xf numFmtId="0" fontId="46" fillId="56" borderId="184" applyNumberFormat="0" applyAlignment="0" applyProtection="0"/>
    <xf numFmtId="49" fontId="34" fillId="0" borderId="187" applyNumberFormat="0" applyFill="0" applyBorder="0" applyProtection="0">
      <alignment horizontal="left" vertical="center"/>
    </xf>
    <xf numFmtId="0" fontId="35" fillId="0" borderId="187" applyNumberFormat="0" applyFill="0" applyAlignment="0" applyProtection="0"/>
    <xf numFmtId="0" fontId="5" fillId="59" borderId="186" applyNumberFormat="0" applyFont="0" applyAlignment="0" applyProtection="0"/>
    <xf numFmtId="0" fontId="27" fillId="15" borderId="0" applyNumberFormat="0" applyBorder="0" applyAlignment="0" applyProtection="0"/>
    <xf numFmtId="0" fontId="12" fillId="28" borderId="0" applyNumberFormat="0" applyBorder="0" applyAlignment="0" applyProtection="0"/>
    <xf numFmtId="4" fontId="35" fillId="0" borderId="187">
      <alignment horizontal="right" vertical="center"/>
    </xf>
    <xf numFmtId="0" fontId="27" fillId="20" borderId="0" applyNumberFormat="0" applyBorder="0" applyAlignment="0" applyProtection="0"/>
    <xf numFmtId="0" fontId="46" fillId="56" borderId="184" applyNumberFormat="0" applyAlignment="0" applyProtection="0"/>
    <xf numFmtId="0" fontId="27" fillId="17" borderId="0" applyNumberFormat="0" applyBorder="0" applyAlignment="0" applyProtection="0"/>
    <xf numFmtId="0" fontId="66" fillId="0" borderId="206" applyNumberFormat="0" applyFill="0" applyAlignment="0" applyProtection="0"/>
    <xf numFmtId="0" fontId="27" fillId="17" borderId="0" applyNumberFormat="0" applyBorder="0" applyAlignment="0" applyProtection="0"/>
    <xf numFmtId="0" fontId="27" fillId="14" borderId="0" applyNumberFormat="0" applyBorder="0" applyAlignment="0" applyProtection="0"/>
    <xf numFmtId="4" fontId="35" fillId="33" borderId="192"/>
    <xf numFmtId="0" fontId="35" fillId="0" borderId="200">
      <alignment horizontal="right" vertical="center"/>
    </xf>
    <xf numFmtId="4" fontId="35" fillId="33" borderId="192"/>
    <xf numFmtId="49" fontId="35" fillId="0" borderId="188" applyNumberFormat="0" applyFont="0" applyFill="0" applyBorder="0" applyProtection="0">
      <alignment horizontal="left" vertical="center" indent="5"/>
    </xf>
    <xf numFmtId="0" fontId="66" fillId="0" borderId="185" applyNumberFormat="0" applyFill="0" applyAlignment="0" applyProtection="0"/>
    <xf numFmtId="0" fontId="41" fillId="59" borderId="186" applyNumberFormat="0" applyFont="0" applyAlignment="0" applyProtection="0"/>
    <xf numFmtId="0" fontId="33" fillId="34" borderId="188">
      <alignment horizontal="right" vertical="center"/>
    </xf>
    <xf numFmtId="0" fontId="44" fillId="56" borderId="183" applyNumberFormat="0" applyAlignment="0" applyProtection="0"/>
    <xf numFmtId="4" fontId="33" fillId="34" borderId="189">
      <alignment horizontal="right" vertical="center"/>
    </xf>
    <xf numFmtId="4" fontId="37" fillId="32" borderId="187">
      <alignment horizontal="right" vertical="center"/>
    </xf>
    <xf numFmtId="0" fontId="59" fillId="43" borderId="184" applyNumberFormat="0" applyAlignment="0" applyProtection="0"/>
    <xf numFmtId="0" fontId="47" fillId="56" borderId="184" applyNumberFormat="0" applyAlignment="0" applyProtection="0"/>
    <xf numFmtId="0" fontId="37" fillId="32" borderId="187">
      <alignment horizontal="right" vertical="center"/>
    </xf>
    <xf numFmtId="0" fontId="66" fillId="0" borderId="185" applyNumberFormat="0" applyFill="0" applyAlignment="0" applyProtection="0"/>
    <xf numFmtId="0" fontId="47" fillId="56" borderId="184" applyNumberFormat="0" applyAlignment="0" applyProtection="0"/>
    <xf numFmtId="0" fontId="31" fillId="0" borderId="0" applyNumberFormat="0" applyFill="0" applyBorder="0" applyAlignment="0" applyProtection="0"/>
    <xf numFmtId="0" fontId="12" fillId="25" borderId="0" applyNumberFormat="0" applyBorder="0" applyAlignment="0" applyProtection="0"/>
    <xf numFmtId="0" fontId="27" fillId="30" borderId="0" applyNumberFormat="0" applyBorder="0" applyAlignment="0" applyProtection="0"/>
    <xf numFmtId="0" fontId="5" fillId="59" borderId="186" applyNumberFormat="0" applyFont="0" applyAlignment="0" applyProtection="0"/>
    <xf numFmtId="0" fontId="27" fillId="27" borderId="0" applyNumberFormat="0" applyBorder="0" applyAlignment="0" applyProtection="0"/>
    <xf numFmtId="0" fontId="27" fillId="17" borderId="0" applyNumberFormat="0" applyBorder="0" applyAlignment="0" applyProtection="0"/>
    <xf numFmtId="0" fontId="47" fillId="56" borderId="205" applyNumberFormat="0" applyAlignment="0" applyProtection="0"/>
    <xf numFmtId="0" fontId="27" fillId="14" borderId="0" applyNumberFormat="0" applyBorder="0" applyAlignment="0" applyProtection="0"/>
    <xf numFmtId="0" fontId="33" fillId="32" borderId="211">
      <alignment horizontal="right" vertical="center"/>
    </xf>
    <xf numFmtId="0" fontId="63" fillId="56" borderId="183" applyNumberFormat="0" applyAlignment="0" applyProtection="0"/>
    <xf numFmtId="0" fontId="47" fillId="56" borderId="184" applyNumberFormat="0" applyAlignment="0" applyProtection="0"/>
    <xf numFmtId="4" fontId="33" fillId="34" borderId="189">
      <alignment horizontal="right" vertical="center"/>
    </xf>
    <xf numFmtId="4" fontId="37" fillId="32" borderId="187">
      <alignment horizontal="right" vertical="center"/>
    </xf>
    <xf numFmtId="0" fontId="1" fillId="0" borderId="0" applyNumberFormat="0" applyFill="0" applyBorder="0" applyAlignment="0" applyProtection="0"/>
    <xf numFmtId="49" fontId="35" fillId="0" borderId="179" applyNumberFormat="0" applyFont="0" applyFill="0" applyBorder="0" applyProtection="0">
      <alignment horizontal="left" vertical="center" indent="2"/>
    </xf>
    <xf numFmtId="49" fontId="35" fillId="0" borderId="180" applyNumberFormat="0" applyFont="0" applyFill="0" applyBorder="0" applyProtection="0">
      <alignment horizontal="left" vertical="center" indent="5"/>
    </xf>
    <xf numFmtId="0" fontId="66" fillId="0" borderId="206" applyNumberFormat="0" applyFill="0" applyAlignment="0" applyProtection="0"/>
    <xf numFmtId="0" fontId="44" fillId="56" borderId="204" applyNumberFormat="0" applyAlignment="0" applyProtection="0"/>
    <xf numFmtId="0" fontId="35" fillId="34" borderId="195">
      <alignment horizontal="left" vertical="center" wrapText="1" indent="2"/>
    </xf>
    <xf numFmtId="4" fontId="37" fillId="32" borderId="187">
      <alignment horizontal="right" vertical="center"/>
    </xf>
    <xf numFmtId="4" fontId="33" fillId="34" borderId="212">
      <alignment horizontal="right" vertical="center"/>
    </xf>
    <xf numFmtId="0" fontId="59" fillId="43" borderId="184" applyNumberFormat="0" applyAlignment="0" applyProtection="0"/>
    <xf numFmtId="0" fontId="51" fillId="0" borderId="185" applyNumberFormat="0" applyFill="0" applyAlignment="0" applyProtection="0"/>
    <xf numFmtId="0" fontId="27" fillId="27" borderId="0" applyNumberFormat="0" applyBorder="0" applyAlignment="0" applyProtection="0"/>
    <xf numFmtId="0" fontId="50" fillId="43" borderId="205" applyNumberFormat="0" applyAlignment="0" applyProtection="0"/>
    <xf numFmtId="0" fontId="35" fillId="0" borderId="190">
      <alignment horizontal="left" vertical="center" wrapText="1" indent="2"/>
    </xf>
    <xf numFmtId="4" fontId="35" fillId="0" borderId="179" applyFill="0" applyBorder="0" applyProtection="0">
      <alignment horizontal="right" vertical="center"/>
    </xf>
    <xf numFmtId="49" fontId="34" fillId="0" borderId="179" applyNumberFormat="0" applyFill="0" applyBorder="0" applyProtection="0">
      <alignment horizontal="left" vertical="center"/>
    </xf>
    <xf numFmtId="0" fontId="33" fillId="34" borderId="187">
      <alignment horizontal="right" vertical="center"/>
    </xf>
    <xf numFmtId="4" fontId="35" fillId="0" borderId="187" applyFill="0" applyBorder="0" applyProtection="0">
      <alignment horizontal="right" vertical="center"/>
    </xf>
    <xf numFmtId="0" fontId="46" fillId="56" borderId="184" applyNumberFormat="0" applyAlignment="0" applyProtection="0"/>
    <xf numFmtId="0" fontId="50" fillId="43" borderId="184" applyNumberFormat="0" applyAlignment="0" applyProtection="0"/>
    <xf numFmtId="0" fontId="35" fillId="34" borderId="190">
      <alignment horizontal="left" vertical="center" wrapText="1" indent="2"/>
    </xf>
    <xf numFmtId="0" fontId="50" fillId="43" borderId="205" applyNumberFormat="0" applyAlignment="0" applyProtection="0"/>
    <xf numFmtId="4" fontId="33" fillId="34" borderId="188">
      <alignment horizontal="right" vertical="center"/>
    </xf>
    <xf numFmtId="0" fontId="46" fillId="56" borderId="184" applyNumberFormat="0" applyAlignment="0" applyProtection="0"/>
    <xf numFmtId="0" fontId="59" fillId="43" borderId="197" applyNumberFormat="0" applyAlignment="0" applyProtection="0"/>
    <xf numFmtId="4" fontId="33" fillId="34" borderId="200">
      <alignment horizontal="right" vertical="center"/>
    </xf>
    <xf numFmtId="0" fontId="41" fillId="59" borderId="191" applyNumberFormat="0" applyFont="0" applyAlignment="0" applyProtection="0"/>
    <xf numFmtId="0" fontId="47" fillId="56" borderId="205" applyNumberFormat="0" applyAlignment="0" applyProtection="0"/>
    <xf numFmtId="0" fontId="59" fillId="43" borderId="184" applyNumberFormat="0" applyAlignment="0" applyProtection="0"/>
    <xf numFmtId="0" fontId="47" fillId="56" borderId="184" applyNumberFormat="0" applyAlignment="0" applyProtection="0"/>
    <xf numFmtId="49" fontId="35" fillId="0" borderId="187" applyNumberFormat="0" applyFont="0" applyFill="0" applyBorder="0" applyProtection="0">
      <alignment horizontal="left" vertical="center" indent="2"/>
    </xf>
    <xf numFmtId="49" fontId="35" fillId="0" borderId="188" applyNumberFormat="0" applyFont="0" applyFill="0" applyBorder="0" applyProtection="0">
      <alignment horizontal="left" vertical="center" indent="5"/>
    </xf>
    <xf numFmtId="0" fontId="47" fillId="56" borderId="184" applyNumberFormat="0" applyAlignment="0" applyProtection="0"/>
    <xf numFmtId="0" fontId="35" fillId="34" borderId="190">
      <alignment horizontal="left" vertical="center" wrapText="1" indent="2"/>
    </xf>
    <xf numFmtId="0" fontId="33" fillId="34" borderId="187">
      <alignment horizontal="right" vertical="center"/>
    </xf>
    <xf numFmtId="0" fontId="33" fillId="34" borderId="189">
      <alignment horizontal="right" vertical="center"/>
    </xf>
    <xf numFmtId="0" fontId="35" fillId="0" borderId="190">
      <alignment horizontal="left" vertical="center" wrapText="1" indent="2"/>
    </xf>
    <xf numFmtId="0" fontId="33" fillId="34" borderId="189">
      <alignment horizontal="right" vertical="center"/>
    </xf>
    <xf numFmtId="0" fontId="47" fillId="56" borderId="197" applyNumberFormat="0" applyAlignment="0" applyProtection="0"/>
    <xf numFmtId="0" fontId="66" fillId="0" borderId="185" applyNumberFormat="0" applyFill="0" applyAlignment="0" applyProtection="0"/>
    <xf numFmtId="0" fontId="44" fillId="56" borderId="183" applyNumberFormat="0" applyAlignment="0" applyProtection="0"/>
    <xf numFmtId="0" fontId="33" fillId="34" borderId="188">
      <alignment horizontal="right" vertical="center"/>
    </xf>
    <xf numFmtId="173" fontId="35" fillId="60" borderId="187" applyNumberFormat="0" applyFont="0" applyBorder="0" applyAlignment="0" applyProtection="0">
      <alignment horizontal="right" vertical="center"/>
    </xf>
    <xf numFmtId="0" fontId="44" fillId="56" borderId="196" applyNumberFormat="0" applyAlignment="0" applyProtection="0"/>
    <xf numFmtId="0" fontId="44" fillId="56" borderId="175" applyNumberFormat="0" applyAlignment="0" applyProtection="0"/>
    <xf numFmtId="0" fontId="46" fillId="56" borderId="176" applyNumberFormat="0" applyAlignment="0" applyProtection="0"/>
    <xf numFmtId="0" fontId="51" fillId="0" borderId="177" applyNumberFormat="0" applyFill="0" applyAlignment="0" applyProtection="0"/>
    <xf numFmtId="0" fontId="35" fillId="34" borderId="203">
      <alignment horizontal="left" vertical="center" wrapText="1" indent="2"/>
    </xf>
    <xf numFmtId="4" fontId="37" fillId="32" borderId="187">
      <alignment horizontal="right" vertical="center"/>
    </xf>
    <xf numFmtId="0" fontId="44" fillId="56" borderId="183" applyNumberFormat="0" applyAlignment="0" applyProtection="0"/>
    <xf numFmtId="4" fontId="37" fillId="32" borderId="192">
      <alignment horizontal="right" vertical="center"/>
    </xf>
    <xf numFmtId="0" fontId="35" fillId="0" borderId="195">
      <alignment horizontal="left" vertical="center" wrapText="1" indent="2"/>
    </xf>
    <xf numFmtId="0" fontId="12" fillId="25" borderId="0" applyNumberFormat="0" applyBorder="0" applyAlignment="0" applyProtection="0"/>
    <xf numFmtId="0" fontId="46" fillId="56" borderId="184" applyNumberFormat="0" applyAlignment="0" applyProtection="0"/>
    <xf numFmtId="4" fontId="35" fillId="33" borderId="200"/>
    <xf numFmtId="0" fontId="66" fillId="0" borderId="209" applyNumberFormat="0" applyFill="0" applyAlignment="0" applyProtection="0"/>
    <xf numFmtId="0" fontId="59" fillId="43" borderId="184" applyNumberFormat="0" applyAlignment="0" applyProtection="0"/>
    <xf numFmtId="0" fontId="47" fillId="56" borderId="184" applyNumberFormat="0" applyAlignment="0" applyProtection="0"/>
    <xf numFmtId="0" fontId="51" fillId="0" borderId="209" applyNumberFormat="0" applyFill="0" applyAlignment="0" applyProtection="0"/>
    <xf numFmtId="4" fontId="35" fillId="0" borderId="200" applyFill="0" applyBorder="0" applyProtection="0">
      <alignment horizontal="right" vertical="center"/>
    </xf>
    <xf numFmtId="0" fontId="66" fillId="0" borderId="206" applyNumberFormat="0" applyFill="0" applyAlignment="0" applyProtection="0"/>
    <xf numFmtId="0" fontId="41" fillId="59" borderId="191" applyNumberFormat="0" applyFont="0" applyAlignment="0" applyProtection="0"/>
    <xf numFmtId="0" fontId="1" fillId="0" borderId="0" applyNumberFormat="0" applyFill="0" applyBorder="0" applyAlignment="0" applyProtection="0"/>
    <xf numFmtId="0" fontId="35" fillId="32" borderId="201">
      <alignment horizontal="left" vertical="center"/>
    </xf>
    <xf numFmtId="0" fontId="35" fillId="34" borderId="195">
      <alignment horizontal="left" vertical="center" wrapText="1" indent="2"/>
    </xf>
    <xf numFmtId="0" fontId="33" fillId="34" borderId="187">
      <alignment horizontal="right" vertical="center"/>
    </xf>
    <xf numFmtId="0" fontId="35" fillId="0" borderId="192" applyNumberFormat="0" applyFill="0" applyAlignment="0" applyProtection="0"/>
    <xf numFmtId="4" fontId="33" fillId="34" borderId="187">
      <alignment horizontal="right" vertical="center"/>
    </xf>
    <xf numFmtId="0" fontId="35" fillId="34" borderId="190">
      <alignment horizontal="left" vertical="center" wrapText="1" indent="2"/>
    </xf>
    <xf numFmtId="0" fontId="44" fillId="56" borderId="183" applyNumberFormat="0" applyAlignment="0" applyProtection="0"/>
    <xf numFmtId="0" fontId="51" fillId="0" borderId="206" applyNumberFormat="0" applyFill="0" applyAlignment="0" applyProtection="0"/>
    <xf numFmtId="0" fontId="50" fillId="43" borderId="176" applyNumberFormat="0" applyAlignment="0" applyProtection="0"/>
    <xf numFmtId="49" fontId="35" fillId="0" borderId="187" applyNumberFormat="0" applyFont="0" applyFill="0" applyBorder="0" applyProtection="0">
      <alignment horizontal="left" vertical="center" indent="2"/>
    </xf>
    <xf numFmtId="173" fontId="35" fillId="60" borderId="187" applyNumberFormat="0" applyFont="0" applyBorder="0" applyAlignment="0" applyProtection="0">
      <alignment horizontal="right" vertical="center"/>
    </xf>
    <xf numFmtId="0" fontId="35" fillId="33" borderId="200"/>
    <xf numFmtId="4" fontId="33" fillId="32" borderId="211">
      <alignment horizontal="right" vertical="center"/>
    </xf>
    <xf numFmtId="0" fontId="47" fillId="56" borderId="197" applyNumberFormat="0" applyAlignment="0" applyProtection="0"/>
    <xf numFmtId="4" fontId="33" fillId="34" borderId="194">
      <alignment horizontal="right" vertical="center"/>
    </xf>
    <xf numFmtId="0" fontId="27" fillId="14" borderId="0" applyNumberFormat="0" applyBorder="0" applyAlignment="0" applyProtection="0"/>
    <xf numFmtId="4" fontId="33" fillId="34" borderId="189">
      <alignment horizontal="right" vertical="center"/>
    </xf>
    <xf numFmtId="0" fontId="27" fillId="23" borderId="0" applyNumberFormat="0" applyBorder="0" applyAlignment="0" applyProtection="0"/>
    <xf numFmtId="0" fontId="41" fillId="59" borderId="191" applyNumberFormat="0" applyFont="0" applyAlignment="0" applyProtection="0"/>
    <xf numFmtId="0" fontId="29" fillId="13" borderId="14" applyNumberFormat="0" applyAlignment="0" applyProtection="0"/>
    <xf numFmtId="4" fontId="33" fillId="34" borderId="193">
      <alignment horizontal="right" vertical="center"/>
    </xf>
    <xf numFmtId="0" fontId="63" fillId="56" borderId="204" applyNumberFormat="0" applyAlignment="0" applyProtection="0"/>
    <xf numFmtId="0" fontId="46" fillId="56" borderId="205" applyNumberFormat="0" applyAlignment="0" applyProtection="0"/>
    <xf numFmtId="0" fontId="59" fillId="43" borderId="184" applyNumberFormat="0" applyAlignment="0" applyProtection="0"/>
    <xf numFmtId="0" fontId="35" fillId="34" borderId="190">
      <alignment horizontal="left" vertical="center" wrapText="1" indent="2"/>
    </xf>
    <xf numFmtId="0" fontId="51" fillId="0" borderId="185" applyNumberFormat="0" applyFill="0" applyAlignment="0" applyProtection="0"/>
    <xf numFmtId="4" fontId="35" fillId="33" borderId="187"/>
    <xf numFmtId="0" fontId="27" fillId="14" borderId="0" applyNumberFormat="0" applyBorder="0" applyAlignment="0" applyProtection="0"/>
    <xf numFmtId="0" fontId="35" fillId="34" borderId="182">
      <alignment horizontal="left" vertical="center" wrapText="1" indent="2"/>
    </xf>
    <xf numFmtId="0" fontId="35" fillId="0" borderId="182">
      <alignment horizontal="left" vertical="center" wrapText="1" indent="2"/>
    </xf>
    <xf numFmtId="4" fontId="33" fillId="34" borderId="192">
      <alignment horizontal="right" vertical="center"/>
    </xf>
    <xf numFmtId="0" fontId="47" fillId="56" borderId="197" applyNumberFormat="0" applyAlignment="0" applyProtection="0"/>
    <xf numFmtId="0" fontId="27" fillId="27" borderId="0" applyNumberFormat="0" applyBorder="0" applyAlignment="0" applyProtection="0"/>
    <xf numFmtId="0" fontId="27" fillId="18" borderId="0" applyNumberFormat="0" applyBorder="0" applyAlignment="0" applyProtection="0"/>
    <xf numFmtId="0" fontId="47" fillId="56" borderId="197" applyNumberFormat="0" applyAlignment="0" applyProtection="0"/>
    <xf numFmtId="0" fontId="59" fillId="43" borderId="184" applyNumberFormat="0" applyAlignment="0" applyProtection="0"/>
    <xf numFmtId="0" fontId="47" fillId="56" borderId="197" applyNumberFormat="0" applyAlignment="0" applyProtection="0"/>
    <xf numFmtId="0" fontId="46" fillId="56" borderId="205" applyNumberFormat="0" applyAlignment="0" applyProtection="0"/>
    <xf numFmtId="0" fontId="12" fillId="22" borderId="0" applyNumberFormat="0" applyBorder="0" applyAlignment="0" applyProtection="0"/>
    <xf numFmtId="0" fontId="59" fillId="43" borderId="208" applyNumberFormat="0" applyAlignment="0" applyProtection="0"/>
    <xf numFmtId="0" fontId="50" fillId="43" borderId="197" applyNumberFormat="0" applyAlignment="0" applyProtection="0"/>
    <xf numFmtId="49" fontId="34" fillId="0" borderId="211" applyNumberFormat="0" applyFill="0" applyBorder="0" applyProtection="0">
      <alignment horizontal="left" vertical="center"/>
    </xf>
    <xf numFmtId="0" fontId="35" fillId="0" borderId="192">
      <alignment horizontal="right" vertical="center"/>
    </xf>
    <xf numFmtId="0" fontId="33" fillId="34" borderId="193">
      <alignment horizontal="right" vertical="center"/>
    </xf>
    <xf numFmtId="0" fontId="33" fillId="34" borderId="192">
      <alignment horizontal="right" vertical="center"/>
    </xf>
    <xf numFmtId="0" fontId="35" fillId="34" borderId="195">
      <alignment horizontal="left" vertical="center" wrapText="1" indent="2"/>
    </xf>
    <xf numFmtId="0" fontId="35" fillId="0" borderId="187">
      <alignment horizontal="right" vertical="center"/>
    </xf>
    <xf numFmtId="0" fontId="35" fillId="34" borderId="195">
      <alignment horizontal="left" vertical="center" wrapText="1" indent="2"/>
    </xf>
    <xf numFmtId="0" fontId="44" fillId="56" borderId="183" applyNumberFormat="0" applyAlignment="0" applyProtection="0"/>
    <xf numFmtId="4" fontId="33" fillId="32" borderId="187">
      <alignment horizontal="right" vertical="center"/>
    </xf>
    <xf numFmtId="0" fontId="51" fillId="0" borderId="185" applyNumberFormat="0" applyFill="0" applyAlignment="0" applyProtection="0"/>
    <xf numFmtId="0" fontId="47" fillId="56" borderId="184" applyNumberFormat="0" applyAlignment="0" applyProtection="0"/>
    <xf numFmtId="4" fontId="33" fillId="34" borderId="188">
      <alignment horizontal="right" vertical="center"/>
    </xf>
    <xf numFmtId="4" fontId="33" fillId="34" borderId="193">
      <alignment horizontal="right" vertical="center"/>
    </xf>
    <xf numFmtId="0" fontId="46" fillId="56" borderId="184" applyNumberFormat="0" applyAlignment="0" applyProtection="0"/>
    <xf numFmtId="0" fontId="35" fillId="0" borderId="190">
      <alignment horizontal="left" vertical="center" wrapText="1" indent="2"/>
    </xf>
    <xf numFmtId="49" fontId="35" fillId="0" borderId="187" applyNumberFormat="0" applyFont="0" applyFill="0" applyBorder="0" applyProtection="0">
      <alignment horizontal="left" vertical="center" indent="2"/>
    </xf>
    <xf numFmtId="0" fontId="59" fillId="43" borderId="184" applyNumberFormat="0" applyAlignment="0" applyProtection="0"/>
    <xf numFmtId="0" fontId="41" fillId="59" borderId="186" applyNumberFormat="0" applyFont="0" applyAlignment="0" applyProtection="0"/>
    <xf numFmtId="4" fontId="33" fillId="34" borderId="188">
      <alignment horizontal="right" vertical="center"/>
    </xf>
    <xf numFmtId="0" fontId="35" fillId="34" borderId="190">
      <alignment horizontal="left" vertical="center" wrapText="1" indent="2"/>
    </xf>
    <xf numFmtId="0" fontId="51" fillId="0" borderId="185" applyNumberFormat="0" applyFill="0" applyAlignment="0" applyProtection="0"/>
    <xf numFmtId="0" fontId="63" fillId="56" borderId="183" applyNumberFormat="0" applyAlignment="0" applyProtection="0"/>
    <xf numFmtId="0" fontId="41" fillId="59" borderId="186" applyNumberFormat="0" applyFont="0" applyAlignment="0" applyProtection="0"/>
    <xf numFmtId="0" fontId="59" fillId="43" borderId="184" applyNumberFormat="0" applyAlignment="0" applyProtection="0"/>
    <xf numFmtId="0" fontId="35" fillId="0" borderId="187" applyNumberFormat="0" applyFill="0" applyAlignment="0" applyProtection="0"/>
    <xf numFmtId="0" fontId="33" fillId="32" borderId="187">
      <alignment horizontal="right" vertical="center"/>
    </xf>
    <xf numFmtId="0" fontId="33" fillId="34" borderId="187">
      <alignment horizontal="right" vertical="center"/>
    </xf>
    <xf numFmtId="0" fontId="41" fillId="59" borderId="186" applyNumberFormat="0" applyFont="0" applyAlignment="0" applyProtection="0"/>
    <xf numFmtId="0" fontId="51" fillId="0" borderId="185" applyNumberFormat="0" applyFill="0" applyAlignment="0" applyProtection="0"/>
    <xf numFmtId="0" fontId="33" fillId="32" borderId="187">
      <alignment horizontal="right" vertical="center"/>
    </xf>
    <xf numFmtId="4" fontId="35" fillId="0" borderId="187" applyFill="0" applyBorder="0" applyProtection="0">
      <alignment horizontal="right" vertical="center"/>
    </xf>
    <xf numFmtId="0" fontId="44" fillId="56" borderId="215" applyNumberFormat="0" applyAlignment="0" applyProtection="0"/>
    <xf numFmtId="49" fontId="35" fillId="0" borderId="187" applyNumberFormat="0" applyFont="0" applyFill="0" applyBorder="0" applyProtection="0">
      <alignment horizontal="left" vertical="center" indent="2"/>
    </xf>
    <xf numFmtId="0" fontId="50" fillId="43" borderId="184" applyNumberFormat="0" applyAlignment="0" applyProtection="0"/>
    <xf numFmtId="0" fontId="12" fillId="31" borderId="0" applyNumberFormat="0" applyBorder="0" applyAlignment="0" applyProtection="0"/>
    <xf numFmtId="0" fontId="12" fillId="22" borderId="0" applyNumberFormat="0" applyBorder="0" applyAlignment="0" applyProtection="0"/>
    <xf numFmtId="0" fontId="12" fillId="31" borderId="0" applyNumberFormat="0" applyBorder="0" applyAlignment="0" applyProtection="0"/>
    <xf numFmtId="0" fontId="35" fillId="34" borderId="203">
      <alignment horizontal="left" vertical="center" wrapText="1" indent="2"/>
    </xf>
    <xf numFmtId="0" fontId="27" fillId="29" borderId="0" applyNumberFormat="0" applyBorder="0" applyAlignment="0" applyProtection="0"/>
    <xf numFmtId="0" fontId="59" fillId="43" borderId="205" applyNumberFormat="0" applyAlignment="0" applyProtection="0"/>
    <xf numFmtId="0" fontId="27" fillId="26" borderId="0" applyNumberFormat="0" applyBorder="0" applyAlignment="0" applyProtection="0"/>
    <xf numFmtId="0" fontId="27" fillId="24" borderId="0" applyNumberFormat="0" applyBorder="0" applyAlignment="0" applyProtection="0"/>
    <xf numFmtId="0" fontId="12" fillId="16" borderId="0" applyNumberFormat="0" applyBorder="0" applyAlignment="0" applyProtection="0"/>
    <xf numFmtId="0" fontId="27" fillId="18" borderId="0" applyNumberFormat="0" applyBorder="0" applyAlignment="0" applyProtection="0"/>
    <xf numFmtId="0" fontId="12" fillId="19" borderId="0" applyNumberFormat="0" applyBorder="0" applyAlignment="0" applyProtection="0"/>
    <xf numFmtId="0" fontId="63" fillId="56" borderId="196" applyNumberFormat="0" applyAlignment="0" applyProtection="0"/>
    <xf numFmtId="0" fontId="2" fillId="0" borderId="15" applyNumberFormat="0" applyFill="0" applyAlignment="0" applyProtection="0"/>
    <xf numFmtId="0" fontId="33" fillId="32" borderId="200">
      <alignment horizontal="right" vertical="center"/>
    </xf>
    <xf numFmtId="4" fontId="37" fillId="32" borderId="192">
      <alignment horizontal="right" vertical="center"/>
    </xf>
    <xf numFmtId="4" fontId="37" fillId="32" borderId="192">
      <alignment horizontal="right" vertical="center"/>
    </xf>
    <xf numFmtId="0" fontId="46" fillId="56" borderId="205" applyNumberFormat="0" applyAlignment="0" applyProtection="0"/>
    <xf numFmtId="4" fontId="33" fillId="34" borderId="200">
      <alignment horizontal="right" vertical="center"/>
    </xf>
    <xf numFmtId="0" fontId="63" fillId="56" borderId="183" applyNumberFormat="0" applyAlignment="0" applyProtection="0"/>
    <xf numFmtId="0" fontId="51" fillId="0" borderId="185" applyNumberFormat="0" applyFill="0" applyAlignment="0" applyProtection="0"/>
    <xf numFmtId="4" fontId="33" fillId="34" borderId="179">
      <alignment horizontal="right" vertical="center"/>
    </xf>
    <xf numFmtId="0" fontId="35" fillId="33" borderId="179"/>
    <xf numFmtId="0" fontId="46" fillId="56" borderId="176" applyNumberFormat="0" applyAlignment="0" applyProtection="0"/>
    <xf numFmtId="0" fontId="33" fillId="32" borderId="179">
      <alignment horizontal="right" vertical="center"/>
    </xf>
    <xf numFmtId="0" fontId="35" fillId="0" borderId="179">
      <alignment horizontal="right" vertical="center"/>
    </xf>
    <xf numFmtId="0" fontId="66" fillId="0" borderId="177" applyNumberFormat="0" applyFill="0" applyAlignment="0" applyProtection="0"/>
    <xf numFmtId="0" fontId="35" fillId="32" borderId="180">
      <alignment horizontal="left" vertical="center"/>
    </xf>
    <xf numFmtId="0" fontId="59" fillId="43" borderId="176" applyNumberFormat="0" applyAlignment="0" applyProtection="0"/>
    <xf numFmtId="173" fontId="35" fillId="60" borderId="179" applyNumberFormat="0" applyFont="0" applyBorder="0" applyAlignment="0" applyProtection="0">
      <alignment horizontal="right" vertical="center"/>
    </xf>
    <xf numFmtId="0" fontId="41" fillId="59" borderId="178" applyNumberFormat="0" applyFont="0" applyAlignment="0" applyProtection="0"/>
    <xf numFmtId="0" fontId="35" fillId="0" borderId="182">
      <alignment horizontal="left" vertical="center" wrapText="1" indent="2"/>
    </xf>
    <xf numFmtId="4" fontId="35" fillId="33" borderId="179"/>
    <xf numFmtId="49" fontId="34" fillId="0" borderId="179" applyNumberFormat="0" applyFill="0" applyBorder="0" applyProtection="0">
      <alignment horizontal="left" vertical="center"/>
    </xf>
    <xf numFmtId="0" fontId="35" fillId="0" borderId="179">
      <alignment horizontal="right" vertical="center"/>
    </xf>
    <xf numFmtId="4" fontId="33" fillId="34" borderId="181">
      <alignment horizontal="right" vertical="center"/>
    </xf>
    <xf numFmtId="4" fontId="33" fillId="34" borderId="179">
      <alignment horizontal="right" vertical="center"/>
    </xf>
    <xf numFmtId="4" fontId="33" fillId="34" borderId="179">
      <alignment horizontal="right" vertical="center"/>
    </xf>
    <xf numFmtId="0" fontId="37" fillId="32" borderId="179">
      <alignment horizontal="right" vertical="center"/>
    </xf>
    <xf numFmtId="0" fontId="33" fillId="32" borderId="179">
      <alignment horizontal="right" vertical="center"/>
    </xf>
    <xf numFmtId="49" fontId="35" fillId="0" borderId="179" applyNumberFormat="0" applyFont="0" applyFill="0" applyBorder="0" applyProtection="0">
      <alignment horizontal="left" vertical="center" indent="2"/>
    </xf>
    <xf numFmtId="0" fontId="59" fillId="43" borderId="176" applyNumberFormat="0" applyAlignment="0" applyProtection="0"/>
    <xf numFmtId="0" fontId="44" fillId="56" borderId="175" applyNumberFormat="0" applyAlignment="0" applyProtection="0"/>
    <xf numFmtId="49" fontId="35" fillId="0" borderId="179" applyNumberFormat="0" applyFont="0" applyFill="0" applyBorder="0" applyProtection="0">
      <alignment horizontal="left" vertical="center" indent="2"/>
    </xf>
    <xf numFmtId="0" fontId="50" fillId="43" borderId="176" applyNumberFormat="0" applyAlignment="0" applyProtection="0"/>
    <xf numFmtId="4" fontId="35" fillId="0" borderId="179" applyFill="0" applyBorder="0" applyProtection="0">
      <alignment horizontal="right" vertical="center"/>
    </xf>
    <xf numFmtId="0" fontId="47" fillId="56" borderId="176" applyNumberFormat="0" applyAlignment="0" applyProtection="0"/>
    <xf numFmtId="0" fontId="66" fillId="0" borderId="177" applyNumberFormat="0" applyFill="0" applyAlignment="0" applyProtection="0"/>
    <xf numFmtId="0" fontId="63" fillId="56" borderId="175" applyNumberFormat="0" applyAlignment="0" applyProtection="0"/>
    <xf numFmtId="0" fontId="35" fillId="0" borderId="179" applyNumberFormat="0" applyFill="0" applyAlignment="0" applyProtection="0"/>
    <xf numFmtId="4" fontId="35" fillId="0" borderId="179">
      <alignment horizontal="right" vertical="center"/>
    </xf>
    <xf numFmtId="0" fontId="35" fillId="0" borderId="179">
      <alignment horizontal="right" vertical="center"/>
    </xf>
    <xf numFmtId="0" fontId="59" fillId="43" borderId="176" applyNumberFormat="0" applyAlignment="0" applyProtection="0"/>
    <xf numFmtId="0" fontId="44" fillId="56" borderId="175" applyNumberFormat="0" applyAlignment="0" applyProtection="0"/>
    <xf numFmtId="0" fontId="46" fillId="56" borderId="176" applyNumberFormat="0" applyAlignment="0" applyProtection="0"/>
    <xf numFmtId="0" fontId="35" fillId="34" borderId="182">
      <alignment horizontal="left" vertical="center" wrapText="1" indent="2"/>
    </xf>
    <xf numFmtId="0" fontId="47" fillId="56" borderId="176" applyNumberFormat="0" applyAlignment="0" applyProtection="0"/>
    <xf numFmtId="0" fontId="47" fillId="56" borderId="176" applyNumberFormat="0" applyAlignment="0" applyProtection="0"/>
    <xf numFmtId="4" fontId="33" fillId="34" borderId="180">
      <alignment horizontal="right" vertical="center"/>
    </xf>
    <xf numFmtId="0" fontId="33" fillId="34" borderId="180">
      <alignment horizontal="right" vertical="center"/>
    </xf>
    <xf numFmtId="0" fontId="33" fillId="34" borderId="179">
      <alignment horizontal="right" vertical="center"/>
    </xf>
    <xf numFmtId="4" fontId="37" fillId="32" borderId="179">
      <alignment horizontal="right" vertical="center"/>
    </xf>
    <xf numFmtId="0" fontId="50" fillId="43" borderId="176" applyNumberFormat="0" applyAlignment="0" applyProtection="0"/>
    <xf numFmtId="0" fontId="51" fillId="0" borderId="177" applyNumberFormat="0" applyFill="0" applyAlignment="0" applyProtection="0"/>
    <xf numFmtId="0" fontId="66" fillId="0" borderId="177" applyNumberFormat="0" applyFill="0" applyAlignment="0" applyProtection="0"/>
    <xf numFmtId="0" fontId="41" fillId="59" borderId="178" applyNumberFormat="0" applyFont="0" applyAlignment="0" applyProtection="0"/>
    <xf numFmtId="0" fontId="59" fillId="43" borderId="176" applyNumberFormat="0" applyAlignment="0" applyProtection="0"/>
    <xf numFmtId="49" fontId="34" fillId="0" borderId="179" applyNumberFormat="0" applyFill="0" applyBorder="0" applyProtection="0">
      <alignment horizontal="left" vertical="center"/>
    </xf>
    <xf numFmtId="0" fontId="35" fillId="34" borderId="182">
      <alignment horizontal="left" vertical="center" wrapText="1" indent="2"/>
    </xf>
    <xf numFmtId="0" fontId="47" fillId="56" borderId="176" applyNumberFormat="0" applyAlignment="0" applyProtection="0"/>
    <xf numFmtId="0" fontId="35" fillId="0" borderId="182">
      <alignment horizontal="left" vertical="center" wrapText="1" indent="2"/>
    </xf>
    <xf numFmtId="0" fontId="41" fillId="59" borderId="178" applyNumberFormat="0" applyFont="0" applyAlignment="0" applyProtection="0"/>
    <xf numFmtId="0" fontId="5" fillId="59" borderId="178" applyNumberFormat="0" applyFont="0" applyAlignment="0" applyProtection="0"/>
    <xf numFmtId="0" fontId="63" fillId="56" borderId="175" applyNumberFormat="0" applyAlignment="0" applyProtection="0"/>
    <xf numFmtId="0" fontId="66" fillId="0" borderId="177" applyNumberFormat="0" applyFill="0" applyAlignment="0" applyProtection="0"/>
    <xf numFmtId="4" fontId="35" fillId="33" borderId="179"/>
    <xf numFmtId="0" fontId="33" fillId="34" borderId="179">
      <alignment horizontal="right" vertical="center"/>
    </xf>
    <xf numFmtId="0" fontId="66" fillId="0" borderId="177" applyNumberFormat="0" applyFill="0" applyAlignment="0" applyProtection="0"/>
    <xf numFmtId="4" fontId="33" fillId="34" borderId="181">
      <alignment horizontal="right" vertical="center"/>
    </xf>
    <xf numFmtId="0" fontId="46" fillId="56" borderId="176" applyNumberFormat="0" applyAlignment="0" applyProtection="0"/>
    <xf numFmtId="0" fontId="33" fillId="34" borderId="180">
      <alignment horizontal="right" vertical="center"/>
    </xf>
    <xf numFmtId="0" fontId="47" fillId="56" borderId="176" applyNumberFormat="0" applyAlignment="0" applyProtection="0"/>
    <xf numFmtId="0" fontId="51" fillId="0" borderId="177" applyNumberFormat="0" applyFill="0" applyAlignment="0" applyProtection="0"/>
    <xf numFmtId="0" fontId="41" fillId="59" borderId="178" applyNumberFormat="0" applyFont="0" applyAlignment="0" applyProtection="0"/>
    <xf numFmtId="4" fontId="33" fillId="34" borderId="180">
      <alignment horizontal="right" vertical="center"/>
    </xf>
    <xf numFmtId="0" fontId="35" fillId="34" borderId="182">
      <alignment horizontal="left" vertical="center" wrapText="1" indent="2"/>
    </xf>
    <xf numFmtId="0" fontId="35" fillId="33" borderId="179"/>
    <xf numFmtId="173" fontId="35" fillId="60" borderId="179" applyNumberFormat="0" applyFont="0" applyBorder="0" applyAlignment="0" applyProtection="0">
      <alignment horizontal="right" vertical="center"/>
    </xf>
    <xf numFmtId="0" fontId="35" fillId="0" borderId="179" applyNumberFormat="0" applyFill="0" applyAlignment="0" applyProtection="0"/>
    <xf numFmtId="4" fontId="35" fillId="0" borderId="179" applyFill="0" applyBorder="0" applyProtection="0">
      <alignment horizontal="right" vertical="center"/>
    </xf>
    <xf numFmtId="4" fontId="33" fillId="32" borderId="179">
      <alignment horizontal="right" vertical="center"/>
    </xf>
    <xf numFmtId="0" fontId="51" fillId="0" borderId="177" applyNumberFormat="0" applyFill="0" applyAlignment="0" applyProtection="0"/>
    <xf numFmtId="49" fontId="34" fillId="0" borderId="179" applyNumberFormat="0" applyFill="0" applyBorder="0" applyProtection="0">
      <alignment horizontal="left" vertical="center"/>
    </xf>
    <xf numFmtId="49" fontId="35" fillId="0" borderId="180" applyNumberFormat="0" applyFont="0" applyFill="0" applyBorder="0" applyProtection="0">
      <alignment horizontal="left" vertical="center" indent="5"/>
    </xf>
    <xf numFmtId="0" fontId="35" fillId="32" borderId="180">
      <alignment horizontal="left" vertical="center"/>
    </xf>
    <xf numFmtId="0" fontId="47" fillId="56" borderId="176" applyNumberFormat="0" applyAlignment="0" applyProtection="0"/>
    <xf numFmtId="4" fontId="33" fillId="34" borderId="181">
      <alignment horizontal="right" vertical="center"/>
    </xf>
    <xf numFmtId="0" fontId="59" fillId="43" borderId="176" applyNumberFormat="0" applyAlignment="0" applyProtection="0"/>
    <xf numFmtId="0" fontId="59" fillId="43" borderId="176" applyNumberFormat="0" applyAlignment="0" applyProtection="0"/>
    <xf numFmtId="0" fontId="41" fillId="59" borderId="178" applyNumberFormat="0" applyFont="0" applyAlignment="0" applyProtection="0"/>
    <xf numFmtId="0" fontId="63" fillId="56" borderId="175" applyNumberFormat="0" applyAlignment="0" applyProtection="0"/>
    <xf numFmtId="0" fontId="66" fillId="0" borderId="177" applyNumberFormat="0" applyFill="0" applyAlignment="0" applyProtection="0"/>
    <xf numFmtId="0" fontId="33" fillId="34" borderId="179">
      <alignment horizontal="right" vertical="center"/>
    </xf>
    <xf numFmtId="0" fontId="5" fillId="59" borderId="178" applyNumberFormat="0" applyFont="0" applyAlignment="0" applyProtection="0"/>
    <xf numFmtId="4" fontId="35" fillId="0" borderId="179">
      <alignment horizontal="right" vertical="center"/>
    </xf>
    <xf numFmtId="0" fontId="66" fillId="0" borderId="177" applyNumberFormat="0" applyFill="0" applyAlignment="0" applyProtection="0"/>
    <xf numFmtId="0" fontId="33" fillId="34" borderId="179">
      <alignment horizontal="right" vertical="center"/>
    </xf>
    <xf numFmtId="0" fontId="33" fillId="34" borderId="179">
      <alignment horizontal="right" vertical="center"/>
    </xf>
    <xf numFmtId="4" fontId="37" fillId="32" borderId="179">
      <alignment horizontal="right" vertical="center"/>
    </xf>
    <xf numFmtId="0" fontId="33" fillId="32" borderId="179">
      <alignment horizontal="right" vertical="center"/>
    </xf>
    <xf numFmtId="4" fontId="33" fillId="32" borderId="179">
      <alignment horizontal="right" vertical="center"/>
    </xf>
    <xf numFmtId="0" fontId="37" fillId="32" borderId="179">
      <alignment horizontal="right" vertical="center"/>
    </xf>
    <xf numFmtId="4" fontId="37" fillId="32" borderId="179">
      <alignment horizontal="right" vertical="center"/>
    </xf>
    <xf numFmtId="0" fontId="33" fillId="34" borderId="179">
      <alignment horizontal="right" vertical="center"/>
    </xf>
    <xf numFmtId="4" fontId="33" fillId="34" borderId="179">
      <alignment horizontal="right" vertical="center"/>
    </xf>
    <xf numFmtId="0" fontId="33" fillId="34" borderId="179">
      <alignment horizontal="right" vertical="center"/>
    </xf>
    <xf numFmtId="4" fontId="33" fillId="34" borderId="179">
      <alignment horizontal="right" vertical="center"/>
    </xf>
    <xf numFmtId="0" fontId="33" fillId="34" borderId="180">
      <alignment horizontal="right" vertical="center"/>
    </xf>
    <xf numFmtId="4" fontId="33" fillId="34" borderId="180">
      <alignment horizontal="right" vertical="center"/>
    </xf>
    <xf numFmtId="0" fontId="33" fillId="34" borderId="181">
      <alignment horizontal="right" vertical="center"/>
    </xf>
    <xf numFmtId="4" fontId="33" fillId="34" borderId="181">
      <alignment horizontal="right" vertical="center"/>
    </xf>
    <xf numFmtId="0" fontId="47" fillId="56" borderId="176" applyNumberFormat="0" applyAlignment="0" applyProtection="0"/>
    <xf numFmtId="0" fontId="35" fillId="34" borderId="182">
      <alignment horizontal="left" vertical="center" wrapText="1" indent="2"/>
    </xf>
    <xf numFmtId="0" fontId="35" fillId="0" borderId="182">
      <alignment horizontal="left" vertical="center" wrapText="1" indent="2"/>
    </xf>
    <xf numFmtId="0" fontId="35" fillId="32" borderId="180">
      <alignment horizontal="left" vertical="center"/>
    </xf>
    <xf numFmtId="0" fontId="59" fillId="43" borderId="176" applyNumberFormat="0" applyAlignment="0" applyProtection="0"/>
    <xf numFmtId="0" fontId="35" fillId="0" borderId="179">
      <alignment horizontal="right" vertical="center"/>
    </xf>
    <xf numFmtId="4" fontId="35" fillId="0" borderId="179">
      <alignment horizontal="right" vertical="center"/>
    </xf>
    <xf numFmtId="0" fontId="35" fillId="0" borderId="179" applyNumberFormat="0" applyFill="0" applyAlignment="0" applyProtection="0"/>
    <xf numFmtId="0" fontId="63" fillId="56" borderId="175" applyNumberFormat="0" applyAlignment="0" applyProtection="0"/>
    <xf numFmtId="173" fontId="35" fillId="60" borderId="179" applyNumberFormat="0" applyFont="0" applyBorder="0" applyAlignment="0" applyProtection="0">
      <alignment horizontal="right" vertical="center"/>
    </xf>
    <xf numFmtId="0" fontId="35" fillId="33" borderId="179"/>
    <xf numFmtId="4" fontId="35" fillId="33" borderId="179"/>
    <xf numFmtId="0" fontId="66" fillId="0" borderId="177" applyNumberFormat="0" applyFill="0" applyAlignment="0" applyProtection="0"/>
    <xf numFmtId="0" fontId="5" fillId="59" borderId="178" applyNumberFormat="0" applyFont="0" applyAlignment="0" applyProtection="0"/>
    <xf numFmtId="0" fontId="41" fillId="59" borderId="178" applyNumberFormat="0" applyFont="0" applyAlignment="0" applyProtection="0"/>
    <xf numFmtId="0" fontId="35" fillId="0" borderId="179" applyNumberFormat="0" applyFill="0" applyAlignment="0" applyProtection="0"/>
    <xf numFmtId="0" fontId="51" fillId="0" borderId="177" applyNumberFormat="0" applyFill="0" applyAlignment="0" applyProtection="0"/>
    <xf numFmtId="0" fontId="66" fillId="0" borderId="177" applyNumberFormat="0" applyFill="0" applyAlignment="0" applyProtection="0"/>
    <xf numFmtId="0" fontId="50" fillId="43" borderId="176" applyNumberFormat="0" applyAlignment="0" applyProtection="0"/>
    <xf numFmtId="0" fontId="47" fillId="56" borderId="176" applyNumberFormat="0" applyAlignment="0" applyProtection="0"/>
    <xf numFmtId="4" fontId="37" fillId="32" borderId="179">
      <alignment horizontal="right" vertical="center"/>
    </xf>
    <xf numFmtId="0" fontId="33" fillId="32" borderId="179">
      <alignment horizontal="right" vertical="center"/>
    </xf>
    <xf numFmtId="173" fontId="35" fillId="60" borderId="179" applyNumberFormat="0" applyFont="0" applyBorder="0" applyAlignment="0" applyProtection="0">
      <alignment horizontal="right" vertical="center"/>
    </xf>
    <xf numFmtId="0" fontId="51" fillId="0" borderId="177" applyNumberFormat="0" applyFill="0" applyAlignment="0" applyProtection="0"/>
    <xf numFmtId="49" fontId="35" fillId="0" borderId="179" applyNumberFormat="0" applyFont="0" applyFill="0" applyBorder="0" applyProtection="0">
      <alignment horizontal="left" vertical="center" indent="2"/>
    </xf>
    <xf numFmtId="49" fontId="35" fillId="0" borderId="180" applyNumberFormat="0" applyFont="0" applyFill="0" applyBorder="0" applyProtection="0">
      <alignment horizontal="left" vertical="center" indent="5"/>
    </xf>
    <xf numFmtId="49" fontId="35" fillId="0" borderId="179" applyNumberFormat="0" applyFont="0" applyFill="0" applyBorder="0" applyProtection="0">
      <alignment horizontal="left" vertical="center" indent="2"/>
    </xf>
    <xf numFmtId="4" fontId="35" fillId="0" borderId="179" applyFill="0" applyBorder="0" applyProtection="0">
      <alignment horizontal="right" vertical="center"/>
    </xf>
    <xf numFmtId="49" fontId="34" fillId="0" borderId="179" applyNumberFormat="0" applyFill="0" applyBorder="0" applyProtection="0">
      <alignment horizontal="left" vertical="center"/>
    </xf>
    <xf numFmtId="0" fontId="35" fillId="0" borderId="182">
      <alignment horizontal="left" vertical="center" wrapText="1" indent="2"/>
    </xf>
    <xf numFmtId="0" fontId="63" fillId="56" borderId="175" applyNumberFormat="0" applyAlignment="0" applyProtection="0"/>
    <xf numFmtId="0" fontId="33" fillId="34" borderId="181">
      <alignment horizontal="right" vertical="center"/>
    </xf>
    <xf numFmtId="0" fontId="50" fillId="43" borderId="176" applyNumberFormat="0" applyAlignment="0" applyProtection="0"/>
    <xf numFmtId="0" fontId="33" fillId="34" borderId="181">
      <alignment horizontal="right" vertical="center"/>
    </xf>
    <xf numFmtId="4" fontId="33" fillId="34" borderId="179">
      <alignment horizontal="right" vertical="center"/>
    </xf>
    <xf numFmtId="0" fontId="33" fillId="34" borderId="179">
      <alignment horizontal="right" vertical="center"/>
    </xf>
    <xf numFmtId="0" fontId="44" fillId="56" borderId="175" applyNumberFormat="0" applyAlignment="0" applyProtection="0"/>
    <xf numFmtId="0" fontId="46" fillId="56" borderId="176" applyNumberFormat="0" applyAlignment="0" applyProtection="0"/>
    <xf numFmtId="0" fontId="51" fillId="0" borderId="177" applyNumberFormat="0" applyFill="0" applyAlignment="0" applyProtection="0"/>
    <xf numFmtId="0" fontId="35" fillId="33" borderId="179"/>
    <xf numFmtId="4" fontId="35" fillId="33" borderId="179"/>
    <xf numFmtId="4" fontId="33" fillId="34" borderId="179">
      <alignment horizontal="right" vertical="center"/>
    </xf>
    <xf numFmtId="0" fontId="37" fillId="32" borderId="179">
      <alignment horizontal="right" vertical="center"/>
    </xf>
    <xf numFmtId="0" fontId="50" fillId="43" borderId="176" applyNumberFormat="0" applyAlignment="0" applyProtection="0"/>
    <xf numFmtId="0" fontId="47" fillId="56" borderId="176" applyNumberFormat="0" applyAlignment="0" applyProtection="0"/>
    <xf numFmtId="4" fontId="35" fillId="0" borderId="179">
      <alignment horizontal="right" vertical="center"/>
    </xf>
    <xf numFmtId="0" fontId="35" fillId="34" borderId="182">
      <alignment horizontal="left" vertical="center" wrapText="1" indent="2"/>
    </xf>
    <xf numFmtId="0" fontId="35" fillId="0" borderId="182">
      <alignment horizontal="left" vertical="center" wrapText="1" indent="2"/>
    </xf>
    <xf numFmtId="0" fontId="63" fillId="56" borderId="175" applyNumberFormat="0" applyAlignment="0" applyProtection="0"/>
    <xf numFmtId="0" fontId="59" fillId="43" borderId="176" applyNumberFormat="0" applyAlignment="0" applyProtection="0"/>
    <xf numFmtId="0" fontId="46" fillId="56" borderId="176" applyNumberFormat="0" applyAlignment="0" applyProtection="0"/>
    <xf numFmtId="0" fontId="44" fillId="56" borderId="175" applyNumberFormat="0" applyAlignment="0" applyProtection="0"/>
    <xf numFmtId="0" fontId="33" fillId="34" borderId="181">
      <alignment horizontal="right" vertical="center"/>
    </xf>
    <xf numFmtId="0" fontId="37" fillId="32" borderId="179">
      <alignment horizontal="right" vertical="center"/>
    </xf>
    <xf numFmtId="4" fontId="33" fillId="32" borderId="179">
      <alignment horizontal="right" vertical="center"/>
    </xf>
    <xf numFmtId="4" fontId="33" fillId="34" borderId="179">
      <alignment horizontal="right" vertical="center"/>
    </xf>
    <xf numFmtId="49" fontId="35" fillId="0" borderId="180" applyNumberFormat="0" applyFont="0" applyFill="0" applyBorder="0" applyProtection="0">
      <alignment horizontal="left" vertical="center" indent="5"/>
    </xf>
    <xf numFmtId="4" fontId="35" fillId="0" borderId="179" applyFill="0" applyBorder="0" applyProtection="0">
      <alignment horizontal="right" vertical="center"/>
    </xf>
    <xf numFmtId="4" fontId="33" fillId="32" borderId="179">
      <alignment horizontal="right" vertical="center"/>
    </xf>
    <xf numFmtId="0" fontId="35" fillId="33" borderId="200"/>
    <xf numFmtId="0" fontId="59" fillId="43" borderId="176" applyNumberFormat="0" applyAlignment="0" applyProtection="0"/>
    <xf numFmtId="0" fontId="50" fillId="43" borderId="176" applyNumberFormat="0" applyAlignment="0" applyProtection="0"/>
    <xf numFmtId="0" fontId="46" fillId="56" borderId="176" applyNumberFormat="0" applyAlignment="0" applyProtection="0"/>
    <xf numFmtId="0" fontId="35" fillId="34" borderId="182">
      <alignment horizontal="left" vertical="center" wrapText="1" indent="2"/>
    </xf>
    <xf numFmtId="0" fontId="35" fillId="0" borderId="182">
      <alignment horizontal="left" vertical="center" wrapText="1" indent="2"/>
    </xf>
    <xf numFmtId="0" fontId="35" fillId="34" borderId="182">
      <alignment horizontal="left" vertical="center" wrapText="1" indent="2"/>
    </xf>
    <xf numFmtId="0" fontId="35" fillId="0" borderId="182">
      <alignment horizontal="left" vertical="center" wrapText="1" indent="2"/>
    </xf>
    <xf numFmtId="0" fontId="44" fillId="56" borderId="175" applyNumberFormat="0" applyAlignment="0" applyProtection="0"/>
    <xf numFmtId="0" fontId="46" fillId="56" borderId="176" applyNumberFormat="0" applyAlignment="0" applyProtection="0"/>
    <xf numFmtId="0" fontId="47" fillId="56" borderId="176" applyNumberFormat="0" applyAlignment="0" applyProtection="0"/>
    <xf numFmtId="0" fontId="50" fillId="43" borderId="176" applyNumberFormat="0" applyAlignment="0" applyProtection="0"/>
    <xf numFmtId="0" fontId="51" fillId="0" borderId="177" applyNumberFormat="0" applyFill="0" applyAlignment="0" applyProtection="0"/>
    <xf numFmtId="0" fontId="59" fillId="43" borderId="176" applyNumberFormat="0" applyAlignment="0" applyProtection="0"/>
    <xf numFmtId="0" fontId="41" fillId="59" borderId="178" applyNumberFormat="0" applyFont="0" applyAlignment="0" applyProtection="0"/>
    <xf numFmtId="0" fontId="5" fillId="59" borderId="178" applyNumberFormat="0" applyFont="0" applyAlignment="0" applyProtection="0"/>
    <xf numFmtId="0" fontId="63" fillId="56" borderId="175" applyNumberFormat="0" applyAlignment="0" applyProtection="0"/>
    <xf numFmtId="0" fontId="66" fillId="0" borderId="177" applyNumberFormat="0" applyFill="0" applyAlignment="0" applyProtection="0"/>
    <xf numFmtId="0" fontId="47" fillId="56" borderId="176" applyNumberFormat="0" applyAlignment="0" applyProtection="0"/>
    <xf numFmtId="0" fontId="59" fillId="43" borderId="176" applyNumberFormat="0" applyAlignment="0" applyProtection="0"/>
    <xf numFmtId="0" fontId="41" fillId="59" borderId="178" applyNumberFormat="0" applyFont="0" applyAlignment="0" applyProtection="0"/>
    <xf numFmtId="0" fontId="63" fillId="56" borderId="175" applyNumberFormat="0" applyAlignment="0" applyProtection="0"/>
    <xf numFmtId="0" fontId="66" fillId="0" borderId="177" applyNumberFormat="0" applyFill="0" applyAlignment="0" applyProtection="0"/>
    <xf numFmtId="0" fontId="51" fillId="0" borderId="198" applyNumberFormat="0" applyFill="0" applyAlignment="0" applyProtection="0"/>
    <xf numFmtId="4" fontId="35" fillId="0" borderId="192" applyFill="0" applyBorder="0" applyProtection="0">
      <alignment horizontal="right" vertical="center"/>
    </xf>
    <xf numFmtId="0" fontId="63" fillId="56" borderId="183" applyNumberFormat="0" applyAlignment="0" applyProtection="0"/>
    <xf numFmtId="4" fontId="35" fillId="0" borderId="187">
      <alignment horizontal="right" vertical="center"/>
    </xf>
    <xf numFmtId="0" fontId="47" fillId="56" borderId="176" applyNumberFormat="0" applyAlignment="0" applyProtection="0"/>
    <xf numFmtId="0" fontId="50" fillId="43" borderId="184" applyNumberFormat="0" applyAlignment="0" applyProtection="0"/>
    <xf numFmtId="0" fontId="12" fillId="28" borderId="0" applyNumberFormat="0" applyBorder="0" applyAlignment="0" applyProtection="0"/>
    <xf numFmtId="4" fontId="37" fillId="32" borderId="200">
      <alignment horizontal="right" vertical="center"/>
    </xf>
    <xf numFmtId="0" fontId="59" fillId="43" borderId="176" applyNumberFormat="0" applyAlignment="0" applyProtection="0"/>
    <xf numFmtId="0" fontId="63" fillId="56" borderId="175" applyNumberFormat="0" applyAlignment="0" applyProtection="0"/>
    <xf numFmtId="0" fontId="66" fillId="0" borderId="177" applyNumberFormat="0" applyFill="0" applyAlignment="0" applyProtection="0"/>
    <xf numFmtId="0" fontId="33" fillId="34" borderId="194">
      <alignment horizontal="right" vertical="center"/>
    </xf>
    <xf numFmtId="0" fontId="44" fillId="56" borderId="175" applyNumberFormat="0" applyAlignment="0" applyProtection="0"/>
    <xf numFmtId="0" fontId="46" fillId="56" borderId="176" applyNumberFormat="0" applyAlignment="0" applyProtection="0"/>
    <xf numFmtId="0" fontId="51" fillId="0" borderId="177" applyNumberFormat="0" applyFill="0" applyAlignment="0" applyProtection="0"/>
    <xf numFmtId="49" fontId="35" fillId="0" borderId="179" applyNumberFormat="0" applyFont="0" applyFill="0" applyBorder="0" applyProtection="0">
      <alignment horizontal="left" vertical="center" indent="2"/>
    </xf>
    <xf numFmtId="0" fontId="33" fillId="32" borderId="179">
      <alignment horizontal="right" vertical="center"/>
    </xf>
    <xf numFmtId="4" fontId="33" fillId="32" borderId="179">
      <alignment horizontal="right" vertical="center"/>
    </xf>
    <xf numFmtId="0" fontId="37" fillId="32" borderId="179">
      <alignment horizontal="right" vertical="center"/>
    </xf>
    <xf numFmtId="4" fontId="37" fillId="32" borderId="179">
      <alignment horizontal="right" vertical="center"/>
    </xf>
    <xf numFmtId="0" fontId="33" fillId="34" borderId="179">
      <alignment horizontal="right" vertical="center"/>
    </xf>
    <xf numFmtId="4" fontId="33" fillId="34" borderId="179">
      <alignment horizontal="right" vertical="center"/>
    </xf>
    <xf numFmtId="0" fontId="33" fillId="34" borderId="179">
      <alignment horizontal="right" vertical="center"/>
    </xf>
    <xf numFmtId="4" fontId="33" fillId="34" borderId="179">
      <alignment horizontal="right" vertical="center"/>
    </xf>
    <xf numFmtId="0" fontId="50" fillId="43" borderId="176" applyNumberFormat="0" applyAlignment="0" applyProtection="0"/>
    <xf numFmtId="0" fontId="35" fillId="0" borderId="179">
      <alignment horizontal="right" vertical="center"/>
    </xf>
    <xf numFmtId="4" fontId="35" fillId="0" borderId="179">
      <alignment horizontal="right" vertical="center"/>
    </xf>
    <xf numFmtId="4" fontId="35" fillId="0" borderId="179" applyFill="0" applyBorder="0" applyProtection="0">
      <alignment horizontal="right" vertical="center"/>
    </xf>
    <xf numFmtId="49" fontId="34" fillId="0" borderId="179" applyNumberFormat="0" applyFill="0" applyBorder="0" applyProtection="0">
      <alignment horizontal="left" vertical="center"/>
    </xf>
    <xf numFmtId="0" fontId="35" fillId="0" borderId="179" applyNumberFormat="0" applyFill="0" applyAlignment="0" applyProtection="0"/>
    <xf numFmtId="173" fontId="35" fillId="60" borderId="179" applyNumberFormat="0" applyFont="0" applyBorder="0" applyAlignment="0" applyProtection="0">
      <alignment horizontal="right" vertical="center"/>
    </xf>
    <xf numFmtId="0" fontId="35" fillId="33" borderId="179"/>
    <xf numFmtId="4" fontId="35" fillId="33" borderId="179"/>
    <xf numFmtId="4" fontId="33" fillId="34" borderId="179">
      <alignment horizontal="right" vertical="center"/>
    </xf>
    <xf numFmtId="0" fontId="35" fillId="33" borderId="179"/>
    <xf numFmtId="0" fontId="46" fillId="56" borderId="176" applyNumberFormat="0" applyAlignment="0" applyProtection="0"/>
    <xf numFmtId="0" fontId="33" fillId="32" borderId="179">
      <alignment horizontal="right" vertical="center"/>
    </xf>
    <xf numFmtId="0" fontId="35" fillId="0" borderId="179">
      <alignment horizontal="right" vertical="center"/>
    </xf>
    <xf numFmtId="0" fontId="66" fillId="0" borderId="177" applyNumberFormat="0" applyFill="0" applyAlignment="0" applyProtection="0"/>
    <xf numFmtId="0" fontId="35" fillId="32" borderId="180">
      <alignment horizontal="left" vertical="center"/>
    </xf>
    <xf numFmtId="0" fontId="59" fillId="43" borderId="176" applyNumberFormat="0" applyAlignment="0" applyProtection="0"/>
    <xf numFmtId="173" fontId="35" fillId="60" borderId="179" applyNumberFormat="0" applyFont="0" applyBorder="0" applyAlignment="0" applyProtection="0">
      <alignment horizontal="right" vertical="center"/>
    </xf>
    <xf numFmtId="0" fontId="41" fillId="59" borderId="178" applyNumberFormat="0" applyFont="0" applyAlignment="0" applyProtection="0"/>
    <xf numFmtId="0" fontId="35" fillId="0" borderId="182">
      <alignment horizontal="left" vertical="center" wrapText="1" indent="2"/>
    </xf>
    <xf numFmtId="4" fontId="35" fillId="33" borderId="179"/>
    <xf numFmtId="49" fontId="34" fillId="0" borderId="179" applyNumberFormat="0" applyFill="0" applyBorder="0" applyProtection="0">
      <alignment horizontal="left" vertical="center"/>
    </xf>
    <xf numFmtId="0" fontId="35" fillId="0" borderId="179">
      <alignment horizontal="right" vertical="center"/>
    </xf>
    <xf numFmtId="4" fontId="33" fillId="34" borderId="181">
      <alignment horizontal="right" vertical="center"/>
    </xf>
    <xf numFmtId="4" fontId="33" fillId="34" borderId="179">
      <alignment horizontal="right" vertical="center"/>
    </xf>
    <xf numFmtId="4" fontId="33" fillId="34" borderId="179">
      <alignment horizontal="right" vertical="center"/>
    </xf>
    <xf numFmtId="0" fontId="37" fillId="32" borderId="179">
      <alignment horizontal="right" vertical="center"/>
    </xf>
    <xf numFmtId="0" fontId="33" fillId="32" borderId="179">
      <alignment horizontal="right" vertical="center"/>
    </xf>
    <xf numFmtId="49" fontId="35" fillId="0" borderId="179" applyNumberFormat="0" applyFont="0" applyFill="0" applyBorder="0" applyProtection="0">
      <alignment horizontal="left" vertical="center" indent="2"/>
    </xf>
    <xf numFmtId="0" fontId="59" fillId="43" borderId="176" applyNumberFormat="0" applyAlignment="0" applyProtection="0"/>
    <xf numFmtId="0" fontId="44" fillId="56" borderId="175" applyNumberFormat="0" applyAlignment="0" applyProtection="0"/>
    <xf numFmtId="49" fontId="35" fillId="0" borderId="179" applyNumberFormat="0" applyFont="0" applyFill="0" applyBorder="0" applyProtection="0">
      <alignment horizontal="left" vertical="center" indent="2"/>
    </xf>
    <xf numFmtId="0" fontId="50" fillId="43" borderId="176" applyNumberFormat="0" applyAlignment="0" applyProtection="0"/>
    <xf numFmtId="4" fontId="35" fillId="0" borderId="179" applyFill="0" applyBorder="0" applyProtection="0">
      <alignment horizontal="right" vertical="center"/>
    </xf>
    <xf numFmtId="0" fontId="47" fillId="56" borderId="176" applyNumberFormat="0" applyAlignment="0" applyProtection="0"/>
    <xf numFmtId="0" fontId="66" fillId="0" borderId="177" applyNumberFormat="0" applyFill="0" applyAlignment="0" applyProtection="0"/>
    <xf numFmtId="0" fontId="63" fillId="56" borderId="175" applyNumberFormat="0" applyAlignment="0" applyProtection="0"/>
    <xf numFmtId="0" fontId="35" fillId="0" borderId="179" applyNumberFormat="0" applyFill="0" applyAlignment="0" applyProtection="0"/>
    <xf numFmtId="4" fontId="35" fillId="0" borderId="179">
      <alignment horizontal="right" vertical="center"/>
    </xf>
    <xf numFmtId="0" fontId="35" fillId="0" borderId="179">
      <alignment horizontal="right" vertical="center"/>
    </xf>
    <xf numFmtId="0" fontId="59" fillId="43" borderId="176" applyNumberFormat="0" applyAlignment="0" applyProtection="0"/>
    <xf numFmtId="0" fontId="44" fillId="56" borderId="175" applyNumberFormat="0" applyAlignment="0" applyProtection="0"/>
    <xf numFmtId="0" fontId="46" fillId="56" borderId="176" applyNumberFormat="0" applyAlignment="0" applyProtection="0"/>
    <xf numFmtId="0" fontId="35" fillId="34" borderId="182">
      <alignment horizontal="left" vertical="center" wrapText="1" indent="2"/>
    </xf>
    <xf numFmtId="0" fontId="47" fillId="56" borderId="176" applyNumberFormat="0" applyAlignment="0" applyProtection="0"/>
    <xf numFmtId="0" fontId="47" fillId="56" borderId="176" applyNumberFormat="0" applyAlignment="0" applyProtection="0"/>
    <xf numFmtId="4" fontId="33" fillId="34" borderId="180">
      <alignment horizontal="right" vertical="center"/>
    </xf>
    <xf numFmtId="0" fontId="33" fillId="34" borderId="180">
      <alignment horizontal="right" vertical="center"/>
    </xf>
    <xf numFmtId="0" fontId="33" fillId="34" borderId="179">
      <alignment horizontal="right" vertical="center"/>
    </xf>
    <xf numFmtId="4" fontId="37" fillId="32" borderId="179">
      <alignment horizontal="right" vertical="center"/>
    </xf>
    <xf numFmtId="0" fontId="50" fillId="43" borderId="176" applyNumberFormat="0" applyAlignment="0" applyProtection="0"/>
    <xf numFmtId="0" fontId="51" fillId="0" borderId="177" applyNumberFormat="0" applyFill="0" applyAlignment="0" applyProtection="0"/>
    <xf numFmtId="0" fontId="66" fillId="0" borderId="177" applyNumberFormat="0" applyFill="0" applyAlignment="0" applyProtection="0"/>
    <xf numFmtId="0" fontId="41" fillId="59" borderId="178" applyNumberFormat="0" applyFont="0" applyAlignment="0" applyProtection="0"/>
    <xf numFmtId="0" fontId="59" fillId="43" borderId="176" applyNumberFormat="0" applyAlignment="0" applyProtection="0"/>
    <xf numFmtId="49" fontId="34" fillId="0" borderId="179" applyNumberFormat="0" applyFill="0" applyBorder="0" applyProtection="0">
      <alignment horizontal="left" vertical="center"/>
    </xf>
    <xf numFmtId="0" fontId="35" fillId="34" borderId="182">
      <alignment horizontal="left" vertical="center" wrapText="1" indent="2"/>
    </xf>
    <xf numFmtId="0" fontId="47" fillId="56" borderId="176" applyNumberFormat="0" applyAlignment="0" applyProtection="0"/>
    <xf numFmtId="0" fontId="35" fillId="0" borderId="182">
      <alignment horizontal="left" vertical="center" wrapText="1" indent="2"/>
    </xf>
    <xf numFmtId="0" fontId="41" fillId="59" borderId="178" applyNumberFormat="0" applyFont="0" applyAlignment="0" applyProtection="0"/>
    <xf numFmtId="0" fontId="5" fillId="59" borderId="178" applyNumberFormat="0" applyFont="0" applyAlignment="0" applyProtection="0"/>
    <xf numFmtId="0" fontId="63" fillId="56" borderId="175" applyNumberFormat="0" applyAlignment="0" applyProtection="0"/>
    <xf numFmtId="0" fontId="66" fillId="0" borderId="177" applyNumberFormat="0" applyFill="0" applyAlignment="0" applyProtection="0"/>
    <xf numFmtId="4" fontId="35" fillId="33" borderId="179"/>
    <xf numFmtId="0" fontId="33" fillId="34" borderId="179">
      <alignment horizontal="right" vertical="center"/>
    </xf>
    <xf numFmtId="0" fontId="66" fillId="0" borderId="177" applyNumberFormat="0" applyFill="0" applyAlignment="0" applyProtection="0"/>
    <xf numFmtId="4" fontId="33" fillId="34" borderId="181">
      <alignment horizontal="right" vertical="center"/>
    </xf>
    <xf numFmtId="0" fontId="46" fillId="56" borderId="176" applyNumberFormat="0" applyAlignment="0" applyProtection="0"/>
    <xf numFmtId="0" fontId="33" fillId="34" borderId="180">
      <alignment horizontal="right" vertical="center"/>
    </xf>
    <xf numFmtId="0" fontId="47" fillId="56" borderId="176" applyNumberFormat="0" applyAlignment="0" applyProtection="0"/>
    <xf numFmtId="0" fontId="51" fillId="0" borderId="177" applyNumberFormat="0" applyFill="0" applyAlignment="0" applyProtection="0"/>
    <xf numFmtId="0" fontId="41" fillId="59" borderId="178" applyNumberFormat="0" applyFont="0" applyAlignment="0" applyProtection="0"/>
    <xf numFmtId="4" fontId="33" fillId="34" borderId="180">
      <alignment horizontal="right" vertical="center"/>
    </xf>
    <xf numFmtId="0" fontId="35" fillId="34" borderId="182">
      <alignment horizontal="left" vertical="center" wrapText="1" indent="2"/>
    </xf>
    <xf numFmtId="0" fontId="35" fillId="33" borderId="179"/>
    <xf numFmtId="173" fontId="35" fillId="60" borderId="179" applyNumberFormat="0" applyFont="0" applyBorder="0" applyAlignment="0" applyProtection="0">
      <alignment horizontal="right" vertical="center"/>
    </xf>
    <xf numFmtId="0" fontId="35" fillId="0" borderId="179" applyNumberFormat="0" applyFill="0" applyAlignment="0" applyProtection="0"/>
    <xf numFmtId="4" fontId="35" fillId="0" borderId="179" applyFill="0" applyBorder="0" applyProtection="0">
      <alignment horizontal="right" vertical="center"/>
    </xf>
    <xf numFmtId="4" fontId="33" fillId="32" borderId="179">
      <alignment horizontal="right" vertical="center"/>
    </xf>
    <xf numFmtId="0" fontId="51" fillId="0" borderId="177" applyNumberFormat="0" applyFill="0" applyAlignment="0" applyProtection="0"/>
    <xf numFmtId="49" fontId="34" fillId="0" borderId="179" applyNumberFormat="0" applyFill="0" applyBorder="0" applyProtection="0">
      <alignment horizontal="left" vertical="center"/>
    </xf>
    <xf numFmtId="49" fontId="35" fillId="0" borderId="180" applyNumberFormat="0" applyFont="0" applyFill="0" applyBorder="0" applyProtection="0">
      <alignment horizontal="left" vertical="center" indent="5"/>
    </xf>
    <xf numFmtId="0" fontId="35" fillId="32" borderId="180">
      <alignment horizontal="left" vertical="center"/>
    </xf>
    <xf numFmtId="0" fontId="47" fillId="56" borderId="176" applyNumberFormat="0" applyAlignment="0" applyProtection="0"/>
    <xf numFmtId="4" fontId="33" fillId="34" borderId="181">
      <alignment horizontal="right" vertical="center"/>
    </xf>
    <xf numFmtId="0" fontId="59" fillId="43" borderId="176" applyNumberFormat="0" applyAlignment="0" applyProtection="0"/>
    <xf numFmtId="0" fontId="59" fillId="43" borderId="176" applyNumberFormat="0" applyAlignment="0" applyProtection="0"/>
    <xf numFmtId="0" fontId="41" fillId="59" borderId="178" applyNumberFormat="0" applyFont="0" applyAlignment="0" applyProtection="0"/>
    <xf numFmtId="0" fontId="63" fillId="56" borderId="175" applyNumberFormat="0" applyAlignment="0" applyProtection="0"/>
    <xf numFmtId="0" fontId="66" fillId="0" borderId="177" applyNumberFormat="0" applyFill="0" applyAlignment="0" applyProtection="0"/>
    <xf numFmtId="0" fontId="33" fillId="34" borderId="179">
      <alignment horizontal="right" vertical="center"/>
    </xf>
    <xf numFmtId="0" fontId="5" fillId="59" borderId="178" applyNumberFormat="0" applyFont="0" applyAlignment="0" applyProtection="0"/>
    <xf numFmtId="4" fontId="35" fillId="0" borderId="179">
      <alignment horizontal="right" vertical="center"/>
    </xf>
    <xf numFmtId="0" fontId="66" fillId="0" borderId="177" applyNumberFormat="0" applyFill="0" applyAlignment="0" applyProtection="0"/>
    <xf numFmtId="0" fontId="33" fillId="34" borderId="179">
      <alignment horizontal="right" vertical="center"/>
    </xf>
    <xf numFmtId="0" fontId="33" fillId="34" borderId="179">
      <alignment horizontal="right" vertical="center"/>
    </xf>
    <xf numFmtId="4" fontId="37" fillId="32" borderId="179">
      <alignment horizontal="right" vertical="center"/>
    </xf>
    <xf numFmtId="0" fontId="33" fillId="32" borderId="179">
      <alignment horizontal="right" vertical="center"/>
    </xf>
    <xf numFmtId="4" fontId="33" fillId="32" borderId="179">
      <alignment horizontal="right" vertical="center"/>
    </xf>
    <xf numFmtId="0" fontId="37" fillId="32" borderId="179">
      <alignment horizontal="right" vertical="center"/>
    </xf>
    <xf numFmtId="4" fontId="37" fillId="32" borderId="179">
      <alignment horizontal="right" vertical="center"/>
    </xf>
    <xf numFmtId="0" fontId="33" fillId="34" borderId="179">
      <alignment horizontal="right" vertical="center"/>
    </xf>
    <xf numFmtId="4" fontId="33" fillId="34" borderId="179">
      <alignment horizontal="right" vertical="center"/>
    </xf>
    <xf numFmtId="0" fontId="33" fillId="34" borderId="179">
      <alignment horizontal="right" vertical="center"/>
    </xf>
    <xf numFmtId="4" fontId="33" fillId="34" borderId="179">
      <alignment horizontal="right" vertical="center"/>
    </xf>
    <xf numFmtId="0" fontId="33" fillId="34" borderId="180">
      <alignment horizontal="right" vertical="center"/>
    </xf>
    <xf numFmtId="4" fontId="33" fillId="34" borderId="180">
      <alignment horizontal="right" vertical="center"/>
    </xf>
    <xf numFmtId="0" fontId="33" fillId="34" borderId="181">
      <alignment horizontal="right" vertical="center"/>
    </xf>
    <xf numFmtId="4" fontId="33" fillId="34" borderId="181">
      <alignment horizontal="right" vertical="center"/>
    </xf>
    <xf numFmtId="0" fontId="47" fillId="56" borderId="176" applyNumberFormat="0" applyAlignment="0" applyProtection="0"/>
    <xf numFmtId="0" fontId="35" fillId="34" borderId="182">
      <alignment horizontal="left" vertical="center" wrapText="1" indent="2"/>
    </xf>
    <xf numFmtId="0" fontId="35" fillId="0" borderId="182">
      <alignment horizontal="left" vertical="center" wrapText="1" indent="2"/>
    </xf>
    <xf numFmtId="0" fontId="35" fillId="32" borderId="180">
      <alignment horizontal="left" vertical="center"/>
    </xf>
    <xf numFmtId="0" fontId="59" fillId="43" borderId="176" applyNumberFormat="0" applyAlignment="0" applyProtection="0"/>
    <xf numFmtId="0" fontId="35" fillId="0" borderId="179">
      <alignment horizontal="right" vertical="center"/>
    </xf>
    <xf numFmtId="4" fontId="35" fillId="0" borderId="179">
      <alignment horizontal="right" vertical="center"/>
    </xf>
    <xf numFmtId="0" fontId="35" fillId="0" borderId="179" applyNumberFormat="0" applyFill="0" applyAlignment="0" applyProtection="0"/>
    <xf numFmtId="0" fontId="63" fillId="56" borderId="175" applyNumberFormat="0" applyAlignment="0" applyProtection="0"/>
    <xf numFmtId="173" fontId="35" fillId="60" borderId="179" applyNumberFormat="0" applyFont="0" applyBorder="0" applyAlignment="0" applyProtection="0">
      <alignment horizontal="right" vertical="center"/>
    </xf>
    <xf numFmtId="0" fontId="35" fillId="33" borderId="179"/>
    <xf numFmtId="4" fontId="35" fillId="33" borderId="179"/>
    <xf numFmtId="0" fontId="66" fillId="0" borderId="177" applyNumberFormat="0" applyFill="0" applyAlignment="0" applyProtection="0"/>
    <xf numFmtId="0" fontId="5" fillId="59" borderId="178" applyNumberFormat="0" applyFont="0" applyAlignment="0" applyProtection="0"/>
    <xf numFmtId="0" fontId="41" fillId="59" borderId="178" applyNumberFormat="0" applyFont="0" applyAlignment="0" applyProtection="0"/>
    <xf numFmtId="0" fontId="35" fillId="0" borderId="179" applyNumberFormat="0" applyFill="0" applyAlignment="0" applyProtection="0"/>
    <xf numFmtId="0" fontId="51" fillId="0" borderId="177" applyNumberFormat="0" applyFill="0" applyAlignment="0" applyProtection="0"/>
    <xf numFmtId="0" fontId="66" fillId="0" borderId="177" applyNumberFormat="0" applyFill="0" applyAlignment="0" applyProtection="0"/>
    <xf numFmtId="0" fontId="50" fillId="43" borderId="176" applyNumberFormat="0" applyAlignment="0" applyProtection="0"/>
    <xf numFmtId="0" fontId="47" fillId="56" borderId="176" applyNumberFormat="0" applyAlignment="0" applyProtection="0"/>
    <xf numFmtId="4" fontId="37" fillId="32" borderId="179">
      <alignment horizontal="right" vertical="center"/>
    </xf>
    <xf numFmtId="0" fontId="33" fillId="32" borderId="179">
      <alignment horizontal="right" vertical="center"/>
    </xf>
    <xf numFmtId="173" fontId="35" fillId="60" borderId="179" applyNumberFormat="0" applyFont="0" applyBorder="0" applyAlignment="0" applyProtection="0">
      <alignment horizontal="right" vertical="center"/>
    </xf>
    <xf numFmtId="0" fontId="51" fillId="0" borderId="177" applyNumberFormat="0" applyFill="0" applyAlignment="0" applyProtection="0"/>
    <xf numFmtId="49" fontId="35" fillId="0" borderId="179" applyNumberFormat="0" applyFont="0" applyFill="0" applyBorder="0" applyProtection="0">
      <alignment horizontal="left" vertical="center" indent="2"/>
    </xf>
    <xf numFmtId="49" fontId="35" fillId="0" borderId="180" applyNumberFormat="0" applyFont="0" applyFill="0" applyBorder="0" applyProtection="0">
      <alignment horizontal="left" vertical="center" indent="5"/>
    </xf>
    <xf numFmtId="49" fontId="35" fillId="0" borderId="179" applyNumberFormat="0" applyFont="0" applyFill="0" applyBorder="0" applyProtection="0">
      <alignment horizontal="left" vertical="center" indent="2"/>
    </xf>
    <xf numFmtId="4" fontId="35" fillId="0" borderId="179" applyFill="0" applyBorder="0" applyProtection="0">
      <alignment horizontal="right" vertical="center"/>
    </xf>
    <xf numFmtId="49" fontId="34" fillId="0" borderId="179" applyNumberFormat="0" applyFill="0" applyBorder="0" applyProtection="0">
      <alignment horizontal="left" vertical="center"/>
    </xf>
    <xf numFmtId="0" fontId="35" fillId="0" borderId="182">
      <alignment horizontal="left" vertical="center" wrapText="1" indent="2"/>
    </xf>
    <xf numFmtId="0" fontId="63" fillId="56" borderId="175" applyNumberFormat="0" applyAlignment="0" applyProtection="0"/>
    <xf numFmtId="0" fontId="33" fillId="34" borderId="181">
      <alignment horizontal="right" vertical="center"/>
    </xf>
    <xf numFmtId="0" fontId="50" fillId="43" borderId="176" applyNumberFormat="0" applyAlignment="0" applyProtection="0"/>
    <xf numFmtId="0" fontId="33" fillId="34" borderId="181">
      <alignment horizontal="right" vertical="center"/>
    </xf>
    <xf numFmtId="4" fontId="33" fillId="34" borderId="179">
      <alignment horizontal="right" vertical="center"/>
    </xf>
    <xf numFmtId="0" fontId="33" fillId="34" borderId="179">
      <alignment horizontal="right" vertical="center"/>
    </xf>
    <xf numFmtId="0" fontId="44" fillId="56" borderId="175" applyNumberFormat="0" applyAlignment="0" applyProtection="0"/>
    <xf numFmtId="0" fontId="46" fillId="56" borderId="176" applyNumberFormat="0" applyAlignment="0" applyProtection="0"/>
    <xf numFmtId="0" fontId="51" fillId="0" borderId="177" applyNumberFormat="0" applyFill="0" applyAlignment="0" applyProtection="0"/>
    <xf numFmtId="0" fontId="35" fillId="33" borderId="179"/>
    <xf numFmtId="4" fontId="35" fillId="33" borderId="179"/>
    <xf numFmtId="4" fontId="33" fillId="34" borderId="179">
      <alignment horizontal="right" vertical="center"/>
    </xf>
    <xf numFmtId="0" fontId="37" fillId="32" borderId="179">
      <alignment horizontal="right" vertical="center"/>
    </xf>
    <xf numFmtId="0" fontId="50" fillId="43" borderId="176" applyNumberFormat="0" applyAlignment="0" applyProtection="0"/>
    <xf numFmtId="0" fontId="47" fillId="56" borderId="176" applyNumberFormat="0" applyAlignment="0" applyProtection="0"/>
    <xf numFmtId="4" fontId="35" fillId="0" borderId="179">
      <alignment horizontal="right" vertical="center"/>
    </xf>
    <xf numFmtId="0" fontId="35" fillId="34" borderId="182">
      <alignment horizontal="left" vertical="center" wrapText="1" indent="2"/>
    </xf>
    <xf numFmtId="0" fontId="35" fillId="0" borderId="182">
      <alignment horizontal="left" vertical="center" wrapText="1" indent="2"/>
    </xf>
    <xf numFmtId="0" fontId="63" fillId="56" borderId="175" applyNumberFormat="0" applyAlignment="0" applyProtection="0"/>
    <xf numFmtId="0" fontId="59" fillId="43" borderId="176" applyNumberFormat="0" applyAlignment="0" applyProtection="0"/>
    <xf numFmtId="0" fontId="46" fillId="56" borderId="176" applyNumberFormat="0" applyAlignment="0" applyProtection="0"/>
    <xf numFmtId="0" fontId="44" fillId="56" borderId="175" applyNumberFormat="0" applyAlignment="0" applyProtection="0"/>
    <xf numFmtId="0" fontId="33" fillId="34" borderId="181">
      <alignment horizontal="right" vertical="center"/>
    </xf>
    <xf numFmtId="0" fontId="37" fillId="32" borderId="179">
      <alignment horizontal="right" vertical="center"/>
    </xf>
    <xf numFmtId="4" fontId="33" fillId="32" borderId="179">
      <alignment horizontal="right" vertical="center"/>
    </xf>
    <xf numFmtId="4" fontId="33" fillId="34" borderId="179">
      <alignment horizontal="right" vertical="center"/>
    </xf>
    <xf numFmtId="49" fontId="35" fillId="0" borderId="180" applyNumberFormat="0" applyFont="0" applyFill="0" applyBorder="0" applyProtection="0">
      <alignment horizontal="left" vertical="center" indent="5"/>
    </xf>
    <xf numFmtId="4" fontId="35" fillId="0" borderId="179" applyFill="0" applyBorder="0" applyProtection="0">
      <alignment horizontal="right" vertical="center"/>
    </xf>
    <xf numFmtId="4" fontId="33" fillId="32" borderId="179">
      <alignment horizontal="right" vertical="center"/>
    </xf>
    <xf numFmtId="0" fontId="59" fillId="43" borderId="176" applyNumberFormat="0" applyAlignment="0" applyProtection="0"/>
    <xf numFmtId="0" fontId="50" fillId="43" borderId="176" applyNumberFormat="0" applyAlignment="0" applyProtection="0"/>
    <xf numFmtId="0" fontId="46" fillId="56" borderId="176" applyNumberFormat="0" applyAlignment="0" applyProtection="0"/>
    <xf numFmtId="0" fontId="35" fillId="34" borderId="182">
      <alignment horizontal="left" vertical="center" wrapText="1" indent="2"/>
    </xf>
    <xf numFmtId="0" fontId="35" fillId="0" borderId="182">
      <alignment horizontal="left" vertical="center" wrapText="1" indent="2"/>
    </xf>
    <xf numFmtId="0" fontId="35" fillId="34" borderId="182">
      <alignment horizontal="left" vertical="center" wrapText="1" indent="2"/>
    </xf>
    <xf numFmtId="4" fontId="35" fillId="33" borderId="187"/>
    <xf numFmtId="0" fontId="1" fillId="0" borderId="0" applyNumberFormat="0" applyFill="0" applyBorder="0" applyAlignment="0" applyProtection="0"/>
    <xf numFmtId="0" fontId="27" fillId="26" borderId="0" applyNumberFormat="0" applyBorder="0" applyAlignment="0" applyProtection="0"/>
    <xf numFmtId="0" fontId="63" fillId="56" borderId="196" applyNumberFormat="0" applyAlignment="0" applyProtection="0"/>
    <xf numFmtId="0" fontId="35" fillId="34" borderId="195">
      <alignment horizontal="left" vertical="center" wrapText="1" indent="2"/>
    </xf>
    <xf numFmtId="0" fontId="41" fillId="59" borderId="191" applyNumberFormat="0" applyFont="0" applyAlignment="0" applyProtection="0"/>
    <xf numFmtId="0" fontId="35" fillId="32" borderId="188">
      <alignment horizontal="left" vertical="center"/>
    </xf>
    <xf numFmtId="0" fontId="66" fillId="0" borderId="198" applyNumberFormat="0" applyFill="0" applyAlignment="0" applyProtection="0"/>
    <xf numFmtId="0" fontId="41" fillId="59" borderId="186" applyNumberFormat="0" applyFont="0" applyAlignment="0" applyProtection="0"/>
    <xf numFmtId="4" fontId="35" fillId="0" borderId="200">
      <alignment horizontal="right" vertical="center"/>
    </xf>
    <xf numFmtId="0" fontId="41" fillId="59" borderId="191" applyNumberFormat="0" applyFont="0" applyAlignment="0" applyProtection="0"/>
    <xf numFmtId="0" fontId="33" fillId="34" borderId="200">
      <alignment horizontal="right" vertical="center"/>
    </xf>
    <xf numFmtId="0" fontId="27" fillId="26" borderId="0" applyNumberFormat="0" applyBorder="0" applyAlignment="0" applyProtection="0"/>
    <xf numFmtId="0" fontId="27" fillId="17" borderId="0" applyNumberFormat="0" applyBorder="0" applyAlignment="0" applyProtection="0"/>
    <xf numFmtId="4" fontId="35" fillId="0" borderId="200" applyFill="0" applyBorder="0" applyProtection="0">
      <alignment horizontal="right" vertical="center"/>
    </xf>
    <xf numFmtId="0" fontId="35" fillId="0" borderId="192" applyNumberFormat="0" applyFill="0" applyAlignment="0" applyProtection="0"/>
    <xf numFmtId="0" fontId="27" fillId="29" borderId="0" applyNumberFormat="0" applyBorder="0" applyAlignment="0" applyProtection="0"/>
    <xf numFmtId="0" fontId="33" fillId="34" borderId="192">
      <alignment horizontal="right" vertical="center"/>
    </xf>
    <xf numFmtId="0" fontId="35" fillId="34" borderId="190">
      <alignment horizontal="left" vertical="center" wrapText="1" indent="2"/>
    </xf>
    <xf numFmtId="0" fontId="63" fillId="56" borderId="183" applyNumberFormat="0" applyAlignment="0" applyProtection="0"/>
    <xf numFmtId="4" fontId="35" fillId="33" borderId="187"/>
    <xf numFmtId="0" fontId="66" fillId="0" borderId="185" applyNumberFormat="0" applyFill="0" applyAlignment="0" applyProtection="0"/>
    <xf numFmtId="173" fontId="35" fillId="60" borderId="187" applyNumberFormat="0" applyFont="0" applyBorder="0" applyAlignment="0" applyProtection="0">
      <alignment horizontal="right" vertical="center"/>
    </xf>
    <xf numFmtId="0" fontId="35" fillId="0" borderId="187">
      <alignment horizontal="right" vertical="center"/>
    </xf>
    <xf numFmtId="4" fontId="35" fillId="0" borderId="187">
      <alignment horizontal="right" vertical="center"/>
    </xf>
    <xf numFmtId="0" fontId="63" fillId="56" borderId="196" applyNumberFormat="0" applyAlignment="0" applyProtection="0"/>
    <xf numFmtId="0" fontId="35" fillId="0" borderId="190">
      <alignment horizontal="left" vertical="center" wrapText="1" indent="2"/>
    </xf>
    <xf numFmtId="4" fontId="33" fillId="34" borderId="187">
      <alignment horizontal="right" vertical="center"/>
    </xf>
    <xf numFmtId="0" fontId="33" fillId="34" borderId="188">
      <alignment horizontal="right" vertical="center"/>
    </xf>
    <xf numFmtId="4" fontId="33" fillId="34" borderId="188">
      <alignment horizontal="right" vertical="center"/>
    </xf>
    <xf numFmtId="0" fontId="33" fillId="34" borderId="187">
      <alignment horizontal="right" vertical="center"/>
    </xf>
    <xf numFmtId="4" fontId="33" fillId="32" borderId="187">
      <alignment horizontal="right" vertical="center"/>
    </xf>
    <xf numFmtId="0" fontId="37" fillId="32" borderId="187">
      <alignment horizontal="right" vertical="center"/>
    </xf>
    <xf numFmtId="0" fontId="35" fillId="0" borderId="195">
      <alignment horizontal="left" vertical="center" wrapText="1" indent="2"/>
    </xf>
    <xf numFmtId="0" fontId="59" fillId="43" borderId="197" applyNumberFormat="0" applyAlignment="0" applyProtection="0"/>
    <xf numFmtId="0" fontId="47" fillId="56" borderId="197" applyNumberFormat="0" applyAlignment="0" applyProtection="0"/>
    <xf numFmtId="4" fontId="37" fillId="32" borderId="192">
      <alignment horizontal="right" vertical="center"/>
    </xf>
    <xf numFmtId="173" fontId="35" fillId="60" borderId="192" applyNumberFormat="0" applyFont="0" applyBorder="0" applyAlignment="0" applyProtection="0">
      <alignment horizontal="right" vertical="center"/>
    </xf>
    <xf numFmtId="49" fontId="34" fillId="0" borderId="200" applyNumberFormat="0" applyFill="0" applyBorder="0" applyProtection="0">
      <alignment horizontal="left" vertical="center"/>
    </xf>
    <xf numFmtId="4" fontId="35" fillId="0" borderId="200" applyFill="0" applyBorder="0" applyProtection="0">
      <alignment horizontal="right" vertical="center"/>
    </xf>
    <xf numFmtId="4" fontId="35" fillId="33" borderId="192"/>
    <xf numFmtId="0" fontId="66" fillId="0" borderId="185" applyNumberFormat="0" applyFill="0" applyAlignment="0" applyProtection="0"/>
    <xf numFmtId="0" fontId="27" fillId="15" borderId="0" applyNumberFormat="0" applyBorder="0" applyAlignment="0" applyProtection="0"/>
    <xf numFmtId="0" fontId="63" fillId="56" borderId="183" applyNumberFormat="0" applyAlignment="0" applyProtection="0"/>
    <xf numFmtId="0" fontId="27" fillId="17" borderId="0" applyNumberFormat="0" applyBorder="0" applyAlignment="0" applyProtection="0"/>
    <xf numFmtId="0" fontId="33" fillId="34" borderId="201">
      <alignment horizontal="right" vertical="center"/>
    </xf>
    <xf numFmtId="0" fontId="35" fillId="0" borderId="200" applyNumberFormat="0" applyFill="0" applyAlignment="0" applyProtection="0"/>
    <xf numFmtId="0" fontId="50" fillId="43" borderId="205" applyNumberFormat="0" applyAlignment="0" applyProtection="0"/>
    <xf numFmtId="0" fontId="33" fillId="34" borderId="200">
      <alignment horizontal="right" vertical="center"/>
    </xf>
    <xf numFmtId="4" fontId="33" fillId="34" borderId="192">
      <alignment horizontal="right" vertical="center"/>
    </xf>
    <xf numFmtId="4" fontId="35" fillId="0" borderId="192">
      <alignment horizontal="right" vertical="center"/>
    </xf>
    <xf numFmtId="0" fontId="33" fillId="34" borderId="193">
      <alignment horizontal="right" vertical="center"/>
    </xf>
    <xf numFmtId="0" fontId="66" fillId="0" borderId="209" applyNumberFormat="0" applyFill="0" applyAlignment="0" applyProtection="0"/>
    <xf numFmtId="0" fontId="33" fillId="34" borderId="202">
      <alignment horizontal="right" vertical="center"/>
    </xf>
    <xf numFmtId="4" fontId="33" fillId="34" borderId="192">
      <alignment horizontal="right" vertical="center"/>
    </xf>
    <xf numFmtId="0" fontId="27" fillId="21" borderId="0" applyNumberFormat="0" applyBorder="0" applyAlignment="0" applyProtection="0"/>
    <xf numFmtId="0" fontId="33" fillId="34" borderId="194">
      <alignment horizontal="right" vertical="center"/>
    </xf>
    <xf numFmtId="49" fontId="35" fillId="0" borderId="193" applyNumberFormat="0" applyFont="0" applyFill="0" applyBorder="0" applyProtection="0">
      <alignment horizontal="left" vertical="center" indent="5"/>
    </xf>
    <xf numFmtId="0" fontId="66" fillId="0" borderId="198" applyNumberFormat="0" applyFill="0" applyAlignment="0" applyProtection="0"/>
    <xf numFmtId="4" fontId="33" fillId="34" borderId="202">
      <alignment horizontal="right" vertical="center"/>
    </xf>
    <xf numFmtId="0" fontId="2" fillId="0" borderId="15" applyNumberFormat="0" applyFill="0" applyAlignment="0" applyProtection="0"/>
    <xf numFmtId="0" fontId="27" fillId="17" borderId="0" applyNumberFormat="0" applyBorder="0" applyAlignment="0" applyProtection="0"/>
    <xf numFmtId="4" fontId="33" fillId="32" borderId="200">
      <alignment horizontal="right" vertical="center"/>
    </xf>
    <xf numFmtId="0" fontId="46" fillId="56" borderId="205" applyNumberFormat="0" applyAlignment="0" applyProtection="0"/>
    <xf numFmtId="4" fontId="33" fillId="34" borderId="213">
      <alignment horizontal="right" vertical="center"/>
    </xf>
    <xf numFmtId="0" fontId="44" fillId="56" borderId="196" applyNumberFormat="0" applyAlignment="0" applyProtection="0"/>
    <xf numFmtId="4" fontId="33" fillId="34" borderId="194">
      <alignment horizontal="right" vertical="center"/>
    </xf>
    <xf numFmtId="0" fontId="41" fillId="59" borderId="210" applyNumberFormat="0" applyFont="0" applyAlignment="0" applyProtection="0"/>
    <xf numFmtId="0" fontId="27" fillId="15" borderId="0" applyNumberFormat="0" applyBorder="0" applyAlignment="0" applyProtection="0"/>
    <xf numFmtId="0" fontId="51" fillId="0" borderId="198" applyNumberFormat="0" applyFill="0" applyAlignment="0" applyProtection="0"/>
    <xf numFmtId="0" fontId="35" fillId="32" borderId="193">
      <alignment horizontal="left" vertical="center"/>
    </xf>
    <xf numFmtId="0" fontId="59" fillId="43" borderId="205" applyNumberFormat="0" applyAlignment="0" applyProtection="0"/>
    <xf numFmtId="0" fontId="66" fillId="0" borderId="185" applyNumberFormat="0" applyFill="0" applyAlignment="0" applyProtection="0"/>
    <xf numFmtId="0" fontId="41" fillId="59" borderId="186" applyNumberFormat="0" applyFont="0" applyAlignment="0" applyProtection="0"/>
    <xf numFmtId="4" fontId="33" fillId="34" borderId="192">
      <alignment horizontal="right" vertical="center"/>
    </xf>
    <xf numFmtId="0" fontId="27" fillId="18" borderId="0" applyNumberFormat="0" applyBorder="0" applyAlignment="0" applyProtection="0"/>
    <xf numFmtId="0" fontId="5" fillId="59" borderId="186" applyNumberFormat="0" applyFont="0" applyAlignment="0" applyProtection="0"/>
    <xf numFmtId="0" fontId="33" fillId="34" borderId="212">
      <alignment horizontal="right" vertical="center"/>
    </xf>
    <xf numFmtId="0" fontId="44" fillId="56" borderId="204" applyNumberFormat="0" applyAlignment="0" applyProtection="0"/>
    <xf numFmtId="0" fontId="2" fillId="0" borderId="15" applyNumberFormat="0" applyFill="0" applyAlignment="0" applyProtection="0"/>
    <xf numFmtId="0" fontId="27" fillId="18" borderId="0" applyNumberFormat="0" applyBorder="0" applyAlignment="0" applyProtection="0"/>
    <xf numFmtId="4" fontId="33" fillId="34" borderId="200">
      <alignment horizontal="right" vertical="center"/>
    </xf>
    <xf numFmtId="0" fontId="51" fillId="0" borderId="198" applyNumberFormat="0" applyFill="0" applyAlignment="0" applyProtection="0"/>
    <xf numFmtId="4" fontId="35" fillId="0" borderId="192">
      <alignment horizontal="right" vertical="center"/>
    </xf>
    <xf numFmtId="0" fontId="44" fillId="56" borderId="196" applyNumberFormat="0" applyAlignment="0" applyProtection="0"/>
    <xf numFmtId="0" fontId="27" fillId="24" borderId="0" applyNumberFormat="0" applyBorder="0" applyAlignment="0" applyProtection="0"/>
    <xf numFmtId="0" fontId="59" fillId="43" borderId="184" applyNumberFormat="0" applyAlignment="0" applyProtection="0"/>
    <xf numFmtId="0" fontId="35" fillId="34" borderId="190">
      <alignment horizontal="left" vertical="center" wrapText="1" indent="2"/>
    </xf>
    <xf numFmtId="4" fontId="37" fillId="32" borderId="187">
      <alignment horizontal="right" vertical="center"/>
    </xf>
    <xf numFmtId="49" fontId="35" fillId="0" borderId="192" applyNumberFormat="0" applyFont="0" applyFill="0" applyBorder="0" applyProtection="0">
      <alignment horizontal="left" vertical="center" indent="2"/>
    </xf>
    <xf numFmtId="0" fontId="63" fillId="56" borderId="204" applyNumberFormat="0" applyAlignment="0" applyProtection="0"/>
    <xf numFmtId="0" fontId="12" fillId="19" borderId="0" applyNumberFormat="0" applyBorder="0" applyAlignment="0" applyProtection="0"/>
    <xf numFmtId="0" fontId="27" fillId="21" borderId="0" applyNumberFormat="0" applyBorder="0" applyAlignment="0" applyProtection="0"/>
    <xf numFmtId="0" fontId="35" fillId="0" borderId="195">
      <alignment horizontal="left" vertical="center" wrapText="1" indent="2"/>
    </xf>
    <xf numFmtId="0" fontId="2" fillId="0" borderId="15" applyNumberFormat="0" applyFill="0" applyAlignment="0" applyProtection="0"/>
    <xf numFmtId="0" fontId="12" fillId="31" borderId="0" applyNumberFormat="0" applyBorder="0" applyAlignment="0" applyProtection="0"/>
    <xf numFmtId="0" fontId="50" fillId="43" borderId="197" applyNumberFormat="0" applyAlignment="0" applyProtection="0"/>
    <xf numFmtId="4" fontId="37" fillId="32" borderId="187">
      <alignment horizontal="right" vertical="center"/>
    </xf>
    <xf numFmtId="4" fontId="33" fillId="32" borderId="187">
      <alignment horizontal="right" vertical="center"/>
    </xf>
    <xf numFmtId="0" fontId="35" fillId="0" borderId="190">
      <alignment horizontal="left" vertical="center" wrapText="1" indent="2"/>
    </xf>
    <xf numFmtId="0" fontId="63" fillId="56" borderId="183" applyNumberFormat="0" applyAlignment="0" applyProtection="0"/>
    <xf numFmtId="0" fontId="35" fillId="0" borderId="187">
      <alignment horizontal="right" vertical="center"/>
    </xf>
    <xf numFmtId="0" fontId="66" fillId="0" borderId="185" applyNumberFormat="0" applyFill="0" applyAlignment="0" applyProtection="0"/>
    <xf numFmtId="49" fontId="34" fillId="0" borderId="187" applyNumberFormat="0" applyFill="0" applyBorder="0" applyProtection="0">
      <alignment horizontal="left" vertical="center"/>
    </xf>
    <xf numFmtId="4" fontId="35" fillId="33" borderId="187"/>
    <xf numFmtId="0" fontId="59" fillId="43" borderId="184" applyNumberFormat="0" applyAlignment="0" applyProtection="0"/>
    <xf numFmtId="49" fontId="35" fillId="0" borderId="192" applyNumberFormat="0" applyFont="0" applyFill="0" applyBorder="0" applyProtection="0">
      <alignment horizontal="left" vertical="center" indent="2"/>
    </xf>
    <xf numFmtId="0" fontId="35" fillId="34" borderId="195">
      <alignment horizontal="left" vertical="center" wrapText="1" indent="2"/>
    </xf>
    <xf numFmtId="173" fontId="35" fillId="60" borderId="187" applyNumberFormat="0" applyFont="0" applyBorder="0" applyAlignment="0" applyProtection="0">
      <alignment horizontal="right" vertical="center"/>
    </xf>
    <xf numFmtId="0" fontId="51" fillId="0" borderId="209" applyNumberFormat="0" applyFill="0" applyAlignment="0" applyProtection="0"/>
    <xf numFmtId="0" fontId="47" fillId="56" borderId="184" applyNumberFormat="0" applyAlignment="0" applyProtection="0"/>
    <xf numFmtId="0" fontId="50" fillId="43" borderId="205" applyNumberFormat="0" applyAlignment="0" applyProtection="0"/>
    <xf numFmtId="0" fontId="35" fillId="34" borderId="203">
      <alignment horizontal="left" vertical="center" wrapText="1" indent="2"/>
    </xf>
    <xf numFmtId="4" fontId="37" fillId="32" borderId="192">
      <alignment horizontal="right" vertical="center"/>
    </xf>
    <xf numFmtId="0" fontId="37" fillId="32" borderId="192">
      <alignment horizontal="right" vertical="center"/>
    </xf>
    <xf numFmtId="0" fontId="59" fillId="43" borderId="184" applyNumberFormat="0" applyAlignment="0" applyProtection="0"/>
    <xf numFmtId="0" fontId="44" fillId="56" borderId="183" applyNumberFormat="0" applyAlignment="0" applyProtection="0"/>
    <xf numFmtId="0" fontId="5" fillId="59" borderId="191" applyNumberFormat="0" applyFont="0" applyAlignment="0" applyProtection="0"/>
    <xf numFmtId="49" fontId="34" fillId="0" borderId="187" applyNumberFormat="0" applyFill="0" applyBorder="0" applyProtection="0">
      <alignment horizontal="left" vertical="center"/>
    </xf>
    <xf numFmtId="0" fontId="66" fillId="0" borderId="185" applyNumberFormat="0" applyFill="0" applyAlignment="0" applyProtection="0"/>
    <xf numFmtId="0" fontId="35" fillId="0" borderId="187">
      <alignment horizontal="right" vertical="center"/>
    </xf>
    <xf numFmtId="0" fontId="33" fillId="34" borderId="188">
      <alignment horizontal="right" vertical="center"/>
    </xf>
    <xf numFmtId="0" fontId="66" fillId="0" borderId="185" applyNumberFormat="0" applyFill="0" applyAlignment="0" applyProtection="0"/>
    <xf numFmtId="49" fontId="35" fillId="0" borderId="211" applyNumberFormat="0" applyFont="0" applyFill="0" applyBorder="0" applyProtection="0">
      <alignment horizontal="left" vertical="center" indent="2"/>
    </xf>
    <xf numFmtId="0" fontId="50" fillId="43" borderId="208" applyNumberFormat="0" applyAlignment="0" applyProtection="0"/>
    <xf numFmtId="4" fontId="33" fillId="34" borderId="202">
      <alignment horizontal="right" vertical="center"/>
    </xf>
    <xf numFmtId="0" fontId="27" fillId="21" borderId="0" applyNumberFormat="0" applyBorder="0" applyAlignment="0" applyProtection="0"/>
    <xf numFmtId="0" fontId="47" fillId="56" borderId="208" applyNumberFormat="0" applyAlignment="0" applyProtection="0"/>
    <xf numFmtId="0" fontId="59" fillId="43" borderId="205" applyNumberFormat="0" applyAlignment="0" applyProtection="0"/>
    <xf numFmtId="0" fontId="33" fillId="34" borderId="211">
      <alignment horizontal="right" vertical="center"/>
    </xf>
    <xf numFmtId="0" fontId="59" fillId="43" borderId="197" applyNumberFormat="0" applyAlignment="0" applyProtection="0"/>
    <xf numFmtId="4" fontId="35" fillId="0" borderId="187" applyFill="0" applyBorder="0" applyProtection="0">
      <alignment horizontal="right" vertical="center"/>
    </xf>
    <xf numFmtId="0" fontId="27" fillId="23" borderId="0" applyNumberFormat="0" applyBorder="0" applyAlignment="0" applyProtection="0"/>
    <xf numFmtId="0" fontId="33" fillId="34" borderId="194">
      <alignment horizontal="right" vertical="center"/>
    </xf>
    <xf numFmtId="0" fontId="27" fillId="26" borderId="0" applyNumberFormat="0" applyBorder="0" applyAlignment="0" applyProtection="0"/>
    <xf numFmtId="0" fontId="50" fillId="43" borderId="197" applyNumberFormat="0" applyAlignment="0" applyProtection="0"/>
    <xf numFmtId="0" fontId="35" fillId="0" borderId="190">
      <alignment horizontal="left" vertical="center" wrapText="1" indent="2"/>
    </xf>
    <xf numFmtId="49" fontId="34" fillId="0" borderId="192" applyNumberFormat="0" applyFill="0" applyBorder="0" applyProtection="0">
      <alignment horizontal="left" vertical="center"/>
    </xf>
    <xf numFmtId="0" fontId="66" fillId="0" borderId="185" applyNumberFormat="0" applyFill="0" applyAlignment="0" applyProtection="0"/>
    <xf numFmtId="0" fontId="44" fillId="56" borderId="183" applyNumberFormat="0" applyAlignment="0" applyProtection="0"/>
    <xf numFmtId="0" fontId="33" fillId="34" borderId="187">
      <alignment horizontal="right" vertical="center"/>
    </xf>
    <xf numFmtId="0" fontId="46" fillId="56" borderId="184" applyNumberFormat="0" applyAlignment="0" applyProtection="0"/>
    <xf numFmtId="0" fontId="33" fillId="34" borderId="192">
      <alignment horizontal="right" vertical="center"/>
    </xf>
    <xf numFmtId="0" fontId="35" fillId="32" borderId="188">
      <alignment horizontal="left" vertical="center"/>
    </xf>
    <xf numFmtId="0" fontId="35" fillId="0" borderId="195">
      <alignment horizontal="left" vertical="center" wrapText="1" indent="2"/>
    </xf>
    <xf numFmtId="4" fontId="35" fillId="33" borderId="192"/>
    <xf numFmtId="0" fontId="66" fillId="0" borderId="198" applyNumberFormat="0" applyFill="0" applyAlignment="0" applyProtection="0"/>
    <xf numFmtId="0" fontId="33" fillId="34" borderId="200">
      <alignment horizontal="right" vertical="center"/>
    </xf>
    <xf numFmtId="0" fontId="35" fillId="0" borderId="203">
      <alignment horizontal="left" vertical="center" wrapText="1" indent="2"/>
    </xf>
    <xf numFmtId="0" fontId="33" fillId="32" borderId="187">
      <alignment horizontal="right" vertical="center"/>
    </xf>
    <xf numFmtId="0" fontId="47" fillId="56" borderId="197" applyNumberFormat="0" applyAlignment="0" applyProtection="0"/>
    <xf numFmtId="4" fontId="35" fillId="0" borderId="192">
      <alignment horizontal="right" vertical="center"/>
    </xf>
    <xf numFmtId="0" fontId="51" fillId="0" borderId="185" applyNumberFormat="0" applyFill="0" applyAlignment="0" applyProtection="0"/>
    <xf numFmtId="0" fontId="35" fillId="32" borderId="201">
      <alignment horizontal="left" vertical="center"/>
    </xf>
    <xf numFmtId="0" fontId="35" fillId="0" borderId="187">
      <alignment horizontal="right" vertical="center"/>
    </xf>
    <xf numFmtId="0" fontId="5" fillId="59" borderId="186" applyNumberFormat="0" applyFont="0" applyAlignment="0" applyProtection="0"/>
    <xf numFmtId="0" fontId="12" fillId="16" borderId="0" applyNumberFormat="0" applyBorder="0" applyAlignment="0" applyProtection="0"/>
    <xf numFmtId="0" fontId="44" fillId="56" borderId="196" applyNumberFormat="0" applyAlignment="0" applyProtection="0"/>
    <xf numFmtId="0" fontId="12" fillId="31" borderId="0" applyNumberFormat="0" applyBorder="0" applyAlignment="0" applyProtection="0"/>
    <xf numFmtId="0" fontId="59" fillId="43" borderId="205" applyNumberFormat="0" applyAlignment="0" applyProtection="0"/>
    <xf numFmtId="0" fontId="59" fillId="43" borderId="184" applyNumberFormat="0" applyAlignment="0" applyProtection="0"/>
    <xf numFmtId="0" fontId="46" fillId="56" borderId="205" applyNumberFormat="0" applyAlignment="0" applyProtection="0"/>
    <xf numFmtId="49" fontId="35" fillId="0" borderId="188" applyNumberFormat="0" applyFont="0" applyFill="0" applyBorder="0" applyProtection="0">
      <alignment horizontal="left" vertical="center" indent="5"/>
    </xf>
    <xf numFmtId="4" fontId="33" fillId="34" borderId="194">
      <alignment horizontal="right" vertical="center"/>
    </xf>
    <xf numFmtId="0" fontId="35" fillId="0" borderId="187" applyNumberFormat="0" applyFill="0" applyAlignment="0" applyProtection="0"/>
    <xf numFmtId="0" fontId="51" fillId="0" borderId="185" applyNumberFormat="0" applyFill="0" applyAlignment="0" applyProtection="0"/>
    <xf numFmtId="0" fontId="63" fillId="56" borderId="183" applyNumberFormat="0" applyAlignment="0" applyProtection="0"/>
    <xf numFmtId="4" fontId="33" fillId="34" borderId="187">
      <alignment horizontal="right" vertical="center"/>
    </xf>
    <xf numFmtId="4" fontId="35" fillId="33" borderId="187"/>
    <xf numFmtId="0" fontId="66" fillId="0" borderId="185" applyNumberFormat="0" applyFill="0" applyAlignment="0" applyProtection="0"/>
    <xf numFmtId="0" fontId="33" fillId="34" borderId="194">
      <alignment horizontal="right" vertical="center"/>
    </xf>
    <xf numFmtId="0" fontId="44" fillId="56" borderId="183" applyNumberFormat="0" applyAlignment="0" applyProtection="0"/>
    <xf numFmtId="0" fontId="46" fillId="56" borderId="184" applyNumberFormat="0" applyAlignment="0" applyProtection="0"/>
    <xf numFmtId="0" fontId="47" fillId="56" borderId="184" applyNumberFormat="0" applyAlignment="0" applyProtection="0"/>
    <xf numFmtId="0" fontId="63" fillId="56" borderId="183" applyNumberFormat="0" applyAlignment="0" applyProtection="0"/>
    <xf numFmtId="0" fontId="33" fillId="34" borderId="189">
      <alignment horizontal="right" vertical="center"/>
    </xf>
    <xf numFmtId="0" fontId="35" fillId="0" borderId="187" applyNumberFormat="0" applyFill="0" applyAlignment="0" applyProtection="0"/>
    <xf numFmtId="49" fontId="35" fillId="0" borderId="188" applyNumberFormat="0" applyFont="0" applyFill="0" applyBorder="0" applyProtection="0">
      <alignment horizontal="left" vertical="center" indent="5"/>
    </xf>
    <xf numFmtId="0" fontId="66" fillId="0" borderId="185" applyNumberFormat="0" applyFill="0" applyAlignment="0" applyProtection="0"/>
    <xf numFmtId="0" fontId="35" fillId="0" borderId="187" applyNumberFormat="0" applyFill="0" applyAlignment="0" applyProtection="0"/>
    <xf numFmtId="0" fontId="37" fillId="32" borderId="192">
      <alignment horizontal="right" vertical="center"/>
    </xf>
    <xf numFmtId="4" fontId="33" fillId="34" borderId="194">
      <alignment horizontal="right" vertical="center"/>
    </xf>
    <xf numFmtId="4" fontId="35" fillId="0" borderId="200">
      <alignment horizontal="right" vertical="center"/>
    </xf>
    <xf numFmtId="0" fontId="37" fillId="32" borderId="192">
      <alignment horizontal="right" vertical="center"/>
    </xf>
    <xf numFmtId="0" fontId="27" fillId="21" borderId="0" applyNumberFormat="0" applyBorder="0" applyAlignment="0" applyProtection="0"/>
    <xf numFmtId="4" fontId="33" fillId="34" borderId="200">
      <alignment horizontal="right" vertical="center"/>
    </xf>
    <xf numFmtId="0" fontId="1" fillId="0" borderId="0" applyNumberFormat="0" applyFill="0" applyBorder="0" applyAlignment="0" applyProtection="0"/>
    <xf numFmtId="0" fontId="41" fillId="59" borderId="186" applyNumberFormat="0" applyFont="0" applyAlignment="0" applyProtection="0"/>
    <xf numFmtId="0" fontId="30" fillId="13" borderId="13" applyNumberFormat="0" applyAlignment="0" applyProtection="0"/>
    <xf numFmtId="0" fontId="29" fillId="13" borderId="14" applyNumberFormat="0" applyAlignment="0" applyProtection="0"/>
    <xf numFmtId="0" fontId="59" fillId="43" borderId="197" applyNumberFormat="0" applyAlignment="0" applyProtection="0"/>
    <xf numFmtId="4" fontId="37" fillId="32" borderId="211">
      <alignment horizontal="right" vertical="center"/>
    </xf>
    <xf numFmtId="0" fontId="5" fillId="59" borderId="210" applyNumberFormat="0" applyFont="0" applyAlignment="0" applyProtection="0"/>
    <xf numFmtId="0" fontId="35" fillId="0" borderId="203">
      <alignment horizontal="left" vertical="center" wrapText="1" indent="2"/>
    </xf>
    <xf numFmtId="4" fontId="33" fillId="34" borderId="202">
      <alignment horizontal="right" vertical="center"/>
    </xf>
    <xf numFmtId="0" fontId="5" fillId="59" borderId="191" applyNumberFormat="0" applyFont="0" applyAlignment="0" applyProtection="0"/>
    <xf numFmtId="0" fontId="35" fillId="0" borderId="190">
      <alignment horizontal="left" vertical="center" wrapText="1" indent="2"/>
    </xf>
    <xf numFmtId="0" fontId="35" fillId="33" borderId="200"/>
    <xf numFmtId="4" fontId="33" fillId="32" borderId="187">
      <alignment horizontal="right" vertical="center"/>
    </xf>
    <xf numFmtId="4" fontId="33" fillId="34" borderId="192">
      <alignment horizontal="right" vertical="center"/>
    </xf>
    <xf numFmtId="49" fontId="35" fillId="0" borderId="192" applyNumberFormat="0" applyFont="0" applyFill="0" applyBorder="0" applyProtection="0">
      <alignment horizontal="left" vertical="center" indent="2"/>
    </xf>
    <xf numFmtId="0" fontId="63" fillId="56" borderId="183" applyNumberFormat="0" applyAlignment="0" applyProtection="0"/>
    <xf numFmtId="49" fontId="35" fillId="0" borderId="188" applyNumberFormat="0" applyFont="0" applyFill="0" applyBorder="0" applyProtection="0">
      <alignment horizontal="left" vertical="center" indent="5"/>
    </xf>
    <xf numFmtId="4" fontId="35" fillId="0" borderId="187">
      <alignment horizontal="right" vertical="center"/>
    </xf>
    <xf numFmtId="0" fontId="33" fillId="34" borderId="192">
      <alignment horizontal="right" vertical="center"/>
    </xf>
    <xf numFmtId="0" fontId="33" fillId="34" borderId="194">
      <alignment horizontal="right" vertical="center"/>
    </xf>
    <xf numFmtId="4" fontId="33" fillId="34" borderId="200">
      <alignment horizontal="right" vertical="center"/>
    </xf>
    <xf numFmtId="0" fontId="27" fillId="29" borderId="0" applyNumberFormat="0" applyBorder="0" applyAlignment="0" applyProtection="0"/>
    <xf numFmtId="0" fontId="51" fillId="0" borderId="185" applyNumberFormat="0" applyFill="0" applyAlignment="0" applyProtection="0"/>
    <xf numFmtId="4" fontId="33" fillId="34" borderId="189">
      <alignment horizontal="right" vertical="center"/>
    </xf>
    <xf numFmtId="4" fontId="33" fillId="34" borderId="187">
      <alignment horizontal="right" vertical="center"/>
    </xf>
    <xf numFmtId="4" fontId="33" fillId="34" borderId="187">
      <alignment horizontal="right" vertical="center"/>
    </xf>
    <xf numFmtId="0" fontId="66" fillId="0" borderId="185" applyNumberFormat="0" applyFill="0" applyAlignment="0" applyProtection="0"/>
    <xf numFmtId="0" fontId="47" fillId="56" borderId="184" applyNumberFormat="0" applyAlignment="0" applyProtection="0"/>
    <xf numFmtId="0" fontId="50" fillId="43" borderId="184" applyNumberFormat="0" applyAlignment="0" applyProtection="0"/>
    <xf numFmtId="0" fontId="1" fillId="0" borderId="0" applyNumberFormat="0" applyFill="0" applyBorder="0" applyAlignment="0" applyProtection="0"/>
    <xf numFmtId="0" fontId="30" fillId="13" borderId="13" applyNumberFormat="0" applyAlignment="0" applyProtection="0"/>
    <xf numFmtId="49" fontId="34" fillId="0" borderId="187" applyNumberFormat="0" applyFill="0" applyBorder="0" applyProtection="0">
      <alignment horizontal="left" vertical="center"/>
    </xf>
    <xf numFmtId="0" fontId="5" fillId="59" borderId="186" applyNumberFormat="0" applyFont="0" applyAlignment="0" applyProtection="0"/>
    <xf numFmtId="0" fontId="47" fillId="56" borderId="205" applyNumberFormat="0" applyAlignment="0" applyProtection="0"/>
    <xf numFmtId="4" fontId="33" fillId="34" borderId="187">
      <alignment horizontal="right" vertical="center"/>
    </xf>
    <xf numFmtId="0" fontId="27" fillId="23" borderId="0" applyNumberFormat="0" applyBorder="0" applyAlignment="0" applyProtection="0"/>
    <xf numFmtId="4" fontId="37" fillId="32" borderId="192">
      <alignment horizontal="right" vertical="center"/>
    </xf>
    <xf numFmtId="0" fontId="44" fillId="56" borderId="196" applyNumberFormat="0" applyAlignment="0" applyProtection="0"/>
    <xf numFmtId="0" fontId="33" fillId="34" borderId="192">
      <alignment horizontal="right" vertical="center"/>
    </xf>
    <xf numFmtId="173" fontId="35" fillId="60" borderId="192" applyNumberFormat="0" applyFont="0" applyBorder="0" applyAlignment="0" applyProtection="0">
      <alignment horizontal="right" vertical="center"/>
    </xf>
    <xf numFmtId="49" fontId="35" fillId="0" borderId="187" applyNumberFormat="0" applyFont="0" applyFill="0" applyBorder="0" applyProtection="0">
      <alignment horizontal="left" vertical="center" indent="2"/>
    </xf>
    <xf numFmtId="0" fontId="66" fillId="0" borderId="185" applyNumberFormat="0" applyFill="0" applyAlignment="0" applyProtection="0"/>
    <xf numFmtId="4" fontId="35" fillId="0" borderId="187" applyFill="0" applyBorder="0" applyProtection="0">
      <alignment horizontal="right" vertical="center"/>
    </xf>
    <xf numFmtId="0" fontId="59" fillId="43" borderId="184" applyNumberFormat="0" applyAlignment="0" applyProtection="0"/>
    <xf numFmtId="49" fontId="34" fillId="0" borderId="187" applyNumberFormat="0" applyFill="0" applyBorder="0" applyProtection="0">
      <alignment horizontal="left" vertical="center"/>
    </xf>
    <xf numFmtId="49" fontId="35" fillId="0" borderId="187" applyNumberFormat="0" applyFont="0" applyFill="0" applyBorder="0" applyProtection="0">
      <alignment horizontal="left" vertical="center" indent="2"/>
    </xf>
    <xf numFmtId="4" fontId="35" fillId="0" borderId="187" applyFill="0" applyBorder="0" applyProtection="0">
      <alignment horizontal="right" vertical="center"/>
    </xf>
    <xf numFmtId="0" fontId="63" fillId="56" borderId="196" applyNumberFormat="0" applyAlignment="0" applyProtection="0"/>
    <xf numFmtId="173" fontId="35" fillId="60" borderId="187" applyNumberFormat="0" applyFont="0" applyBorder="0" applyAlignment="0" applyProtection="0">
      <alignment horizontal="right" vertical="center"/>
    </xf>
    <xf numFmtId="4" fontId="33" fillId="34" borderId="193">
      <alignment horizontal="right" vertical="center"/>
    </xf>
    <xf numFmtId="0" fontId="41" fillId="59" borderId="199" applyNumberFormat="0" applyFont="0" applyAlignment="0" applyProtection="0"/>
    <xf numFmtId="0" fontId="51" fillId="0" borderId="206" applyNumberFormat="0" applyFill="0" applyAlignment="0" applyProtection="0"/>
    <xf numFmtId="0" fontId="37" fillId="32" borderId="187">
      <alignment horizontal="right" vertical="center"/>
    </xf>
    <xf numFmtId="0" fontId="35" fillId="0" borderId="200" applyNumberFormat="0" applyFill="0" applyAlignment="0" applyProtection="0"/>
    <xf numFmtId="49" fontId="35" fillId="0" borderId="192" applyNumberFormat="0" applyFont="0" applyFill="0" applyBorder="0" applyProtection="0">
      <alignment horizontal="left" vertical="center" indent="2"/>
    </xf>
    <xf numFmtId="0" fontId="12" fillId="31" borderId="0" applyNumberFormat="0" applyBorder="0" applyAlignment="0" applyProtection="0"/>
    <xf numFmtId="0" fontId="47" fillId="56" borderId="197" applyNumberFormat="0" applyAlignment="0" applyProtection="0"/>
    <xf numFmtId="0" fontId="50" fillId="43" borderId="184" applyNumberFormat="0" applyAlignment="0" applyProtection="0"/>
    <xf numFmtId="4" fontId="33" fillId="34" borderId="187">
      <alignment horizontal="right" vertical="center"/>
    </xf>
    <xf numFmtId="0" fontId="35" fillId="32" borderId="188">
      <alignment horizontal="left" vertical="center"/>
    </xf>
    <xf numFmtId="0" fontId="35" fillId="34" borderId="203">
      <alignment horizontal="left" vertical="center" wrapText="1" indent="2"/>
    </xf>
    <xf numFmtId="4" fontId="35" fillId="33" borderId="192"/>
    <xf numFmtId="0" fontId="27" fillId="14" borderId="0" applyNumberFormat="0" applyBorder="0" applyAlignment="0" applyProtection="0"/>
    <xf numFmtId="0" fontId="35" fillId="0" borderId="192">
      <alignment horizontal="right" vertical="center"/>
    </xf>
    <xf numFmtId="4" fontId="35" fillId="33" borderId="192"/>
    <xf numFmtId="0" fontId="35" fillId="0" borderId="211" applyNumberFormat="0" applyFill="0" applyAlignment="0" applyProtection="0"/>
    <xf numFmtId="4" fontId="33" fillId="34" borderId="192">
      <alignment horizontal="right" vertical="center"/>
    </xf>
    <xf numFmtId="0" fontId="66" fillId="0" borderId="198" applyNumberFormat="0" applyFill="0" applyAlignment="0" applyProtection="0"/>
    <xf numFmtId="0" fontId="59" fillId="43" borderId="205" applyNumberFormat="0" applyAlignment="0" applyProtection="0"/>
    <xf numFmtId="0" fontId="12" fillId="28" borderId="0" applyNumberFormat="0" applyBorder="0" applyAlignment="0" applyProtection="0"/>
    <xf numFmtId="0" fontId="5" fillId="59" borderId="191" applyNumberFormat="0" applyFont="0" applyAlignment="0" applyProtection="0"/>
    <xf numFmtId="0" fontId="33" fillId="34" borderId="187">
      <alignment horizontal="right" vertical="center"/>
    </xf>
    <xf numFmtId="0" fontId="35" fillId="34" borderId="190">
      <alignment horizontal="left" vertical="center" wrapText="1" indent="2"/>
    </xf>
    <xf numFmtId="173" fontId="35" fillId="60" borderId="187" applyNumberFormat="0" applyFont="0" applyBorder="0" applyAlignment="0" applyProtection="0">
      <alignment horizontal="right" vertical="center"/>
    </xf>
    <xf numFmtId="0" fontId="41" fillId="59" borderId="186" applyNumberFormat="0" applyFont="0" applyAlignment="0" applyProtection="0"/>
    <xf numFmtId="49" fontId="35" fillId="0" borderId="187" applyNumberFormat="0" applyFont="0" applyFill="0" applyBorder="0" applyProtection="0">
      <alignment horizontal="left" vertical="center" indent="2"/>
    </xf>
    <xf numFmtId="0" fontId="51" fillId="0" borderId="198" applyNumberFormat="0" applyFill="0" applyAlignment="0" applyProtection="0"/>
    <xf numFmtId="0" fontId="1" fillId="0" borderId="0" applyNumberFormat="0" applyFill="0" applyBorder="0" applyAlignment="0" applyProtection="0"/>
    <xf numFmtId="0" fontId="27" fillId="17" borderId="0" applyNumberFormat="0" applyBorder="0" applyAlignment="0" applyProtection="0"/>
    <xf numFmtId="0" fontId="33" fillId="32" borderId="200">
      <alignment horizontal="right" vertical="center"/>
    </xf>
    <xf numFmtId="49" fontId="34" fillId="0" borderId="187" applyNumberFormat="0" applyFill="0" applyBorder="0" applyProtection="0">
      <alignment horizontal="left" vertical="center"/>
    </xf>
    <xf numFmtId="0" fontId="33" fillId="34" borderId="200">
      <alignment horizontal="right" vertical="center"/>
    </xf>
    <xf numFmtId="173" fontId="35" fillId="60" borderId="187" applyNumberFormat="0" applyFont="0" applyBorder="0" applyAlignment="0" applyProtection="0">
      <alignment horizontal="right" vertical="center"/>
    </xf>
    <xf numFmtId="0" fontId="63" fillId="56" borderId="183" applyNumberFormat="0" applyAlignment="0" applyProtection="0"/>
    <xf numFmtId="0" fontId="35" fillId="0" borderId="187">
      <alignment horizontal="right" vertical="center"/>
    </xf>
    <xf numFmtId="0" fontId="35" fillId="33" borderId="187"/>
    <xf numFmtId="4" fontId="33" fillId="34" borderId="187">
      <alignment horizontal="right" vertical="center"/>
    </xf>
    <xf numFmtId="0" fontId="35" fillId="33" borderId="187"/>
    <xf numFmtId="0" fontId="59" fillId="43" borderId="184" applyNumberFormat="0" applyAlignment="0" applyProtection="0"/>
    <xf numFmtId="0" fontId="51" fillId="0" borderId="198" applyNumberFormat="0" applyFill="0" applyAlignment="0" applyProtection="0"/>
    <xf numFmtId="0" fontId="37" fillId="32" borderId="187">
      <alignment horizontal="right" vertical="center"/>
    </xf>
    <xf numFmtId="0" fontId="35" fillId="0" borderId="190">
      <alignment horizontal="left" vertical="center" wrapText="1" indent="2"/>
    </xf>
    <xf numFmtId="0" fontId="33" fillId="32" borderId="187">
      <alignment horizontal="right" vertical="center"/>
    </xf>
    <xf numFmtId="0" fontId="50" fillId="43" borderId="184" applyNumberFormat="0" applyAlignment="0" applyProtection="0"/>
    <xf numFmtId="0" fontId="35" fillId="34" borderId="190">
      <alignment horizontal="left" vertical="center" wrapText="1" indent="2"/>
    </xf>
    <xf numFmtId="0" fontId="35" fillId="0" borderId="211">
      <alignment horizontal="right" vertical="center"/>
    </xf>
    <xf numFmtId="173" fontId="35" fillId="60" borderId="200" applyNumberFormat="0" applyFont="0" applyBorder="0" applyAlignment="0" applyProtection="0">
      <alignment horizontal="right" vertical="center"/>
    </xf>
    <xf numFmtId="0" fontId="50" fillId="43" borderId="197" applyNumberFormat="0" applyAlignment="0" applyProtection="0"/>
    <xf numFmtId="0" fontId="50" fillId="43" borderId="197" applyNumberFormat="0" applyAlignment="0" applyProtection="0"/>
    <xf numFmtId="0" fontId="27" fillId="23" borderId="0" applyNumberFormat="0" applyBorder="0" applyAlignment="0" applyProtection="0"/>
    <xf numFmtId="0" fontId="27" fillId="24" borderId="0" applyNumberFormat="0" applyBorder="0" applyAlignment="0" applyProtection="0"/>
    <xf numFmtId="0" fontId="29" fillId="13" borderId="14" applyNumberFormat="0" applyAlignment="0" applyProtection="0"/>
    <xf numFmtId="0" fontId="5" fillId="59" borderId="210" applyNumberFormat="0" applyFont="0" applyAlignment="0" applyProtection="0"/>
    <xf numFmtId="0" fontId="12" fillId="19" borderId="0" applyNumberFormat="0" applyBorder="0" applyAlignment="0" applyProtection="0"/>
    <xf numFmtId="0" fontId="35" fillId="33" borderId="192"/>
    <xf numFmtId="0" fontId="46" fillId="56" borderId="184" applyNumberFormat="0" applyAlignment="0" applyProtection="0"/>
    <xf numFmtId="0" fontId="37" fillId="32" borderId="187">
      <alignment horizontal="right" vertical="center"/>
    </xf>
    <xf numFmtId="0" fontId="35" fillId="33" borderId="192"/>
    <xf numFmtId="0" fontId="1" fillId="0" borderId="0" applyNumberFormat="0" applyFill="0" applyBorder="0" applyAlignment="0" applyProtection="0"/>
    <xf numFmtId="0" fontId="33" fillId="34" borderId="202">
      <alignment horizontal="right" vertical="center"/>
    </xf>
    <xf numFmtId="0" fontId="29" fillId="13" borderId="14" applyNumberFormat="0" applyAlignment="0" applyProtection="0"/>
    <xf numFmtId="0" fontId="27" fillId="20" borderId="0" applyNumberFormat="0" applyBorder="0" applyAlignment="0" applyProtection="0"/>
    <xf numFmtId="0" fontId="47" fillId="56" borderId="197" applyNumberFormat="0" applyAlignment="0" applyProtection="0"/>
    <xf numFmtId="0" fontId="59" fillId="43" borderId="197" applyNumberFormat="0" applyAlignment="0" applyProtection="0"/>
    <xf numFmtId="0" fontId="31" fillId="0" borderId="0" applyNumberFormat="0" applyFill="0" applyBorder="0" applyAlignment="0" applyProtection="0"/>
    <xf numFmtId="0" fontId="44" fillId="56" borderId="196" applyNumberFormat="0" applyAlignment="0" applyProtection="0"/>
    <xf numFmtId="49" fontId="35" fillId="0" borderId="193" applyNumberFormat="0" applyFont="0" applyFill="0" applyBorder="0" applyProtection="0">
      <alignment horizontal="left" vertical="center" indent="5"/>
    </xf>
    <xf numFmtId="0" fontId="33" fillId="34" borderId="187">
      <alignment horizontal="right" vertical="center"/>
    </xf>
    <xf numFmtId="4" fontId="35" fillId="0" borderId="187" applyFill="0" applyBorder="0" applyProtection="0">
      <alignment horizontal="right" vertical="center"/>
    </xf>
    <xf numFmtId="0" fontId="35" fillId="34" borderId="190">
      <alignment horizontal="left" vertical="center" wrapText="1" indent="2"/>
    </xf>
    <xf numFmtId="0" fontId="41" fillId="59" borderId="186" applyNumberFormat="0" applyFont="0" applyAlignment="0" applyProtection="0"/>
    <xf numFmtId="0" fontId="50" fillId="43" borderId="184" applyNumberFormat="0" applyAlignment="0" applyProtection="0"/>
    <xf numFmtId="4" fontId="35" fillId="33" borderId="187"/>
    <xf numFmtId="4" fontId="35" fillId="0" borderId="187" applyFill="0" applyBorder="0" applyProtection="0">
      <alignment horizontal="right" vertical="center"/>
    </xf>
    <xf numFmtId="0" fontId="66" fillId="0" borderId="185" applyNumberFormat="0" applyFill="0" applyAlignment="0" applyProtection="0"/>
    <xf numFmtId="0" fontId="35" fillId="32" borderId="188">
      <alignment horizontal="left" vertical="center"/>
    </xf>
    <xf numFmtId="0" fontId="35" fillId="0" borderId="190">
      <alignment horizontal="left" vertical="center" wrapText="1" indent="2"/>
    </xf>
    <xf numFmtId="0" fontId="46" fillId="56" borderId="197" applyNumberFormat="0" applyAlignment="0" applyProtection="0"/>
    <xf numFmtId="0" fontId="59" fillId="43" borderId="184" applyNumberFormat="0" applyAlignment="0" applyProtection="0"/>
    <xf numFmtId="0" fontId="35" fillId="34" borderId="190">
      <alignment horizontal="left" vertical="center" wrapText="1" indent="2"/>
    </xf>
    <xf numFmtId="0" fontId="35" fillId="0" borderId="192" applyNumberFormat="0" applyFill="0" applyAlignment="0" applyProtection="0"/>
    <xf numFmtId="0" fontId="27" fillId="15" borderId="0" applyNumberFormat="0" applyBorder="0" applyAlignment="0" applyProtection="0"/>
    <xf numFmtId="49" fontId="34" fillId="0" borderId="192" applyNumberFormat="0" applyFill="0" applyBorder="0" applyProtection="0">
      <alignment horizontal="left" vertical="center"/>
    </xf>
    <xf numFmtId="0" fontId="35" fillId="0" borderId="211">
      <alignment horizontal="right" vertical="center"/>
    </xf>
    <xf numFmtId="0" fontId="41" fillId="59" borderId="186" applyNumberFormat="0" applyFont="0" applyAlignment="0" applyProtection="0"/>
    <xf numFmtId="0" fontId="59" fillId="43" borderId="184" applyNumberFormat="0" applyAlignment="0" applyProtection="0"/>
    <xf numFmtId="0" fontId="59" fillId="43" borderId="197" applyNumberFormat="0" applyAlignment="0" applyProtection="0"/>
    <xf numFmtId="4" fontId="35" fillId="33" borderId="187"/>
    <xf numFmtId="0" fontId="47" fillId="56" borderId="184" applyNumberFormat="0" applyAlignment="0" applyProtection="0"/>
    <xf numFmtId="0" fontId="59" fillId="43" borderId="184" applyNumberFormat="0" applyAlignment="0" applyProtection="0"/>
    <xf numFmtId="4" fontId="33" fillId="34" borderId="187">
      <alignment horizontal="right" vertical="center"/>
    </xf>
    <xf numFmtId="0" fontId="51" fillId="0" borderId="185" applyNumberFormat="0" applyFill="0" applyAlignment="0" applyProtection="0"/>
    <xf numFmtId="0" fontId="44" fillId="56" borderId="204" applyNumberFormat="0" applyAlignment="0" applyProtection="0"/>
    <xf numFmtId="0" fontId="12" fillId="16" borderId="0" applyNumberFormat="0" applyBorder="0" applyAlignment="0" applyProtection="0"/>
    <xf numFmtId="0" fontId="47" fillId="56" borderId="205" applyNumberFormat="0" applyAlignment="0" applyProtection="0"/>
    <xf numFmtId="0" fontId="59" fillId="43" borderId="205" applyNumberFormat="0" applyAlignment="0" applyProtection="0"/>
    <xf numFmtId="0" fontId="35" fillId="32" borderId="193">
      <alignment horizontal="left" vertical="center"/>
    </xf>
    <xf numFmtId="4" fontId="33" fillId="34" borderId="192">
      <alignment horizontal="right" vertical="center"/>
    </xf>
    <xf numFmtId="0" fontId="47" fillId="56" borderId="184" applyNumberFormat="0" applyAlignment="0" applyProtection="0"/>
    <xf numFmtId="0" fontId="47" fillId="56" borderId="197" applyNumberFormat="0" applyAlignment="0" applyProtection="0"/>
    <xf numFmtId="0" fontId="50" fillId="43" borderId="184" applyNumberFormat="0" applyAlignment="0" applyProtection="0"/>
    <xf numFmtId="0" fontId="51" fillId="0" borderId="198" applyNumberFormat="0" applyFill="0" applyAlignment="0" applyProtection="0"/>
    <xf numFmtId="0" fontId="47" fillId="56" borderId="205" applyNumberFormat="0" applyAlignment="0" applyProtection="0"/>
    <xf numFmtId="0" fontId="5" fillId="59" borderId="210" applyNumberFormat="0" applyFont="0" applyAlignment="0" applyProtection="0"/>
    <xf numFmtId="0" fontId="12" fillId="25" borderId="0" applyNumberFormat="0" applyBorder="0" applyAlignment="0" applyProtection="0"/>
    <xf numFmtId="0" fontId="41" fillId="59" borderId="199" applyNumberFormat="0" applyFont="0" applyAlignment="0" applyProtection="0"/>
    <xf numFmtId="0" fontId="35" fillId="34" borderId="190">
      <alignment horizontal="left" vertical="center" wrapText="1" indent="2"/>
    </xf>
    <xf numFmtId="0" fontId="37" fillId="32" borderId="192">
      <alignment horizontal="right" vertical="center"/>
    </xf>
    <xf numFmtId="0" fontId="63" fillId="56" borderId="183" applyNumberFormat="0" applyAlignment="0" applyProtection="0"/>
    <xf numFmtId="0" fontId="59" fillId="43" borderId="184" applyNumberFormat="0" applyAlignment="0" applyProtection="0"/>
    <xf numFmtId="4" fontId="33" fillId="34" borderId="187">
      <alignment horizontal="right" vertical="center"/>
    </xf>
    <xf numFmtId="0" fontId="35" fillId="33" borderId="187"/>
    <xf numFmtId="0" fontId="63" fillId="56" borderId="204" applyNumberFormat="0" applyAlignment="0" applyProtection="0"/>
    <xf numFmtId="0" fontId="35" fillId="0" borderId="190">
      <alignment horizontal="left" vertical="center" wrapText="1" indent="2"/>
    </xf>
    <xf numFmtId="49" fontId="35" fillId="0" borderId="192" applyNumberFormat="0" applyFont="0" applyFill="0" applyBorder="0" applyProtection="0">
      <alignment horizontal="left" vertical="center" indent="2"/>
    </xf>
    <xf numFmtId="4" fontId="33" fillId="34" borderId="202">
      <alignment horizontal="right" vertical="center"/>
    </xf>
    <xf numFmtId="0" fontId="12" fillId="25" borderId="0" applyNumberFormat="0" applyBorder="0" applyAlignment="0" applyProtection="0"/>
    <xf numFmtId="0" fontId="5" fillId="59" borderId="191" applyNumberFormat="0" applyFont="0" applyAlignment="0" applyProtection="0"/>
    <xf numFmtId="0" fontId="35" fillId="0" borderId="203">
      <alignment horizontal="left" vertical="center" wrapText="1" indent="2"/>
    </xf>
    <xf numFmtId="0" fontId="46" fillId="56" borderId="184" applyNumberFormat="0" applyAlignment="0" applyProtection="0"/>
    <xf numFmtId="4" fontId="37" fillId="32" borderId="192">
      <alignment horizontal="right" vertical="center"/>
    </xf>
    <xf numFmtId="4" fontId="33" fillId="32" borderId="187">
      <alignment horizontal="right" vertical="center"/>
    </xf>
    <xf numFmtId="4" fontId="33" fillId="34" borderId="201">
      <alignment horizontal="right" vertical="center"/>
    </xf>
    <xf numFmtId="0" fontId="33" fillId="32" borderId="187">
      <alignment horizontal="right" vertical="center"/>
    </xf>
    <xf numFmtId="0" fontId="33" fillId="34" borderId="187">
      <alignment horizontal="right" vertical="center"/>
    </xf>
    <xf numFmtId="0" fontId="59" fillId="43" borderId="197" applyNumberFormat="0" applyAlignment="0" applyProtection="0"/>
    <xf numFmtId="0" fontId="33" fillId="34" borderId="192">
      <alignment horizontal="right" vertical="center"/>
    </xf>
    <xf numFmtId="0" fontId="27" fillId="30" borderId="0" applyNumberFormat="0" applyBorder="0" applyAlignment="0" applyProtection="0"/>
    <xf numFmtId="0" fontId="37" fillId="32" borderId="192">
      <alignment horizontal="right" vertical="center"/>
    </xf>
    <xf numFmtId="0" fontId="63" fillId="56" borderId="183" applyNumberFormat="0" applyAlignment="0" applyProtection="0"/>
    <xf numFmtId="0" fontId="35" fillId="0" borderId="203">
      <alignment horizontal="left" vertical="center" wrapText="1" indent="2"/>
    </xf>
    <xf numFmtId="49" fontId="35" fillId="0" borderId="187" applyNumberFormat="0" applyFont="0" applyFill="0" applyBorder="0" applyProtection="0">
      <alignment horizontal="left" vertical="center" indent="2"/>
    </xf>
    <xf numFmtId="0" fontId="33" fillId="34" borderId="213">
      <alignment horizontal="right" vertical="center"/>
    </xf>
    <xf numFmtId="0" fontId="41" fillId="59" borderId="186" applyNumberFormat="0" applyFont="0" applyAlignment="0" applyProtection="0"/>
    <xf numFmtId="173" fontId="35" fillId="60" borderId="187" applyNumberFormat="0" applyFont="0" applyBorder="0" applyAlignment="0" applyProtection="0">
      <alignment horizontal="right" vertical="center"/>
    </xf>
    <xf numFmtId="0" fontId="59" fillId="43" borderId="184" applyNumberFormat="0" applyAlignment="0" applyProtection="0"/>
    <xf numFmtId="0" fontId="33" fillId="34" borderId="187">
      <alignment horizontal="right" vertical="center"/>
    </xf>
    <xf numFmtId="0" fontId="35" fillId="33" borderId="187"/>
    <xf numFmtId="0" fontId="63" fillId="56" borderId="183" applyNumberFormat="0" applyAlignment="0" applyProtection="0"/>
    <xf numFmtId="0" fontId="47" fillId="56" borderId="184" applyNumberFormat="0" applyAlignment="0" applyProtection="0"/>
    <xf numFmtId="0" fontId="46" fillId="56" borderId="184" applyNumberFormat="0" applyAlignment="0" applyProtection="0"/>
    <xf numFmtId="0" fontId="50" fillId="43" borderId="184" applyNumberFormat="0" applyAlignment="0" applyProtection="0"/>
    <xf numFmtId="0" fontId="50" fillId="43" borderId="184" applyNumberFormat="0" applyAlignment="0" applyProtection="0"/>
    <xf numFmtId="0" fontId="35" fillId="0" borderId="190">
      <alignment horizontal="left" vertical="center" wrapText="1" indent="2"/>
    </xf>
    <xf numFmtId="4" fontId="33" fillId="34" borderId="188">
      <alignment horizontal="right" vertical="center"/>
    </xf>
    <xf numFmtId="4" fontId="35" fillId="0" borderId="187">
      <alignment horizontal="right" vertical="center"/>
    </xf>
    <xf numFmtId="49" fontId="34" fillId="0" borderId="187" applyNumberFormat="0" applyFill="0" applyBorder="0" applyProtection="0">
      <alignment horizontal="left" vertical="center"/>
    </xf>
    <xf numFmtId="4" fontId="35" fillId="0" borderId="187">
      <alignment horizontal="right" vertical="center"/>
    </xf>
    <xf numFmtId="0" fontId="63" fillId="56" borderId="183" applyNumberFormat="0" applyAlignment="0" applyProtection="0"/>
    <xf numFmtId="0" fontId="33" fillId="34" borderId="192">
      <alignment horizontal="right" vertical="center"/>
    </xf>
    <xf numFmtId="0" fontId="12" fillId="25" borderId="0" applyNumberFormat="0" applyBorder="0" applyAlignment="0" applyProtection="0"/>
    <xf numFmtId="49" fontId="34" fillId="0" borderId="200" applyNumberFormat="0" applyFill="0" applyBorder="0" applyProtection="0">
      <alignment horizontal="left" vertical="center"/>
    </xf>
    <xf numFmtId="0" fontId="59" fillId="43" borderId="197" applyNumberFormat="0" applyAlignment="0" applyProtection="0"/>
    <xf numFmtId="4" fontId="33" fillId="34" borderId="194">
      <alignment horizontal="right" vertical="center"/>
    </xf>
    <xf numFmtId="49" fontId="34" fillId="0" borderId="200" applyNumberFormat="0" applyFill="0" applyBorder="0" applyProtection="0">
      <alignment horizontal="left" vertical="center"/>
    </xf>
    <xf numFmtId="0" fontId="35" fillId="0" borderId="190">
      <alignment horizontal="left" vertical="center" wrapText="1" indent="2"/>
    </xf>
    <xf numFmtId="0" fontId="12" fillId="22" borderId="0" applyNumberFormat="0" applyBorder="0" applyAlignment="0" applyProtection="0"/>
    <xf numFmtId="49" fontId="34" fillId="0" borderId="200" applyNumberFormat="0" applyFill="0" applyBorder="0" applyProtection="0">
      <alignment horizontal="left" vertical="center"/>
    </xf>
    <xf numFmtId="0" fontId="27" fillId="15" borderId="0" applyNumberFormat="0" applyBorder="0" applyAlignment="0" applyProtection="0"/>
    <xf numFmtId="0" fontId="27" fillId="23" borderId="0" applyNumberFormat="0" applyBorder="0" applyAlignment="0" applyProtection="0"/>
    <xf numFmtId="0" fontId="33" fillId="32" borderId="192">
      <alignment horizontal="right" vertical="center"/>
    </xf>
    <xf numFmtId="0" fontId="33" fillId="34" borderId="200">
      <alignment horizontal="right" vertical="center"/>
    </xf>
    <xf numFmtId="4" fontId="33" fillId="34" borderId="192">
      <alignment horizontal="right" vertical="center"/>
    </xf>
    <xf numFmtId="0" fontId="50" fillId="43" borderId="205" applyNumberFormat="0" applyAlignment="0" applyProtection="0"/>
    <xf numFmtId="0" fontId="41" fillId="59" borderId="210" applyNumberFormat="0" applyFont="0" applyAlignment="0" applyProtection="0"/>
    <xf numFmtId="0" fontId="33" fillId="34" borderId="193">
      <alignment horizontal="right" vertical="center"/>
    </xf>
    <xf numFmtId="0" fontId="41" fillId="59" borderId="186" applyNumberFormat="0" applyFont="0" applyAlignment="0" applyProtection="0"/>
    <xf numFmtId="0" fontId="51" fillId="0" borderId="206" applyNumberFormat="0" applyFill="0" applyAlignment="0" applyProtection="0"/>
    <xf numFmtId="0" fontId="33" fillId="32" borderId="187">
      <alignment horizontal="right" vertical="center"/>
    </xf>
    <xf numFmtId="0" fontId="12" fillId="19" borderId="0" applyNumberFormat="0" applyBorder="0" applyAlignment="0" applyProtection="0"/>
    <xf numFmtId="0" fontId="41" fillId="59" borderId="191" applyNumberFormat="0" applyFont="0" applyAlignment="0" applyProtection="0"/>
    <xf numFmtId="0" fontId="35" fillId="0" borderId="187" applyNumberFormat="0" applyFill="0" applyAlignment="0" applyProtection="0"/>
    <xf numFmtId="49" fontId="34" fillId="0" borderId="187" applyNumberFormat="0" applyFill="0" applyBorder="0" applyProtection="0">
      <alignment horizontal="left" vertical="center"/>
    </xf>
    <xf numFmtId="0" fontId="35" fillId="0" borderId="187">
      <alignment horizontal="right" vertical="center"/>
    </xf>
    <xf numFmtId="0" fontId="63" fillId="56" borderId="196" applyNumberFormat="0" applyAlignment="0" applyProtection="0"/>
    <xf numFmtId="0" fontId="35" fillId="32" borderId="193">
      <alignment horizontal="left" vertical="center"/>
    </xf>
    <xf numFmtId="4" fontId="33" fillId="34" borderId="202">
      <alignment horizontal="right" vertical="center"/>
    </xf>
    <xf numFmtId="4" fontId="37" fillId="32" borderId="200">
      <alignment horizontal="right" vertical="center"/>
    </xf>
    <xf numFmtId="4" fontId="33" fillId="32" borderId="187">
      <alignment horizontal="right" vertical="center"/>
    </xf>
    <xf numFmtId="49" fontId="34" fillId="0" borderId="192" applyNumberFormat="0" applyFill="0" applyBorder="0" applyProtection="0">
      <alignment horizontal="left" vertical="center"/>
    </xf>
    <xf numFmtId="0" fontId="47" fillId="56" borderId="184" applyNumberFormat="0" applyAlignment="0" applyProtection="0"/>
    <xf numFmtId="0" fontId="33" fillId="34" borderId="189">
      <alignment horizontal="right" vertical="center"/>
    </xf>
    <xf numFmtId="4" fontId="33" fillId="32" borderId="187">
      <alignment horizontal="right" vertical="center"/>
    </xf>
    <xf numFmtId="0" fontId="33" fillId="34" borderId="187">
      <alignment horizontal="right" vertical="center"/>
    </xf>
    <xf numFmtId="0" fontId="47" fillId="56" borderId="184" applyNumberFormat="0" applyAlignment="0" applyProtection="0"/>
    <xf numFmtId="0" fontId="33" fillId="34" borderId="193">
      <alignment horizontal="right" vertical="center"/>
    </xf>
    <xf numFmtId="0" fontId="46" fillId="56" borderId="205" applyNumberFormat="0" applyAlignment="0" applyProtection="0"/>
    <xf numFmtId="0" fontId="29" fillId="13" borderId="14" applyNumberFormat="0" applyAlignment="0" applyProtection="0"/>
    <xf numFmtId="4" fontId="35" fillId="0" borderId="187" applyFill="0" applyBorder="0" applyProtection="0">
      <alignment horizontal="right" vertical="center"/>
    </xf>
    <xf numFmtId="0" fontId="41" fillId="59" borderId="186" applyNumberFormat="0" applyFont="0" applyAlignment="0" applyProtection="0"/>
    <xf numFmtId="0" fontId="37" fillId="32" borderId="200">
      <alignment horizontal="right" vertical="center"/>
    </xf>
    <xf numFmtId="0" fontId="63" fillId="56" borderId="204" applyNumberFormat="0" applyAlignment="0" applyProtection="0"/>
    <xf numFmtId="4" fontId="35" fillId="0" borderId="192" applyFill="0" applyBorder="0" applyProtection="0">
      <alignment horizontal="right" vertical="center"/>
    </xf>
    <xf numFmtId="0" fontId="46" fillId="56" borderId="197" applyNumberFormat="0" applyAlignment="0" applyProtection="0"/>
    <xf numFmtId="0" fontId="35" fillId="33" borderId="192"/>
    <xf numFmtId="0" fontId="50" fillId="43" borderId="197" applyNumberFormat="0" applyAlignment="0" applyProtection="0"/>
    <xf numFmtId="0" fontId="33" fillId="32" borderId="187">
      <alignment horizontal="right" vertical="center"/>
    </xf>
    <xf numFmtId="0" fontId="51" fillId="0" borderId="185" applyNumberFormat="0" applyFill="0" applyAlignment="0" applyProtection="0"/>
    <xf numFmtId="0" fontId="35" fillId="0" borderId="187" applyNumberFormat="0" applyFill="0" applyAlignment="0" applyProtection="0"/>
    <xf numFmtId="0" fontId="51" fillId="0" borderId="185" applyNumberFormat="0" applyFill="0" applyAlignment="0" applyProtection="0"/>
    <xf numFmtId="4" fontId="35" fillId="0" borderId="187" applyFill="0" applyBorder="0" applyProtection="0">
      <alignment horizontal="right" vertical="center"/>
    </xf>
    <xf numFmtId="49" fontId="35" fillId="0" borderId="188" applyNumberFormat="0" applyFont="0" applyFill="0" applyBorder="0" applyProtection="0">
      <alignment horizontal="left" vertical="center" indent="5"/>
    </xf>
    <xf numFmtId="0" fontId="35" fillId="0" borderId="187" applyNumberFormat="0" applyFill="0" applyAlignment="0" applyProtection="0"/>
    <xf numFmtId="0" fontId="66" fillId="0" borderId="198" applyNumberFormat="0" applyFill="0" applyAlignment="0" applyProtection="0"/>
    <xf numFmtId="0" fontId="35" fillId="0" borderId="187" applyNumberFormat="0" applyFill="0" applyAlignment="0" applyProtection="0"/>
    <xf numFmtId="4" fontId="35" fillId="0" borderId="192">
      <alignment horizontal="right" vertical="center"/>
    </xf>
    <xf numFmtId="4" fontId="33" fillId="34" borderId="187">
      <alignment horizontal="right" vertical="center"/>
    </xf>
    <xf numFmtId="0" fontId="35" fillId="33" borderId="192"/>
    <xf numFmtId="0" fontId="66" fillId="0" borderId="198" applyNumberFormat="0" applyFill="0" applyAlignment="0" applyProtection="0"/>
    <xf numFmtId="0" fontId="12" fillId="19" borderId="0" applyNumberFormat="0" applyBorder="0" applyAlignment="0" applyProtection="0"/>
    <xf numFmtId="0" fontId="46" fillId="56" borderId="197" applyNumberFormat="0" applyAlignment="0" applyProtection="0"/>
    <xf numFmtId="0" fontId="50" fillId="43" borderId="184" applyNumberFormat="0" applyAlignment="0" applyProtection="0"/>
    <xf numFmtId="0" fontId="47" fillId="56" borderId="184" applyNumberFormat="0" applyAlignment="0" applyProtection="0"/>
    <xf numFmtId="4" fontId="35" fillId="0" borderId="187">
      <alignment horizontal="right" vertical="center"/>
    </xf>
    <xf numFmtId="0" fontId="35" fillId="34" borderId="190">
      <alignment horizontal="left" vertical="center" wrapText="1" indent="2"/>
    </xf>
    <xf numFmtId="0" fontId="35" fillId="0" borderId="190">
      <alignment horizontal="left" vertical="center" wrapText="1" indent="2"/>
    </xf>
    <xf numFmtId="0" fontId="63" fillId="56" borderId="183" applyNumberFormat="0" applyAlignment="0" applyProtection="0"/>
    <xf numFmtId="0" fontId="59" fillId="43" borderId="184" applyNumberFormat="0" applyAlignment="0" applyProtection="0"/>
    <xf numFmtId="0" fontId="46" fillId="56" borderId="184" applyNumberFormat="0" applyAlignment="0" applyProtection="0"/>
    <xf numFmtId="0" fontId="44" fillId="56" borderId="183" applyNumberFormat="0" applyAlignment="0" applyProtection="0"/>
    <xf numFmtId="0" fontId="33" fillId="34" borderId="189">
      <alignment horizontal="right" vertical="center"/>
    </xf>
    <xf numFmtId="0" fontId="37" fillId="32" borderId="187">
      <alignment horizontal="right" vertical="center"/>
    </xf>
    <xf numFmtId="4" fontId="33" fillId="32" borderId="187">
      <alignment horizontal="right" vertical="center"/>
    </xf>
    <xf numFmtId="4" fontId="33" fillId="34" borderId="187">
      <alignment horizontal="right" vertical="center"/>
    </xf>
    <xf numFmtId="49" fontId="35" fillId="0" borderId="188" applyNumberFormat="0" applyFont="0" applyFill="0" applyBorder="0" applyProtection="0">
      <alignment horizontal="left" vertical="center" indent="5"/>
    </xf>
    <xf numFmtId="4" fontId="35" fillId="0" borderId="187" applyFill="0" applyBorder="0" applyProtection="0">
      <alignment horizontal="right" vertical="center"/>
    </xf>
    <xf numFmtId="4" fontId="33" fillId="32" borderId="187">
      <alignment horizontal="right" vertical="center"/>
    </xf>
    <xf numFmtId="0" fontId="59" fillId="43" borderId="184" applyNumberFormat="0" applyAlignment="0" applyProtection="0"/>
    <xf numFmtId="0" fontId="50" fillId="43" borderId="184" applyNumberFormat="0" applyAlignment="0" applyProtection="0"/>
    <xf numFmtId="0" fontId="46" fillId="56" borderId="184" applyNumberFormat="0" applyAlignment="0" applyProtection="0"/>
    <xf numFmtId="0" fontId="35" fillId="34" borderId="190">
      <alignment horizontal="left" vertical="center" wrapText="1" indent="2"/>
    </xf>
    <xf numFmtId="0" fontId="35" fillId="0" borderId="190">
      <alignment horizontal="left" vertical="center" wrapText="1" indent="2"/>
    </xf>
    <xf numFmtId="0" fontId="35" fillId="34" borderId="190">
      <alignment horizontal="left" vertical="center" wrapText="1" indent="2"/>
    </xf>
    <xf numFmtId="0" fontId="33" fillId="34" borderId="192">
      <alignment horizontal="right" vertical="center"/>
    </xf>
    <xf numFmtId="4" fontId="33" fillId="34" borderId="192">
      <alignment horizontal="right" vertical="center"/>
    </xf>
    <xf numFmtId="0" fontId="33" fillId="34" borderId="193">
      <alignment horizontal="right" vertical="center"/>
    </xf>
    <xf numFmtId="4" fontId="33" fillId="34" borderId="193">
      <alignment horizontal="right" vertical="center"/>
    </xf>
    <xf numFmtId="0" fontId="33" fillId="34" borderId="192">
      <alignment horizontal="right" vertical="center"/>
    </xf>
    <xf numFmtId="4" fontId="33" fillId="32" borderId="192">
      <alignment horizontal="right" vertical="center"/>
    </xf>
    <xf numFmtId="0" fontId="37" fillId="32" borderId="192">
      <alignment horizontal="right" vertical="center"/>
    </xf>
    <xf numFmtId="49" fontId="34" fillId="0" borderId="211" applyNumberFormat="0" applyFill="0" applyBorder="0" applyProtection="0">
      <alignment horizontal="left" vertical="center"/>
    </xf>
    <xf numFmtId="0" fontId="33" fillId="34" borderId="200">
      <alignment horizontal="right" vertical="center"/>
    </xf>
    <xf numFmtId="4" fontId="35" fillId="33" borderId="200"/>
    <xf numFmtId="0" fontId="33" fillId="34" borderId="200">
      <alignment horizontal="right" vertical="center"/>
    </xf>
    <xf numFmtId="0" fontId="47" fillId="56" borderId="205" applyNumberFormat="0" applyAlignment="0" applyProtection="0"/>
    <xf numFmtId="0" fontId="35" fillId="34" borderId="214">
      <alignment horizontal="left" vertical="center" wrapText="1" indent="2"/>
    </xf>
    <xf numFmtId="4" fontId="33" fillId="34" borderId="200">
      <alignment horizontal="right" vertical="center"/>
    </xf>
    <xf numFmtId="0" fontId="31" fillId="0" borderId="0" applyNumberFormat="0" applyFill="0" applyBorder="0" applyAlignment="0" applyProtection="0"/>
    <xf numFmtId="0" fontId="27" fillId="20" borderId="0" applyNumberFormat="0" applyBorder="0" applyAlignment="0" applyProtection="0"/>
    <xf numFmtId="0" fontId="12" fillId="22" borderId="0" applyNumberFormat="0" applyBorder="0" applyAlignment="0" applyProtection="0"/>
    <xf numFmtId="0" fontId="29" fillId="13" borderId="14" applyNumberFormat="0" applyAlignment="0" applyProtection="0"/>
    <xf numFmtId="0" fontId="35" fillId="0" borderId="211" applyNumberFormat="0" applyFill="0" applyAlignment="0" applyProtection="0"/>
    <xf numFmtId="0" fontId="33" fillId="34" borderId="200">
      <alignment horizontal="right" vertical="center"/>
    </xf>
    <xf numFmtId="0" fontId="47" fillId="56" borderId="205" applyNumberFormat="0" applyAlignment="0" applyProtection="0"/>
    <xf numFmtId="0" fontId="33" fillId="34" borderId="200">
      <alignment horizontal="right" vertical="center"/>
    </xf>
    <xf numFmtId="0" fontId="47" fillId="56" borderId="205" applyNumberFormat="0" applyAlignment="0" applyProtection="0"/>
    <xf numFmtId="0" fontId="33" fillId="32" borderId="211">
      <alignment horizontal="right" vertical="center"/>
    </xf>
    <xf numFmtId="0" fontId="12" fillId="28" borderId="0" applyNumberFormat="0" applyBorder="0" applyAlignment="0" applyProtection="0"/>
    <xf numFmtId="0" fontId="27" fillId="14" borderId="0" applyNumberFormat="0" applyBorder="0" applyAlignment="0" applyProtection="0"/>
    <xf numFmtId="0" fontId="63" fillId="56" borderId="204" applyNumberFormat="0" applyAlignment="0" applyProtection="0"/>
    <xf numFmtId="0" fontId="35" fillId="32" borderId="201">
      <alignment horizontal="left" vertical="center"/>
    </xf>
    <xf numFmtId="173" fontId="35" fillId="60" borderId="200" applyNumberFormat="0" applyFont="0" applyBorder="0" applyAlignment="0" applyProtection="0">
      <alignment horizontal="right" vertical="center"/>
    </xf>
    <xf numFmtId="0" fontId="31" fillId="0" borderId="0" applyNumberFormat="0" applyFill="0" applyBorder="0" applyAlignment="0" applyProtection="0"/>
    <xf numFmtId="0" fontId="30" fillId="13" borderId="13" applyNumberFormat="0" applyAlignment="0" applyProtection="0"/>
    <xf numFmtId="0" fontId="27" fillId="14" borderId="0" applyNumberFormat="0" applyBorder="0" applyAlignment="0" applyProtection="0"/>
    <xf numFmtId="4" fontId="35" fillId="33" borderId="200"/>
    <xf numFmtId="0" fontId="29" fillId="13" borderId="14" applyNumberFormat="0" applyAlignment="0" applyProtection="0"/>
    <xf numFmtId="0" fontId="30" fillId="13" borderId="13" applyNumberFormat="0" applyAlignment="0" applyProtection="0"/>
    <xf numFmtId="0" fontId="46" fillId="56" borderId="205" applyNumberFormat="0" applyAlignment="0" applyProtection="0"/>
    <xf numFmtId="0" fontId="63" fillId="56" borderId="204" applyNumberFormat="0" applyAlignment="0" applyProtection="0"/>
    <xf numFmtId="0" fontId="59" fillId="43" borderId="205" applyNumberFormat="0" applyAlignment="0" applyProtection="0"/>
    <xf numFmtId="0" fontId="41" fillId="59" borderId="191" applyNumberFormat="0" applyFont="0" applyAlignment="0" applyProtection="0"/>
    <xf numFmtId="0" fontId="33" fillId="34" borderId="202">
      <alignment horizontal="right" vertical="center"/>
    </xf>
    <xf numFmtId="0" fontId="27" fillId="29" borderId="0" applyNumberFormat="0" applyBorder="0" applyAlignment="0" applyProtection="0"/>
    <xf numFmtId="0" fontId="5" fillId="59" borderId="191" applyNumberFormat="0" applyFont="0" applyAlignment="0" applyProtection="0"/>
    <xf numFmtId="4" fontId="33" fillId="34" borderId="201">
      <alignment horizontal="right" vertical="center"/>
    </xf>
    <xf numFmtId="4" fontId="37" fillId="32" borderId="211">
      <alignment horizontal="right" vertical="center"/>
    </xf>
    <xf numFmtId="0" fontId="35" fillId="33" borderId="211"/>
    <xf numFmtId="4" fontId="33" fillId="32" borderId="211">
      <alignment horizontal="right" vertical="center"/>
    </xf>
    <xf numFmtId="0" fontId="27" fillId="27" borderId="0" applyNumberFormat="0" applyBorder="0" applyAlignment="0" applyProtection="0"/>
    <xf numFmtId="0" fontId="59" fillId="43" borderId="197" applyNumberFormat="0" applyAlignment="0" applyProtection="0"/>
    <xf numFmtId="0" fontId="33" fillId="34" borderId="213">
      <alignment horizontal="right" vertical="center"/>
    </xf>
    <xf numFmtId="0" fontId="35" fillId="34" borderId="195">
      <alignment horizontal="left" vertical="center" wrapText="1" indent="2"/>
    </xf>
    <xf numFmtId="4" fontId="37" fillId="32" borderId="192">
      <alignment horizontal="right" vertical="center"/>
    </xf>
    <xf numFmtId="0" fontId="44" fillId="56" borderId="204" applyNumberFormat="0" applyAlignment="0" applyProtection="0"/>
    <xf numFmtId="0" fontId="47" fillId="56" borderId="205" applyNumberFormat="0" applyAlignment="0" applyProtection="0"/>
    <xf numFmtId="0" fontId="27" fillId="21" borderId="0" applyNumberFormat="0" applyBorder="0" applyAlignment="0" applyProtection="0"/>
    <xf numFmtId="0" fontId="66" fillId="0" borderId="209" applyNumberFormat="0" applyFill="0" applyAlignment="0" applyProtection="0"/>
    <xf numFmtId="0" fontId="35" fillId="34" borderId="214">
      <alignment horizontal="left" vertical="center" wrapText="1" indent="2"/>
    </xf>
    <xf numFmtId="0" fontId="2" fillId="0" borderId="15" applyNumberFormat="0" applyFill="0" applyAlignment="0" applyProtection="0"/>
    <xf numFmtId="0" fontId="35" fillId="0" borderId="200">
      <alignment horizontal="right" vertical="center"/>
    </xf>
    <xf numFmtId="0" fontId="27" fillId="18" borderId="0" applyNumberFormat="0" applyBorder="0" applyAlignment="0" applyProtection="0"/>
    <xf numFmtId="4" fontId="37" fillId="32" borderId="192">
      <alignment horizontal="right" vertical="center"/>
    </xf>
    <xf numFmtId="4" fontId="33" fillId="32" borderId="192">
      <alignment horizontal="right" vertical="center"/>
    </xf>
    <xf numFmtId="0" fontId="35" fillId="0" borderId="195">
      <alignment horizontal="left" vertical="center" wrapText="1" indent="2"/>
    </xf>
    <xf numFmtId="0" fontId="63" fillId="56" borderId="196" applyNumberFormat="0" applyAlignment="0" applyProtection="0"/>
    <xf numFmtId="0" fontId="35" fillId="0" borderId="192">
      <alignment horizontal="right" vertical="center"/>
    </xf>
    <xf numFmtId="0" fontId="66" fillId="0" borderId="198" applyNumberFormat="0" applyFill="0" applyAlignment="0" applyProtection="0"/>
    <xf numFmtId="49" fontId="34" fillId="0" borderId="192" applyNumberFormat="0" applyFill="0" applyBorder="0" applyProtection="0">
      <alignment horizontal="left" vertical="center"/>
    </xf>
    <xf numFmtId="4" fontId="35" fillId="33" borderId="192"/>
    <xf numFmtId="0" fontId="59" fillId="43" borderId="197" applyNumberFormat="0" applyAlignment="0" applyProtection="0"/>
    <xf numFmtId="0" fontId="41" fillId="59" borderId="199" applyNumberFormat="0" applyFont="0" applyAlignment="0" applyProtection="0"/>
    <xf numFmtId="4" fontId="35" fillId="33" borderId="200"/>
    <xf numFmtId="173" fontId="35" fillId="60" borderId="192" applyNumberFormat="0" applyFont="0" applyBorder="0" applyAlignment="0" applyProtection="0">
      <alignment horizontal="right" vertical="center"/>
    </xf>
    <xf numFmtId="0" fontId="66" fillId="0" borderId="206" applyNumberFormat="0" applyFill="0" applyAlignment="0" applyProtection="0"/>
    <xf numFmtId="0" fontId="47" fillId="56" borderId="197" applyNumberFormat="0" applyAlignment="0" applyProtection="0"/>
    <xf numFmtId="0" fontId="27" fillId="26" borderId="0" applyNumberFormat="0" applyBorder="0" applyAlignment="0" applyProtection="0"/>
    <xf numFmtId="0" fontId="33" fillId="34" borderId="202">
      <alignment horizontal="right" vertical="center"/>
    </xf>
    <xf numFmtId="0" fontId="35" fillId="0" borderId="214">
      <alignment horizontal="left" vertical="center" wrapText="1" indent="2"/>
    </xf>
    <xf numFmtId="0" fontId="41" fillId="59" borderId="199" applyNumberFormat="0" applyFont="0" applyAlignment="0" applyProtection="0"/>
    <xf numFmtId="0" fontId="59" fillId="43" borderId="197" applyNumberFormat="0" applyAlignment="0" applyProtection="0"/>
    <xf numFmtId="0" fontId="44" fillId="56" borderId="196" applyNumberFormat="0" applyAlignment="0" applyProtection="0"/>
    <xf numFmtId="49" fontId="34" fillId="0" borderId="192" applyNumberFormat="0" applyFill="0" applyBorder="0" applyProtection="0">
      <alignment horizontal="left" vertical="center"/>
    </xf>
    <xf numFmtId="0" fontId="66" fillId="0" borderId="198" applyNumberFormat="0" applyFill="0" applyAlignment="0" applyProtection="0"/>
    <xf numFmtId="0" fontId="35" fillId="0" borderId="192">
      <alignment horizontal="right" vertical="center"/>
    </xf>
    <xf numFmtId="0" fontId="33" fillId="34" borderId="193">
      <alignment horizontal="right" vertical="center"/>
    </xf>
    <xf numFmtId="0" fontId="66" fillId="0" borderId="198" applyNumberFormat="0" applyFill="0" applyAlignment="0" applyProtection="0"/>
    <xf numFmtId="49" fontId="35" fillId="0" borderId="211" applyNumberFormat="0" applyFont="0" applyFill="0" applyBorder="0" applyProtection="0">
      <alignment horizontal="left" vertical="center" indent="2"/>
    </xf>
    <xf numFmtId="0" fontId="33" fillId="34" borderId="201">
      <alignment horizontal="right" vertical="center"/>
    </xf>
    <xf numFmtId="0" fontId="12" fillId="16" borderId="0" applyNumberFormat="0" applyBorder="0" applyAlignment="0" applyProtection="0"/>
    <xf numFmtId="0" fontId="44" fillId="56" borderId="204" applyNumberFormat="0" applyAlignment="0" applyProtection="0"/>
    <xf numFmtId="49" fontId="35" fillId="0" borderId="212" applyNumberFormat="0" applyFont="0" applyFill="0" applyBorder="0" applyProtection="0">
      <alignment horizontal="left" vertical="center" indent="5"/>
    </xf>
    <xf numFmtId="4" fontId="35" fillId="0" borderId="192" applyFill="0" applyBorder="0" applyProtection="0">
      <alignment horizontal="right" vertical="center"/>
    </xf>
    <xf numFmtId="4" fontId="35" fillId="33" borderId="200"/>
    <xf numFmtId="4" fontId="33" fillId="34" borderId="201">
      <alignment horizontal="right" vertical="center"/>
    </xf>
    <xf numFmtId="4" fontId="35" fillId="0" borderId="200">
      <alignment horizontal="right" vertical="center"/>
    </xf>
    <xf numFmtId="0" fontId="47" fillId="56" borderId="208" applyNumberFormat="0" applyAlignment="0" applyProtection="0"/>
    <xf numFmtId="0" fontId="50" fillId="43" borderId="205" applyNumberFormat="0" applyAlignment="0" applyProtection="0"/>
    <xf numFmtId="4" fontId="35" fillId="0" borderId="200">
      <alignment horizontal="right" vertical="center"/>
    </xf>
    <xf numFmtId="0" fontId="35" fillId="0" borderId="195">
      <alignment horizontal="left" vertical="center" wrapText="1" indent="2"/>
    </xf>
    <xf numFmtId="0" fontId="66" fillId="0" borderId="198" applyNumberFormat="0" applyFill="0" applyAlignment="0" applyProtection="0"/>
    <xf numFmtId="0" fontId="44" fillId="56" borderId="196" applyNumberFormat="0" applyAlignment="0" applyProtection="0"/>
    <xf numFmtId="0" fontId="33" fillId="34" borderId="192">
      <alignment horizontal="right" vertical="center"/>
    </xf>
    <xf numFmtId="0" fontId="46" fillId="56" borderId="197" applyNumberFormat="0" applyAlignment="0" applyProtection="0"/>
    <xf numFmtId="0" fontId="35" fillId="33" borderId="200"/>
    <xf numFmtId="0" fontId="35" fillId="34" borderId="214">
      <alignment horizontal="left" vertical="center" wrapText="1" indent="2"/>
    </xf>
    <xf numFmtId="0" fontId="35" fillId="32" borderId="193">
      <alignment horizontal="left" vertical="center"/>
    </xf>
    <xf numFmtId="0" fontId="27" fillId="17" borderId="0" applyNumberFormat="0" applyBorder="0" applyAlignment="0" applyProtection="0"/>
    <xf numFmtId="0" fontId="1" fillId="0" borderId="0" applyNumberFormat="0" applyFill="0" applyBorder="0" applyAlignment="0" applyProtection="0"/>
    <xf numFmtId="0" fontId="50" fillId="43" borderId="205" applyNumberFormat="0" applyAlignment="0" applyProtection="0"/>
    <xf numFmtId="0" fontId="47" fillId="56" borderId="205" applyNumberFormat="0" applyAlignment="0" applyProtection="0"/>
    <xf numFmtId="0" fontId="33" fillId="32" borderId="192">
      <alignment horizontal="right" vertical="center"/>
    </xf>
    <xf numFmtId="173" fontId="35" fillId="60" borderId="200" applyNumberFormat="0" applyFont="0" applyBorder="0" applyAlignment="0" applyProtection="0">
      <alignment horizontal="right" vertical="center"/>
    </xf>
    <xf numFmtId="0" fontId="63" fillId="56" borderId="215" applyNumberFormat="0" applyAlignment="0" applyProtection="0"/>
    <xf numFmtId="0" fontId="51" fillId="0" borderId="198" applyNumberFormat="0" applyFill="0" applyAlignment="0" applyProtection="0"/>
    <xf numFmtId="0" fontId="35" fillId="0" borderId="192">
      <alignment horizontal="right" vertical="center"/>
    </xf>
    <xf numFmtId="0" fontId="5" fillId="59" borderId="191" applyNumberFormat="0" applyFont="0" applyAlignment="0" applyProtection="0"/>
    <xf numFmtId="0" fontId="12" fillId="16" borderId="0" applyNumberFormat="0" applyBorder="0" applyAlignment="0" applyProtection="0"/>
    <xf numFmtId="0" fontId="12" fillId="31" borderId="0" applyNumberFormat="0" applyBorder="0" applyAlignment="0" applyProtection="0"/>
    <xf numFmtId="0" fontId="30" fillId="13" borderId="13" applyNumberFormat="0" applyAlignment="0" applyProtection="0"/>
    <xf numFmtId="0" fontId="59" fillId="43" borderId="197" applyNumberFormat="0" applyAlignment="0" applyProtection="0"/>
    <xf numFmtId="49" fontId="35" fillId="0" borderId="193" applyNumberFormat="0" applyFont="0" applyFill="0" applyBorder="0" applyProtection="0">
      <alignment horizontal="left" vertical="center" indent="5"/>
    </xf>
    <xf numFmtId="0" fontId="33" fillId="34" borderId="213">
      <alignment horizontal="right" vertical="center"/>
    </xf>
    <xf numFmtId="0" fontId="35" fillId="0" borderId="192" applyNumberFormat="0" applyFill="0" applyAlignment="0" applyProtection="0"/>
    <xf numFmtId="0" fontId="51" fillId="0" borderId="198" applyNumberFormat="0" applyFill="0" applyAlignment="0" applyProtection="0"/>
    <xf numFmtId="0" fontId="63" fillId="56" borderId="196" applyNumberFormat="0" applyAlignment="0" applyProtection="0"/>
    <xf numFmtId="4" fontId="33" fillId="34" borderId="192">
      <alignment horizontal="right" vertical="center"/>
    </xf>
    <xf numFmtId="4" fontId="35" fillId="33" borderId="192"/>
    <xf numFmtId="0" fontId="66" fillId="0" borderId="198" applyNumberFormat="0" applyFill="0" applyAlignment="0" applyProtection="0"/>
    <xf numFmtId="0" fontId="12" fillId="16" borderId="0" applyNumberFormat="0" applyBorder="0" applyAlignment="0" applyProtection="0"/>
    <xf numFmtId="0" fontId="44" fillId="56" borderId="196" applyNumberFormat="0" applyAlignment="0" applyProtection="0"/>
    <xf numFmtId="0" fontId="46" fillId="56" borderId="197" applyNumberFormat="0" applyAlignment="0" applyProtection="0"/>
    <xf numFmtId="0" fontId="47" fillId="56" borderId="197" applyNumberFormat="0" applyAlignment="0" applyProtection="0"/>
    <xf numFmtId="0" fontId="63" fillId="56" borderId="196" applyNumberFormat="0" applyAlignment="0" applyProtection="0"/>
    <xf numFmtId="0" fontId="33" fillId="34" borderId="194">
      <alignment horizontal="right" vertical="center"/>
    </xf>
    <xf numFmtId="0" fontId="35" fillId="0" borderId="192" applyNumberFormat="0" applyFill="0" applyAlignment="0" applyProtection="0"/>
    <xf numFmtId="49" fontId="35" fillId="0" borderId="193" applyNumberFormat="0" applyFont="0" applyFill="0" applyBorder="0" applyProtection="0">
      <alignment horizontal="left" vertical="center" indent="5"/>
    </xf>
    <xf numFmtId="0" fontId="66" fillId="0" borderId="198" applyNumberFormat="0" applyFill="0" applyAlignment="0" applyProtection="0"/>
    <xf numFmtId="0" fontId="35" fillId="0" borderId="192" applyNumberFormat="0" applyFill="0" applyAlignment="0" applyProtection="0"/>
    <xf numFmtId="0" fontId="33" fillId="34" borderId="211">
      <alignment horizontal="right" vertical="center"/>
    </xf>
    <xf numFmtId="0" fontId="41" fillId="59" borderId="199" applyNumberFormat="0" applyFont="0" applyAlignment="0" applyProtection="0"/>
    <xf numFmtId="0" fontId="27" fillId="24" borderId="0" applyNumberFormat="0" applyBorder="0" applyAlignment="0" applyProtection="0"/>
    <xf numFmtId="0" fontId="33" fillId="34" borderId="211">
      <alignment horizontal="right" vertical="center"/>
    </xf>
    <xf numFmtId="0" fontId="50" fillId="43" borderId="208" applyNumberFormat="0" applyAlignment="0" applyProtection="0"/>
    <xf numFmtId="0" fontId="41" fillId="59" borderId="191" applyNumberFormat="0" applyFont="0" applyAlignment="0" applyProtection="0"/>
    <xf numFmtId="4" fontId="33" fillId="34" borderId="200">
      <alignment horizontal="right" vertical="center"/>
    </xf>
    <xf numFmtId="0" fontId="37" fillId="32" borderId="200">
      <alignment horizontal="right" vertical="center"/>
    </xf>
    <xf numFmtId="0" fontId="33" fillId="34" borderId="201">
      <alignment horizontal="right" vertical="center"/>
    </xf>
    <xf numFmtId="0" fontId="35" fillId="34" borderId="203">
      <alignment horizontal="left" vertical="center" wrapText="1" indent="2"/>
    </xf>
    <xf numFmtId="0" fontId="27" fillId="24" borderId="0" applyNumberFormat="0" applyBorder="0" applyAlignment="0" applyProtection="0"/>
    <xf numFmtId="0" fontId="51" fillId="0" borderId="206" applyNumberFormat="0" applyFill="0" applyAlignment="0" applyProtection="0"/>
    <xf numFmtId="0" fontId="33" fillId="34" borderId="202">
      <alignment horizontal="right" vertical="center"/>
    </xf>
    <xf numFmtId="0" fontId="35" fillId="0" borderId="195">
      <alignment horizontal="left" vertical="center" wrapText="1" indent="2"/>
    </xf>
    <xf numFmtId="4" fontId="33" fillId="32" borderId="192">
      <alignment horizontal="right" vertical="center"/>
    </xf>
    <xf numFmtId="0" fontId="31" fillId="0" borderId="0" applyNumberFormat="0" applyFill="0" applyBorder="0" applyAlignment="0" applyProtection="0"/>
    <xf numFmtId="0" fontId="63" fillId="56" borderId="196" applyNumberFormat="0" applyAlignment="0" applyProtection="0"/>
    <xf numFmtId="49" fontId="35" fillId="0" borderId="193" applyNumberFormat="0" applyFont="0" applyFill="0" applyBorder="0" applyProtection="0">
      <alignment horizontal="left" vertical="center" indent="5"/>
    </xf>
    <xf numFmtId="4" fontId="35" fillId="0" borderId="192">
      <alignment horizontal="right" vertical="center"/>
    </xf>
    <xf numFmtId="49" fontId="35" fillId="0" borderId="211" applyNumberFormat="0" applyFont="0" applyFill="0" applyBorder="0" applyProtection="0">
      <alignment horizontal="left" vertical="center" indent="2"/>
    </xf>
    <xf numFmtId="0" fontId="27" fillId="14" borderId="0" applyNumberFormat="0" applyBorder="0" applyAlignment="0" applyProtection="0"/>
    <xf numFmtId="0" fontId="33" fillId="34" borderId="202">
      <alignment horizontal="right" vertical="center"/>
    </xf>
    <xf numFmtId="0" fontId="27" fillId="29" borderId="0" applyNumberFormat="0" applyBorder="0" applyAlignment="0" applyProtection="0"/>
    <xf numFmtId="0" fontId="51" fillId="0" borderId="198" applyNumberFormat="0" applyFill="0" applyAlignment="0" applyProtection="0"/>
    <xf numFmtId="0" fontId="51" fillId="0" borderId="209" applyNumberFormat="0" applyFill="0" applyAlignment="0" applyProtection="0"/>
    <xf numFmtId="4" fontId="33" fillId="34" borderId="194">
      <alignment horizontal="right" vertical="center"/>
    </xf>
    <xf numFmtId="4" fontId="33" fillId="34" borderId="192">
      <alignment horizontal="right" vertical="center"/>
    </xf>
    <xf numFmtId="4" fontId="33" fillId="34" borderId="192">
      <alignment horizontal="right" vertical="center"/>
    </xf>
    <xf numFmtId="0" fontId="66" fillId="0" borderId="198" applyNumberFormat="0" applyFill="0" applyAlignment="0" applyProtection="0"/>
    <xf numFmtId="0" fontId="47" fillId="56" borderId="197" applyNumberFormat="0" applyAlignment="0" applyProtection="0"/>
    <xf numFmtId="0" fontId="27" fillId="20" borderId="0" applyNumberFormat="0" applyBorder="0" applyAlignment="0" applyProtection="0"/>
    <xf numFmtId="0" fontId="30" fillId="13" borderId="13" applyNumberFormat="0" applyAlignment="0" applyProtection="0"/>
    <xf numFmtId="49" fontId="34" fillId="0" borderId="192" applyNumberFormat="0" applyFill="0" applyBorder="0" applyProtection="0">
      <alignment horizontal="left" vertical="center"/>
    </xf>
    <xf numFmtId="0" fontId="5" fillId="59" borderId="191" applyNumberFormat="0" applyFont="0" applyAlignment="0" applyProtection="0"/>
    <xf numFmtId="0" fontId="27" fillId="24" borderId="0" applyNumberFormat="0" applyBorder="0" applyAlignment="0" applyProtection="0"/>
    <xf numFmtId="4" fontId="33" fillId="34" borderId="192">
      <alignment horizontal="right" vertical="center"/>
    </xf>
    <xf numFmtId="0" fontId="27" fillId="26" borderId="0" applyNumberFormat="0" applyBorder="0" applyAlignment="0" applyProtection="0"/>
    <xf numFmtId="0" fontId="33" fillId="32" borderId="200">
      <alignment horizontal="right" vertical="center"/>
    </xf>
    <xf numFmtId="0" fontId="44" fillId="56" borderId="204" applyNumberFormat="0" applyAlignment="0" applyProtection="0"/>
    <xf numFmtId="0" fontId="63" fillId="56" borderId="204" applyNumberFormat="0" applyAlignment="0" applyProtection="0"/>
    <xf numFmtId="49" fontId="35" fillId="0" borderId="200" applyNumberFormat="0" applyFont="0" applyFill="0" applyBorder="0" applyProtection="0">
      <alignment horizontal="left" vertical="center" indent="2"/>
    </xf>
    <xf numFmtId="49" fontId="35" fillId="0" borderId="192" applyNumberFormat="0" applyFont="0" applyFill="0" applyBorder="0" applyProtection="0">
      <alignment horizontal="left" vertical="center" indent="2"/>
    </xf>
    <xf numFmtId="0" fontId="66" fillId="0" borderId="198" applyNumberFormat="0" applyFill="0" applyAlignment="0" applyProtection="0"/>
    <xf numFmtId="4" fontId="35" fillId="0" borderId="192" applyFill="0" applyBorder="0" applyProtection="0">
      <alignment horizontal="right" vertical="center"/>
    </xf>
    <xf numFmtId="0" fontId="59" fillId="43" borderId="197" applyNumberFormat="0" applyAlignment="0" applyProtection="0"/>
    <xf numFmtId="49" fontId="34" fillId="0" borderId="192" applyNumberFormat="0" applyFill="0" applyBorder="0" applyProtection="0">
      <alignment horizontal="left" vertical="center"/>
    </xf>
    <xf numFmtId="49" fontId="35" fillId="0" borderId="192" applyNumberFormat="0" applyFont="0" applyFill="0" applyBorder="0" applyProtection="0">
      <alignment horizontal="left" vertical="center" indent="2"/>
    </xf>
    <xf numFmtId="4" fontId="35" fillId="0" borderId="192" applyFill="0" applyBorder="0" applyProtection="0">
      <alignment horizontal="right" vertical="center"/>
    </xf>
    <xf numFmtId="173" fontId="35" fillId="60" borderId="192" applyNumberFormat="0" applyFont="0" applyBorder="0" applyAlignment="0" applyProtection="0">
      <alignment horizontal="right" vertical="center"/>
    </xf>
    <xf numFmtId="0" fontId="66" fillId="0" borderId="206" applyNumberFormat="0" applyFill="0" applyAlignment="0" applyProtection="0"/>
    <xf numFmtId="4" fontId="37" fillId="32" borderId="200">
      <alignment horizontal="right" vertical="center"/>
    </xf>
    <xf numFmtId="0" fontId="37" fillId="32" borderId="192">
      <alignment horizontal="right" vertical="center"/>
    </xf>
    <xf numFmtId="0" fontId="63" fillId="56" borderId="204" applyNumberFormat="0" applyAlignment="0" applyProtection="0"/>
    <xf numFmtId="0" fontId="33" fillId="34" borderId="200">
      <alignment horizontal="right" vertical="center"/>
    </xf>
    <xf numFmtId="0" fontId="35" fillId="0" borderId="211" applyNumberFormat="0" applyFill="0" applyAlignment="0" applyProtection="0"/>
    <xf numFmtId="0" fontId="50" fillId="43" borderId="197" applyNumberFormat="0" applyAlignment="0" applyProtection="0"/>
    <xf numFmtId="4" fontId="33" fillId="34" borderId="192">
      <alignment horizontal="right" vertical="center"/>
    </xf>
    <xf numFmtId="0" fontId="35" fillId="32" borderId="193">
      <alignment horizontal="left" vertical="center"/>
    </xf>
    <xf numFmtId="4" fontId="33" fillId="34" borderId="200">
      <alignment horizontal="right" vertical="center"/>
    </xf>
    <xf numFmtId="0" fontId="47" fillId="56" borderId="208" applyNumberFormat="0" applyAlignment="0" applyProtection="0"/>
    <xf numFmtId="4" fontId="37" fillId="32" borderId="200">
      <alignment horizontal="right" vertical="center"/>
    </xf>
    <xf numFmtId="0" fontId="44" fillId="56" borderId="215" applyNumberFormat="0" applyAlignment="0" applyProtection="0"/>
    <xf numFmtId="0" fontId="59" fillId="43" borderId="205" applyNumberFormat="0" applyAlignment="0" applyProtection="0"/>
    <xf numFmtId="4" fontId="33" fillId="32" borderId="200">
      <alignment horizontal="right" vertical="center"/>
    </xf>
    <xf numFmtId="0" fontId="5" fillId="59" borderId="199" applyNumberFormat="0" applyFont="0" applyAlignment="0" applyProtection="0"/>
    <xf numFmtId="0" fontId="12" fillId="28" borderId="0" applyNumberFormat="0" applyBorder="0" applyAlignment="0" applyProtection="0"/>
    <xf numFmtId="0" fontId="51" fillId="0" borderId="206" applyNumberFormat="0" applyFill="0" applyAlignment="0" applyProtection="0"/>
    <xf numFmtId="0" fontId="33" fillId="34" borderId="192">
      <alignment horizontal="right" vertical="center"/>
    </xf>
    <xf numFmtId="0" fontId="35" fillId="34" borderId="195">
      <alignment horizontal="left" vertical="center" wrapText="1" indent="2"/>
    </xf>
    <xf numFmtId="173" fontId="35" fillId="60" borderId="192" applyNumberFormat="0" applyFont="0" applyBorder="0" applyAlignment="0" applyProtection="0">
      <alignment horizontal="right" vertical="center"/>
    </xf>
    <xf numFmtId="0" fontId="41" fillId="59" borderId="191" applyNumberFormat="0" applyFont="0" applyAlignment="0" applyProtection="0"/>
    <xf numFmtId="49" fontId="35" fillId="0" borderId="192" applyNumberFormat="0" applyFont="0" applyFill="0" applyBorder="0" applyProtection="0">
      <alignment horizontal="left" vertical="center" indent="2"/>
    </xf>
    <xf numFmtId="0" fontId="35" fillId="34" borderId="203">
      <alignment horizontal="left" vertical="center" wrapText="1" indent="2"/>
    </xf>
    <xf numFmtId="0" fontId="35" fillId="0" borderId="214">
      <alignment horizontal="left" vertical="center" wrapText="1" indent="2"/>
    </xf>
    <xf numFmtId="0" fontId="59" fillId="43" borderId="205" applyNumberFormat="0" applyAlignment="0" applyProtection="0"/>
    <xf numFmtId="0" fontId="27" fillId="14" borderId="0" applyNumberFormat="0" applyBorder="0" applyAlignment="0" applyProtection="0"/>
    <xf numFmtId="49" fontId="34" fillId="0" borderId="192" applyNumberFormat="0" applyFill="0" applyBorder="0" applyProtection="0">
      <alignment horizontal="left" vertical="center"/>
    </xf>
    <xf numFmtId="0" fontId="27" fillId="29" borderId="0" applyNumberFormat="0" applyBorder="0" applyAlignment="0" applyProtection="0"/>
    <xf numFmtId="173" fontId="35" fillId="60" borderId="192" applyNumberFormat="0" applyFont="0" applyBorder="0" applyAlignment="0" applyProtection="0">
      <alignment horizontal="right" vertical="center"/>
    </xf>
    <xf numFmtId="0" fontId="63" fillId="56" borderId="196" applyNumberFormat="0" applyAlignment="0" applyProtection="0"/>
    <xf numFmtId="0" fontId="35" fillId="0" borderId="192">
      <alignment horizontal="right" vertical="center"/>
    </xf>
    <xf numFmtId="0" fontId="35" fillId="0" borderId="200">
      <alignment horizontal="right" vertical="center"/>
    </xf>
    <xf numFmtId="0" fontId="35" fillId="33" borderId="192"/>
    <xf numFmtId="4" fontId="33" fillId="34" borderId="192">
      <alignment horizontal="right" vertical="center"/>
    </xf>
    <xf numFmtId="0" fontId="35" fillId="33" borderId="192"/>
    <xf numFmtId="0" fontId="59" fillId="43" borderId="197" applyNumberFormat="0" applyAlignment="0" applyProtection="0"/>
    <xf numFmtId="4" fontId="35" fillId="33" borderId="211"/>
    <xf numFmtId="0" fontId="37" fillId="32" borderId="192">
      <alignment horizontal="right" vertical="center"/>
    </xf>
    <xf numFmtId="0" fontId="35" fillId="0" borderId="195">
      <alignment horizontal="left" vertical="center" wrapText="1" indent="2"/>
    </xf>
    <xf numFmtId="0" fontId="33" fillId="32" borderId="192">
      <alignment horizontal="right" vertical="center"/>
    </xf>
    <xf numFmtId="0" fontId="50" fillId="43" borderId="197" applyNumberFormat="0" applyAlignment="0" applyProtection="0"/>
    <xf numFmtId="0" fontId="35" fillId="34" borderId="195">
      <alignment horizontal="left" vertical="center" wrapText="1" indent="2"/>
    </xf>
    <xf numFmtId="0" fontId="41" fillId="59" borderId="199" applyNumberFormat="0" applyFont="0" applyAlignment="0" applyProtection="0"/>
    <xf numFmtId="0" fontId="27" fillId="30" borderId="0" applyNumberFormat="0" applyBorder="0" applyAlignment="0" applyProtection="0"/>
    <xf numFmtId="0" fontId="35" fillId="33" borderId="200"/>
    <xf numFmtId="0" fontId="27" fillId="24" borderId="0" applyNumberFormat="0" applyBorder="0" applyAlignment="0" applyProtection="0"/>
    <xf numFmtId="4" fontId="37" fillId="32" borderId="211">
      <alignment horizontal="right" vertical="center"/>
    </xf>
    <xf numFmtId="0" fontId="46" fillId="56" borderId="197" applyNumberFormat="0" applyAlignment="0" applyProtection="0"/>
    <xf numFmtId="0" fontId="37" fillId="32" borderId="192">
      <alignment horizontal="right" vertical="center"/>
    </xf>
    <xf numFmtId="0" fontId="66" fillId="0" borderId="206" applyNumberFormat="0" applyFill="0" applyAlignment="0" applyProtection="0"/>
    <xf numFmtId="0" fontId="27" fillId="26" borderId="0" applyNumberFormat="0" applyBorder="0" applyAlignment="0" applyProtection="0"/>
    <xf numFmtId="4" fontId="33" fillId="34" borderId="201">
      <alignment horizontal="right" vertical="center"/>
    </xf>
    <xf numFmtId="0" fontId="1" fillId="0" borderId="0" applyNumberFormat="0" applyFill="0" applyBorder="0" applyAlignment="0" applyProtection="0"/>
    <xf numFmtId="0" fontId="27" fillId="20" borderId="0" applyNumberFormat="0" applyBorder="0" applyAlignment="0" applyProtection="0"/>
    <xf numFmtId="0" fontId="33" fillId="34" borderId="201">
      <alignment horizontal="right" vertical="center"/>
    </xf>
    <xf numFmtId="0" fontId="41" fillId="59" borderId="199" applyNumberFormat="0" applyFont="0" applyAlignment="0" applyProtection="0"/>
    <xf numFmtId="0" fontId="31" fillId="0" borderId="0" applyNumberFormat="0" applyFill="0" applyBorder="0" applyAlignment="0" applyProtection="0"/>
    <xf numFmtId="0" fontId="50" fillId="43" borderId="205" applyNumberFormat="0" applyAlignment="0" applyProtection="0"/>
    <xf numFmtId="0" fontId="33" fillId="34" borderId="192">
      <alignment horizontal="right" vertical="center"/>
    </xf>
    <xf numFmtId="4" fontId="35" fillId="0" borderId="192" applyFill="0" applyBorder="0" applyProtection="0">
      <alignment horizontal="right" vertical="center"/>
    </xf>
    <xf numFmtId="0" fontId="35" fillId="34" borderId="195">
      <alignment horizontal="left" vertical="center" wrapText="1" indent="2"/>
    </xf>
    <xf numFmtId="0" fontId="41" fillId="59" borderId="191" applyNumberFormat="0" applyFont="0" applyAlignment="0" applyProtection="0"/>
    <xf numFmtId="0" fontId="50" fillId="43" borderId="197" applyNumberFormat="0" applyAlignment="0" applyProtection="0"/>
    <xf numFmtId="4" fontId="35" fillId="33" borderId="192"/>
    <xf numFmtId="4" fontId="35" fillId="0" borderId="192" applyFill="0" applyBorder="0" applyProtection="0">
      <alignment horizontal="right" vertical="center"/>
    </xf>
    <xf numFmtId="0" fontId="66" fillId="0" borderId="198" applyNumberFormat="0" applyFill="0" applyAlignment="0" applyProtection="0"/>
    <xf numFmtId="0" fontId="35" fillId="32" borderId="193">
      <alignment horizontal="left" vertical="center"/>
    </xf>
    <xf numFmtId="0" fontId="35" fillId="0" borderId="195">
      <alignment horizontal="left" vertical="center" wrapText="1" indent="2"/>
    </xf>
    <xf numFmtId="49" fontId="34" fillId="0" borderId="200" applyNumberFormat="0" applyFill="0" applyBorder="0" applyProtection="0">
      <alignment horizontal="left" vertical="center"/>
    </xf>
    <xf numFmtId="0" fontId="59" fillId="43" borderId="197" applyNumberFormat="0" applyAlignment="0" applyProtection="0"/>
    <xf numFmtId="0" fontId="35" fillId="34" borderId="195">
      <alignment horizontal="left" vertical="center" wrapText="1" indent="2"/>
    </xf>
    <xf numFmtId="0" fontId="27" fillId="23" borderId="0" applyNumberFormat="0" applyBorder="0" applyAlignment="0" applyProtection="0"/>
    <xf numFmtId="0" fontId="27" fillId="18" borderId="0" applyNumberFormat="0" applyBorder="0" applyAlignment="0" applyProtection="0"/>
    <xf numFmtId="0" fontId="59" fillId="43" borderId="205" applyNumberFormat="0" applyAlignment="0" applyProtection="0"/>
    <xf numFmtId="0" fontId="51" fillId="0" borderId="206" applyNumberFormat="0" applyFill="0" applyAlignment="0" applyProtection="0"/>
    <xf numFmtId="0" fontId="41" fillId="59" borderId="191" applyNumberFormat="0" applyFont="0" applyAlignment="0" applyProtection="0"/>
    <xf numFmtId="0" fontId="59" fillId="43" borderId="197" applyNumberFormat="0" applyAlignment="0" applyProtection="0"/>
    <xf numFmtId="4" fontId="33" fillId="32" borderId="211">
      <alignment horizontal="right" vertical="center"/>
    </xf>
    <xf numFmtId="4" fontId="35" fillId="33" borderId="192"/>
    <xf numFmtId="0" fontId="47" fillId="56" borderId="197" applyNumberFormat="0" applyAlignment="0" applyProtection="0"/>
    <xf numFmtId="0" fontId="59" fillId="43" borderId="197" applyNumberFormat="0" applyAlignment="0" applyProtection="0"/>
    <xf numFmtId="4" fontId="33" fillId="34" borderId="192">
      <alignment horizontal="right" vertical="center"/>
    </xf>
    <xf numFmtId="0" fontId="51" fillId="0" borderId="198" applyNumberFormat="0" applyFill="0" applyAlignment="0" applyProtection="0"/>
    <xf numFmtId="0" fontId="12" fillId="19" borderId="0" applyNumberFormat="0" applyBorder="0" applyAlignment="0" applyProtection="0"/>
    <xf numFmtId="0" fontId="27" fillId="29" borderId="0" applyNumberFormat="0" applyBorder="0" applyAlignment="0" applyProtection="0"/>
    <xf numFmtId="4" fontId="35" fillId="0" borderId="200">
      <alignment horizontal="right" vertical="center"/>
    </xf>
    <xf numFmtId="0" fontId="27" fillId="14" borderId="0" applyNumberFormat="0" applyBorder="0" applyAlignment="0" applyProtection="0"/>
    <xf numFmtId="4" fontId="33" fillId="34" borderId="211">
      <alignment horizontal="right" vertical="center"/>
    </xf>
    <xf numFmtId="0" fontId="47" fillId="56" borderId="205" applyNumberFormat="0" applyAlignment="0" applyProtection="0"/>
    <xf numFmtId="0" fontId="50" fillId="43" borderId="197" applyNumberFormat="0" applyAlignment="0" applyProtection="0"/>
    <xf numFmtId="0" fontId="66" fillId="0" borderId="206" applyNumberFormat="0" applyFill="0" applyAlignment="0" applyProtection="0"/>
    <xf numFmtId="0" fontId="33" fillId="34" borderId="202">
      <alignment horizontal="right" vertical="center"/>
    </xf>
    <xf numFmtId="4" fontId="33" fillId="34" borderId="200">
      <alignment horizontal="right" vertical="center"/>
    </xf>
    <xf numFmtId="4" fontId="33" fillId="32" borderId="200">
      <alignment horizontal="right" vertical="center"/>
    </xf>
    <xf numFmtId="0" fontId="35" fillId="34" borderId="195">
      <alignment horizontal="left" vertical="center" wrapText="1" indent="2"/>
    </xf>
    <xf numFmtId="0" fontId="51" fillId="0" borderId="206" applyNumberFormat="0" applyFill="0" applyAlignment="0" applyProtection="0"/>
    <xf numFmtId="0" fontId="63" fillId="56" borderId="196" applyNumberFormat="0" applyAlignment="0" applyProtection="0"/>
    <xf numFmtId="0" fontId="59" fillId="43" borderId="197" applyNumberFormat="0" applyAlignment="0" applyProtection="0"/>
    <xf numFmtId="4" fontId="33" fillId="34" borderId="192">
      <alignment horizontal="right" vertical="center"/>
    </xf>
    <xf numFmtId="0" fontId="35" fillId="33" borderId="192"/>
    <xf numFmtId="0" fontId="35" fillId="0" borderId="203">
      <alignment horizontal="left" vertical="center" wrapText="1" indent="2"/>
    </xf>
    <xf numFmtId="0" fontId="35" fillId="0" borderId="195">
      <alignment horizontal="left" vertical="center" wrapText="1" indent="2"/>
    </xf>
    <xf numFmtId="0" fontId="51" fillId="0" borderId="209" applyNumberFormat="0" applyFill="0" applyAlignment="0" applyProtection="0"/>
    <xf numFmtId="0" fontId="12" fillId="25" borderId="0" applyNumberFormat="0" applyBorder="0" applyAlignment="0" applyProtection="0"/>
    <xf numFmtId="0" fontId="35" fillId="33" borderId="200"/>
    <xf numFmtId="0" fontId="35" fillId="0" borderId="200" applyNumberFormat="0" applyFill="0" applyAlignment="0" applyProtection="0"/>
    <xf numFmtId="0" fontId="46" fillId="56" borderId="197" applyNumberFormat="0" applyAlignment="0" applyProtection="0"/>
    <xf numFmtId="4" fontId="33" fillId="34" borderId="202">
      <alignment horizontal="right" vertical="center"/>
    </xf>
    <xf numFmtId="0" fontId="27" fillId="20" borderId="0" applyNumberFormat="0" applyBorder="0" applyAlignment="0" applyProtection="0"/>
    <xf numFmtId="4" fontId="33" fillId="32" borderId="192">
      <alignment horizontal="right" vertical="center"/>
    </xf>
    <xf numFmtId="0" fontId="33" fillId="32" borderId="192">
      <alignment horizontal="right" vertical="center"/>
    </xf>
    <xf numFmtId="0" fontId="33" fillId="34" borderId="192">
      <alignment horizontal="right" vertical="center"/>
    </xf>
    <xf numFmtId="4" fontId="35" fillId="0" borderId="211" applyFill="0" applyBorder="0" applyProtection="0">
      <alignment horizontal="right" vertical="center"/>
    </xf>
    <xf numFmtId="4" fontId="33" fillId="34" borderId="201">
      <alignment horizontal="right" vertical="center"/>
    </xf>
    <xf numFmtId="0" fontId="27" fillId="30" borderId="0" applyNumberFormat="0" applyBorder="0" applyAlignment="0" applyProtection="0"/>
    <xf numFmtId="0" fontId="63" fillId="56" borderId="196" applyNumberFormat="0" applyAlignment="0" applyProtection="0"/>
    <xf numFmtId="0" fontId="27" fillId="20" borderId="0" applyNumberFormat="0" applyBorder="0" applyAlignment="0" applyProtection="0"/>
    <xf numFmtId="49" fontId="35" fillId="0" borderId="192" applyNumberFormat="0" applyFont="0" applyFill="0" applyBorder="0" applyProtection="0">
      <alignment horizontal="left" vertical="center" indent="2"/>
    </xf>
    <xf numFmtId="0" fontId="41" fillId="59" borderId="191" applyNumberFormat="0" applyFont="0" applyAlignment="0" applyProtection="0"/>
    <xf numFmtId="173" fontId="35" fillId="60" borderId="192" applyNumberFormat="0" applyFont="0" applyBorder="0" applyAlignment="0" applyProtection="0">
      <alignment horizontal="right" vertical="center"/>
    </xf>
    <xf numFmtId="0" fontId="59" fillId="43" borderId="197" applyNumberFormat="0" applyAlignment="0" applyProtection="0"/>
    <xf numFmtId="0" fontId="33" fillId="34" borderId="192">
      <alignment horizontal="right" vertical="center"/>
    </xf>
    <xf numFmtId="0" fontId="35" fillId="33" borderId="192"/>
    <xf numFmtId="0" fontId="63" fillId="56" borderId="196" applyNumberFormat="0" applyAlignment="0" applyProtection="0"/>
    <xf numFmtId="0" fontId="47" fillId="56" borderId="197" applyNumberFormat="0" applyAlignment="0" applyProtection="0"/>
    <xf numFmtId="0" fontId="46" fillId="56" borderId="197" applyNumberFormat="0" applyAlignment="0" applyProtection="0"/>
    <xf numFmtId="0" fontId="50" fillId="43" borderId="197" applyNumberFormat="0" applyAlignment="0" applyProtection="0"/>
    <xf numFmtId="0" fontId="50" fillId="43" borderId="197" applyNumberFormat="0" applyAlignment="0" applyProtection="0"/>
    <xf numFmtId="0" fontId="35" fillId="0" borderId="195">
      <alignment horizontal="left" vertical="center" wrapText="1" indent="2"/>
    </xf>
    <xf numFmtId="4" fontId="33" fillId="34" borderId="193">
      <alignment horizontal="right" vertical="center"/>
    </xf>
    <xf numFmtId="4" fontId="35" fillId="0" borderId="192">
      <alignment horizontal="right" vertical="center"/>
    </xf>
    <xf numFmtId="49" fontId="34" fillId="0" borderId="192" applyNumberFormat="0" applyFill="0" applyBorder="0" applyProtection="0">
      <alignment horizontal="left" vertical="center"/>
    </xf>
    <xf numFmtId="4" fontId="35" fillId="0" borderId="192">
      <alignment horizontal="right" vertical="center"/>
    </xf>
    <xf numFmtId="0" fontId="63" fillId="56" borderId="196" applyNumberFormat="0" applyAlignment="0" applyProtection="0"/>
    <xf numFmtId="0" fontId="46" fillId="56" borderId="205" applyNumberFormat="0" applyAlignment="0" applyProtection="0"/>
    <xf numFmtId="0" fontId="33" fillId="34" borderId="212">
      <alignment horizontal="right" vertical="center"/>
    </xf>
    <xf numFmtId="0" fontId="35" fillId="32" borderId="201">
      <alignment horizontal="left" vertical="center"/>
    </xf>
    <xf numFmtId="0" fontId="27" fillId="15" borderId="0" applyNumberFormat="0" applyBorder="0" applyAlignment="0" applyProtection="0"/>
    <xf numFmtId="0" fontId="35" fillId="0" borderId="195">
      <alignment horizontal="left" vertical="center" wrapText="1" indent="2"/>
    </xf>
    <xf numFmtId="0" fontId="12" fillId="22" borderId="0" applyNumberFormat="0" applyBorder="0" applyAlignment="0" applyProtection="0"/>
    <xf numFmtId="4" fontId="33" fillId="34" borderId="200">
      <alignment horizontal="right" vertical="center"/>
    </xf>
    <xf numFmtId="0" fontId="35" fillId="34" borderId="203">
      <alignment horizontal="left" vertical="center" wrapText="1" indent="2"/>
    </xf>
    <xf numFmtId="49" fontId="35" fillId="0" borderId="200" applyNumberFormat="0" applyFont="0" applyFill="0" applyBorder="0" applyProtection="0">
      <alignment horizontal="left" vertical="center" indent="2"/>
    </xf>
    <xf numFmtId="0" fontId="66" fillId="0" borderId="209" applyNumberFormat="0" applyFill="0" applyAlignment="0" applyProtection="0"/>
    <xf numFmtId="0" fontId="35" fillId="34" borderId="214">
      <alignment horizontal="left" vertical="center" wrapText="1" indent="2"/>
    </xf>
    <xf numFmtId="0" fontId="37" fillId="32" borderId="200">
      <alignment horizontal="right" vertical="center"/>
    </xf>
    <xf numFmtId="0" fontId="41" fillId="59" borderId="191" applyNumberFormat="0" applyFont="0" applyAlignment="0" applyProtection="0"/>
    <xf numFmtId="0" fontId="33" fillId="32" borderId="192">
      <alignment horizontal="right" vertical="center"/>
    </xf>
    <xf numFmtId="0" fontId="12" fillId="19" borderId="0" applyNumberFormat="0" applyBorder="0" applyAlignment="0" applyProtection="0"/>
    <xf numFmtId="0" fontId="35" fillId="0" borderId="192" applyNumberFormat="0" applyFill="0" applyAlignment="0" applyProtection="0"/>
    <xf numFmtId="49" fontId="34" fillId="0" borderId="192" applyNumberFormat="0" applyFill="0" applyBorder="0" applyProtection="0">
      <alignment horizontal="left" vertical="center"/>
    </xf>
    <xf numFmtId="0" fontId="35" fillId="0" borderId="192">
      <alignment horizontal="right" vertical="center"/>
    </xf>
    <xf numFmtId="0" fontId="12" fillId="19" borderId="0" applyNumberFormat="0" applyBorder="0" applyAlignment="0" applyProtection="0"/>
    <xf numFmtId="4" fontId="33" fillId="34" borderId="200">
      <alignment horizontal="right" vertical="center"/>
    </xf>
    <xf numFmtId="0" fontId="33" fillId="34" borderId="200">
      <alignment horizontal="right" vertical="center"/>
    </xf>
    <xf numFmtId="4" fontId="33" fillId="32" borderId="192">
      <alignment horizontal="right" vertical="center"/>
    </xf>
    <xf numFmtId="0" fontId="47" fillId="56" borderId="197" applyNumberFormat="0" applyAlignment="0" applyProtection="0"/>
    <xf numFmtId="0" fontId="33" fillId="34" borderId="194">
      <alignment horizontal="right" vertical="center"/>
    </xf>
    <xf numFmtId="4" fontId="33" fillId="32" borderId="192">
      <alignment horizontal="right" vertical="center"/>
    </xf>
    <xf numFmtId="0" fontId="33" fillId="34" borderId="192">
      <alignment horizontal="right" vertical="center"/>
    </xf>
    <xf numFmtId="0" fontId="47" fillId="56" borderId="197" applyNumberFormat="0" applyAlignment="0" applyProtection="0"/>
    <xf numFmtId="0" fontId="66" fillId="0" borderId="206" applyNumberFormat="0" applyFill="0" applyAlignment="0" applyProtection="0"/>
    <xf numFmtId="0" fontId="29" fillId="13" borderId="14" applyNumberFormat="0" applyAlignment="0" applyProtection="0"/>
    <xf numFmtId="4" fontId="35" fillId="0" borderId="192" applyFill="0" applyBorder="0" applyProtection="0">
      <alignment horizontal="right" vertical="center"/>
    </xf>
    <xf numFmtId="0" fontId="41" fillId="59" borderId="191" applyNumberFormat="0" applyFont="0" applyAlignment="0" applyProtection="0"/>
    <xf numFmtId="49" fontId="35" fillId="0" borderId="200" applyNumberFormat="0" applyFont="0" applyFill="0" applyBorder="0" applyProtection="0">
      <alignment horizontal="left" vertical="center" indent="2"/>
    </xf>
    <xf numFmtId="49" fontId="35" fillId="0" borderId="200" applyNumberFormat="0" applyFont="0" applyFill="0" applyBorder="0" applyProtection="0">
      <alignment horizontal="left" vertical="center" indent="2"/>
    </xf>
    <xf numFmtId="0" fontId="27" fillId="21" borderId="0" applyNumberFormat="0" applyBorder="0" applyAlignment="0" applyProtection="0"/>
    <xf numFmtId="0" fontId="33" fillId="34" borderId="200">
      <alignment horizontal="right" vertical="center"/>
    </xf>
    <xf numFmtId="0" fontId="5" fillId="59" borderId="199" applyNumberFormat="0" applyFont="0" applyAlignment="0" applyProtection="0"/>
    <xf numFmtId="0" fontId="33" fillId="32" borderId="192">
      <alignment horizontal="right" vertical="center"/>
    </xf>
    <xf numFmtId="0" fontId="51" fillId="0" borderId="198" applyNumberFormat="0" applyFill="0" applyAlignment="0" applyProtection="0"/>
    <xf numFmtId="0" fontId="35" fillId="0" borderId="192" applyNumberFormat="0" applyFill="0" applyAlignment="0" applyProtection="0"/>
    <xf numFmtId="0" fontId="51" fillId="0" borderId="198" applyNumberFormat="0" applyFill="0" applyAlignment="0" applyProtection="0"/>
    <xf numFmtId="4" fontId="35" fillId="0" borderId="192" applyFill="0" applyBorder="0" applyProtection="0">
      <alignment horizontal="right" vertical="center"/>
    </xf>
    <xf numFmtId="49" fontId="35" fillId="0" borderId="193" applyNumberFormat="0" applyFont="0" applyFill="0" applyBorder="0" applyProtection="0">
      <alignment horizontal="left" vertical="center" indent="5"/>
    </xf>
    <xf numFmtId="0" fontId="35" fillId="0" borderId="192" applyNumberFormat="0" applyFill="0" applyAlignment="0" applyProtection="0"/>
    <xf numFmtId="0" fontId="33" fillId="34" borderId="200">
      <alignment horizontal="right" vertical="center"/>
    </xf>
    <xf numFmtId="0" fontId="35" fillId="0" borderId="192" applyNumberFormat="0" applyFill="0" applyAlignment="0" applyProtection="0"/>
    <xf numFmtId="0" fontId="44" fillId="56" borderId="215" applyNumberFormat="0" applyAlignment="0" applyProtection="0"/>
    <xf numFmtId="0" fontId="35" fillId="0" borderId="200" applyNumberFormat="0" applyFill="0" applyAlignment="0" applyProtection="0"/>
    <xf numFmtId="4" fontId="33" fillId="34" borderId="192">
      <alignment horizontal="right" vertical="center"/>
    </xf>
    <xf numFmtId="173" fontId="35" fillId="60" borderId="200" applyNumberFormat="0" applyFont="0" applyBorder="0" applyAlignment="0" applyProtection="0">
      <alignment horizontal="right" vertical="center"/>
    </xf>
    <xf numFmtId="0" fontId="33" fillId="34" borderId="211">
      <alignment horizontal="right" vertical="center"/>
    </xf>
    <xf numFmtId="0" fontId="12" fillId="22" borderId="0" applyNumberFormat="0" applyBorder="0" applyAlignment="0" applyProtection="0"/>
    <xf numFmtId="0" fontId="66" fillId="0" borderId="209" applyNumberFormat="0" applyFill="0" applyAlignment="0" applyProtection="0"/>
    <xf numFmtId="0" fontId="50" fillId="43" borderId="197" applyNumberFormat="0" applyAlignment="0" applyProtection="0"/>
    <xf numFmtId="0" fontId="47" fillId="56" borderId="197" applyNumberFormat="0" applyAlignment="0" applyProtection="0"/>
    <xf numFmtId="4" fontId="35" fillId="0" borderId="192">
      <alignment horizontal="right" vertical="center"/>
    </xf>
    <xf numFmtId="0" fontId="35" fillId="34" borderId="195">
      <alignment horizontal="left" vertical="center" wrapText="1" indent="2"/>
    </xf>
    <xf numFmtId="0" fontId="35" fillId="0" borderId="195">
      <alignment horizontal="left" vertical="center" wrapText="1" indent="2"/>
    </xf>
    <xf numFmtId="0" fontId="63" fillId="56" borderId="196" applyNumberFormat="0" applyAlignment="0" applyProtection="0"/>
    <xf numFmtId="0" fontId="59" fillId="43" borderId="197" applyNumberFormat="0" applyAlignment="0" applyProtection="0"/>
    <xf numFmtId="0" fontId="46" fillId="56" borderId="197" applyNumberFormat="0" applyAlignment="0" applyProtection="0"/>
    <xf numFmtId="0" fontId="44" fillId="56" borderId="196" applyNumberFormat="0" applyAlignment="0" applyProtection="0"/>
    <xf numFmtId="0" fontId="33" fillId="34" borderId="194">
      <alignment horizontal="right" vertical="center"/>
    </xf>
    <xf numFmtId="0" fontId="37" fillId="32" borderId="192">
      <alignment horizontal="right" vertical="center"/>
    </xf>
    <xf numFmtId="4" fontId="33" fillId="32" borderId="192">
      <alignment horizontal="right" vertical="center"/>
    </xf>
    <xf numFmtId="4" fontId="33" fillId="34" borderId="192">
      <alignment horizontal="right" vertical="center"/>
    </xf>
    <xf numFmtId="49" fontId="35" fillId="0" borderId="193" applyNumberFormat="0" applyFont="0" applyFill="0" applyBorder="0" applyProtection="0">
      <alignment horizontal="left" vertical="center" indent="5"/>
    </xf>
    <xf numFmtId="4" fontId="35" fillId="0" borderId="192" applyFill="0" applyBorder="0" applyProtection="0">
      <alignment horizontal="right" vertical="center"/>
    </xf>
    <xf numFmtId="4" fontId="33" fillId="32" borderId="192">
      <alignment horizontal="right" vertical="center"/>
    </xf>
    <xf numFmtId="0" fontId="59" fillId="43" borderId="197" applyNumberFormat="0" applyAlignment="0" applyProtection="0"/>
    <xf numFmtId="0" fontId="50" fillId="43" borderId="197" applyNumberFormat="0" applyAlignment="0" applyProtection="0"/>
    <xf numFmtId="0" fontId="46" fillId="56" borderId="197" applyNumberFormat="0" applyAlignment="0" applyProtection="0"/>
    <xf numFmtId="0" fontId="35" fillId="34" borderId="195">
      <alignment horizontal="left" vertical="center" wrapText="1" indent="2"/>
    </xf>
    <xf numFmtId="0" fontId="35" fillId="0" borderId="195">
      <alignment horizontal="left" vertical="center" wrapText="1" indent="2"/>
    </xf>
    <xf numFmtId="0" fontId="35" fillId="34" borderId="195">
      <alignment horizontal="left" vertical="center" wrapText="1" indent="2"/>
    </xf>
    <xf numFmtId="0" fontId="33" fillId="32" borderId="200">
      <alignment horizontal="right" vertical="center"/>
    </xf>
    <xf numFmtId="0" fontId="59" fillId="43" borderId="205" applyNumberFormat="0" applyAlignment="0" applyProtection="0"/>
    <xf numFmtId="0" fontId="63" fillId="56" borderId="204" applyNumberFormat="0" applyAlignment="0" applyProtection="0"/>
    <xf numFmtId="0" fontId="66" fillId="0" borderId="206" applyNumberFormat="0" applyFill="0" applyAlignment="0" applyProtection="0"/>
    <xf numFmtId="4" fontId="35" fillId="33" borderId="211"/>
    <xf numFmtId="4" fontId="35" fillId="0" borderId="200" applyFill="0" applyBorder="0" applyProtection="0">
      <alignment horizontal="right" vertical="center"/>
    </xf>
    <xf numFmtId="0" fontId="33" fillId="34" borderId="200">
      <alignment horizontal="right" vertical="center"/>
    </xf>
    <xf numFmtId="0" fontId="47" fillId="56" borderId="205" applyNumberFormat="0" applyAlignment="0" applyProtection="0"/>
    <xf numFmtId="0" fontId="66" fillId="0" borderId="206" applyNumberFormat="0" applyFill="0" applyAlignment="0" applyProtection="0"/>
    <xf numFmtId="4" fontId="37" fillId="32" borderId="200">
      <alignment horizontal="right" vertical="center"/>
    </xf>
    <xf numFmtId="0" fontId="33" fillId="34" borderId="200">
      <alignment horizontal="right" vertical="center"/>
    </xf>
    <xf numFmtId="0" fontId="63" fillId="56" borderId="204" applyNumberFormat="0" applyAlignment="0" applyProtection="0"/>
    <xf numFmtId="0" fontId="33" fillId="34" borderId="200">
      <alignment horizontal="right" vertical="center"/>
    </xf>
    <xf numFmtId="173" fontId="35" fillId="60" borderId="200" applyNumberFormat="0" applyFont="0" applyBorder="0" applyAlignment="0" applyProtection="0">
      <alignment horizontal="right" vertical="center"/>
    </xf>
    <xf numFmtId="4" fontId="37" fillId="32" borderId="200">
      <alignment horizontal="right" vertical="center"/>
    </xf>
    <xf numFmtId="49" fontId="35" fillId="0" borderId="200" applyNumberFormat="0" applyFont="0" applyFill="0" applyBorder="0" applyProtection="0">
      <alignment horizontal="left" vertical="center" indent="2"/>
    </xf>
    <xf numFmtId="0" fontId="41" fillId="59" borderId="210" applyNumberFormat="0" applyFont="0" applyAlignment="0" applyProtection="0"/>
    <xf numFmtId="0" fontId="59" fillId="43" borderId="208" applyNumberFormat="0" applyAlignment="0" applyProtection="0"/>
    <xf numFmtId="49" fontId="34" fillId="0" borderId="211" applyNumberFormat="0" applyFill="0" applyBorder="0" applyProtection="0">
      <alignment horizontal="left" vertical="center"/>
    </xf>
    <xf numFmtId="0" fontId="27" fillId="18" borderId="0" applyNumberFormat="0" applyBorder="0" applyAlignment="0" applyProtection="0"/>
    <xf numFmtId="0" fontId="27" fillId="30" borderId="0" applyNumberFormat="0" applyBorder="0" applyAlignment="0" applyProtection="0"/>
    <xf numFmtId="4" fontId="33" fillId="34" borderId="211">
      <alignment horizontal="right" vertical="center"/>
    </xf>
    <xf numFmtId="0" fontId="27" fillId="23" borderId="0" applyNumberFormat="0" applyBorder="0" applyAlignment="0" applyProtection="0"/>
    <xf numFmtId="0" fontId="12" fillId="28" borderId="0" applyNumberFormat="0" applyBorder="0" applyAlignment="0" applyProtection="0"/>
    <xf numFmtId="0" fontId="27" fillId="15" borderId="0" applyNumberFormat="0" applyBorder="0" applyAlignment="0" applyProtection="0"/>
    <xf numFmtId="0" fontId="12" fillId="16" borderId="0" applyNumberFormat="0" applyBorder="0" applyAlignment="0" applyProtection="0"/>
    <xf numFmtId="0" fontId="37" fillId="32" borderId="211">
      <alignment horizontal="right" vertical="center"/>
    </xf>
    <xf numFmtId="0" fontId="47" fillId="56" borderId="208" applyNumberFormat="0" applyAlignment="0" applyProtection="0"/>
    <xf numFmtId="0" fontId="66" fillId="0" borderId="209" applyNumberFormat="0" applyFill="0" applyAlignment="0" applyProtection="0"/>
    <xf numFmtId="0" fontId="46" fillId="56" borderId="208" applyNumberFormat="0" applyAlignment="0" applyProtection="0"/>
    <xf numFmtId="0" fontId="33" fillId="32" borderId="200">
      <alignment horizontal="right" vertical="center"/>
    </xf>
    <xf numFmtId="0" fontId="59" fillId="43" borderId="205" applyNumberFormat="0" applyAlignment="0" applyProtection="0"/>
    <xf numFmtId="4" fontId="33" fillId="34" borderId="211">
      <alignment horizontal="right" vertical="center"/>
    </xf>
    <xf numFmtId="4" fontId="35" fillId="0" borderId="200" applyFill="0" applyBorder="0" applyProtection="0">
      <alignment horizontal="right" vertical="center"/>
    </xf>
    <xf numFmtId="0" fontId="51" fillId="0" borderId="209" applyNumberFormat="0" applyFill="0" applyAlignment="0" applyProtection="0"/>
    <xf numFmtId="0" fontId="66" fillId="0" borderId="209" applyNumberFormat="0" applyFill="0" applyAlignment="0" applyProtection="0"/>
    <xf numFmtId="0" fontId="35" fillId="33" borderId="200"/>
    <xf numFmtId="0" fontId="41" fillId="59" borderId="210" applyNumberFormat="0" applyFont="0" applyAlignment="0" applyProtection="0"/>
    <xf numFmtId="0" fontId="35" fillId="33" borderId="200"/>
    <xf numFmtId="173" fontId="35" fillId="60" borderId="200" applyNumberFormat="0" applyFont="0" applyBorder="0" applyAlignment="0" applyProtection="0">
      <alignment horizontal="right" vertical="center"/>
    </xf>
    <xf numFmtId="0" fontId="27" fillId="18" borderId="0" applyNumberFormat="0" applyBorder="0" applyAlignment="0" applyProtection="0"/>
    <xf numFmtId="0" fontId="33" fillId="32" borderId="200">
      <alignment horizontal="right" vertical="center"/>
    </xf>
    <xf numFmtId="0" fontId="30" fillId="13" borderId="13" applyNumberFormat="0" applyAlignment="0" applyProtection="0"/>
    <xf numFmtId="0" fontId="27" fillId="24" borderId="0" applyNumberFormat="0" applyBorder="0" applyAlignment="0" applyProtection="0"/>
    <xf numFmtId="0" fontId="27" fillId="30" borderId="0" applyNumberFormat="0" applyBorder="0" applyAlignment="0" applyProtection="0"/>
    <xf numFmtId="0" fontId="27" fillId="30" borderId="0" applyNumberFormat="0" applyBorder="0" applyAlignment="0" applyProtection="0"/>
    <xf numFmtId="49" fontId="35" fillId="0" borderId="201" applyNumberFormat="0" applyFont="0" applyFill="0" applyBorder="0" applyProtection="0">
      <alignment horizontal="left" vertical="center" indent="5"/>
    </xf>
    <xf numFmtId="49" fontId="34" fillId="0" borderId="200" applyNumberFormat="0" applyFill="0" applyBorder="0" applyProtection="0">
      <alignment horizontal="left" vertical="center"/>
    </xf>
    <xf numFmtId="0" fontId="37" fillId="32" borderId="200">
      <alignment horizontal="right" vertical="center"/>
    </xf>
    <xf numFmtId="0" fontId="35" fillId="0" borderId="203">
      <alignment horizontal="left" vertical="center" wrapText="1" indent="2"/>
    </xf>
    <xf numFmtId="0" fontId="35" fillId="0" borderId="203">
      <alignment horizontal="left" vertical="center" wrapText="1" indent="2"/>
    </xf>
    <xf numFmtId="0" fontId="63" fillId="56" borderId="204" applyNumberFormat="0" applyAlignment="0" applyProtection="0"/>
    <xf numFmtId="4" fontId="33" fillId="34" borderId="212">
      <alignment horizontal="right" vertical="center"/>
    </xf>
    <xf numFmtId="4" fontId="33" fillId="34" borderId="211">
      <alignment horizontal="right" vertical="center"/>
    </xf>
    <xf numFmtId="0" fontId="66" fillId="0" borderId="206" applyNumberFormat="0" applyFill="0" applyAlignment="0" applyProtection="0"/>
    <xf numFmtId="49" fontId="35" fillId="0" borderId="211" applyNumberFormat="0" applyFont="0" applyFill="0" applyBorder="0" applyProtection="0">
      <alignment horizontal="left" vertical="center" indent="2"/>
    </xf>
    <xf numFmtId="0" fontId="33" fillId="34" borderId="212">
      <alignment horizontal="right" vertical="center"/>
    </xf>
    <xf numFmtId="0" fontId="63" fillId="56" borderId="215" applyNumberFormat="0" applyAlignment="0" applyProtection="0"/>
    <xf numFmtId="0" fontId="27" fillId="15" borderId="0" applyNumberFormat="0" applyBorder="0" applyAlignment="0" applyProtection="0"/>
    <xf numFmtId="0" fontId="63" fillId="56" borderId="204" applyNumberFormat="0" applyAlignment="0" applyProtection="0"/>
    <xf numFmtId="0" fontId="59" fillId="43" borderId="208" applyNumberFormat="0" applyAlignment="0" applyProtection="0"/>
    <xf numFmtId="0" fontId="27" fillId="21" borderId="0" applyNumberFormat="0" applyBorder="0" applyAlignment="0" applyProtection="0"/>
    <xf numFmtId="0" fontId="59" fillId="43" borderId="205" applyNumberFormat="0" applyAlignment="0" applyProtection="0"/>
    <xf numFmtId="0" fontId="44" fillId="56" borderId="204" applyNumberFormat="0" applyAlignment="0" applyProtection="0"/>
    <xf numFmtId="0" fontId="12" fillId="22" borderId="0" applyNumberFormat="0" applyBorder="0" applyAlignment="0" applyProtection="0"/>
    <xf numFmtId="0" fontId="27" fillId="21" borderId="0" applyNumberFormat="0" applyBorder="0" applyAlignment="0" applyProtection="0"/>
    <xf numFmtId="0" fontId="33" fillId="32" borderId="200">
      <alignment horizontal="right" vertical="center"/>
    </xf>
    <xf numFmtId="0" fontId="46" fillId="56" borderId="205" applyNumberFormat="0" applyAlignment="0" applyProtection="0"/>
    <xf numFmtId="49" fontId="34" fillId="0" borderId="200" applyNumberFormat="0" applyFill="0" applyBorder="0" applyProtection="0">
      <alignment horizontal="left" vertical="center"/>
    </xf>
    <xf numFmtId="0" fontId="12" fillId="31" borderId="0" applyNumberFormat="0" applyBorder="0" applyAlignment="0" applyProtection="0"/>
    <xf numFmtId="0" fontId="66" fillId="0" borderId="206" applyNumberFormat="0" applyFill="0" applyAlignment="0" applyProtection="0"/>
    <xf numFmtId="4" fontId="37" fillId="32" borderId="200">
      <alignment horizontal="right" vertical="center"/>
    </xf>
    <xf numFmtId="0" fontId="5" fillId="59" borderId="199" applyNumberFormat="0" applyFont="0" applyAlignment="0" applyProtection="0"/>
    <xf numFmtId="4" fontId="35" fillId="0" borderId="200">
      <alignment horizontal="right" vertical="center"/>
    </xf>
    <xf numFmtId="0" fontId="33" fillId="34" borderId="213">
      <alignment horizontal="right" vertical="center"/>
    </xf>
    <xf numFmtId="0" fontId="27" fillId="20" borderId="0" applyNumberFormat="0" applyBorder="0" applyAlignment="0" applyProtection="0"/>
    <xf numFmtId="0" fontId="51" fillId="0" borderId="206" applyNumberFormat="0" applyFill="0" applyAlignment="0" applyProtection="0"/>
    <xf numFmtId="0" fontId="66" fillId="0" borderId="206" applyNumberFormat="0" applyFill="0" applyAlignment="0" applyProtection="0"/>
    <xf numFmtId="0" fontId="12" fillId="19" borderId="0" applyNumberFormat="0" applyBorder="0" applyAlignment="0" applyProtection="0"/>
    <xf numFmtId="0" fontId="47" fillId="56" borderId="205" applyNumberFormat="0" applyAlignment="0" applyProtection="0"/>
    <xf numFmtId="49" fontId="35" fillId="0" borderId="201" applyNumberFormat="0" applyFont="0" applyFill="0" applyBorder="0" applyProtection="0">
      <alignment horizontal="left" vertical="center" indent="5"/>
    </xf>
    <xf numFmtId="0" fontId="66" fillId="0" borderId="206" applyNumberFormat="0" applyFill="0" applyAlignment="0" applyProtection="0"/>
    <xf numFmtId="0" fontId="27" fillId="23" borderId="0" applyNumberFormat="0" applyBorder="0" applyAlignment="0" applyProtection="0"/>
    <xf numFmtId="0" fontId="35" fillId="0" borderId="214">
      <alignment horizontal="left" vertical="center" wrapText="1" indent="2"/>
    </xf>
    <xf numFmtId="4" fontId="37" fillId="32" borderId="211">
      <alignment horizontal="right" vertical="center"/>
    </xf>
    <xf numFmtId="0" fontId="41" fillId="59" borderId="199" applyNumberFormat="0" applyFont="0" applyAlignment="0" applyProtection="0"/>
    <xf numFmtId="4" fontId="35" fillId="33" borderId="211"/>
    <xf numFmtId="0" fontId="59" fillId="43" borderId="205" applyNumberFormat="0" applyAlignment="0" applyProtection="0"/>
    <xf numFmtId="4" fontId="33" fillId="34" borderId="202">
      <alignment horizontal="right" vertical="center"/>
    </xf>
    <xf numFmtId="0" fontId="12" fillId="25" borderId="0" applyNumberFormat="0" applyBorder="0" applyAlignment="0" applyProtection="0"/>
    <xf numFmtId="4" fontId="35" fillId="0" borderId="200">
      <alignment horizontal="right" vertical="center"/>
    </xf>
    <xf numFmtId="0" fontId="59" fillId="43" borderId="205" applyNumberFormat="0" applyAlignment="0" applyProtection="0"/>
    <xf numFmtId="0" fontId="27" fillId="17" borderId="0" applyNumberFormat="0" applyBorder="0" applyAlignment="0" applyProtection="0"/>
    <xf numFmtId="0" fontId="51" fillId="0" borderId="206" applyNumberFormat="0" applyFill="0" applyAlignment="0" applyProtection="0"/>
    <xf numFmtId="0" fontId="12" fillId="28" borderId="0" applyNumberFormat="0" applyBorder="0" applyAlignment="0" applyProtection="0"/>
    <xf numFmtId="0" fontId="66" fillId="0" borderId="206" applyNumberFormat="0" applyFill="0" applyAlignment="0" applyProtection="0"/>
    <xf numFmtId="0" fontId="27" fillId="26" borderId="0" applyNumberFormat="0" applyBorder="0" applyAlignment="0" applyProtection="0"/>
    <xf numFmtId="173" fontId="35" fillId="60" borderId="200" applyNumberFormat="0" applyFont="0" applyBorder="0" applyAlignment="0" applyProtection="0">
      <alignment horizontal="right" vertical="center"/>
    </xf>
    <xf numFmtId="0" fontId="44" fillId="56" borderId="215" applyNumberFormat="0" applyAlignment="0" applyProtection="0"/>
    <xf numFmtId="0" fontId="35" fillId="0" borderId="203">
      <alignment horizontal="left" vertical="center" wrapText="1" indent="2"/>
    </xf>
    <xf numFmtId="0" fontId="50" fillId="43" borderId="208" applyNumberFormat="0" applyAlignment="0" applyProtection="0"/>
    <xf numFmtId="0" fontId="35" fillId="33" borderId="200"/>
    <xf numFmtId="0" fontId="35" fillId="0" borderId="214">
      <alignment horizontal="left" vertical="center" wrapText="1" indent="2"/>
    </xf>
    <xf numFmtId="0" fontId="35" fillId="34" borderId="203">
      <alignment horizontal="left" vertical="center" wrapText="1" indent="2"/>
    </xf>
    <xf numFmtId="0" fontId="44" fillId="56" borderId="215" applyNumberFormat="0" applyAlignment="0" applyProtection="0"/>
    <xf numFmtId="173" fontId="35" fillId="60" borderId="200" applyNumberFormat="0" applyFont="0" applyBorder="0" applyAlignment="0" applyProtection="0">
      <alignment horizontal="right" vertical="center"/>
    </xf>
    <xf numFmtId="4" fontId="35" fillId="0" borderId="200">
      <alignment horizontal="right" vertical="center"/>
    </xf>
    <xf numFmtId="0" fontId="47" fillId="56" borderId="205" applyNumberFormat="0" applyAlignment="0" applyProtection="0"/>
    <xf numFmtId="0" fontId="12" fillId="25" borderId="0" applyNumberFormat="0" applyBorder="0" applyAlignment="0" applyProtection="0"/>
    <xf numFmtId="0" fontId="35" fillId="0" borderId="203">
      <alignment horizontal="left" vertical="center" wrapText="1" indent="2"/>
    </xf>
    <xf numFmtId="0" fontId="12" fillId="22" borderId="0" applyNumberFormat="0" applyBorder="0" applyAlignment="0" applyProtection="0"/>
    <xf numFmtId="0" fontId="63" fillId="56" borderId="215" applyNumberFormat="0" applyAlignment="0" applyProtection="0"/>
    <xf numFmtId="0" fontId="44" fillId="56" borderId="204" applyNumberFormat="0" applyAlignment="0" applyProtection="0"/>
    <xf numFmtId="173" fontId="35" fillId="60" borderId="211" applyNumberFormat="0" applyFont="0" applyBorder="0" applyAlignment="0" applyProtection="0">
      <alignment horizontal="right" vertical="center"/>
    </xf>
    <xf numFmtId="4" fontId="33" fillId="34" borderId="211">
      <alignment horizontal="right" vertical="center"/>
    </xf>
    <xf numFmtId="0" fontId="66" fillId="0" borderId="209" applyNumberFormat="0" applyFill="0" applyAlignment="0" applyProtection="0"/>
    <xf numFmtId="49" fontId="35" fillId="0" borderId="201" applyNumberFormat="0" applyFont="0" applyFill="0" applyBorder="0" applyProtection="0">
      <alignment horizontal="left" vertical="center" indent="5"/>
    </xf>
    <xf numFmtId="0" fontId="35" fillId="0" borderId="211" applyNumberFormat="0" applyFill="0" applyAlignment="0" applyProtection="0"/>
    <xf numFmtId="0" fontId="66" fillId="0" borderId="206" applyNumberFormat="0" applyFill="0" applyAlignment="0" applyProtection="0"/>
    <xf numFmtId="0" fontId="35" fillId="0" borderId="203">
      <alignment horizontal="left" vertical="center" wrapText="1" indent="2"/>
    </xf>
    <xf numFmtId="0" fontId="63" fillId="56" borderId="215" applyNumberFormat="0" applyAlignment="0" applyProtection="0"/>
    <xf numFmtId="0" fontId="33" fillId="34" borderId="213">
      <alignment horizontal="right" vertical="center"/>
    </xf>
    <xf numFmtId="0" fontId="35" fillId="0" borderId="214">
      <alignment horizontal="left" vertical="center" wrapText="1" indent="2"/>
    </xf>
    <xf numFmtId="0" fontId="35" fillId="0" borderId="200">
      <alignment horizontal="right" vertical="center"/>
    </xf>
    <xf numFmtId="0" fontId="27" fillId="14" borderId="0" applyNumberFormat="0" applyBorder="0" applyAlignment="0" applyProtection="0"/>
    <xf numFmtId="0" fontId="50" fillId="43" borderId="208" applyNumberFormat="0" applyAlignment="0" applyProtection="0"/>
    <xf numFmtId="173" fontId="35" fillId="60" borderId="211" applyNumberFormat="0" applyFont="0" applyBorder="0" applyAlignment="0" applyProtection="0">
      <alignment horizontal="right" vertical="center"/>
    </xf>
    <xf numFmtId="0" fontId="33" fillId="32" borderId="211">
      <alignment horizontal="right" vertical="center"/>
    </xf>
    <xf numFmtId="0" fontId="66" fillId="0" borderId="209" applyNumberFormat="0" applyFill="0" applyAlignment="0" applyProtection="0"/>
    <xf numFmtId="0" fontId="27" fillId="26" borderId="0" applyNumberFormat="0" applyBorder="0" applyAlignment="0" applyProtection="0"/>
    <xf numFmtId="0" fontId="46" fillId="56" borderId="208" applyNumberFormat="0" applyAlignment="0" applyProtection="0"/>
    <xf numFmtId="0" fontId="27" fillId="29" borderId="0" applyNumberFormat="0" applyBorder="0" applyAlignment="0" applyProtection="0"/>
    <xf numFmtId="0" fontId="66" fillId="0" borderId="206" applyNumberFormat="0" applyFill="0" applyAlignment="0" applyProtection="0"/>
    <xf numFmtId="0" fontId="59" fillId="43" borderId="205" applyNumberFormat="0" applyAlignment="0" applyProtection="0"/>
    <xf numFmtId="0" fontId="37" fillId="32" borderId="200">
      <alignment horizontal="right" vertical="center"/>
    </xf>
    <xf numFmtId="0" fontId="2" fillId="0" borderId="15" applyNumberFormat="0" applyFill="0" applyAlignment="0" applyProtection="0"/>
    <xf numFmtId="0" fontId="63" fillId="56" borderId="204" applyNumberFormat="0" applyAlignment="0" applyProtection="0"/>
    <xf numFmtId="4" fontId="33" fillId="34" borderId="212">
      <alignment horizontal="right" vertical="center"/>
    </xf>
    <xf numFmtId="0" fontId="27" fillId="24" borderId="0" applyNumberFormat="0" applyBorder="0" applyAlignment="0" applyProtection="0"/>
    <xf numFmtId="0" fontId="46" fillId="56" borderId="208" applyNumberFormat="0" applyAlignment="0" applyProtection="0"/>
    <xf numFmtId="0" fontId="47" fillId="56" borderId="208" applyNumberFormat="0" applyAlignment="0" applyProtection="0"/>
    <xf numFmtId="0" fontId="27" fillId="20" borderId="0" applyNumberFormat="0" applyBorder="0" applyAlignment="0" applyProtection="0"/>
    <xf numFmtId="0" fontId="12" fillId="31" borderId="0" applyNumberFormat="0" applyBorder="0" applyAlignment="0" applyProtection="0"/>
    <xf numFmtId="0" fontId="66" fillId="0" borderId="209" applyNumberFormat="0" applyFill="0" applyAlignment="0" applyProtection="0"/>
    <xf numFmtId="4" fontId="33" fillId="32" borderId="200">
      <alignment horizontal="right" vertical="center"/>
    </xf>
    <xf numFmtId="0" fontId="66" fillId="0" borderId="206" applyNumberFormat="0" applyFill="0" applyAlignment="0" applyProtection="0"/>
    <xf numFmtId="4" fontId="33" fillId="34" borderId="200">
      <alignment horizontal="right" vertical="center"/>
    </xf>
    <xf numFmtId="0" fontId="35" fillId="34" borderId="203">
      <alignment horizontal="left" vertical="center" wrapText="1" indent="2"/>
    </xf>
    <xf numFmtId="0" fontId="27" fillId="21" borderId="0" applyNumberFormat="0" applyBorder="0" applyAlignment="0" applyProtection="0"/>
    <xf numFmtId="0" fontId="47" fillId="56" borderId="208" applyNumberFormat="0" applyAlignment="0" applyProtection="0"/>
    <xf numFmtId="49" fontId="35" fillId="0" borderId="211" applyNumberFormat="0" applyFont="0" applyFill="0" applyBorder="0" applyProtection="0">
      <alignment horizontal="left" vertical="center" indent="2"/>
    </xf>
    <xf numFmtId="4" fontId="33" fillId="32" borderId="211">
      <alignment horizontal="right" vertical="center"/>
    </xf>
    <xf numFmtId="0" fontId="35" fillId="0" borderId="211">
      <alignment horizontal="right" vertical="center"/>
    </xf>
    <xf numFmtId="0" fontId="35" fillId="0" borderId="214">
      <alignment horizontal="left" vertical="center" wrapText="1" indent="2"/>
    </xf>
    <xf numFmtId="4" fontId="33" fillId="34" borderId="213">
      <alignment horizontal="right" vertical="center"/>
    </xf>
    <xf numFmtId="0" fontId="27" fillId="30" borderId="0" applyNumberFormat="0" applyBorder="0" applyAlignment="0" applyProtection="0"/>
    <xf numFmtId="0" fontId="35" fillId="0" borderId="200">
      <alignment horizontal="right" vertical="center"/>
    </xf>
    <xf numFmtId="0" fontId="2" fillId="0" borderId="15" applyNumberFormat="0" applyFill="0" applyAlignment="0" applyProtection="0"/>
    <xf numFmtId="0" fontId="35" fillId="34" borderId="203">
      <alignment horizontal="left" vertical="center" wrapText="1" indent="2"/>
    </xf>
    <xf numFmtId="0" fontId="27" fillId="29" borderId="0" applyNumberFormat="0" applyBorder="0" applyAlignment="0" applyProtection="0"/>
    <xf numFmtId="0" fontId="33" fillId="34" borderId="201">
      <alignment horizontal="right" vertical="center"/>
    </xf>
    <xf numFmtId="0" fontId="41" fillId="59" borderId="199" applyNumberFormat="0" applyFont="0" applyAlignment="0" applyProtection="0"/>
    <xf numFmtId="0" fontId="33" fillId="34" borderId="211">
      <alignment horizontal="right" vertical="center"/>
    </xf>
    <xf numFmtId="0" fontId="27" fillId="29" borderId="0" applyNumberFormat="0" applyBorder="0" applyAlignment="0" applyProtection="0"/>
    <xf numFmtId="4" fontId="35" fillId="33" borderId="200"/>
    <xf numFmtId="0" fontId="50" fillId="43" borderId="205" applyNumberFormat="0" applyAlignment="0" applyProtection="0"/>
    <xf numFmtId="0" fontId="35" fillId="0" borderId="203">
      <alignment horizontal="left" vertical="center" wrapText="1" indent="2"/>
    </xf>
    <xf numFmtId="0" fontId="12" fillId="25" borderId="0" applyNumberFormat="0" applyBorder="0" applyAlignment="0" applyProtection="0"/>
    <xf numFmtId="0" fontId="51" fillId="0" borderId="206" applyNumberFormat="0" applyFill="0" applyAlignment="0" applyProtection="0"/>
    <xf numFmtId="4" fontId="33" fillId="34" borderId="200">
      <alignment horizontal="right" vertical="center"/>
    </xf>
    <xf numFmtId="0" fontId="35" fillId="0" borderId="200" applyNumberFormat="0" applyFill="0" applyAlignment="0" applyProtection="0"/>
    <xf numFmtId="0" fontId="33" fillId="32" borderId="211">
      <alignment horizontal="right" vertical="center"/>
    </xf>
    <xf numFmtId="0" fontId="35" fillId="0" borderId="200">
      <alignment horizontal="right" vertical="center"/>
    </xf>
    <xf numFmtId="0" fontId="35" fillId="0" borderId="200">
      <alignment horizontal="right" vertical="center"/>
    </xf>
    <xf numFmtId="4" fontId="33" fillId="32" borderId="200">
      <alignment horizontal="right" vertical="center"/>
    </xf>
    <xf numFmtId="4" fontId="35" fillId="33" borderId="200"/>
    <xf numFmtId="0" fontId="41" fillId="59" borderId="199" applyNumberFormat="0" applyFont="0" applyAlignment="0" applyProtection="0"/>
    <xf numFmtId="0" fontId="5" fillId="59" borderId="199" applyNumberFormat="0" applyFont="0" applyAlignment="0" applyProtection="0"/>
    <xf numFmtId="4" fontId="35" fillId="0" borderId="200" applyFill="0" applyBorder="0" applyProtection="0">
      <alignment horizontal="right" vertical="center"/>
    </xf>
    <xf numFmtId="49" fontId="35" fillId="0" borderId="200" applyNumberFormat="0" applyFont="0" applyFill="0" applyBorder="0" applyProtection="0">
      <alignment horizontal="left" vertical="center" indent="2"/>
    </xf>
    <xf numFmtId="0" fontId="27" fillId="24" borderId="0" applyNumberFormat="0" applyBorder="0" applyAlignment="0" applyProtection="0"/>
    <xf numFmtId="0" fontId="47" fillId="56" borderId="208" applyNumberFormat="0" applyAlignment="0" applyProtection="0"/>
    <xf numFmtId="0" fontId="41" fillId="59" borderId="199" applyNumberFormat="0" applyFont="0" applyAlignment="0" applyProtection="0"/>
    <xf numFmtId="0" fontId="47" fillId="56" borderId="208" applyNumberFormat="0" applyAlignment="0" applyProtection="0"/>
    <xf numFmtId="0" fontId="27" fillId="26" borderId="0" applyNumberFormat="0" applyBorder="0" applyAlignment="0" applyProtection="0"/>
    <xf numFmtId="0" fontId="27" fillId="23" borderId="0" applyNumberFormat="0" applyBorder="0" applyAlignment="0" applyProtection="0"/>
    <xf numFmtId="4" fontId="33" fillId="32" borderId="200">
      <alignment horizontal="right" vertical="center"/>
    </xf>
    <xf numFmtId="0" fontId="27" fillId="21" borderId="0" applyNumberFormat="0" applyBorder="0" applyAlignment="0" applyProtection="0"/>
    <xf numFmtId="0" fontId="50" fillId="43" borderId="208" applyNumberFormat="0" applyAlignment="0" applyProtection="0"/>
    <xf numFmtId="0" fontId="30" fillId="13" borderId="13" applyNumberFormat="0" applyAlignment="0" applyProtection="0"/>
    <xf numFmtId="49" fontId="35" fillId="0" borderId="200" applyNumberFormat="0" applyFont="0" applyFill="0" applyBorder="0" applyProtection="0">
      <alignment horizontal="left" vertical="center" indent="2"/>
    </xf>
    <xf numFmtId="0" fontId="37" fillId="32" borderId="211">
      <alignment horizontal="right" vertical="center"/>
    </xf>
    <xf numFmtId="0" fontId="33" fillId="34" borderId="213">
      <alignment horizontal="right" vertical="center"/>
    </xf>
    <xf numFmtId="0" fontId="59" fillId="43" borderId="208" applyNumberFormat="0" applyAlignment="0" applyProtection="0"/>
    <xf numFmtId="0" fontId="27" fillId="17" borderId="0" applyNumberFormat="0" applyBorder="0" applyAlignment="0" applyProtection="0"/>
    <xf numFmtId="0" fontId="37" fillId="32" borderId="200">
      <alignment horizontal="right" vertical="center"/>
    </xf>
    <xf numFmtId="0" fontId="1" fillId="0" borderId="0" applyNumberFormat="0" applyFill="0" applyBorder="0" applyAlignment="0" applyProtection="0"/>
    <xf numFmtId="0" fontId="12" fillId="25" borderId="0" applyNumberFormat="0" applyBorder="0" applyAlignment="0" applyProtection="0"/>
    <xf numFmtId="49" fontId="34" fillId="0" borderId="211" applyNumberFormat="0" applyFill="0" applyBorder="0" applyProtection="0">
      <alignment horizontal="left" vertical="center"/>
    </xf>
    <xf numFmtId="0" fontId="59" fillId="43" borderId="205" applyNumberFormat="0" applyAlignment="0" applyProtection="0"/>
    <xf numFmtId="0" fontId="35" fillId="0" borderId="211">
      <alignment horizontal="right" vertical="center"/>
    </xf>
    <xf numFmtId="0" fontId="37" fillId="32" borderId="200">
      <alignment horizontal="right" vertical="center"/>
    </xf>
    <xf numFmtId="0" fontId="66" fillId="0" borderId="209" applyNumberFormat="0" applyFill="0" applyAlignment="0" applyProtection="0"/>
    <xf numFmtId="4" fontId="35" fillId="0" borderId="200">
      <alignment horizontal="right" vertical="center"/>
    </xf>
    <xf numFmtId="0" fontId="27" fillId="17" borderId="0" applyNumberFormat="0" applyBorder="0" applyAlignment="0" applyProtection="0"/>
    <xf numFmtId="4" fontId="35" fillId="33" borderId="211"/>
    <xf numFmtId="4" fontId="37" fillId="32" borderId="200">
      <alignment horizontal="right" vertical="center"/>
    </xf>
    <xf numFmtId="0" fontId="35" fillId="0" borderId="200">
      <alignment horizontal="right" vertical="center"/>
    </xf>
    <xf numFmtId="0" fontId="50" fillId="43" borderId="208" applyNumberFormat="0" applyAlignment="0" applyProtection="0"/>
    <xf numFmtId="0" fontId="66" fillId="0" borderId="206" applyNumberFormat="0" applyFill="0" applyAlignment="0" applyProtection="0"/>
    <xf numFmtId="0" fontId="47" fillId="56" borderId="208" applyNumberFormat="0" applyAlignment="0" applyProtection="0"/>
    <xf numFmtId="0" fontId="29" fillId="13" borderId="14" applyNumberFormat="0" applyAlignment="0" applyProtection="0"/>
    <xf numFmtId="0" fontId="35" fillId="0" borderId="203">
      <alignment horizontal="left" vertical="center" wrapText="1" indent="2"/>
    </xf>
    <xf numFmtId="0" fontId="35" fillId="33" borderId="211"/>
    <xf numFmtId="4" fontId="35" fillId="33" borderId="200"/>
    <xf numFmtId="0" fontId="35" fillId="0" borderId="200" applyNumberFormat="0" applyFill="0" applyAlignment="0" applyProtection="0"/>
    <xf numFmtId="0" fontId="12" fillId="28" borderId="0" applyNumberFormat="0" applyBorder="0" applyAlignment="0" applyProtection="0"/>
    <xf numFmtId="0" fontId="35" fillId="32" borderId="201">
      <alignment horizontal="left" vertical="center"/>
    </xf>
    <xf numFmtId="0" fontId="51" fillId="0" borderId="206" applyNumberFormat="0" applyFill="0" applyAlignment="0" applyProtection="0"/>
    <xf numFmtId="0" fontId="33" fillId="34" borderId="201">
      <alignment horizontal="right" vertical="center"/>
    </xf>
    <xf numFmtId="0" fontId="35" fillId="0" borderId="214">
      <alignment horizontal="left" vertical="center" wrapText="1" indent="2"/>
    </xf>
    <xf numFmtId="0" fontId="66" fillId="0" borderId="206" applyNumberFormat="0" applyFill="0" applyAlignment="0" applyProtection="0"/>
    <xf numFmtId="0" fontId="37" fillId="32" borderId="200">
      <alignment horizontal="right" vertical="center"/>
    </xf>
    <xf numFmtId="0" fontId="5" fillId="59" borderId="199" applyNumberFormat="0" applyFont="0" applyAlignment="0" applyProtection="0"/>
    <xf numFmtId="49" fontId="35" fillId="0" borderId="200" applyNumberFormat="0" applyFont="0" applyFill="0" applyBorder="0" applyProtection="0">
      <alignment horizontal="left" vertical="center" indent="2"/>
    </xf>
    <xf numFmtId="0" fontId="47" fillId="56" borderId="205" applyNumberFormat="0" applyAlignment="0" applyProtection="0"/>
    <xf numFmtId="0" fontId="35" fillId="32" borderId="212">
      <alignment horizontal="left" vertical="center"/>
    </xf>
    <xf numFmtId="0" fontId="5" fillId="59" borderId="199" applyNumberFormat="0" applyFont="0" applyAlignment="0" applyProtection="0"/>
    <xf numFmtId="0" fontId="37" fillId="32" borderId="200">
      <alignment horizontal="right" vertical="center"/>
    </xf>
    <xf numFmtId="0" fontId="5" fillId="59" borderId="199" applyNumberFormat="0" applyFont="0" applyAlignment="0" applyProtection="0"/>
    <xf numFmtId="0" fontId="47" fillId="56" borderId="205" applyNumberFormat="0" applyAlignment="0" applyProtection="0"/>
    <xf numFmtId="4" fontId="35" fillId="33" borderId="200"/>
    <xf numFmtId="0" fontId="33" fillId="34" borderId="200">
      <alignment horizontal="right" vertical="center"/>
    </xf>
    <xf numFmtId="4" fontId="35" fillId="0" borderId="200" applyFill="0" applyBorder="0" applyProtection="0">
      <alignment horizontal="right" vertical="center"/>
    </xf>
    <xf numFmtId="49" fontId="35" fillId="0" borderId="201" applyNumberFormat="0" applyFont="0" applyFill="0" applyBorder="0" applyProtection="0">
      <alignment horizontal="left" vertical="center" indent="5"/>
    </xf>
    <xf numFmtId="49" fontId="34" fillId="0" borderId="211" applyNumberFormat="0" applyFill="0" applyBorder="0" applyProtection="0">
      <alignment horizontal="left" vertical="center"/>
    </xf>
    <xf numFmtId="0" fontId="59" fillId="43" borderId="205" applyNumberFormat="0" applyAlignment="0" applyProtection="0"/>
    <xf numFmtId="0" fontId="12" fillId="22" borderId="0" applyNumberFormat="0" applyBorder="0" applyAlignment="0" applyProtection="0"/>
    <xf numFmtId="4" fontId="33" fillId="34" borderId="201">
      <alignment horizontal="right" vertical="center"/>
    </xf>
    <xf numFmtId="0" fontId="59" fillId="43" borderId="208" applyNumberFormat="0" applyAlignment="0" applyProtection="0"/>
    <xf numFmtId="173" fontId="35" fillId="60" borderId="200" applyNumberFormat="0" applyFont="0" applyBorder="0" applyAlignment="0" applyProtection="0">
      <alignment horizontal="right" vertical="center"/>
    </xf>
    <xf numFmtId="4" fontId="37" fillId="32" borderId="200">
      <alignment horizontal="right" vertical="center"/>
    </xf>
    <xf numFmtId="0" fontId="35" fillId="34" borderId="214">
      <alignment horizontal="left" vertical="center" wrapText="1" indent="2"/>
    </xf>
    <xf numFmtId="0" fontId="35" fillId="0" borderId="200">
      <alignment horizontal="right" vertical="center"/>
    </xf>
    <xf numFmtId="0" fontId="27" fillId="27" borderId="0" applyNumberFormat="0" applyBorder="0" applyAlignment="0" applyProtection="0"/>
    <xf numFmtId="0" fontId="46" fillId="56" borderId="208" applyNumberFormat="0" applyAlignment="0" applyProtection="0"/>
    <xf numFmtId="4" fontId="33" fillId="34" borderId="213">
      <alignment horizontal="right" vertical="center"/>
    </xf>
    <xf numFmtId="0" fontId="35" fillId="0" borderId="214">
      <alignment horizontal="left" vertical="center" wrapText="1" indent="2"/>
    </xf>
    <xf numFmtId="0" fontId="47" fillId="56" borderId="205" applyNumberFormat="0" applyAlignment="0" applyProtection="0"/>
    <xf numFmtId="0" fontId="27" fillId="27" borderId="0" applyNumberFormat="0" applyBorder="0" applyAlignment="0" applyProtection="0"/>
    <xf numFmtId="49" fontId="35" fillId="0" borderId="211" applyNumberFormat="0" applyFont="0" applyFill="0" applyBorder="0" applyProtection="0">
      <alignment horizontal="left" vertical="center" indent="2"/>
    </xf>
    <xf numFmtId="4" fontId="33" fillId="34" borderId="200">
      <alignment horizontal="right" vertical="center"/>
    </xf>
    <xf numFmtId="0" fontId="35" fillId="33" borderId="200"/>
    <xf numFmtId="49" fontId="34" fillId="0" borderId="200" applyNumberFormat="0" applyFill="0" applyBorder="0" applyProtection="0">
      <alignment horizontal="left" vertical="center"/>
    </xf>
    <xf numFmtId="0" fontId="12" fillId="31" borderId="0" applyNumberFormat="0" applyBorder="0" applyAlignment="0" applyProtection="0"/>
    <xf numFmtId="49" fontId="35" fillId="0" borderId="200" applyNumberFormat="0" applyFont="0" applyFill="0" applyBorder="0" applyProtection="0">
      <alignment horizontal="left" vertical="center" indent="2"/>
    </xf>
    <xf numFmtId="4" fontId="33" fillId="34" borderId="200">
      <alignment horizontal="right" vertical="center"/>
    </xf>
    <xf numFmtId="0" fontId="27" fillId="23" borderId="0" applyNumberFormat="0" applyBorder="0" applyAlignment="0" applyProtection="0"/>
    <xf numFmtId="0" fontId="33" fillId="34" borderId="200">
      <alignment horizontal="right" vertical="center"/>
    </xf>
    <xf numFmtId="49" fontId="35" fillId="0" borderId="201" applyNumberFormat="0" applyFont="0" applyFill="0" applyBorder="0" applyProtection="0">
      <alignment horizontal="left" vertical="center" indent="5"/>
    </xf>
    <xf numFmtId="0" fontId="46" fillId="56" borderId="205" applyNumberFormat="0" applyAlignment="0" applyProtection="0"/>
    <xf numFmtId="0" fontId="30" fillId="13" borderId="13" applyNumberFormat="0" applyAlignment="0" applyProtection="0"/>
    <xf numFmtId="0" fontId="12" fillId="31" borderId="0" applyNumberFormat="0" applyBorder="0" applyAlignment="0" applyProtection="0"/>
    <xf numFmtId="4" fontId="35" fillId="0" borderId="211">
      <alignment horizontal="right" vertical="center"/>
    </xf>
    <xf numFmtId="4" fontId="35" fillId="33" borderId="211"/>
    <xf numFmtId="0" fontId="37" fillId="32" borderId="211">
      <alignment horizontal="right" vertical="center"/>
    </xf>
    <xf numFmtId="0" fontId="46" fillId="56" borderId="205" applyNumberFormat="0" applyAlignment="0" applyProtection="0"/>
    <xf numFmtId="0" fontId="12" fillId="19" borderId="0" applyNumberFormat="0" applyBorder="0" applyAlignment="0" applyProtection="0"/>
    <xf numFmtId="0" fontId="59" fillId="43" borderId="208" applyNumberFormat="0" applyAlignment="0" applyProtection="0"/>
    <xf numFmtId="0" fontId="12" fillId="16" borderId="0" applyNumberFormat="0" applyBorder="0" applyAlignment="0" applyProtection="0"/>
    <xf numFmtId="0" fontId="66" fillId="0" borderId="206" applyNumberFormat="0" applyFill="0" applyAlignment="0" applyProtection="0"/>
    <xf numFmtId="0" fontId="50" fillId="43" borderId="205" applyNumberFormat="0" applyAlignment="0" applyProtection="0"/>
    <xf numFmtId="0" fontId="33" fillId="34" borderId="200">
      <alignment horizontal="right" vertical="center"/>
    </xf>
    <xf numFmtId="4" fontId="33" fillId="34" borderId="202">
      <alignment horizontal="right" vertical="center"/>
    </xf>
    <xf numFmtId="4" fontId="35" fillId="33" borderId="200"/>
    <xf numFmtId="0" fontId="46" fillId="56" borderId="208" applyNumberFormat="0" applyAlignment="0" applyProtection="0"/>
    <xf numFmtId="0" fontId="66" fillId="0" borderId="209" applyNumberFormat="0" applyFill="0" applyAlignment="0" applyProtection="0"/>
    <xf numFmtId="173" fontId="35" fillId="60" borderId="211" applyNumberFormat="0" applyFont="0" applyBorder="0" applyAlignment="0" applyProtection="0">
      <alignment horizontal="right" vertical="center"/>
    </xf>
    <xf numFmtId="0" fontId="63" fillId="56" borderId="204" applyNumberFormat="0" applyAlignment="0" applyProtection="0"/>
    <xf numFmtId="0" fontId="12" fillId="16" borderId="0" applyNumberFormat="0" applyBorder="0" applyAlignment="0" applyProtection="0"/>
    <xf numFmtId="0" fontId="27" fillId="20" borderId="0" applyNumberFormat="0" applyBorder="0" applyAlignment="0" applyProtection="0"/>
    <xf numFmtId="0" fontId="12" fillId="31" borderId="0" applyNumberFormat="0" applyBorder="0" applyAlignment="0" applyProtection="0"/>
    <xf numFmtId="0" fontId="35" fillId="0" borderId="200">
      <alignment horizontal="right" vertical="center"/>
    </xf>
    <xf numFmtId="49" fontId="34" fillId="0" borderId="211" applyNumberFormat="0" applyFill="0" applyBorder="0" applyProtection="0">
      <alignment horizontal="left" vertical="center"/>
    </xf>
    <xf numFmtId="0" fontId="33" fillId="34" borderId="211">
      <alignment horizontal="right" vertical="center"/>
    </xf>
    <xf numFmtId="0" fontId="27" fillId="21" borderId="0" applyNumberFormat="0" applyBorder="0" applyAlignment="0" applyProtection="0"/>
    <xf numFmtId="0" fontId="63" fillId="56" borderId="215" applyNumberFormat="0" applyAlignment="0" applyProtection="0"/>
    <xf numFmtId="49" fontId="35" fillId="0" borderId="200" applyNumberFormat="0" applyFont="0" applyFill="0" applyBorder="0" applyProtection="0">
      <alignment horizontal="left" vertical="center" indent="2"/>
    </xf>
    <xf numFmtId="0" fontId="27" fillId="29" borderId="0" applyNumberFormat="0" applyBorder="0" applyAlignment="0" applyProtection="0"/>
    <xf numFmtId="0" fontId="33" fillId="32" borderId="200">
      <alignment horizontal="right" vertical="center"/>
    </xf>
    <xf numFmtId="0" fontId="50" fillId="43" borderId="208" applyNumberFormat="0" applyAlignment="0" applyProtection="0"/>
    <xf numFmtId="0" fontId="12" fillId="16" borderId="0" applyNumberFormat="0" applyBorder="0" applyAlignment="0" applyProtection="0"/>
    <xf numFmtId="0" fontId="35" fillId="32" borderId="201">
      <alignment horizontal="left" vertical="center"/>
    </xf>
    <xf numFmtId="0" fontId="31" fillId="0" borderId="0" applyNumberFormat="0" applyFill="0" applyBorder="0" applyAlignment="0" applyProtection="0"/>
    <xf numFmtId="0" fontId="27" fillId="30" borderId="0" applyNumberFormat="0" applyBorder="0" applyAlignment="0" applyProtection="0"/>
    <xf numFmtId="0" fontId="1" fillId="0" borderId="0" applyNumberFormat="0" applyFill="0" applyBorder="0" applyAlignment="0" applyProtection="0"/>
    <xf numFmtId="4" fontId="37" fillId="32" borderId="200">
      <alignment horizontal="right" vertical="center"/>
    </xf>
    <xf numFmtId="0" fontId="33" fillId="34" borderId="201">
      <alignment horizontal="right" vertical="center"/>
    </xf>
    <xf numFmtId="0" fontId="35" fillId="32" borderId="201">
      <alignment horizontal="left" vertical="center"/>
    </xf>
    <xf numFmtId="0" fontId="50" fillId="43" borderId="205" applyNumberFormat="0" applyAlignment="0" applyProtection="0"/>
    <xf numFmtId="0" fontId="50" fillId="43" borderId="205" applyNumberFormat="0" applyAlignment="0" applyProtection="0"/>
    <xf numFmtId="4" fontId="33" fillId="32" borderId="200">
      <alignment horizontal="right" vertical="center"/>
    </xf>
    <xf numFmtId="0" fontId="35" fillId="0" borderId="203">
      <alignment horizontal="left" vertical="center" wrapText="1" indent="2"/>
    </xf>
    <xf numFmtId="173" fontId="35" fillId="60" borderId="211" applyNumberFormat="0" applyFont="0" applyBorder="0" applyAlignment="0" applyProtection="0">
      <alignment horizontal="right" vertical="center"/>
    </xf>
    <xf numFmtId="0" fontId="2" fillId="0" borderId="15" applyNumberFormat="0" applyFill="0" applyAlignment="0" applyProtection="0"/>
    <xf numFmtId="0" fontId="2" fillId="0" borderId="15" applyNumberFormat="0" applyFill="0" applyAlignment="0" applyProtection="0"/>
    <xf numFmtId="0" fontId="33" fillId="34" borderId="211">
      <alignment horizontal="right" vertical="center"/>
    </xf>
    <xf numFmtId="0" fontId="2" fillId="0" borderId="15" applyNumberFormat="0" applyFill="0" applyAlignment="0" applyProtection="0"/>
    <xf numFmtId="4" fontId="33" fillId="34" borderId="212">
      <alignment horizontal="right" vertical="center"/>
    </xf>
    <xf numFmtId="0" fontId="29" fillId="13" borderId="14" applyNumberFormat="0" applyAlignment="0" applyProtection="0"/>
    <xf numFmtId="4" fontId="35" fillId="0" borderId="200" applyFill="0" applyBorder="0" applyProtection="0">
      <alignment horizontal="right" vertical="center"/>
    </xf>
    <xf numFmtId="0" fontId="41" fillId="59" borderId="199" applyNumberFormat="0" applyFont="0" applyAlignment="0" applyProtection="0"/>
    <xf numFmtId="0" fontId="47" fillId="56" borderId="208" applyNumberFormat="0" applyAlignment="0" applyProtection="0"/>
    <xf numFmtId="0" fontId="33" fillId="34" borderId="212">
      <alignment horizontal="right" vertical="center"/>
    </xf>
    <xf numFmtId="0" fontId="27" fillId="24" borderId="0" applyNumberFormat="0" applyBorder="0" applyAlignment="0" applyProtection="0"/>
    <xf numFmtId="0" fontId="33" fillId="32" borderId="200">
      <alignment horizontal="right" vertical="center"/>
    </xf>
    <xf numFmtId="0" fontId="51" fillId="0" borderId="206" applyNumberFormat="0" applyFill="0" applyAlignment="0" applyProtection="0"/>
    <xf numFmtId="0" fontId="35" fillId="0" borderId="200" applyNumberFormat="0" applyFill="0" applyAlignment="0" applyProtection="0"/>
    <xf numFmtId="0" fontId="51" fillId="0" borderId="206" applyNumberFormat="0" applyFill="0" applyAlignment="0" applyProtection="0"/>
    <xf numFmtId="4" fontId="35" fillId="0" borderId="200" applyFill="0" applyBorder="0" applyProtection="0">
      <alignment horizontal="right" vertical="center"/>
    </xf>
    <xf numFmtId="49" fontId="35" fillId="0" borderId="201" applyNumberFormat="0" applyFont="0" applyFill="0" applyBorder="0" applyProtection="0">
      <alignment horizontal="left" vertical="center" indent="5"/>
    </xf>
    <xf numFmtId="0" fontId="35" fillId="0" borderId="200" applyNumberFormat="0" applyFill="0" applyAlignment="0" applyProtection="0"/>
    <xf numFmtId="0" fontId="35" fillId="0" borderId="200" applyNumberFormat="0" applyFill="0" applyAlignment="0" applyProtection="0"/>
    <xf numFmtId="0" fontId="59" fillId="43" borderId="208" applyNumberFormat="0" applyAlignment="0" applyProtection="0"/>
    <xf numFmtId="4" fontId="33" fillId="34" borderId="200">
      <alignment horizontal="right" vertical="center"/>
    </xf>
    <xf numFmtId="0" fontId="12" fillId="28" borderId="0" applyNumberFormat="0" applyBorder="0" applyAlignment="0" applyProtection="0"/>
    <xf numFmtId="0" fontId="12" fillId="22" borderId="0" applyNumberFormat="0" applyBorder="0" applyAlignment="0" applyProtection="0"/>
    <xf numFmtId="0" fontId="50" fillId="43" borderId="205" applyNumberFormat="0" applyAlignment="0" applyProtection="0"/>
    <xf numFmtId="0" fontId="47" fillId="56" borderId="205" applyNumberFormat="0" applyAlignment="0" applyProtection="0"/>
    <xf numFmtId="4" fontId="35" fillId="0" borderId="200">
      <alignment horizontal="right" vertical="center"/>
    </xf>
    <xf numFmtId="0" fontId="35" fillId="34" borderId="203">
      <alignment horizontal="left" vertical="center" wrapText="1" indent="2"/>
    </xf>
    <xf numFmtId="0" fontId="35" fillId="0" borderId="203">
      <alignment horizontal="left" vertical="center" wrapText="1" indent="2"/>
    </xf>
    <xf numFmtId="0" fontId="63" fillId="56" borderId="204" applyNumberFormat="0" applyAlignment="0" applyProtection="0"/>
    <xf numFmtId="0" fontId="59" fillId="43" borderId="205" applyNumberFormat="0" applyAlignment="0" applyProtection="0"/>
    <xf numFmtId="0" fontId="46" fillId="56" borderId="205" applyNumberFormat="0" applyAlignment="0" applyProtection="0"/>
    <xf numFmtId="0" fontId="44" fillId="56" borderId="204" applyNumberFormat="0" applyAlignment="0" applyProtection="0"/>
    <xf numFmtId="0" fontId="33" fillId="34" borderId="202">
      <alignment horizontal="right" vertical="center"/>
    </xf>
    <xf numFmtId="0" fontId="37" fillId="32" borderId="200">
      <alignment horizontal="right" vertical="center"/>
    </xf>
    <xf numFmtId="4" fontId="33" fillId="32" borderId="200">
      <alignment horizontal="right" vertical="center"/>
    </xf>
    <xf numFmtId="4" fontId="33" fillId="34" borderId="200">
      <alignment horizontal="right" vertical="center"/>
    </xf>
    <xf numFmtId="49" fontId="35" fillId="0" borderId="201" applyNumberFormat="0" applyFont="0" applyFill="0" applyBorder="0" applyProtection="0">
      <alignment horizontal="left" vertical="center" indent="5"/>
    </xf>
    <xf numFmtId="4" fontId="35" fillId="0" borderId="200" applyFill="0" applyBorder="0" applyProtection="0">
      <alignment horizontal="right" vertical="center"/>
    </xf>
    <xf numFmtId="4" fontId="33" fillId="32" borderId="200">
      <alignment horizontal="right" vertical="center"/>
    </xf>
    <xf numFmtId="0" fontId="59" fillId="43" borderId="205" applyNumberFormat="0" applyAlignment="0" applyProtection="0"/>
    <xf numFmtId="0" fontId="50" fillId="43" borderId="205" applyNumberFormat="0" applyAlignment="0" applyProtection="0"/>
    <xf numFmtId="0" fontId="46" fillId="56" borderId="205" applyNumberFormat="0" applyAlignment="0" applyProtection="0"/>
    <xf numFmtId="0" fontId="35" fillId="34" borderId="203">
      <alignment horizontal="left" vertical="center" wrapText="1" indent="2"/>
    </xf>
    <xf numFmtId="0" fontId="35" fillId="0" borderId="203">
      <alignment horizontal="left" vertical="center" wrapText="1" indent="2"/>
    </xf>
    <xf numFmtId="0" fontId="35" fillId="34" borderId="203">
      <alignment horizontal="left" vertical="center" wrapText="1" indent="2"/>
    </xf>
    <xf numFmtId="0" fontId="51" fillId="0" borderId="209" applyNumberFormat="0" applyFill="0" applyAlignment="0" applyProtection="0"/>
    <xf numFmtId="4" fontId="35" fillId="0" borderId="211" applyFill="0" applyBorder="0" applyProtection="0">
      <alignment horizontal="right" vertical="center"/>
    </xf>
    <xf numFmtId="0" fontId="46" fillId="56" borderId="208" applyNumberFormat="0" applyAlignment="0" applyProtection="0"/>
    <xf numFmtId="4" fontId="33" fillId="34" borderId="213">
      <alignment horizontal="right" vertical="center"/>
    </xf>
    <xf numFmtId="0" fontId="59" fillId="43" borderId="208" applyNumberFormat="0" applyAlignment="0" applyProtection="0"/>
    <xf numFmtId="0" fontId="33" fillId="32" borderId="211">
      <alignment horizontal="right" vertical="center"/>
    </xf>
    <xf numFmtId="4" fontId="35" fillId="0" borderId="211">
      <alignment horizontal="right" vertical="center"/>
    </xf>
    <xf numFmtId="0" fontId="12" fillId="28" borderId="0" applyNumberFormat="0" applyBorder="0" applyAlignment="0" applyProtection="0"/>
    <xf numFmtId="0" fontId="12" fillId="25" borderId="0" applyNumberFormat="0" applyBorder="0" applyAlignment="0" applyProtection="0"/>
    <xf numFmtId="0" fontId="33" fillId="34" borderId="211">
      <alignment horizontal="right" vertical="center"/>
    </xf>
    <xf numFmtId="0" fontId="63" fillId="56" borderId="215" applyNumberFormat="0" applyAlignment="0" applyProtection="0"/>
    <xf numFmtId="4" fontId="33" fillId="34" borderId="213">
      <alignment horizontal="right" vertical="center"/>
    </xf>
    <xf numFmtId="0" fontId="59" fillId="43" borderId="208" applyNumberFormat="0" applyAlignment="0" applyProtection="0"/>
    <xf numFmtId="0" fontId="31" fillId="0" borderId="0" applyNumberFormat="0" applyFill="0" applyBorder="0" applyAlignment="0" applyProtection="0"/>
    <xf numFmtId="0" fontId="27" fillId="30" borderId="0" applyNumberFormat="0" applyBorder="0" applyAlignment="0" applyProtection="0"/>
    <xf numFmtId="0" fontId="35" fillId="34" borderId="214">
      <alignment horizontal="left" vertical="center" wrapText="1" indent="2"/>
    </xf>
    <xf numFmtId="4" fontId="37" fillId="32" borderId="211">
      <alignment horizontal="right" vertical="center"/>
    </xf>
    <xf numFmtId="49" fontId="35" fillId="0" borderId="211" applyNumberFormat="0" applyFont="0" applyFill="0" applyBorder="0" applyProtection="0">
      <alignment horizontal="left" vertical="center" indent="2"/>
    </xf>
    <xf numFmtId="0" fontId="27" fillId="17" borderId="0" applyNumberFormat="0" applyBorder="0" applyAlignment="0" applyProtection="0"/>
    <xf numFmtId="4" fontId="37" fillId="32" borderId="211">
      <alignment horizontal="right" vertical="center"/>
    </xf>
    <xf numFmtId="0" fontId="35" fillId="0" borderId="211">
      <alignment horizontal="right" vertical="center"/>
    </xf>
    <xf numFmtId="0" fontId="27" fillId="14" borderId="0" applyNumberFormat="0" applyBorder="0" applyAlignment="0" applyProtection="0"/>
    <xf numFmtId="0" fontId="63" fillId="56" borderId="215" applyNumberFormat="0" applyAlignment="0" applyProtection="0"/>
    <xf numFmtId="49" fontId="35" fillId="0" borderId="211" applyNumberFormat="0" applyFont="0" applyFill="0" applyBorder="0" applyProtection="0">
      <alignment horizontal="left" vertical="center" indent="2"/>
    </xf>
    <xf numFmtId="4" fontId="33" fillId="34" borderId="212">
      <alignment horizontal="right" vertical="center"/>
    </xf>
    <xf numFmtId="4" fontId="33" fillId="34" borderId="211">
      <alignment horizontal="right" vertical="center"/>
    </xf>
    <xf numFmtId="4" fontId="33" fillId="34" borderId="211">
      <alignment horizontal="right" vertical="center"/>
    </xf>
    <xf numFmtId="0" fontId="35" fillId="32" borderId="212">
      <alignment horizontal="left" vertical="center"/>
    </xf>
    <xf numFmtId="0" fontId="27" fillId="14" borderId="0" applyNumberFormat="0" applyBorder="0" applyAlignment="0" applyProtection="0"/>
    <xf numFmtId="0" fontId="41" fillId="59" borderId="210" applyNumberFormat="0" applyFont="0" applyAlignment="0" applyProtection="0"/>
    <xf numFmtId="4" fontId="35" fillId="0" borderId="211">
      <alignment horizontal="right" vertical="center"/>
    </xf>
    <xf numFmtId="49" fontId="35" fillId="0" borderId="212" applyNumberFormat="0" applyFont="0" applyFill="0" applyBorder="0" applyProtection="0">
      <alignment horizontal="left" vertical="center" indent="5"/>
    </xf>
    <xf numFmtId="0" fontId="37" fillId="32" borderId="211">
      <alignment horizontal="right" vertical="center"/>
    </xf>
    <xf numFmtId="0" fontId="59" fillId="43" borderId="208" applyNumberFormat="0" applyAlignment="0" applyProtection="0"/>
    <xf numFmtId="0" fontId="37" fillId="32" borderId="211">
      <alignment horizontal="right" vertical="center"/>
    </xf>
    <xf numFmtId="0" fontId="46" fillId="56" borderId="208" applyNumberFormat="0" applyAlignment="0" applyProtection="0"/>
    <xf numFmtId="173" fontId="35" fillId="60" borderId="211" applyNumberFormat="0" applyFont="0" applyBorder="0" applyAlignment="0" applyProtection="0">
      <alignment horizontal="right" vertical="center"/>
    </xf>
    <xf numFmtId="4" fontId="35" fillId="0" borderId="211">
      <alignment horizontal="right" vertical="center"/>
    </xf>
    <xf numFmtId="0" fontId="63" fillId="56" borderId="215" applyNumberFormat="0" applyAlignment="0" applyProtection="0"/>
    <xf numFmtId="0" fontId="12" fillId="19" borderId="0" applyNumberFormat="0" applyBorder="0" applyAlignment="0" applyProtection="0"/>
    <xf numFmtId="0" fontId="47" fillId="56" borderId="208" applyNumberFormat="0" applyAlignment="0" applyProtection="0"/>
    <xf numFmtId="4" fontId="37" fillId="32" borderId="211">
      <alignment horizontal="right" vertical="center"/>
    </xf>
    <xf numFmtId="49" fontId="34" fillId="0" borderId="211" applyNumberFormat="0" applyFill="0" applyBorder="0" applyProtection="0">
      <alignment horizontal="left" vertical="center"/>
    </xf>
    <xf numFmtId="173" fontId="35" fillId="60" borderId="211" applyNumberFormat="0" applyFont="0" applyBorder="0" applyAlignment="0" applyProtection="0">
      <alignment horizontal="right" vertical="center"/>
    </xf>
    <xf numFmtId="0" fontId="50" fillId="43" borderId="208" applyNumberFormat="0" applyAlignment="0" applyProtection="0"/>
    <xf numFmtId="0" fontId="27" fillId="20" borderId="0" applyNumberFormat="0" applyBorder="0" applyAlignment="0" applyProtection="0"/>
    <xf numFmtId="0" fontId="50" fillId="43" borderId="208" applyNumberFormat="0" applyAlignment="0" applyProtection="0"/>
    <xf numFmtId="0" fontId="1" fillId="0" borderId="0" applyNumberFormat="0" applyFill="0" applyBorder="0" applyAlignment="0" applyProtection="0"/>
    <xf numFmtId="0" fontId="37" fillId="32" borderId="211">
      <alignment horizontal="right" vertical="center"/>
    </xf>
    <xf numFmtId="0" fontId="33" fillId="34" borderId="211">
      <alignment horizontal="right" vertical="center"/>
    </xf>
    <xf numFmtId="0" fontId="35" fillId="33" borderId="211"/>
    <xf numFmtId="0" fontId="35" fillId="32" borderId="212">
      <alignment horizontal="left" vertical="center"/>
    </xf>
    <xf numFmtId="0" fontId="33" fillId="34" borderId="211">
      <alignment horizontal="right" vertical="center"/>
    </xf>
    <xf numFmtId="0" fontId="33" fillId="34" borderId="213">
      <alignment horizontal="right" vertical="center"/>
    </xf>
    <xf numFmtId="0" fontId="35" fillId="33" borderId="211"/>
    <xf numFmtId="0" fontId="59" fillId="43" borderId="208" applyNumberFormat="0" applyAlignment="0" applyProtection="0"/>
    <xf numFmtId="4" fontId="33" fillId="34" borderId="211">
      <alignment horizontal="right" vertical="center"/>
    </xf>
    <xf numFmtId="4" fontId="35" fillId="0" borderId="211" applyFill="0" applyBorder="0" applyProtection="0">
      <alignment horizontal="right" vertical="center"/>
    </xf>
    <xf numFmtId="0" fontId="41" fillId="59" borderId="210" applyNumberFormat="0" applyFont="0" applyAlignment="0" applyProtection="0"/>
    <xf numFmtId="0" fontId="12" fillId="19" borderId="0" applyNumberFormat="0" applyBorder="0" applyAlignment="0" applyProtection="0"/>
    <xf numFmtId="4" fontId="33" fillId="34" borderId="211">
      <alignment horizontal="right" vertical="center"/>
    </xf>
    <xf numFmtId="0" fontId="12" fillId="16" borderId="0" applyNumberFormat="0" applyBorder="0" applyAlignment="0" applyProtection="0"/>
    <xf numFmtId="0" fontId="33" fillId="34" borderId="213">
      <alignment horizontal="right" vertical="center"/>
    </xf>
    <xf numFmtId="4" fontId="35" fillId="33" borderId="211"/>
    <xf numFmtId="0" fontId="27" fillId="24" borderId="0" applyNumberFormat="0" applyBorder="0" applyAlignment="0" applyProtection="0"/>
    <xf numFmtId="0" fontId="47" fillId="56" borderId="208" applyNumberFormat="0" applyAlignment="0" applyProtection="0"/>
    <xf numFmtId="0" fontId="33" fillId="34" borderId="212">
      <alignment horizontal="right" vertical="center"/>
    </xf>
    <xf numFmtId="0" fontId="66" fillId="0" borderId="209" applyNumberFormat="0" applyFill="0" applyAlignment="0" applyProtection="0"/>
    <xf numFmtId="0" fontId="44" fillId="56" borderId="215" applyNumberFormat="0" applyAlignment="0" applyProtection="0"/>
    <xf numFmtId="0" fontId="66" fillId="0" borderId="209" applyNumberFormat="0" applyFill="0" applyAlignment="0" applyProtection="0"/>
    <xf numFmtId="0" fontId="47" fillId="56" borderId="208" applyNumberFormat="0" applyAlignment="0" applyProtection="0"/>
    <xf numFmtId="0" fontId="59" fillId="43" borderId="208" applyNumberFormat="0" applyAlignment="0" applyProtection="0"/>
    <xf numFmtId="0" fontId="66" fillId="0" borderId="209" applyNumberFormat="0" applyFill="0" applyAlignment="0" applyProtection="0"/>
    <xf numFmtId="0" fontId="37" fillId="32" borderId="211">
      <alignment horizontal="right" vertical="center"/>
    </xf>
    <xf numFmtId="0" fontId="27" fillId="23" borderId="0" applyNumberFormat="0" applyBorder="0" applyAlignment="0" applyProtection="0"/>
    <xf numFmtId="4" fontId="35" fillId="0" borderId="211" applyFill="0" applyBorder="0" applyProtection="0">
      <alignment horizontal="right" vertical="center"/>
    </xf>
    <xf numFmtId="0" fontId="27" fillId="30" borderId="0" applyNumberFormat="0" applyBorder="0" applyAlignment="0" applyProtection="0"/>
    <xf numFmtId="0" fontId="33" fillId="32" borderId="211">
      <alignment horizontal="right" vertical="center"/>
    </xf>
    <xf numFmtId="0" fontId="12" fillId="16" borderId="0" applyNumberFormat="0" applyBorder="0" applyAlignment="0" applyProtection="0"/>
    <xf numFmtId="0" fontId="30" fillId="13" borderId="13" applyNumberFormat="0" applyAlignment="0" applyProtection="0"/>
    <xf numFmtId="0" fontId="12" fillId="19" borderId="0" applyNumberFormat="0" applyBorder="0" applyAlignment="0" applyProtection="0"/>
    <xf numFmtId="49" fontId="35" fillId="0" borderId="211" applyNumberFormat="0" applyFont="0" applyFill="0" applyBorder="0" applyProtection="0">
      <alignment horizontal="left" vertical="center" indent="2"/>
    </xf>
    <xf numFmtId="4" fontId="33" fillId="34" borderId="213">
      <alignment horizontal="right" vertical="center"/>
    </xf>
    <xf numFmtId="0" fontId="41" fillId="59" borderId="210" applyNumberFormat="0" applyFont="0" applyAlignment="0" applyProtection="0"/>
    <xf numFmtId="0" fontId="29" fillId="13" borderId="14" applyNumberFormat="0" applyAlignment="0" applyProtection="0"/>
    <xf numFmtId="0" fontId="12" fillId="31" borderId="0" applyNumberFormat="0" applyBorder="0" applyAlignment="0" applyProtection="0"/>
    <xf numFmtId="0" fontId="35" fillId="0" borderId="211" applyNumberFormat="0" applyFill="0" applyAlignment="0" applyProtection="0"/>
    <xf numFmtId="0" fontId="2" fillId="0" borderId="15" applyNumberFormat="0" applyFill="0" applyAlignment="0" applyProtection="0"/>
    <xf numFmtId="0" fontId="63" fillId="56" borderId="215" applyNumberFormat="0" applyAlignment="0" applyProtection="0"/>
    <xf numFmtId="0" fontId="47" fillId="56" borderId="208" applyNumberFormat="0" applyAlignment="0" applyProtection="0"/>
    <xf numFmtId="0" fontId="51" fillId="0" borderId="209" applyNumberFormat="0" applyFill="0" applyAlignment="0" applyProtection="0"/>
    <xf numFmtId="0" fontId="33" fillId="34" borderId="211">
      <alignment horizontal="right" vertical="center"/>
    </xf>
    <xf numFmtId="49" fontId="35" fillId="0" borderId="212" applyNumberFormat="0" applyFont="0" applyFill="0" applyBorder="0" applyProtection="0">
      <alignment horizontal="left" vertical="center" indent="5"/>
    </xf>
    <xf numFmtId="0" fontId="47" fillId="56" borderId="208" applyNumberFormat="0" applyAlignment="0" applyProtection="0"/>
    <xf numFmtId="4" fontId="33" fillId="34" borderId="212">
      <alignment horizontal="right" vertical="center"/>
    </xf>
    <xf numFmtId="4" fontId="37" fillId="32" borderId="211">
      <alignment horizontal="right" vertical="center"/>
    </xf>
    <xf numFmtId="0" fontId="27" fillId="24" borderId="0" applyNumberFormat="0" applyBorder="0" applyAlignment="0" applyProtection="0"/>
    <xf numFmtId="0" fontId="41" fillId="59" borderId="210" applyNumberFormat="0" applyFont="0" applyAlignment="0" applyProtection="0"/>
    <xf numFmtId="0" fontId="27" fillId="27" borderId="0" applyNumberFormat="0" applyBorder="0" applyAlignment="0" applyProtection="0"/>
    <xf numFmtId="0" fontId="1" fillId="0" borderId="0" applyNumberFormat="0" applyFill="0" applyBorder="0" applyAlignment="0" applyProtection="0"/>
    <xf numFmtId="4" fontId="33" fillId="34" borderId="213">
      <alignment horizontal="right" vertical="center"/>
    </xf>
    <xf numFmtId="0" fontId="35" fillId="32" borderId="212">
      <alignment horizontal="left" vertical="center"/>
    </xf>
    <xf numFmtId="4" fontId="33" fillId="34" borderId="211">
      <alignment horizontal="right" vertical="center"/>
    </xf>
    <xf numFmtId="0" fontId="35" fillId="33" borderId="211"/>
    <xf numFmtId="0" fontId="37" fillId="32" borderId="211">
      <alignment horizontal="right" vertical="center"/>
    </xf>
    <xf numFmtId="0" fontId="27" fillId="15" borderId="0" applyNumberFormat="0" applyBorder="0" applyAlignment="0" applyProtection="0"/>
    <xf numFmtId="0" fontId="35" fillId="0" borderId="211">
      <alignment horizontal="right" vertical="center"/>
    </xf>
    <xf numFmtId="0" fontId="33" fillId="32" borderId="211">
      <alignment horizontal="right" vertical="center"/>
    </xf>
    <xf numFmtId="0" fontId="5" fillId="59" borderId="210" applyNumberFormat="0" applyFont="0" applyAlignment="0" applyProtection="0"/>
    <xf numFmtId="0" fontId="35" fillId="0" borderId="214">
      <alignment horizontal="left" vertical="center" wrapText="1" indent="2"/>
    </xf>
    <xf numFmtId="0" fontId="27" fillId="26" borderId="0" applyNumberFormat="0" applyBorder="0" applyAlignment="0" applyProtection="0"/>
    <xf numFmtId="173" fontId="35" fillId="60" borderId="211" applyNumberFormat="0" applyFont="0" applyBorder="0" applyAlignment="0" applyProtection="0">
      <alignment horizontal="right" vertical="center"/>
    </xf>
    <xf numFmtId="0" fontId="12" fillId="19" borderId="0" applyNumberFormat="0" applyBorder="0" applyAlignment="0" applyProtection="0"/>
    <xf numFmtId="0" fontId="27" fillId="30" borderId="0" applyNumberFormat="0" applyBorder="0" applyAlignment="0" applyProtection="0"/>
    <xf numFmtId="0" fontId="66" fillId="0" borderId="209" applyNumberFormat="0" applyFill="0" applyAlignment="0" applyProtection="0"/>
    <xf numFmtId="4" fontId="33" fillId="34" borderId="211">
      <alignment horizontal="right" vertical="center"/>
    </xf>
    <xf numFmtId="0" fontId="12" fillId="22" borderId="0" applyNumberFormat="0" applyBorder="0" applyAlignment="0" applyProtection="0"/>
    <xf numFmtId="0" fontId="27" fillId="21" borderId="0" applyNumberFormat="0" applyBorder="0" applyAlignment="0" applyProtection="0"/>
    <xf numFmtId="0" fontId="66" fillId="0" borderId="209" applyNumberFormat="0" applyFill="0" applyAlignment="0" applyProtection="0"/>
    <xf numFmtId="0" fontId="41" fillId="59" borderId="210" applyNumberFormat="0" applyFont="0" applyAlignment="0" applyProtection="0"/>
    <xf numFmtId="0" fontId="33" fillId="34" borderId="211">
      <alignment horizontal="right" vertical="center"/>
    </xf>
    <xf numFmtId="0" fontId="47" fillId="56" borderId="208" applyNumberFormat="0" applyAlignment="0" applyProtection="0"/>
    <xf numFmtId="0" fontId="27" fillId="21" borderId="0" applyNumberFormat="0" applyBorder="0" applyAlignment="0" applyProtection="0"/>
    <xf numFmtId="0" fontId="35" fillId="32" borderId="212">
      <alignment horizontal="left" vertical="center"/>
    </xf>
    <xf numFmtId="0" fontId="41" fillId="59" borderId="210" applyNumberFormat="0" applyFont="0" applyAlignment="0" applyProtection="0"/>
    <xf numFmtId="173" fontId="35" fillId="60" borderId="211" applyNumberFormat="0" applyFont="0" applyBorder="0" applyAlignment="0" applyProtection="0">
      <alignment horizontal="right" vertical="center"/>
    </xf>
    <xf numFmtId="0" fontId="35" fillId="34" borderId="214">
      <alignment horizontal="left" vertical="center" wrapText="1" indent="2"/>
    </xf>
    <xf numFmtId="0" fontId="12" fillId="22" borderId="0" applyNumberFormat="0" applyBorder="0" applyAlignment="0" applyProtection="0"/>
    <xf numFmtId="0" fontId="66" fillId="0" borderId="209" applyNumberFormat="0" applyFill="0" applyAlignment="0" applyProtection="0"/>
    <xf numFmtId="0" fontId="59" fillId="43" borderId="208" applyNumberFormat="0" applyAlignment="0" applyProtection="0"/>
    <xf numFmtId="0" fontId="35" fillId="33" borderId="211"/>
    <xf numFmtId="4" fontId="35" fillId="0" borderId="211" applyFill="0" applyBorder="0" applyProtection="0">
      <alignment horizontal="right" vertical="center"/>
    </xf>
    <xf numFmtId="0" fontId="27" fillId="18" borderId="0" applyNumberFormat="0" applyBorder="0" applyAlignment="0" applyProtection="0"/>
    <xf numFmtId="0" fontId="27" fillId="17" borderId="0" applyNumberFormat="0" applyBorder="0" applyAlignment="0" applyProtection="0"/>
    <xf numFmtId="0" fontId="51" fillId="0" borderId="209" applyNumberFormat="0" applyFill="0" applyAlignment="0" applyProtection="0"/>
    <xf numFmtId="0" fontId="33" fillId="34" borderId="211">
      <alignment horizontal="right" vertical="center"/>
    </xf>
    <xf numFmtId="0" fontId="51" fillId="0" borderId="209" applyNumberFormat="0" applyFill="0" applyAlignment="0" applyProtection="0"/>
    <xf numFmtId="4" fontId="33" fillId="34" borderId="211">
      <alignment horizontal="right" vertical="center"/>
    </xf>
    <xf numFmtId="49" fontId="34" fillId="0" borderId="211" applyNumberFormat="0" applyFill="0" applyBorder="0" applyProtection="0">
      <alignment horizontal="left" vertical="center"/>
    </xf>
    <xf numFmtId="0" fontId="5" fillId="59" borderId="210" applyNumberFormat="0" applyFont="0" applyAlignment="0" applyProtection="0"/>
    <xf numFmtId="4" fontId="35" fillId="0" borderId="211">
      <alignment horizontal="right" vertical="center"/>
    </xf>
    <xf numFmtId="0" fontId="12" fillId="28" borderId="0" applyNumberFormat="0" applyBorder="0" applyAlignment="0" applyProtection="0"/>
    <xf numFmtId="0" fontId="47" fillId="56" borderId="208" applyNumberFormat="0" applyAlignment="0" applyProtection="0"/>
    <xf numFmtId="0" fontId="35" fillId="34" borderId="214">
      <alignment horizontal="left" vertical="center" wrapText="1" indent="2"/>
    </xf>
    <xf numFmtId="4" fontId="33" fillId="32" borderId="211">
      <alignment horizontal="right" vertical="center"/>
    </xf>
    <xf numFmtId="4" fontId="33" fillId="34" borderId="211">
      <alignment horizontal="right" vertical="center"/>
    </xf>
    <xf numFmtId="0" fontId="66" fillId="0" borderId="209" applyNumberFormat="0" applyFill="0" applyAlignment="0" applyProtection="0"/>
    <xf numFmtId="0" fontId="63" fillId="56" borderId="215" applyNumberFormat="0" applyAlignment="0" applyProtection="0"/>
    <xf numFmtId="4" fontId="33" fillId="32" borderId="211">
      <alignment horizontal="right" vertical="center"/>
    </xf>
    <xf numFmtId="0" fontId="27" fillId="15" borderId="0" applyNumberFormat="0" applyBorder="0" applyAlignment="0" applyProtection="0"/>
    <xf numFmtId="0" fontId="35" fillId="0" borderId="214">
      <alignment horizontal="left" vertical="center" wrapText="1" indent="2"/>
    </xf>
    <xf numFmtId="0" fontId="27" fillId="18" borderId="0" applyNumberFormat="0" applyBorder="0" applyAlignment="0" applyProtection="0"/>
    <xf numFmtId="4" fontId="33" fillId="32" borderId="211">
      <alignment horizontal="right" vertical="center"/>
    </xf>
    <xf numFmtId="0" fontId="33" fillId="34" borderId="211">
      <alignment horizontal="right" vertical="center"/>
    </xf>
    <xf numFmtId="0" fontId="27" fillId="26" borderId="0" applyNumberFormat="0" applyBorder="0" applyAlignment="0" applyProtection="0"/>
    <xf numFmtId="0" fontId="35" fillId="33" borderId="211"/>
    <xf numFmtId="0" fontId="46" fillId="56" borderId="208" applyNumberFormat="0" applyAlignment="0" applyProtection="0"/>
    <xf numFmtId="0" fontId="33" fillId="34" borderId="211">
      <alignment horizontal="right" vertical="center"/>
    </xf>
    <xf numFmtId="0" fontId="5" fillId="59" borderId="210" applyNumberFormat="0" applyFont="0" applyAlignment="0" applyProtection="0"/>
    <xf numFmtId="0" fontId="12" fillId="25" borderId="0" applyNumberFormat="0" applyBorder="0" applyAlignment="0" applyProtection="0"/>
    <xf numFmtId="0" fontId="12" fillId="25" borderId="0" applyNumberFormat="0" applyBorder="0" applyAlignment="0" applyProtection="0"/>
    <xf numFmtId="0" fontId="12" fillId="28" borderId="0" applyNumberFormat="0" applyBorder="0" applyAlignment="0" applyProtection="0"/>
    <xf numFmtId="0" fontId="35" fillId="0" borderId="211">
      <alignment horizontal="right" vertical="center"/>
    </xf>
    <xf numFmtId="0" fontId="35" fillId="34" borderId="214">
      <alignment horizontal="left" vertical="center" wrapText="1" indent="2"/>
    </xf>
    <xf numFmtId="4" fontId="33" fillId="34" borderId="212">
      <alignment horizontal="right" vertical="center"/>
    </xf>
    <xf numFmtId="0" fontId="35" fillId="0" borderId="211" applyNumberFormat="0" applyFill="0" applyAlignment="0" applyProtection="0"/>
    <xf numFmtId="4" fontId="33" fillId="34" borderId="211">
      <alignment horizontal="right" vertical="center"/>
    </xf>
    <xf numFmtId="0" fontId="59" fillId="43" borderId="208" applyNumberFormat="0" applyAlignment="0" applyProtection="0"/>
    <xf numFmtId="0" fontId="44" fillId="56" borderId="215" applyNumberFormat="0" applyAlignment="0" applyProtection="0"/>
    <xf numFmtId="0" fontId="27" fillId="18" borderId="0" applyNumberFormat="0" applyBorder="0" applyAlignment="0" applyProtection="0"/>
    <xf numFmtId="49" fontId="34" fillId="0" borderId="211" applyNumberFormat="0" applyFill="0" applyBorder="0" applyProtection="0">
      <alignment horizontal="left" vertical="center"/>
    </xf>
    <xf numFmtId="0" fontId="47" fillId="56" borderId="208" applyNumberFormat="0" applyAlignment="0" applyProtection="0"/>
    <xf numFmtId="0" fontId="12" fillId="28" borderId="0" applyNumberFormat="0" applyBorder="0" applyAlignment="0" applyProtection="0"/>
    <xf numFmtId="0" fontId="33" fillId="34" borderId="212">
      <alignment horizontal="right" vertical="center"/>
    </xf>
    <xf numFmtId="0" fontId="46" fillId="56" borderId="208" applyNumberFormat="0" applyAlignment="0" applyProtection="0"/>
    <xf numFmtId="0" fontId="27" fillId="17" borderId="0" applyNumberFormat="0" applyBorder="0" applyAlignment="0" applyProtection="0"/>
    <xf numFmtId="4" fontId="35" fillId="0" borderId="211" applyFill="0" applyBorder="0" applyProtection="0">
      <alignment horizontal="right" vertical="center"/>
    </xf>
    <xf numFmtId="0" fontId="27" fillId="23" borderId="0" applyNumberFormat="0" applyBorder="0" applyAlignment="0" applyProtection="0"/>
    <xf numFmtId="0" fontId="12" fillId="31" borderId="0" applyNumberFormat="0" applyBorder="0" applyAlignment="0" applyProtection="0"/>
    <xf numFmtId="0" fontId="51" fillId="0" borderId="209" applyNumberFormat="0" applyFill="0" applyAlignment="0" applyProtection="0"/>
    <xf numFmtId="49" fontId="35" fillId="0" borderId="211" applyNumberFormat="0" applyFont="0" applyFill="0" applyBorder="0" applyProtection="0">
      <alignment horizontal="left" vertical="center" indent="2"/>
    </xf>
    <xf numFmtId="0" fontId="35" fillId="0" borderId="214">
      <alignment horizontal="left" vertical="center" wrapText="1" indent="2"/>
    </xf>
    <xf numFmtId="0" fontId="27" fillId="20" borderId="0" applyNumberFormat="0" applyBorder="0" applyAlignment="0" applyProtection="0"/>
    <xf numFmtId="4" fontId="33" fillId="34" borderId="211">
      <alignment horizontal="right" vertical="center"/>
    </xf>
    <xf numFmtId="0" fontId="63" fillId="56" borderId="215" applyNumberFormat="0" applyAlignment="0" applyProtection="0"/>
    <xf numFmtId="173" fontId="35" fillId="60" borderId="211" applyNumberFormat="0" applyFont="0" applyBorder="0" applyAlignment="0" applyProtection="0">
      <alignment horizontal="right" vertical="center"/>
    </xf>
    <xf numFmtId="0" fontId="5" fillId="59" borderId="210" applyNumberFormat="0" applyFont="0" applyAlignment="0" applyProtection="0"/>
    <xf numFmtId="0" fontId="27" fillId="26" borderId="0" applyNumberFormat="0" applyBorder="0" applyAlignment="0" applyProtection="0"/>
    <xf numFmtId="0" fontId="59" fillId="43" borderId="208" applyNumberFormat="0" applyAlignment="0" applyProtection="0"/>
    <xf numFmtId="0" fontId="59" fillId="43" borderId="208" applyNumberFormat="0" applyAlignment="0" applyProtection="0"/>
    <xf numFmtId="0" fontId="41" fillId="59" borderId="210" applyNumberFormat="0" applyFont="0" applyAlignment="0" applyProtection="0"/>
    <xf numFmtId="4" fontId="35" fillId="33" borderId="211"/>
    <xf numFmtId="0" fontId="59" fillId="43" borderId="208" applyNumberFormat="0" applyAlignment="0" applyProtection="0"/>
    <xf numFmtId="0" fontId="29" fillId="13" borderId="14" applyNumberFormat="0" applyAlignment="0" applyProtection="0"/>
    <xf numFmtId="0" fontId="41" fillId="59" borderId="210" applyNumberFormat="0" applyFont="0" applyAlignment="0" applyProtection="0"/>
    <xf numFmtId="0" fontId="31" fillId="0" borderId="0" applyNumberFormat="0" applyFill="0" applyBorder="0" applyAlignment="0" applyProtection="0"/>
    <xf numFmtId="0" fontId="33" fillId="34" borderId="211">
      <alignment horizontal="right" vertical="center"/>
    </xf>
    <xf numFmtId="0" fontId="63" fillId="56" borderId="215" applyNumberFormat="0" applyAlignment="0" applyProtection="0"/>
    <xf numFmtId="0" fontId="27" fillId="15" borderId="0" applyNumberFormat="0" applyBorder="0" applyAlignment="0" applyProtection="0"/>
    <xf numFmtId="0" fontId="41" fillId="59" borderId="210" applyNumberFormat="0" applyFont="0" applyAlignment="0" applyProtection="0"/>
    <xf numFmtId="4" fontId="33" fillId="34" borderId="213">
      <alignment horizontal="right" vertical="center"/>
    </xf>
    <xf numFmtId="4" fontId="35" fillId="33" borderId="211"/>
    <xf numFmtId="4" fontId="35" fillId="0" borderId="211">
      <alignment horizontal="right" vertical="center"/>
    </xf>
    <xf numFmtId="0" fontId="27" fillId="23" borderId="0" applyNumberFormat="0" applyBorder="0" applyAlignment="0" applyProtection="0"/>
    <xf numFmtId="0" fontId="50" fillId="43" borderId="208" applyNumberFormat="0" applyAlignment="0" applyProtection="0"/>
    <xf numFmtId="0" fontId="59" fillId="43" borderId="208" applyNumberFormat="0" applyAlignment="0" applyProtection="0"/>
    <xf numFmtId="0" fontId="31" fillId="0" borderId="0" applyNumberFormat="0" applyFill="0" applyBorder="0" applyAlignment="0" applyProtection="0"/>
    <xf numFmtId="0" fontId="35" fillId="34" borderId="214">
      <alignment horizontal="left" vertical="center" wrapText="1" indent="2"/>
    </xf>
    <xf numFmtId="4" fontId="35" fillId="0" borderId="211" applyFill="0" applyBorder="0" applyProtection="0">
      <alignment horizontal="right" vertical="center"/>
    </xf>
    <xf numFmtId="0" fontId="27" fillId="29" borderId="0" applyNumberFormat="0" applyBorder="0" applyAlignment="0" applyProtection="0"/>
    <xf numFmtId="0" fontId="12" fillId="22" borderId="0" applyNumberFormat="0" applyBorder="0" applyAlignment="0" applyProtection="0"/>
    <xf numFmtId="0" fontId="30" fillId="13" borderId="13" applyNumberFormat="0" applyAlignment="0" applyProtection="0"/>
    <xf numFmtId="0" fontId="41" fillId="59" borderId="210" applyNumberFormat="0" applyFont="0" applyAlignment="0" applyProtection="0"/>
    <xf numFmtId="4" fontId="37" fillId="32" borderId="211">
      <alignment horizontal="right" vertical="center"/>
    </xf>
    <xf numFmtId="0" fontId="35" fillId="34" borderId="214">
      <alignment horizontal="left" vertical="center" wrapText="1" indent="2"/>
    </xf>
    <xf numFmtId="0" fontId="50" fillId="43" borderId="208" applyNumberFormat="0" applyAlignment="0" applyProtection="0"/>
    <xf numFmtId="0" fontId="27" fillId="20" borderId="0" applyNumberFormat="0" applyBorder="0" applyAlignment="0" applyProtection="0"/>
    <xf numFmtId="0" fontId="59" fillId="43" borderId="208" applyNumberFormat="0" applyAlignment="0" applyProtection="0"/>
    <xf numFmtId="0" fontId="59" fillId="43" borderId="208" applyNumberFormat="0" applyAlignment="0" applyProtection="0"/>
    <xf numFmtId="0" fontId="27" fillId="26" borderId="0" applyNumberFormat="0" applyBorder="0" applyAlignment="0" applyProtection="0"/>
    <xf numFmtId="0" fontId="35" fillId="32" borderId="212">
      <alignment horizontal="left" vertical="center"/>
    </xf>
    <xf numFmtId="4" fontId="35" fillId="33" borderId="211"/>
    <xf numFmtId="0" fontId="5" fillId="59" borderId="210" applyNumberFormat="0" applyFont="0" applyAlignment="0" applyProtection="0"/>
    <xf numFmtId="0" fontId="41" fillId="59" borderId="210" applyNumberFormat="0" applyFont="0" applyAlignment="0" applyProtection="0"/>
    <xf numFmtId="0" fontId="33" fillId="34" borderId="211">
      <alignment horizontal="right" vertical="center"/>
    </xf>
    <xf numFmtId="0" fontId="35" fillId="0" borderId="211" applyNumberFormat="0" applyFill="0" applyAlignment="0" applyProtection="0"/>
    <xf numFmtId="0" fontId="50" fillId="43" borderId="208" applyNumberFormat="0" applyAlignment="0" applyProtection="0"/>
    <xf numFmtId="0" fontId="47" fillId="56" borderId="208" applyNumberFormat="0" applyAlignment="0" applyProtection="0"/>
    <xf numFmtId="0" fontId="46" fillId="56" borderId="208" applyNumberFormat="0" applyAlignment="0" applyProtection="0"/>
    <xf numFmtId="0" fontId="44" fillId="56" borderId="215" applyNumberFormat="0" applyAlignment="0" applyProtection="0"/>
    <xf numFmtId="0" fontId="35" fillId="33" borderId="211"/>
    <xf numFmtId="4" fontId="35" fillId="0" borderId="211">
      <alignment horizontal="right" vertical="center"/>
    </xf>
    <xf numFmtId="0" fontId="66" fillId="0" borderId="209" applyNumberFormat="0" applyFill="0" applyAlignment="0" applyProtection="0"/>
    <xf numFmtId="0" fontId="66" fillId="0" borderId="209" applyNumberFormat="0" applyFill="0" applyAlignment="0" applyProtection="0"/>
    <xf numFmtId="4" fontId="35" fillId="33" borderId="211"/>
    <xf numFmtId="0" fontId="33" fillId="34" borderId="211">
      <alignment horizontal="right" vertical="center"/>
    </xf>
    <xf numFmtId="0" fontId="27" fillId="27" borderId="0" applyNumberFormat="0" applyBorder="0" applyAlignment="0" applyProtection="0"/>
    <xf numFmtId="0" fontId="51" fillId="0" borderId="209" applyNumberFormat="0" applyFill="0" applyAlignment="0" applyProtection="0"/>
    <xf numFmtId="0" fontId="63" fillId="56" borderId="215" applyNumberFormat="0" applyAlignment="0" applyProtection="0"/>
    <xf numFmtId="4" fontId="33" fillId="34" borderId="211">
      <alignment horizontal="right" vertical="center"/>
    </xf>
    <xf numFmtId="0" fontId="35" fillId="0" borderId="211">
      <alignment horizontal="right" vertical="center"/>
    </xf>
    <xf numFmtId="0" fontId="63" fillId="56" borderId="215" applyNumberFormat="0" applyAlignment="0" applyProtection="0"/>
    <xf numFmtId="0" fontId="27" fillId="15" borderId="0" applyNumberFormat="0" applyBorder="0" applyAlignment="0" applyProtection="0"/>
    <xf numFmtId="0" fontId="46" fillId="56" borderId="208" applyNumberFormat="0" applyAlignment="0" applyProtection="0"/>
    <xf numFmtId="4" fontId="33" fillId="34" borderId="211">
      <alignment horizontal="right" vertical="center"/>
    </xf>
    <xf numFmtId="0" fontId="37" fillId="32" borderId="211">
      <alignment horizontal="right" vertical="center"/>
    </xf>
    <xf numFmtId="0" fontId="33" fillId="32" borderId="211">
      <alignment horizontal="right" vertical="center"/>
    </xf>
    <xf numFmtId="0" fontId="66" fillId="0" borderId="209" applyNumberFormat="0" applyFill="0" applyAlignment="0" applyProtection="0"/>
    <xf numFmtId="0" fontId="31" fillId="0" borderId="0" applyNumberFormat="0" applyFill="0" applyBorder="0" applyAlignment="0" applyProtection="0"/>
    <xf numFmtId="4" fontId="33" fillId="34" borderId="213">
      <alignment horizontal="right" vertical="center"/>
    </xf>
    <xf numFmtId="0" fontId="27" fillId="27" borderId="0" applyNumberFormat="0" applyBorder="0" applyAlignment="0" applyProtection="0"/>
    <xf numFmtId="0" fontId="33" fillId="34" borderId="211">
      <alignment horizontal="right" vertical="center"/>
    </xf>
    <xf numFmtId="173" fontId="35" fillId="60" borderId="211" applyNumberFormat="0" applyFont="0" applyBorder="0" applyAlignment="0" applyProtection="0">
      <alignment horizontal="right" vertical="center"/>
    </xf>
    <xf numFmtId="0" fontId="46" fillId="56" borderId="208" applyNumberFormat="0" applyAlignment="0" applyProtection="0"/>
    <xf numFmtId="0" fontId="46" fillId="56" borderId="208" applyNumberFormat="0" applyAlignment="0" applyProtection="0"/>
    <xf numFmtId="4" fontId="37" fillId="32" borderId="211">
      <alignment horizontal="right" vertical="center"/>
    </xf>
    <xf numFmtId="0" fontId="66" fillId="0" borderId="209" applyNumberFormat="0" applyFill="0" applyAlignment="0" applyProtection="0"/>
    <xf numFmtId="0" fontId="51" fillId="0" borderId="209" applyNumberFormat="0" applyFill="0" applyAlignment="0" applyProtection="0"/>
    <xf numFmtId="4" fontId="35" fillId="0" borderId="211">
      <alignment horizontal="right" vertical="center"/>
    </xf>
    <xf numFmtId="0" fontId="31" fillId="0" borderId="0" applyNumberFormat="0" applyFill="0" applyBorder="0" applyAlignment="0" applyProtection="0"/>
    <xf numFmtId="0" fontId="35" fillId="33" borderId="211"/>
    <xf numFmtId="0" fontId="27" fillId="27" borderId="0" applyNumberFormat="0" applyBorder="0" applyAlignment="0" applyProtection="0"/>
    <xf numFmtId="0" fontId="50" fillId="43" borderId="208" applyNumberFormat="0" applyAlignment="0" applyProtection="0"/>
    <xf numFmtId="0" fontId="35" fillId="0" borderId="211">
      <alignment horizontal="right" vertical="center"/>
    </xf>
    <xf numFmtId="0" fontId="33" fillId="34" borderId="212">
      <alignment horizontal="right" vertical="center"/>
    </xf>
    <xf numFmtId="4" fontId="33" fillId="32" borderId="211">
      <alignment horizontal="right" vertical="center"/>
    </xf>
    <xf numFmtId="0" fontId="47" fillId="56" borderId="208" applyNumberFormat="0" applyAlignment="0" applyProtection="0"/>
    <xf numFmtId="0" fontId="35" fillId="33" borderId="211"/>
    <xf numFmtId="0" fontId="51" fillId="0" borderId="209" applyNumberFormat="0" applyFill="0" applyAlignment="0" applyProtection="0"/>
    <xf numFmtId="0" fontId="33" fillId="34" borderId="211">
      <alignment horizontal="right" vertical="center"/>
    </xf>
    <xf numFmtId="0" fontId="47" fillId="56" borderId="208" applyNumberFormat="0" applyAlignment="0" applyProtection="0"/>
    <xf numFmtId="0" fontId="27" fillId="27" borderId="0" applyNumberFormat="0" applyBorder="0" applyAlignment="0" applyProtection="0"/>
    <xf numFmtId="0" fontId="35" fillId="0" borderId="211">
      <alignment horizontal="right" vertical="center"/>
    </xf>
    <xf numFmtId="49" fontId="35" fillId="0" borderId="212" applyNumberFormat="0" applyFont="0" applyFill="0" applyBorder="0" applyProtection="0">
      <alignment horizontal="left" vertical="center" indent="5"/>
    </xf>
    <xf numFmtId="0" fontId="35" fillId="0" borderId="214">
      <alignment horizontal="left" vertical="center" wrapText="1" indent="2"/>
    </xf>
    <xf numFmtId="0" fontId="35" fillId="0" borderId="214">
      <alignment horizontal="left" vertical="center" wrapText="1" indent="2"/>
    </xf>
    <xf numFmtId="0" fontId="41" fillId="59" borderId="210" applyNumberFormat="0" applyFont="0" applyAlignment="0" applyProtection="0"/>
    <xf numFmtId="0" fontId="27" fillId="27" borderId="0" applyNumberFormat="0" applyBorder="0" applyAlignment="0" applyProtection="0"/>
    <xf numFmtId="0" fontId="33" fillId="32" borderId="211">
      <alignment horizontal="right" vertical="center"/>
    </xf>
    <xf numFmtId="0" fontId="51" fillId="0" borderId="209" applyNumberFormat="0" applyFill="0" applyAlignment="0" applyProtection="0"/>
    <xf numFmtId="0" fontId="35" fillId="0" borderId="211" applyNumberFormat="0" applyFill="0" applyAlignment="0" applyProtection="0"/>
    <xf numFmtId="0" fontId="51" fillId="0" borderId="209" applyNumberFormat="0" applyFill="0" applyAlignment="0" applyProtection="0"/>
    <xf numFmtId="4" fontId="35" fillId="0" borderId="211" applyFill="0" applyBorder="0" applyProtection="0">
      <alignment horizontal="right" vertical="center"/>
    </xf>
    <xf numFmtId="49" fontId="35" fillId="0" borderId="212" applyNumberFormat="0" applyFont="0" applyFill="0" applyBorder="0" applyProtection="0">
      <alignment horizontal="left" vertical="center" indent="5"/>
    </xf>
    <xf numFmtId="0" fontId="35" fillId="0" borderId="211" applyNumberFormat="0" applyFill="0" applyAlignment="0" applyProtection="0"/>
    <xf numFmtId="0" fontId="59" fillId="43" borderId="208" applyNumberFormat="0" applyAlignment="0" applyProtection="0"/>
    <xf numFmtId="0" fontId="35" fillId="0" borderId="211" applyNumberFormat="0" applyFill="0" applyAlignment="0" applyProtection="0"/>
    <xf numFmtId="4" fontId="33" fillId="34" borderId="211">
      <alignment horizontal="right" vertical="center"/>
    </xf>
    <xf numFmtId="0" fontId="50" fillId="43" borderId="208" applyNumberFormat="0" applyAlignment="0" applyProtection="0"/>
    <xf numFmtId="0" fontId="47" fillId="56" borderId="208" applyNumberFormat="0" applyAlignment="0" applyProtection="0"/>
    <xf numFmtId="4" fontId="35" fillId="0" borderId="211">
      <alignment horizontal="right" vertical="center"/>
    </xf>
    <xf numFmtId="0" fontId="35" fillId="34" borderId="214">
      <alignment horizontal="left" vertical="center" wrapText="1" indent="2"/>
    </xf>
    <xf numFmtId="0" fontId="35" fillId="0" borderId="214">
      <alignment horizontal="left" vertical="center" wrapText="1" indent="2"/>
    </xf>
    <xf numFmtId="0" fontId="63" fillId="56" borderId="215" applyNumberFormat="0" applyAlignment="0" applyProtection="0"/>
    <xf numFmtId="0" fontId="59" fillId="43" borderId="208" applyNumberFormat="0" applyAlignment="0" applyProtection="0"/>
    <xf numFmtId="0" fontId="46" fillId="56" borderId="208" applyNumberFormat="0" applyAlignment="0" applyProtection="0"/>
    <xf numFmtId="0" fontId="44" fillId="56" borderId="215" applyNumberFormat="0" applyAlignment="0" applyProtection="0"/>
    <xf numFmtId="0" fontId="33" fillId="34" borderId="213">
      <alignment horizontal="right" vertical="center"/>
    </xf>
    <xf numFmtId="0" fontId="37" fillId="32" borderId="211">
      <alignment horizontal="right" vertical="center"/>
    </xf>
    <xf numFmtId="4" fontId="33" fillId="32" borderId="211">
      <alignment horizontal="right" vertical="center"/>
    </xf>
    <xf numFmtId="4" fontId="33" fillId="34" borderId="211">
      <alignment horizontal="right" vertical="center"/>
    </xf>
    <xf numFmtId="49" fontId="35" fillId="0" borderId="212" applyNumberFormat="0" applyFont="0" applyFill="0" applyBorder="0" applyProtection="0">
      <alignment horizontal="left" vertical="center" indent="5"/>
    </xf>
    <xf numFmtId="4" fontId="35" fillId="0" borderId="211" applyFill="0" applyBorder="0" applyProtection="0">
      <alignment horizontal="right" vertical="center"/>
    </xf>
    <xf numFmtId="4" fontId="33" fillId="32" borderId="211">
      <alignment horizontal="right" vertical="center"/>
    </xf>
    <xf numFmtId="0" fontId="59" fillId="43" borderId="208" applyNumberFormat="0" applyAlignment="0" applyProtection="0"/>
    <xf numFmtId="0" fontId="50" fillId="43" borderId="208" applyNumberFormat="0" applyAlignment="0" applyProtection="0"/>
    <xf numFmtId="0" fontId="46" fillId="56" borderId="208" applyNumberFormat="0" applyAlignment="0" applyProtection="0"/>
    <xf numFmtId="0" fontId="35" fillId="34" borderId="214">
      <alignment horizontal="left" vertical="center" wrapText="1" indent="2"/>
    </xf>
    <xf numFmtId="0" fontId="35" fillId="0" borderId="214">
      <alignment horizontal="left" vertical="center" wrapText="1" indent="2"/>
    </xf>
    <xf numFmtId="0" fontId="35" fillId="34" borderId="214">
      <alignment horizontal="left" vertical="center" wrapText="1" indent="2"/>
    </xf>
    <xf numFmtId="0" fontId="35" fillId="0" borderId="253" applyNumberFormat="0" applyFill="0" applyAlignment="0" applyProtection="0"/>
    <xf numFmtId="0" fontId="12" fillId="19" borderId="0" applyNumberFormat="0" applyBorder="0" applyAlignment="0" applyProtection="0"/>
    <xf numFmtId="0" fontId="33" fillId="34" borderId="259">
      <alignment horizontal="right" vertical="center"/>
    </xf>
    <xf numFmtId="0" fontId="50" fillId="43" borderId="234" applyNumberFormat="0" applyAlignment="0" applyProtection="0"/>
    <xf numFmtId="0" fontId="35" fillId="32" borderId="254">
      <alignment horizontal="left" vertical="center"/>
    </xf>
    <xf numFmtId="4" fontId="37" fillId="32" borderId="258">
      <alignment horizontal="right" vertical="center"/>
    </xf>
    <xf numFmtId="0" fontId="29" fillId="13" borderId="14" applyNumberFormat="0" applyAlignment="0" applyProtection="0"/>
    <xf numFmtId="0" fontId="27" fillId="14" borderId="0" applyNumberFormat="0" applyBorder="0" applyAlignment="0" applyProtection="0"/>
    <xf numFmtId="0" fontId="46" fillId="56" borderId="225" applyNumberFormat="0" applyAlignment="0" applyProtection="0"/>
    <xf numFmtId="0" fontId="35" fillId="34" borderId="256">
      <alignment horizontal="left" vertical="center" wrapText="1" indent="2"/>
    </xf>
    <xf numFmtId="0" fontId="41" fillId="59" borderId="273" applyNumberFormat="0" applyFont="0" applyAlignment="0" applyProtection="0"/>
    <xf numFmtId="0" fontId="33" fillId="32" borderId="258">
      <alignment horizontal="right" vertical="center"/>
    </xf>
    <xf numFmtId="0" fontId="63" fillId="56" borderId="249" applyNumberFormat="0" applyAlignment="0" applyProtection="0"/>
    <xf numFmtId="0" fontId="41" fillId="59" borderId="227" applyNumberFormat="0" applyFont="0" applyAlignment="0" applyProtection="0"/>
    <xf numFmtId="4" fontId="33" fillId="32" borderId="258">
      <alignment horizontal="right" vertical="center"/>
    </xf>
    <xf numFmtId="173" fontId="35" fillId="60" borderId="244" applyNumberFormat="0" applyFont="0" applyBorder="0" applyAlignment="0" applyProtection="0">
      <alignment horizontal="right" vertical="center"/>
    </xf>
    <xf numFmtId="0" fontId="41" fillId="59" borderId="243" applyNumberFormat="0" applyFont="0" applyAlignment="0" applyProtection="0"/>
    <xf numFmtId="0" fontId="35" fillId="32" borderId="229">
      <alignment horizontal="left" vertical="center"/>
    </xf>
    <xf numFmtId="0" fontId="29" fillId="13" borderId="14" applyNumberFormat="0" applyAlignment="0" applyProtection="0"/>
    <xf numFmtId="0" fontId="1" fillId="0" borderId="0" applyNumberFormat="0" applyFill="0" applyBorder="0" applyAlignment="0" applyProtection="0"/>
    <xf numFmtId="0" fontId="33" fillId="34" borderId="268">
      <alignment horizontal="right" vertical="center"/>
    </xf>
    <xf numFmtId="4" fontId="33" fillId="32" borderId="274">
      <alignment horizontal="right" vertical="center"/>
    </xf>
    <xf numFmtId="0" fontId="41" fillId="59" borderId="236" applyNumberFormat="0" applyFont="0" applyAlignment="0" applyProtection="0"/>
    <xf numFmtId="0" fontId="41" fillId="59" borderId="252" applyNumberFormat="0" applyFont="0" applyAlignment="0" applyProtection="0"/>
    <xf numFmtId="0" fontId="35" fillId="0" borderId="240">
      <alignment horizontal="left" vertical="center" wrapText="1" indent="2"/>
    </xf>
    <xf numFmtId="49" fontId="35" fillId="0" borderId="237" applyNumberFormat="0" applyFont="0" applyFill="0" applyBorder="0" applyProtection="0">
      <alignment horizontal="left" vertical="center" indent="2"/>
    </xf>
    <xf numFmtId="173" fontId="35" fillId="60" borderId="228" applyNumberFormat="0" applyFont="0" applyBorder="0" applyAlignment="0" applyProtection="0">
      <alignment horizontal="right" vertical="center"/>
    </xf>
    <xf numFmtId="0" fontId="33" fillId="32" borderId="258">
      <alignment horizontal="right" vertical="center"/>
    </xf>
    <xf numFmtId="173" fontId="35" fillId="60" borderId="237" applyNumberFormat="0" applyFont="0" applyBorder="0" applyAlignment="0" applyProtection="0">
      <alignment horizontal="right" vertical="center"/>
    </xf>
    <xf numFmtId="4" fontId="33" fillId="34" borderId="228">
      <alignment horizontal="right" vertical="center"/>
    </xf>
    <xf numFmtId="0" fontId="27" fillId="26" borderId="0" applyNumberFormat="0" applyBorder="0" applyAlignment="0" applyProtection="0"/>
    <xf numFmtId="0" fontId="41" fillId="59" borderId="252" applyNumberFormat="0" applyFont="0" applyAlignment="0" applyProtection="0"/>
    <xf numFmtId="0" fontId="12" fillId="28" borderId="0" applyNumberFormat="0" applyBorder="0" applyAlignment="0" applyProtection="0"/>
    <xf numFmtId="0" fontId="12" fillId="25" borderId="0" applyNumberFormat="0" applyBorder="0" applyAlignment="0" applyProtection="0"/>
    <xf numFmtId="4" fontId="33" fillId="34" borderId="253">
      <alignment horizontal="right" vertical="center"/>
    </xf>
    <xf numFmtId="0" fontId="33" fillId="34" borderId="254">
      <alignment horizontal="right" vertical="center"/>
    </xf>
    <xf numFmtId="0" fontId="27" fillId="23" borderId="0" applyNumberFormat="0" applyBorder="0" applyAlignment="0" applyProtection="0"/>
    <xf numFmtId="0" fontId="47" fillId="56" borderId="263" applyNumberFormat="0" applyAlignment="0" applyProtection="0"/>
    <xf numFmtId="0" fontId="44" fillId="56" borderId="249" applyNumberFormat="0" applyAlignment="0" applyProtection="0"/>
    <xf numFmtId="0" fontId="63" fillId="56" borderId="249" applyNumberFormat="0" applyAlignment="0" applyProtection="0"/>
    <xf numFmtId="0" fontId="46" fillId="56" borderId="250" applyNumberFormat="0" applyAlignment="0" applyProtection="0"/>
    <xf numFmtId="0" fontId="33" fillId="34" borderId="230">
      <alignment horizontal="right" vertical="center"/>
    </xf>
    <xf numFmtId="0" fontId="30" fillId="13" borderId="13" applyNumberFormat="0" applyAlignment="0" applyProtection="0"/>
    <xf numFmtId="0" fontId="51" fillId="0" borderId="242" applyNumberFormat="0" applyFill="0" applyAlignment="0" applyProtection="0"/>
    <xf numFmtId="0" fontId="44" fillId="56" borderId="262" applyNumberFormat="0" applyAlignment="0" applyProtection="0"/>
    <xf numFmtId="0" fontId="29" fillId="13" borderId="14" applyNumberFormat="0" applyAlignment="0" applyProtection="0"/>
    <xf numFmtId="4" fontId="37" fillId="32" borderId="244">
      <alignment horizontal="right" vertical="center"/>
    </xf>
    <xf numFmtId="0" fontId="35" fillId="32" borderId="259">
      <alignment horizontal="left" vertical="center"/>
    </xf>
    <xf numFmtId="0" fontId="27" fillId="23" borderId="0" applyNumberFormat="0" applyBorder="0" applyAlignment="0" applyProtection="0"/>
    <xf numFmtId="0" fontId="66" fillId="0" borderId="251" applyNumberFormat="0" applyFill="0" applyAlignment="0" applyProtection="0"/>
    <xf numFmtId="0" fontId="29" fillId="13" borderId="14" applyNumberFormat="0" applyAlignment="0" applyProtection="0"/>
    <xf numFmtId="0" fontId="30" fillId="13" borderId="13" applyNumberFormat="0" applyAlignment="0" applyProtection="0"/>
    <xf numFmtId="0" fontId="33" fillId="34" borderId="253">
      <alignment horizontal="right" vertical="center"/>
    </xf>
    <xf numFmtId="0" fontId="33" fillId="34" borderId="292">
      <alignment horizontal="right" vertical="center"/>
    </xf>
    <xf numFmtId="0" fontId="1" fillId="0" borderId="0" applyNumberFormat="0" applyFill="0" applyBorder="0" applyAlignment="0" applyProtection="0"/>
    <xf numFmtId="0" fontId="12" fillId="22" borderId="0" applyNumberFormat="0" applyBorder="0" applyAlignment="0" applyProtection="0"/>
    <xf numFmtId="0" fontId="31" fillId="0" borderId="0" applyNumberFormat="0" applyFill="0" applyBorder="0" applyAlignment="0" applyProtection="0"/>
    <xf numFmtId="0" fontId="2" fillId="0" borderId="15" applyNumberFormat="0" applyFill="0" applyAlignment="0" applyProtection="0"/>
    <xf numFmtId="4" fontId="35" fillId="0" borderId="253">
      <alignment horizontal="right" vertical="center"/>
    </xf>
    <xf numFmtId="0" fontId="27" fillId="14" borderId="0" applyNumberFormat="0" applyBorder="0" applyAlignment="0" applyProtection="0"/>
    <xf numFmtId="0" fontId="27" fillId="15" borderId="0" applyNumberFormat="0" applyBorder="0" applyAlignment="0" applyProtection="0"/>
    <xf numFmtId="0" fontId="12" fillId="16" borderId="0" applyNumberFormat="0" applyBorder="0" applyAlignment="0" applyProtection="0"/>
    <xf numFmtId="0" fontId="35" fillId="34" borderId="256">
      <alignment horizontal="left" vertical="center" wrapText="1" indent="2"/>
    </xf>
    <xf numFmtId="0" fontId="27" fillId="17" borderId="0" applyNumberFormat="0" applyBorder="0" applyAlignment="0" applyProtection="0"/>
    <xf numFmtId="0" fontId="27" fillId="18" borderId="0" applyNumberFormat="0" applyBorder="0" applyAlignment="0" applyProtection="0"/>
    <xf numFmtId="0" fontId="12" fillId="19" borderId="0" applyNumberFormat="0" applyBorder="0" applyAlignment="0" applyProtection="0"/>
    <xf numFmtId="4" fontId="33" fillId="34" borderId="239">
      <alignment horizontal="right" vertical="center"/>
    </xf>
    <xf numFmtId="0" fontId="27" fillId="20" borderId="0" applyNumberFormat="0" applyBorder="0" applyAlignment="0" applyProtection="0"/>
    <xf numFmtId="0" fontId="27" fillId="21" borderId="0" applyNumberFormat="0" applyBorder="0" applyAlignment="0" applyProtection="0"/>
    <xf numFmtId="0" fontId="12" fillId="22" borderId="0" applyNumberFormat="0" applyBorder="0" applyAlignment="0" applyProtection="0"/>
    <xf numFmtId="0" fontId="27" fillId="30" borderId="0" applyNumberFormat="0" applyBorder="0" applyAlignment="0" applyProtection="0"/>
    <xf numFmtId="0" fontId="27" fillId="23" borderId="0" applyNumberFormat="0" applyBorder="0" applyAlignment="0" applyProtection="0"/>
    <xf numFmtId="0" fontId="27" fillId="24" borderId="0" applyNumberFormat="0" applyBorder="0" applyAlignment="0" applyProtection="0"/>
    <xf numFmtId="0" fontId="12" fillId="25" borderId="0" applyNumberFormat="0" applyBorder="0" applyAlignment="0" applyProtection="0"/>
    <xf numFmtId="4" fontId="33" fillId="34" borderId="260">
      <alignment horizontal="right" vertical="center"/>
    </xf>
    <xf numFmtId="0" fontId="27" fillId="26" borderId="0" applyNumberFormat="0" applyBorder="0" applyAlignment="0" applyProtection="0"/>
    <xf numFmtId="0" fontId="27" fillId="27" borderId="0" applyNumberFormat="0" applyBorder="0" applyAlignment="0" applyProtection="0"/>
    <xf numFmtId="0" fontId="12" fillId="28" borderId="0" applyNumberFormat="0" applyBorder="0" applyAlignment="0" applyProtection="0"/>
    <xf numFmtId="0" fontId="27" fillId="29" borderId="0" applyNumberFormat="0" applyBorder="0" applyAlignment="0" applyProtection="0"/>
    <xf numFmtId="0" fontId="27" fillId="30" borderId="0" applyNumberFormat="0" applyBorder="0" applyAlignment="0" applyProtection="0"/>
    <xf numFmtId="0" fontId="12" fillId="31" borderId="0" applyNumberFormat="0" applyBorder="0" applyAlignment="0" applyProtection="0"/>
    <xf numFmtId="0" fontId="35" fillId="0" borderId="211" applyNumberFormat="0" applyFill="0" applyAlignment="0" applyProtection="0"/>
    <xf numFmtId="0" fontId="33" fillId="34" borderId="211">
      <alignment horizontal="right" vertical="center"/>
    </xf>
    <xf numFmtId="0" fontId="33" fillId="34" borderId="211">
      <alignment horizontal="right" vertical="center"/>
    </xf>
    <xf numFmtId="4" fontId="33" fillId="34" borderId="253">
      <alignment horizontal="right" vertical="center"/>
    </xf>
    <xf numFmtId="0" fontId="33" fillId="34" borderId="229">
      <alignment horizontal="right" vertical="center"/>
    </xf>
    <xf numFmtId="0" fontId="35" fillId="0" borderId="211">
      <alignment horizontal="right" vertical="center"/>
    </xf>
    <xf numFmtId="0" fontId="37" fillId="32" borderId="211">
      <alignment horizontal="right" vertical="center"/>
    </xf>
    <xf numFmtId="0" fontId="35" fillId="33" borderId="211"/>
    <xf numFmtId="0" fontId="33" fillId="32" borderId="211">
      <alignment horizontal="right" vertical="center"/>
    </xf>
    <xf numFmtId="0" fontId="50" fillId="43" borderId="241" applyNumberFormat="0" applyAlignment="0" applyProtection="0"/>
    <xf numFmtId="4" fontId="35" fillId="0" borderId="253" applyFill="0" applyBorder="0" applyProtection="0">
      <alignment horizontal="right" vertical="center"/>
    </xf>
    <xf numFmtId="4" fontId="33" fillId="34" borderId="259">
      <alignment horizontal="right" vertical="center"/>
    </xf>
    <xf numFmtId="0" fontId="51" fillId="0" borderId="266" applyNumberFormat="0" applyFill="0" applyAlignment="0" applyProtection="0"/>
    <xf numFmtId="0" fontId="1" fillId="0" borderId="0" applyNumberFormat="0" applyFill="0" applyBorder="0" applyAlignment="0" applyProtection="0"/>
    <xf numFmtId="0" fontId="33" fillId="34" borderId="259">
      <alignment horizontal="right" vertical="center"/>
    </xf>
    <xf numFmtId="0" fontId="33" fillId="32" borderId="253">
      <alignment horizontal="right" vertical="center"/>
    </xf>
    <xf numFmtId="0" fontId="33" fillId="32" borderId="274">
      <alignment horizontal="right" vertical="center"/>
    </xf>
    <xf numFmtId="0" fontId="35" fillId="33" borderId="237"/>
    <xf numFmtId="0" fontId="33" fillId="34" borderId="253">
      <alignment horizontal="right" vertical="center"/>
    </xf>
    <xf numFmtId="0" fontId="35" fillId="33" borderId="253"/>
    <xf numFmtId="0" fontId="41" fillId="59" borderId="257" applyNumberFormat="0" applyFont="0" applyAlignment="0" applyProtection="0"/>
    <xf numFmtId="0" fontId="51" fillId="0" borderId="251" applyNumberFormat="0" applyFill="0" applyAlignment="0" applyProtection="0"/>
    <xf numFmtId="0" fontId="27" fillId="23" borderId="0" applyNumberFormat="0" applyBorder="0" applyAlignment="0" applyProtection="0"/>
    <xf numFmtId="4" fontId="33" fillId="34" borderId="255">
      <alignment horizontal="right" vertical="center"/>
    </xf>
    <xf numFmtId="173" fontId="35" fillId="60" borderId="282" applyNumberFormat="0" applyFont="0" applyBorder="0" applyAlignment="0" applyProtection="0">
      <alignment horizontal="right" vertical="center"/>
    </xf>
    <xf numFmtId="0" fontId="63" fillId="56" borderId="233" applyNumberFormat="0" applyAlignment="0" applyProtection="0"/>
    <xf numFmtId="0" fontId="35" fillId="32" borderId="254">
      <alignment horizontal="left" vertical="center"/>
    </xf>
    <xf numFmtId="49" fontId="34" fillId="0" borderId="228" applyNumberFormat="0" applyFill="0" applyBorder="0" applyProtection="0">
      <alignment horizontal="left" vertical="center"/>
    </xf>
    <xf numFmtId="4" fontId="35" fillId="0" borderId="228" applyFill="0" applyBorder="0" applyProtection="0">
      <alignment horizontal="right" vertical="center"/>
    </xf>
    <xf numFmtId="0" fontId="27" fillId="15" borderId="0" applyNumberFormat="0" applyBorder="0" applyAlignment="0" applyProtection="0"/>
    <xf numFmtId="4" fontId="35" fillId="0" borderId="258" applyFill="0" applyBorder="0" applyProtection="0">
      <alignment horizontal="right" vertical="center"/>
    </xf>
    <xf numFmtId="0" fontId="27" fillId="30" borderId="0" applyNumberFormat="0" applyBorder="0" applyAlignment="0" applyProtection="0"/>
    <xf numFmtId="4" fontId="33" fillId="34" borderId="253">
      <alignment horizontal="right" vertical="center"/>
    </xf>
    <xf numFmtId="4" fontId="33" fillId="34" borderId="254">
      <alignment horizontal="right" vertical="center"/>
    </xf>
    <xf numFmtId="0" fontId="12" fillId="16" borderId="0" applyNumberFormat="0" applyBorder="0" applyAlignment="0" applyProtection="0"/>
    <xf numFmtId="4" fontId="35" fillId="0" borderId="244" applyFill="0" applyBorder="0" applyProtection="0">
      <alignment horizontal="right" vertical="center"/>
    </xf>
    <xf numFmtId="0" fontId="66" fillId="0" borderId="242" applyNumberFormat="0" applyFill="0" applyAlignment="0" applyProtection="0"/>
    <xf numFmtId="0" fontId="47" fillId="56" borderId="241" applyNumberFormat="0" applyAlignment="0" applyProtection="0"/>
    <xf numFmtId="0" fontId="47" fillId="56" borderId="234" applyNumberFormat="0" applyAlignment="0" applyProtection="0"/>
    <xf numFmtId="0" fontId="35" fillId="0" borderId="268">
      <alignment horizontal="right" vertical="center"/>
    </xf>
    <xf numFmtId="0" fontId="41" fillId="59" borderId="252" applyNumberFormat="0" applyFont="0" applyAlignment="0" applyProtection="0"/>
    <xf numFmtId="0" fontId="27" fillId="30" borderId="0" applyNumberFormat="0" applyBorder="0" applyAlignment="0" applyProtection="0"/>
    <xf numFmtId="0" fontId="12" fillId="31" borderId="0" applyNumberFormat="0" applyBorder="0" applyAlignment="0" applyProtection="0"/>
    <xf numFmtId="0" fontId="63" fillId="56" borderId="272" applyNumberFormat="0" applyAlignment="0" applyProtection="0"/>
    <xf numFmtId="0" fontId="66" fillId="0" borderId="266" applyNumberFormat="0" applyFill="0" applyAlignment="0" applyProtection="0"/>
    <xf numFmtId="0" fontId="33" fillId="34" borderId="246">
      <alignment horizontal="right" vertical="center"/>
    </xf>
    <xf numFmtId="0" fontId="66" fillId="0" borderId="264" applyNumberFormat="0" applyFill="0" applyAlignment="0" applyProtection="0"/>
    <xf numFmtId="4" fontId="35" fillId="0" borderId="258">
      <alignment horizontal="right" vertical="center"/>
    </xf>
    <xf numFmtId="0" fontId="33" fillId="34" borderId="258">
      <alignment horizontal="right" vertical="center"/>
    </xf>
    <xf numFmtId="0" fontId="66" fillId="0" borderId="226" applyNumberFormat="0" applyFill="0" applyAlignment="0" applyProtection="0"/>
    <xf numFmtId="0" fontId="35" fillId="0" borderId="228" applyNumberFormat="0" applyFill="0" applyAlignment="0" applyProtection="0"/>
    <xf numFmtId="0" fontId="35" fillId="0" borderId="231">
      <alignment horizontal="left" vertical="center" wrapText="1" indent="2"/>
    </xf>
    <xf numFmtId="0" fontId="33" fillId="34" borderId="228">
      <alignment horizontal="right" vertical="center"/>
    </xf>
    <xf numFmtId="4" fontId="33" fillId="34" borderId="228">
      <alignment horizontal="right" vertical="center"/>
    </xf>
    <xf numFmtId="0" fontId="33" fillId="34" borderId="228">
      <alignment horizontal="right" vertical="center"/>
    </xf>
    <xf numFmtId="4" fontId="37" fillId="32" borderId="228">
      <alignment horizontal="right" vertical="center"/>
    </xf>
    <xf numFmtId="0" fontId="37" fillId="32" borderId="228">
      <alignment horizontal="right" vertical="center"/>
    </xf>
    <xf numFmtId="4" fontId="33" fillId="32" borderId="228">
      <alignment horizontal="right" vertical="center"/>
    </xf>
    <xf numFmtId="0" fontId="33" fillId="32" borderId="228">
      <alignment horizontal="right" vertical="center"/>
    </xf>
    <xf numFmtId="0" fontId="66" fillId="0" borderId="251" applyNumberFormat="0" applyFill="0" applyAlignment="0" applyProtection="0"/>
    <xf numFmtId="0" fontId="47" fillId="56" borderId="218" applyNumberFormat="0" applyAlignment="0" applyProtection="0"/>
    <xf numFmtId="4" fontId="35" fillId="33" borderId="253"/>
    <xf numFmtId="43" fontId="38" fillId="0" borderId="0" applyFont="0" applyFill="0" applyBorder="0" applyAlignment="0" applyProtection="0"/>
    <xf numFmtId="4" fontId="33" fillId="34" borderId="246">
      <alignment horizontal="right" vertical="center"/>
    </xf>
    <xf numFmtId="43" fontId="38" fillId="0" borderId="0" applyFont="0" applyFill="0" applyBorder="0" applyAlignment="0" applyProtection="0"/>
    <xf numFmtId="0" fontId="35" fillId="34" borderId="271">
      <alignment horizontal="left" vertical="center" wrapText="1" indent="2"/>
    </xf>
    <xf numFmtId="0" fontId="66" fillId="0" borderId="226" applyNumberFormat="0" applyFill="0" applyAlignment="0" applyProtection="0"/>
    <xf numFmtId="0" fontId="27" fillId="17" borderId="0" applyNumberFormat="0" applyBorder="0" applyAlignment="0" applyProtection="0"/>
    <xf numFmtId="0" fontId="33" fillId="34" borderId="245">
      <alignment horizontal="right" vertical="center"/>
    </xf>
    <xf numFmtId="0" fontId="59" fillId="43" borderId="234" applyNumberFormat="0" applyAlignment="0" applyProtection="0"/>
    <xf numFmtId="0" fontId="47" fillId="56" borderId="225" applyNumberFormat="0" applyAlignment="0" applyProtection="0"/>
    <xf numFmtId="49" fontId="34" fillId="0" borderId="253" applyNumberFormat="0" applyFill="0" applyBorder="0" applyProtection="0">
      <alignment horizontal="left" vertical="center"/>
    </xf>
    <xf numFmtId="0" fontId="59" fillId="43" borderId="241" applyNumberFormat="0" applyAlignment="0" applyProtection="0"/>
    <xf numFmtId="0" fontId="35" fillId="0" borderId="256">
      <alignment horizontal="left" vertical="center" wrapText="1" indent="2"/>
    </xf>
    <xf numFmtId="0" fontId="59" fillId="43" borderId="218" applyNumberFormat="0" applyAlignment="0" applyProtection="0"/>
    <xf numFmtId="0" fontId="12" fillId="16" borderId="0" applyNumberFormat="0" applyBorder="0" applyAlignment="0" applyProtection="0"/>
    <xf numFmtId="4" fontId="35" fillId="0" borderId="258">
      <alignment horizontal="right" vertical="center"/>
    </xf>
    <xf numFmtId="0" fontId="35" fillId="33" borderId="282"/>
    <xf numFmtId="4" fontId="37" fillId="32" borderId="253">
      <alignment horizontal="right" vertical="center"/>
    </xf>
    <xf numFmtId="0" fontId="50" fillId="43" borderId="250" applyNumberFormat="0" applyAlignment="0" applyProtection="0"/>
    <xf numFmtId="0" fontId="27" fillId="26" borderId="0" applyNumberFormat="0" applyBorder="0" applyAlignment="0" applyProtection="0"/>
    <xf numFmtId="0" fontId="5" fillId="59" borderId="257" applyNumberFormat="0" applyFont="0" applyAlignment="0" applyProtection="0"/>
    <xf numFmtId="0" fontId="66" fillId="0" borderId="251" applyNumberFormat="0" applyFill="0" applyAlignment="0" applyProtection="0"/>
    <xf numFmtId="0" fontId="33" fillId="34" borderId="268">
      <alignment horizontal="right" vertical="center"/>
    </xf>
    <xf numFmtId="0" fontId="46" fillId="56" borderId="263" applyNumberFormat="0" applyAlignment="0" applyProtection="0"/>
    <xf numFmtId="0" fontId="2" fillId="0" borderId="15" applyNumberFormat="0" applyFill="0" applyAlignment="0" applyProtection="0"/>
    <xf numFmtId="4" fontId="33" fillId="32" borderId="253">
      <alignment horizontal="right" vertical="center"/>
    </xf>
    <xf numFmtId="0" fontId="5" fillId="59" borderId="227" applyNumberFormat="0" applyFont="0" applyAlignment="0" applyProtection="0"/>
    <xf numFmtId="0" fontId="41" fillId="59" borderId="227" applyNumberFormat="0" applyFont="0" applyAlignment="0" applyProtection="0"/>
    <xf numFmtId="0" fontId="35" fillId="0" borderId="240">
      <alignment horizontal="left" vertical="center" wrapText="1" indent="2"/>
    </xf>
    <xf numFmtId="4" fontId="35" fillId="0" borderId="258">
      <alignment horizontal="right" vertical="center"/>
    </xf>
    <xf numFmtId="0" fontId="33" fillId="34" borderId="260">
      <alignment horizontal="right" vertical="center"/>
    </xf>
    <xf numFmtId="4" fontId="35" fillId="0" borderId="211" applyFill="0" applyBorder="0" applyProtection="0">
      <alignment horizontal="right" vertical="center"/>
    </xf>
    <xf numFmtId="0" fontId="33" fillId="34" borderId="254">
      <alignment horizontal="right" vertical="center"/>
    </xf>
    <xf numFmtId="0" fontId="35" fillId="33" borderId="258"/>
    <xf numFmtId="0" fontId="12" fillId="31" borderId="0" applyNumberFormat="0" applyBorder="0" applyAlignment="0" applyProtection="0"/>
    <xf numFmtId="0" fontId="35" fillId="0" borderId="256">
      <alignment horizontal="left" vertical="center" wrapText="1" indent="2"/>
    </xf>
    <xf numFmtId="0" fontId="27" fillId="27" borderId="0" applyNumberFormat="0" applyBorder="0" applyAlignment="0" applyProtection="0"/>
    <xf numFmtId="0" fontId="27" fillId="15" borderId="0" applyNumberFormat="0" applyBorder="0" applyAlignment="0" applyProtection="0"/>
    <xf numFmtId="0" fontId="31" fillId="0" borderId="0" applyNumberFormat="0" applyFill="0" applyBorder="0" applyAlignment="0" applyProtection="0"/>
    <xf numFmtId="0" fontId="35" fillId="0" borderId="253">
      <alignment horizontal="right" vertical="center"/>
    </xf>
    <xf numFmtId="0" fontId="41" fillId="59" borderId="220" applyNumberFormat="0" applyFont="0" applyAlignment="0" applyProtection="0"/>
    <xf numFmtId="0" fontId="5" fillId="59" borderId="220" applyNumberFormat="0" applyFont="0" applyAlignment="0" applyProtection="0"/>
    <xf numFmtId="0" fontId="63" fillId="56" borderId="217" applyNumberFormat="0" applyAlignment="0" applyProtection="0"/>
    <xf numFmtId="0" fontId="12" fillId="31" borderId="0" applyNumberFormat="0" applyBorder="0" applyAlignment="0" applyProtection="0"/>
    <xf numFmtId="0" fontId="35" fillId="33" borderId="268"/>
    <xf numFmtId="4" fontId="33" fillId="34" borderId="255">
      <alignment horizontal="right" vertical="center"/>
    </xf>
    <xf numFmtId="49" fontId="35" fillId="0" borderId="253" applyNumberFormat="0" applyFont="0" applyFill="0" applyBorder="0" applyProtection="0">
      <alignment horizontal="left" vertical="center" indent="2"/>
    </xf>
    <xf numFmtId="4" fontId="35" fillId="0" borderId="258">
      <alignment horizontal="right" vertical="center"/>
    </xf>
    <xf numFmtId="0" fontId="33" fillId="34" borderId="253">
      <alignment horizontal="right" vertical="center"/>
    </xf>
    <xf numFmtId="0" fontId="66" fillId="0" borderId="219" applyNumberFormat="0" applyFill="0" applyAlignment="0" applyProtection="0"/>
    <xf numFmtId="0" fontId="37" fillId="32" borderId="253">
      <alignment horizontal="right" vertical="center"/>
    </xf>
    <xf numFmtId="0" fontId="12" fillId="22" borderId="0" applyNumberFormat="0" applyBorder="0" applyAlignment="0" applyProtection="0"/>
    <xf numFmtId="0" fontId="5" fillId="59" borderId="243" applyNumberFormat="0" applyFont="0" applyAlignment="0" applyProtection="0"/>
    <xf numFmtId="0" fontId="35" fillId="32" borderId="254">
      <alignment horizontal="left" vertical="center"/>
    </xf>
    <xf numFmtId="0" fontId="51" fillId="0" borderId="251" applyNumberFormat="0" applyFill="0" applyAlignment="0" applyProtection="0"/>
    <xf numFmtId="0" fontId="47" fillId="56" borderId="250" applyNumberFormat="0" applyAlignment="0" applyProtection="0"/>
    <xf numFmtId="0" fontId="33" fillId="34" borderId="255">
      <alignment horizontal="right" vertical="center"/>
    </xf>
    <xf numFmtId="0" fontId="63" fillId="56" borderId="286" applyNumberFormat="0" applyAlignment="0" applyProtection="0"/>
    <xf numFmtId="4" fontId="33" fillId="34" borderId="237">
      <alignment horizontal="right" vertical="center"/>
    </xf>
    <xf numFmtId="0" fontId="44" fillId="56" borderId="249" applyNumberFormat="0" applyAlignment="0" applyProtection="0"/>
    <xf numFmtId="4" fontId="35" fillId="33" borderId="244"/>
    <xf numFmtId="4" fontId="33" fillId="34" borderId="270">
      <alignment horizontal="right" vertical="center"/>
    </xf>
    <xf numFmtId="0" fontId="35" fillId="34" borderId="271">
      <alignment horizontal="left" vertical="center" wrapText="1" indent="2"/>
    </xf>
    <xf numFmtId="0" fontId="33" fillId="34" borderId="254">
      <alignment horizontal="right" vertical="center"/>
    </xf>
    <xf numFmtId="0" fontId="41" fillId="59" borderId="273" applyNumberFormat="0" applyFont="0" applyAlignment="0" applyProtection="0"/>
    <xf numFmtId="0" fontId="66" fillId="0" borderId="251" applyNumberFormat="0" applyFill="0" applyAlignment="0" applyProtection="0"/>
    <xf numFmtId="0" fontId="27" fillId="21" borderId="0" applyNumberFormat="0" applyBorder="0" applyAlignment="0" applyProtection="0"/>
    <xf numFmtId="4" fontId="35" fillId="33" borderId="253"/>
    <xf numFmtId="0" fontId="30" fillId="13" borderId="13" applyNumberFormat="0" applyAlignment="0" applyProtection="0"/>
    <xf numFmtId="0" fontId="27" fillId="14" borderId="0" applyNumberFormat="0" applyBorder="0" applyAlignment="0" applyProtection="0"/>
    <xf numFmtId="4" fontId="35" fillId="0" borderId="253">
      <alignment horizontal="right" vertical="center"/>
    </xf>
    <xf numFmtId="0" fontId="51" fillId="0" borderId="226" applyNumberFormat="0" applyFill="0" applyAlignment="0" applyProtection="0"/>
    <xf numFmtId="0" fontId="50" fillId="43" borderId="250" applyNumberFormat="0" applyAlignment="0" applyProtection="0"/>
    <xf numFmtId="0" fontId="51" fillId="0" borderId="288" applyNumberFormat="0" applyFill="0" applyAlignment="0" applyProtection="0"/>
    <xf numFmtId="0" fontId="5" fillId="59" borderId="281" applyNumberFormat="0" applyFont="0" applyAlignment="0" applyProtection="0"/>
    <xf numFmtId="0" fontId="63" fillId="56" borderId="249" applyNumberFormat="0" applyAlignment="0" applyProtection="0"/>
    <xf numFmtId="4" fontId="33" fillId="34" borderId="253">
      <alignment horizontal="right" vertical="center"/>
    </xf>
    <xf numFmtId="0" fontId="51" fillId="0" borderId="251" applyNumberFormat="0" applyFill="0" applyAlignment="0" applyProtection="0"/>
    <xf numFmtId="0" fontId="66" fillId="0" borderId="242" applyNumberFormat="0" applyFill="0" applyAlignment="0" applyProtection="0"/>
    <xf numFmtId="0" fontId="12" fillId="25" borderId="0" applyNumberFormat="0" applyBorder="0" applyAlignment="0" applyProtection="0"/>
    <xf numFmtId="0" fontId="12" fillId="28" borderId="0" applyNumberFormat="0" applyBorder="0" applyAlignment="0" applyProtection="0"/>
    <xf numFmtId="0" fontId="31" fillId="0" borderId="0" applyNumberFormat="0" applyFill="0" applyBorder="0" applyAlignment="0" applyProtection="0"/>
    <xf numFmtId="0" fontId="50" fillId="43" borderId="250" applyNumberFormat="0" applyAlignment="0" applyProtection="0"/>
    <xf numFmtId="0" fontId="27" fillId="23" borderId="0" applyNumberFormat="0" applyBorder="0" applyAlignment="0" applyProtection="0"/>
    <xf numFmtId="0" fontId="63" fillId="56" borderId="249" applyNumberFormat="0" applyAlignment="0" applyProtection="0"/>
    <xf numFmtId="4" fontId="33" fillId="34" borderId="258">
      <alignment horizontal="right" vertical="center"/>
    </xf>
    <xf numFmtId="0" fontId="63" fillId="56" borderId="249" applyNumberFormat="0" applyAlignment="0" applyProtection="0"/>
    <xf numFmtId="173" fontId="35" fillId="60" borderId="253" applyNumberFormat="0" applyFont="0" applyBorder="0" applyAlignment="0" applyProtection="0">
      <alignment horizontal="right" vertical="center"/>
    </xf>
    <xf numFmtId="0" fontId="51" fillId="0" borderId="280" applyNumberFormat="0" applyFill="0" applyAlignment="0" applyProtection="0"/>
    <xf numFmtId="0" fontId="27" fillId="20" borderId="0" applyNumberFormat="0" applyBorder="0" applyAlignment="0" applyProtection="0"/>
    <xf numFmtId="0" fontId="33" fillId="32" borderId="268">
      <alignment horizontal="right" vertical="center"/>
    </xf>
    <xf numFmtId="0" fontId="47" fillId="56" borderId="218" applyNumberFormat="0" applyAlignment="0" applyProtection="0"/>
    <xf numFmtId="0" fontId="44" fillId="56" borderId="233" applyNumberFormat="0" applyAlignment="0" applyProtection="0"/>
    <xf numFmtId="49" fontId="34" fillId="0" borderId="258" applyNumberFormat="0" applyFill="0" applyBorder="0" applyProtection="0">
      <alignment horizontal="left" vertical="center"/>
    </xf>
    <xf numFmtId="4" fontId="37" fillId="32" borderId="258">
      <alignment horizontal="right" vertical="center"/>
    </xf>
    <xf numFmtId="0" fontId="35" fillId="0" borderId="237" applyNumberFormat="0" applyFill="0" applyAlignment="0" applyProtection="0"/>
    <xf numFmtId="4" fontId="35" fillId="0" borderId="237" applyFill="0" applyBorder="0" applyProtection="0">
      <alignment horizontal="right" vertical="center"/>
    </xf>
    <xf numFmtId="0" fontId="35" fillId="0" borderId="247">
      <alignment horizontal="left" vertical="center" wrapText="1" indent="2"/>
    </xf>
    <xf numFmtId="0" fontId="27" fillId="18" borderId="0" applyNumberFormat="0" applyBorder="0" applyAlignment="0" applyProtection="0"/>
    <xf numFmtId="0" fontId="59" fillId="43" borderId="218" applyNumberFormat="0" applyAlignment="0" applyProtection="0"/>
    <xf numFmtId="0" fontId="35" fillId="0" borderId="258">
      <alignment horizontal="right" vertical="center"/>
    </xf>
    <xf numFmtId="0" fontId="35" fillId="32" borderId="245">
      <alignment horizontal="left" vertical="center"/>
    </xf>
    <xf numFmtId="0" fontId="30" fillId="13" borderId="13" applyNumberFormat="0" applyAlignment="0" applyProtection="0"/>
    <xf numFmtId="0" fontId="41" fillId="59" borderId="220" applyNumberFormat="0" applyFont="0" applyAlignment="0" applyProtection="0"/>
    <xf numFmtId="0" fontId="63" fillId="56" borderId="217" applyNumberFormat="0" applyAlignment="0" applyProtection="0"/>
    <xf numFmtId="0" fontId="47" fillId="56" borderId="250" applyNumberFormat="0" applyAlignment="0" applyProtection="0"/>
    <xf numFmtId="0" fontId="66" fillId="0" borderId="219" applyNumberFormat="0" applyFill="0" applyAlignment="0" applyProtection="0"/>
    <xf numFmtId="0" fontId="33" fillId="34" borderId="255">
      <alignment horizontal="right" vertical="center"/>
    </xf>
    <xf numFmtId="0" fontId="33" fillId="34" borderId="253">
      <alignment horizontal="right" vertical="center"/>
    </xf>
    <xf numFmtId="0" fontId="33" fillId="34" borderId="238">
      <alignment horizontal="right" vertical="center"/>
    </xf>
    <xf numFmtId="0" fontId="35" fillId="0" borderId="295">
      <alignment horizontal="left" vertical="center" wrapText="1" indent="2"/>
    </xf>
    <xf numFmtId="49" fontId="34" fillId="0" borderId="253" applyNumberFormat="0" applyFill="0" applyBorder="0" applyProtection="0">
      <alignment horizontal="left" vertical="center"/>
    </xf>
    <xf numFmtId="0" fontId="27" fillId="24" borderId="0" applyNumberFormat="0" applyBorder="0" applyAlignment="0" applyProtection="0"/>
    <xf numFmtId="0" fontId="51" fillId="0" borderId="266" applyNumberFormat="0" applyFill="0" applyAlignment="0" applyProtection="0"/>
    <xf numFmtId="4" fontId="33" fillId="34" borderId="258">
      <alignment horizontal="right" vertical="center"/>
    </xf>
    <xf numFmtId="0" fontId="46" fillId="56" borderId="234" applyNumberFormat="0" applyAlignment="0" applyProtection="0"/>
    <xf numFmtId="0" fontId="33" fillId="34" borderId="244">
      <alignment horizontal="right" vertical="center"/>
    </xf>
    <xf numFmtId="0" fontId="33" fillId="34" borderId="255">
      <alignment horizontal="right" vertical="center"/>
    </xf>
    <xf numFmtId="0" fontId="66" fillId="0" borderId="242" applyNumberFormat="0" applyFill="0" applyAlignment="0" applyProtection="0"/>
    <xf numFmtId="0" fontId="46" fillId="56" borderId="250" applyNumberFormat="0" applyAlignment="0" applyProtection="0"/>
    <xf numFmtId="0" fontId="51" fillId="0" borderId="280" applyNumberFormat="0" applyFill="0" applyAlignment="0" applyProtection="0"/>
    <xf numFmtId="0" fontId="41" fillId="59" borderId="252" applyNumberFormat="0" applyFont="0" applyAlignment="0" applyProtection="0"/>
    <xf numFmtId="4" fontId="35" fillId="0" borderId="253" applyFill="0" applyBorder="0" applyProtection="0">
      <alignment horizontal="right" vertical="center"/>
    </xf>
    <xf numFmtId="0" fontId="27" fillId="18" borderId="0" applyNumberFormat="0" applyBorder="0" applyAlignment="0" applyProtection="0"/>
    <xf numFmtId="49" fontId="35" fillId="0" borderId="229" applyNumberFormat="0" applyFont="0" applyFill="0" applyBorder="0" applyProtection="0">
      <alignment horizontal="left" vertical="center" indent="5"/>
    </xf>
    <xf numFmtId="0" fontId="27" fillId="21" borderId="0" applyNumberFormat="0" applyBorder="0" applyAlignment="0" applyProtection="0"/>
    <xf numFmtId="4" fontId="33" fillId="34" borderId="253">
      <alignment horizontal="right" vertical="center"/>
    </xf>
    <xf numFmtId="0" fontId="33" fillId="32" borderId="221">
      <alignment horizontal="right" vertical="center"/>
    </xf>
    <xf numFmtId="4" fontId="33" fillId="32" borderId="221">
      <alignment horizontal="right" vertical="center"/>
    </xf>
    <xf numFmtId="0" fontId="37" fillId="32" borderId="221">
      <alignment horizontal="right" vertical="center"/>
    </xf>
    <xf numFmtId="4" fontId="37" fillId="32" borderId="221">
      <alignment horizontal="right" vertical="center"/>
    </xf>
    <xf numFmtId="0" fontId="33" fillId="34" borderId="221">
      <alignment horizontal="right" vertical="center"/>
    </xf>
    <xf numFmtId="4" fontId="33" fillId="34" borderId="221">
      <alignment horizontal="right" vertical="center"/>
    </xf>
    <xf numFmtId="0" fontId="33" fillId="34" borderId="221">
      <alignment horizontal="right" vertical="center"/>
    </xf>
    <xf numFmtId="4" fontId="33" fillId="34" borderId="221">
      <alignment horizontal="right" vertical="center"/>
    </xf>
    <xf numFmtId="0" fontId="33" fillId="34" borderId="222">
      <alignment horizontal="right" vertical="center"/>
    </xf>
    <xf numFmtId="4" fontId="33" fillId="34" borderId="222">
      <alignment horizontal="right" vertical="center"/>
    </xf>
    <xf numFmtId="0" fontId="33" fillId="34" borderId="223">
      <alignment horizontal="right" vertical="center"/>
    </xf>
    <xf numFmtId="4" fontId="33" fillId="34" borderId="223">
      <alignment horizontal="right" vertical="center"/>
    </xf>
    <xf numFmtId="0" fontId="47" fillId="56" borderId="218" applyNumberFormat="0" applyAlignment="0" applyProtection="0"/>
    <xf numFmtId="0" fontId="35" fillId="34" borderId="224">
      <alignment horizontal="left" vertical="center" wrapText="1" indent="2"/>
    </xf>
    <xf numFmtId="0" fontId="35" fillId="0" borderId="224">
      <alignment horizontal="left" vertical="center" wrapText="1" indent="2"/>
    </xf>
    <xf numFmtId="0" fontId="35" fillId="32" borderId="222">
      <alignment horizontal="left" vertical="center"/>
    </xf>
    <xf numFmtId="0" fontId="59" fillId="43" borderId="234" applyNumberFormat="0" applyAlignment="0" applyProtection="0"/>
    <xf numFmtId="0" fontId="59" fillId="43" borderId="218" applyNumberFormat="0" applyAlignment="0" applyProtection="0"/>
    <xf numFmtId="0" fontId="35" fillId="0" borderId="221">
      <alignment horizontal="right" vertical="center"/>
    </xf>
    <xf numFmtId="4" fontId="35" fillId="0" borderId="221">
      <alignment horizontal="right" vertical="center"/>
    </xf>
    <xf numFmtId="0" fontId="47" fillId="56" borderId="234" applyNumberFormat="0" applyAlignment="0" applyProtection="0"/>
    <xf numFmtId="0" fontId="35" fillId="0" borderId="221" applyNumberFormat="0" applyFill="0" applyAlignment="0" applyProtection="0"/>
    <xf numFmtId="0" fontId="63" fillId="56" borderId="217" applyNumberFormat="0" applyAlignment="0" applyProtection="0"/>
    <xf numFmtId="173" fontId="35" fillId="60" borderId="221" applyNumberFormat="0" applyFont="0" applyBorder="0" applyAlignment="0" applyProtection="0">
      <alignment horizontal="right" vertical="center"/>
    </xf>
    <xf numFmtId="0" fontId="35" fillId="33" borderId="221"/>
    <xf numFmtId="4" fontId="35" fillId="33" borderId="221"/>
    <xf numFmtId="0" fontId="66" fillId="0" borderId="219" applyNumberFormat="0" applyFill="0" applyAlignment="0" applyProtection="0"/>
    <xf numFmtId="4" fontId="35" fillId="0" borderId="253" applyFill="0" applyBorder="0" applyProtection="0">
      <alignment horizontal="right" vertical="center"/>
    </xf>
    <xf numFmtId="0" fontId="33" fillId="32" borderId="258">
      <alignment horizontal="right" vertical="center"/>
    </xf>
    <xf numFmtId="4" fontId="35" fillId="0" borderId="237">
      <alignment horizontal="right" vertical="center"/>
    </xf>
    <xf numFmtId="0" fontId="59" fillId="43" borderId="250" applyNumberFormat="0" applyAlignment="0" applyProtection="0"/>
    <xf numFmtId="173" fontId="35" fillId="60" borderId="258" applyNumberFormat="0" applyFont="0" applyBorder="0" applyAlignment="0" applyProtection="0">
      <alignment horizontal="right" vertical="center"/>
    </xf>
    <xf numFmtId="4" fontId="33" fillId="34" borderId="254">
      <alignment horizontal="right" vertical="center"/>
    </xf>
    <xf numFmtId="0" fontId="33" fillId="34" borderId="253">
      <alignment horizontal="right" vertical="center"/>
    </xf>
    <xf numFmtId="0" fontId="27" fillId="21" borderId="0" applyNumberFormat="0" applyBorder="0" applyAlignment="0" applyProtection="0"/>
    <xf numFmtId="0" fontId="1" fillId="0" borderId="0" applyNumberFormat="0" applyFill="0" applyBorder="0" applyAlignment="0" applyProtection="0"/>
    <xf numFmtId="0" fontId="63" fillId="56" borderId="233" applyNumberFormat="0" applyAlignment="0" applyProtection="0"/>
    <xf numFmtId="0" fontId="33" fillId="32" borderId="237">
      <alignment horizontal="right" vertical="center"/>
    </xf>
    <xf numFmtId="49" fontId="35" fillId="0" borderId="245" applyNumberFormat="0" applyFont="0" applyFill="0" applyBorder="0" applyProtection="0">
      <alignment horizontal="left" vertical="center" indent="5"/>
    </xf>
    <xf numFmtId="0" fontId="41" fillId="59" borderId="236" applyNumberFormat="0" applyFont="0" applyAlignment="0" applyProtection="0"/>
    <xf numFmtId="0" fontId="35" fillId="0" borderId="258" applyNumberFormat="0" applyFill="0" applyAlignment="0" applyProtection="0"/>
    <xf numFmtId="0" fontId="44" fillId="56" borderId="249" applyNumberFormat="0" applyAlignment="0" applyProtection="0"/>
    <xf numFmtId="0" fontId="41" fillId="59" borderId="257" applyNumberFormat="0" applyFont="0" applyAlignment="0" applyProtection="0"/>
    <xf numFmtId="0" fontId="50" fillId="43" borderId="287" applyNumberFormat="0" applyAlignment="0" applyProtection="0"/>
    <xf numFmtId="0" fontId="41" fillId="59" borderId="267" applyNumberFormat="0" applyFont="0" applyAlignment="0" applyProtection="0"/>
    <xf numFmtId="4" fontId="35" fillId="33" borderId="237"/>
    <xf numFmtId="0" fontId="41" fillId="59" borderId="252" applyNumberFormat="0" applyFont="0" applyAlignment="0" applyProtection="0"/>
    <xf numFmtId="0" fontId="41" fillId="59" borderId="257" applyNumberFormat="0" applyFont="0" applyAlignment="0" applyProtection="0"/>
    <xf numFmtId="4" fontId="37" fillId="32" borderId="253">
      <alignment horizontal="right" vertical="center"/>
    </xf>
    <xf numFmtId="0" fontId="27" fillId="15" borderId="0" applyNumberFormat="0" applyBorder="0" applyAlignment="0" applyProtection="0"/>
    <xf numFmtId="0" fontId="12" fillId="28" borderId="0" applyNumberFormat="0" applyBorder="0" applyAlignment="0" applyProtection="0"/>
    <xf numFmtId="0" fontId="59" fillId="43" borderId="250" applyNumberFormat="0" applyAlignment="0" applyProtection="0"/>
    <xf numFmtId="0" fontId="27" fillId="20" borderId="0" applyNumberFormat="0" applyBorder="0" applyAlignment="0" applyProtection="0"/>
    <xf numFmtId="0" fontId="35" fillId="0" borderId="253">
      <alignment horizontal="right" vertical="center"/>
    </xf>
    <xf numFmtId="0" fontId="27" fillId="15" borderId="0" applyNumberFormat="0" applyBorder="0" applyAlignment="0" applyProtection="0"/>
    <xf numFmtId="0" fontId="27" fillId="15" borderId="0" applyNumberFormat="0" applyBorder="0" applyAlignment="0" applyProtection="0"/>
    <xf numFmtId="0" fontId="1" fillId="0" borderId="0" applyNumberFormat="0" applyFill="0" applyBorder="0" applyAlignment="0" applyProtection="0"/>
    <xf numFmtId="0" fontId="46" fillId="56" borderId="265" applyNumberFormat="0" applyAlignment="0" applyProtection="0"/>
    <xf numFmtId="0" fontId="33" fillId="34" borderId="274">
      <alignment horizontal="right" vertical="center"/>
    </xf>
    <xf numFmtId="4" fontId="33" fillId="32" borderId="253">
      <alignment horizontal="right" vertical="center"/>
    </xf>
    <xf numFmtId="0" fontId="66" fillId="0" borderId="235" applyNumberFormat="0" applyFill="0" applyAlignment="0" applyProtection="0"/>
    <xf numFmtId="0" fontId="35" fillId="34" borderId="240">
      <alignment horizontal="left" vertical="center" wrapText="1" indent="2"/>
    </xf>
    <xf numFmtId="0" fontId="2" fillId="0" borderId="15" applyNumberFormat="0" applyFill="0" applyAlignment="0" applyProtection="0"/>
    <xf numFmtId="4" fontId="37" fillId="32" borderId="253">
      <alignment horizontal="right" vertical="center"/>
    </xf>
    <xf numFmtId="0" fontId="66" fillId="0" borderId="235" applyNumberFormat="0" applyFill="0" applyAlignment="0" applyProtection="0"/>
    <xf numFmtId="0" fontId="35" fillId="0" borderId="268" applyNumberFormat="0" applyFill="0" applyAlignment="0" applyProtection="0"/>
    <xf numFmtId="0" fontId="47" fillId="56" borderId="263" applyNumberFormat="0" applyAlignment="0" applyProtection="0"/>
    <xf numFmtId="173" fontId="35" fillId="60" borderId="258" applyNumberFormat="0" applyFont="0" applyBorder="0" applyAlignment="0" applyProtection="0">
      <alignment horizontal="right" vertical="center"/>
    </xf>
    <xf numFmtId="49" fontId="34" fillId="0" borderId="237" applyNumberFormat="0" applyFill="0" applyBorder="0" applyProtection="0">
      <alignment horizontal="left" vertical="center"/>
    </xf>
    <xf numFmtId="0" fontId="12" fillId="19" borderId="0" applyNumberFormat="0" applyBorder="0" applyAlignment="0" applyProtection="0"/>
    <xf numFmtId="0" fontId="33" fillId="32" borderId="268">
      <alignment horizontal="right" vertical="center"/>
    </xf>
    <xf numFmtId="0" fontId="35" fillId="0" borderId="253" applyNumberFormat="0" applyFill="0" applyAlignment="0" applyProtection="0"/>
    <xf numFmtId="4" fontId="33" fillId="34" borderId="259">
      <alignment horizontal="right" vertical="center"/>
    </xf>
    <xf numFmtId="0" fontId="31" fillId="0" borderId="0" applyNumberFormat="0" applyFill="0" applyBorder="0" applyAlignment="0" applyProtection="0"/>
    <xf numFmtId="0" fontId="12" fillId="25" borderId="0" applyNumberFormat="0" applyBorder="0" applyAlignment="0" applyProtection="0"/>
    <xf numFmtId="0" fontId="27" fillId="30" borderId="0" applyNumberFormat="0" applyBorder="0" applyAlignment="0" applyProtection="0"/>
    <xf numFmtId="4" fontId="33" fillId="34" borderId="254">
      <alignment horizontal="right" vertical="center"/>
    </xf>
    <xf numFmtId="0" fontId="27" fillId="27" borderId="0" applyNumberFormat="0" applyBorder="0" applyAlignment="0" applyProtection="0"/>
    <xf numFmtId="0" fontId="27" fillId="17" borderId="0" applyNumberFormat="0" applyBorder="0" applyAlignment="0" applyProtection="0"/>
    <xf numFmtId="0" fontId="44" fillId="56" borderId="272" applyNumberFormat="0" applyAlignment="0" applyProtection="0"/>
    <xf numFmtId="0" fontId="27" fillId="14" borderId="0" applyNumberFormat="0" applyBorder="0" applyAlignment="0" applyProtection="0"/>
    <xf numFmtId="4" fontId="33" fillId="34" borderId="260">
      <alignment horizontal="right" vertical="center"/>
    </xf>
    <xf numFmtId="4" fontId="35" fillId="33" borderId="253"/>
    <xf numFmtId="0" fontId="33" fillId="32" borderId="258">
      <alignment horizontal="right" vertical="center"/>
    </xf>
    <xf numFmtId="0" fontId="2" fillId="0" borderId="15" applyNumberFormat="0" applyFill="0" applyAlignment="0" applyProtection="0"/>
    <xf numFmtId="0" fontId="41" fillId="59" borderId="252" applyNumberFormat="0" applyFont="0" applyAlignment="0" applyProtection="0"/>
    <xf numFmtId="0" fontId="1" fillId="0" borderId="0" applyNumberFormat="0" applyFill="0" applyBorder="0" applyAlignment="0" applyProtection="0"/>
    <xf numFmtId="49" fontId="35" fillId="0" borderId="221" applyNumberFormat="0" applyFont="0" applyFill="0" applyBorder="0" applyProtection="0">
      <alignment horizontal="left" vertical="center" indent="2"/>
    </xf>
    <xf numFmtId="49" fontId="35" fillId="0" borderId="222" applyNumberFormat="0" applyFont="0" applyFill="0" applyBorder="0" applyProtection="0">
      <alignment horizontal="left" vertical="center" indent="5"/>
    </xf>
    <xf numFmtId="0" fontId="27" fillId="27" borderId="0" applyNumberFormat="0" applyBorder="0" applyAlignment="0" applyProtection="0"/>
    <xf numFmtId="0" fontId="27" fillId="20" borderId="0" applyNumberFormat="0" applyBorder="0" applyAlignment="0" applyProtection="0"/>
    <xf numFmtId="0" fontId="5" fillId="59" borderId="252" applyNumberFormat="0" applyFont="0" applyAlignment="0" applyProtection="0"/>
    <xf numFmtId="4" fontId="37" fillId="32" borderId="282">
      <alignment horizontal="right" vertical="center"/>
    </xf>
    <xf numFmtId="0" fontId="29" fillId="13" borderId="14" applyNumberFormat="0" applyAlignment="0" applyProtection="0"/>
    <xf numFmtId="0" fontId="35" fillId="0" borderId="247">
      <alignment horizontal="left" vertical="center" wrapText="1" indent="2"/>
    </xf>
    <xf numFmtId="0" fontId="12" fillId="16" borderId="0" applyNumberFormat="0" applyBorder="0" applyAlignment="0" applyProtection="0"/>
    <xf numFmtId="0" fontId="27" fillId="23" borderId="0" applyNumberFormat="0" applyBorder="0" applyAlignment="0" applyProtection="0"/>
    <xf numFmtId="0" fontId="59" fillId="43" borderId="263" applyNumberFormat="0" applyAlignment="0" applyProtection="0"/>
    <xf numFmtId="4" fontId="35" fillId="0" borderId="221" applyFill="0" applyBorder="0" applyProtection="0">
      <alignment horizontal="right" vertical="center"/>
    </xf>
    <xf numFmtId="49" fontId="34" fillId="0" borderId="221" applyNumberFormat="0" applyFill="0" applyBorder="0" applyProtection="0">
      <alignment horizontal="left" vertical="center"/>
    </xf>
    <xf numFmtId="49" fontId="35" fillId="0" borderId="269" applyNumberFormat="0" applyFont="0" applyFill="0" applyBorder="0" applyProtection="0">
      <alignment horizontal="left" vertical="center" indent="5"/>
    </xf>
    <xf numFmtId="0" fontId="50" fillId="43" borderId="250" applyNumberFormat="0" applyAlignment="0" applyProtection="0"/>
    <xf numFmtId="0" fontId="51" fillId="0" borderId="266" applyNumberFormat="0" applyFill="0" applyAlignment="0" applyProtection="0"/>
    <xf numFmtId="0" fontId="35" fillId="0" borderId="244">
      <alignment horizontal="right" vertical="center"/>
    </xf>
    <xf numFmtId="0" fontId="27" fillId="26" borderId="0" applyNumberFormat="0" applyBorder="0" applyAlignment="0" applyProtection="0"/>
    <xf numFmtId="0" fontId="27" fillId="26" borderId="0" applyNumberFormat="0" applyBorder="0" applyAlignment="0" applyProtection="0"/>
    <xf numFmtId="0" fontId="12" fillId="16" borderId="0" applyNumberFormat="0" applyBorder="0" applyAlignment="0" applyProtection="0"/>
    <xf numFmtId="0" fontId="51" fillId="0" borderId="235" applyNumberFormat="0" applyFill="0" applyAlignment="0" applyProtection="0"/>
    <xf numFmtId="0" fontId="27" fillId="17" borderId="0" applyNumberFormat="0" applyBorder="0" applyAlignment="0" applyProtection="0"/>
    <xf numFmtId="0" fontId="35" fillId="0" borderId="268" applyNumberFormat="0" applyFill="0" applyAlignment="0" applyProtection="0"/>
    <xf numFmtId="0" fontId="66" fillId="0" borderId="251" applyNumberFormat="0" applyFill="0" applyAlignment="0" applyProtection="0"/>
    <xf numFmtId="0" fontId="33" fillId="34" borderId="237">
      <alignment horizontal="right" vertical="center"/>
    </xf>
    <xf numFmtId="0" fontId="35" fillId="34" borderId="240">
      <alignment horizontal="left" vertical="center" wrapText="1" indent="2"/>
    </xf>
    <xf numFmtId="0" fontId="27" fillId="30" borderId="0" applyNumberFormat="0" applyBorder="0" applyAlignment="0" applyProtection="0"/>
    <xf numFmtId="0" fontId="41" fillId="59" borderId="257" applyNumberFormat="0" applyFont="0" applyAlignment="0" applyProtection="0"/>
    <xf numFmtId="0" fontId="47" fillId="56" borderId="250" applyNumberFormat="0" applyAlignment="0" applyProtection="0"/>
    <xf numFmtId="0" fontId="47" fillId="56" borderId="250" applyNumberFormat="0" applyAlignment="0" applyProtection="0"/>
    <xf numFmtId="0" fontId="44" fillId="56" borderId="286" applyNumberFormat="0" applyAlignment="0" applyProtection="0"/>
    <xf numFmtId="173" fontId="35" fillId="60" borderId="258" applyNumberFormat="0" applyFont="0" applyBorder="0" applyAlignment="0" applyProtection="0">
      <alignment horizontal="right" vertical="center"/>
    </xf>
    <xf numFmtId="0" fontId="59" fillId="43" borderId="250" applyNumberFormat="0" applyAlignment="0" applyProtection="0"/>
    <xf numFmtId="0" fontId="59" fillId="43" borderId="263" applyNumberFormat="0" applyAlignment="0" applyProtection="0"/>
    <xf numFmtId="0" fontId="59" fillId="43" borderId="241" applyNumberFormat="0" applyAlignment="0" applyProtection="0"/>
    <xf numFmtId="0" fontId="41" fillId="59" borderId="252" applyNumberFormat="0" applyFont="0" applyAlignment="0" applyProtection="0"/>
    <xf numFmtId="0" fontId="27" fillId="27" borderId="0" applyNumberFormat="0" applyBorder="0" applyAlignment="0" applyProtection="0"/>
    <xf numFmtId="0" fontId="35" fillId="34" borderId="256">
      <alignment horizontal="left" vertical="center" wrapText="1" indent="2"/>
    </xf>
    <xf numFmtId="4" fontId="35" fillId="0" borderId="253">
      <alignment horizontal="right" vertical="center"/>
    </xf>
    <xf numFmtId="49" fontId="35" fillId="0" borderId="268" applyNumberFormat="0" applyFont="0" applyFill="0" applyBorder="0" applyProtection="0">
      <alignment horizontal="left" vertical="center" indent="2"/>
    </xf>
    <xf numFmtId="49" fontId="35" fillId="0" borderId="228" applyNumberFormat="0" applyFont="0" applyFill="0" applyBorder="0" applyProtection="0">
      <alignment horizontal="left" vertical="center" indent="2"/>
    </xf>
    <xf numFmtId="0" fontId="47" fillId="56" borderId="234" applyNumberFormat="0" applyAlignment="0" applyProtection="0"/>
    <xf numFmtId="0" fontId="44" fillId="56" borderId="217" applyNumberFormat="0" applyAlignment="0" applyProtection="0"/>
    <xf numFmtId="0" fontId="46" fillId="56" borderId="218" applyNumberFormat="0" applyAlignment="0" applyProtection="0"/>
    <xf numFmtId="0" fontId="51" fillId="0" borderId="219" applyNumberFormat="0" applyFill="0" applyAlignment="0" applyProtection="0"/>
    <xf numFmtId="0" fontId="59" fillId="43" borderId="225" applyNumberFormat="0" applyAlignment="0" applyProtection="0"/>
    <xf numFmtId="0" fontId="59" fillId="43" borderId="250" applyNumberFormat="0" applyAlignment="0" applyProtection="0"/>
    <xf numFmtId="0" fontId="33" fillId="34" borderId="253">
      <alignment horizontal="right" vertical="center"/>
    </xf>
    <xf numFmtId="4" fontId="33" fillId="34" borderId="255">
      <alignment horizontal="right" vertical="center"/>
    </xf>
    <xf numFmtId="0" fontId="35" fillId="33" borderId="253"/>
    <xf numFmtId="0" fontId="66" fillId="0" borderId="251" applyNumberFormat="0" applyFill="0" applyAlignment="0" applyProtection="0"/>
    <xf numFmtId="0" fontId="35" fillId="0" borderId="253" applyNumberFormat="0" applyFill="0" applyAlignment="0" applyProtection="0"/>
    <xf numFmtId="0" fontId="33" fillId="34" borderId="258">
      <alignment horizontal="right" vertical="center"/>
    </xf>
    <xf numFmtId="0" fontId="35" fillId="33" borderId="244"/>
    <xf numFmtId="0" fontId="1" fillId="0" borderId="0" applyNumberFormat="0" applyFill="0" applyBorder="0" applyAlignment="0" applyProtection="0"/>
    <xf numFmtId="0" fontId="35" fillId="0" borderId="256">
      <alignment horizontal="left" vertical="center" wrapText="1" indent="2"/>
    </xf>
    <xf numFmtId="0" fontId="66" fillId="0" borderId="235" applyNumberFormat="0" applyFill="0" applyAlignment="0" applyProtection="0"/>
    <xf numFmtId="0" fontId="33" fillId="34" borderId="255">
      <alignment horizontal="right" vertical="center"/>
    </xf>
    <xf numFmtId="0" fontId="35" fillId="33" borderId="228"/>
    <xf numFmtId="4" fontId="35" fillId="33" borderId="228"/>
    <xf numFmtId="0" fontId="35" fillId="0" borderId="228">
      <alignment horizontal="right" vertical="center"/>
    </xf>
    <xf numFmtId="4" fontId="33" fillId="32" borderId="253">
      <alignment horizontal="right" vertical="center"/>
    </xf>
    <xf numFmtId="4" fontId="33" fillId="34" borderId="230">
      <alignment horizontal="right" vertical="center"/>
    </xf>
    <xf numFmtId="0" fontId="35" fillId="34" borderId="231">
      <alignment horizontal="left" vertical="center" wrapText="1" indent="2"/>
    </xf>
    <xf numFmtId="0" fontId="37" fillId="32" borderId="244">
      <alignment horizontal="right" vertical="center"/>
    </xf>
    <xf numFmtId="4" fontId="35" fillId="33" borderId="253"/>
    <xf numFmtId="0" fontId="66" fillId="0" borderId="251" applyNumberFormat="0" applyFill="0" applyAlignment="0" applyProtection="0"/>
    <xf numFmtId="0" fontId="63" fillId="56" borderId="249" applyNumberFormat="0" applyAlignment="0" applyProtection="0"/>
    <xf numFmtId="0" fontId="50" fillId="43" borderId="218" applyNumberFormat="0" applyAlignment="0" applyProtection="0"/>
    <xf numFmtId="0" fontId="46" fillId="56" borderId="263" applyNumberFormat="0" applyAlignment="0" applyProtection="0"/>
    <xf numFmtId="0" fontId="27" fillId="15" borderId="0" applyNumberFormat="0" applyBorder="0" applyAlignment="0" applyProtection="0"/>
    <xf numFmtId="0" fontId="66" fillId="0" borderId="226" applyNumberFormat="0" applyFill="0" applyAlignment="0" applyProtection="0"/>
    <xf numFmtId="0" fontId="33" fillId="34" borderId="253">
      <alignment horizontal="right" vertical="center"/>
    </xf>
    <xf numFmtId="0" fontId="35" fillId="0" borderId="258" applyNumberFormat="0" applyFill="0" applyAlignment="0" applyProtection="0"/>
    <xf numFmtId="4" fontId="35" fillId="0" borderId="253" applyFill="0" applyBorder="0" applyProtection="0">
      <alignment horizontal="right" vertical="center"/>
    </xf>
    <xf numFmtId="0" fontId="35" fillId="32" borderId="238">
      <alignment horizontal="left" vertical="center"/>
    </xf>
    <xf numFmtId="0" fontId="37" fillId="32" borderId="253">
      <alignment horizontal="right" vertical="center"/>
    </xf>
    <xf numFmtId="0" fontId="27" fillId="23" borderId="0" applyNumberFormat="0" applyBorder="0" applyAlignment="0" applyProtection="0"/>
    <xf numFmtId="0" fontId="44" fillId="56" borderId="249" applyNumberFormat="0" applyAlignment="0" applyProtection="0"/>
    <xf numFmtId="0" fontId="29" fillId="13" borderId="14" applyNumberFormat="0" applyAlignment="0" applyProtection="0"/>
    <xf numFmtId="0" fontId="63" fillId="56" borderId="249" applyNumberFormat="0" applyAlignment="0" applyProtection="0"/>
    <xf numFmtId="0" fontId="41" fillId="59" borderId="243" applyNumberFormat="0" applyFont="0" applyAlignment="0" applyProtection="0"/>
    <xf numFmtId="0" fontId="37" fillId="32" borderId="258">
      <alignment horizontal="right" vertical="center"/>
    </xf>
    <xf numFmtId="4" fontId="35" fillId="33" borderId="253"/>
    <xf numFmtId="0" fontId="59" fillId="43" borderId="263" applyNumberFormat="0" applyAlignment="0" applyProtection="0"/>
    <xf numFmtId="0" fontId="27" fillId="29" borderId="0" applyNumberFormat="0" applyBorder="0" applyAlignment="0" applyProtection="0"/>
    <xf numFmtId="0" fontId="29" fillId="13" borderId="14" applyNumberFormat="0" applyAlignment="0" applyProtection="0"/>
    <xf numFmtId="49" fontId="35" fillId="0" borderId="258" applyNumberFormat="0" applyFont="0" applyFill="0" applyBorder="0" applyProtection="0">
      <alignment horizontal="left" vertical="center" indent="2"/>
    </xf>
    <xf numFmtId="0" fontId="35" fillId="34" borderId="224">
      <alignment horizontal="left" vertical="center" wrapText="1" indent="2"/>
    </xf>
    <xf numFmtId="0" fontId="35" fillId="0" borderId="224">
      <alignment horizontal="left" vertical="center" wrapText="1" indent="2"/>
    </xf>
    <xf numFmtId="0" fontId="37" fillId="32" borderId="253">
      <alignment horizontal="right" vertical="center"/>
    </xf>
    <xf numFmtId="0" fontId="50" fillId="43" borderId="279" applyNumberFormat="0" applyAlignment="0" applyProtection="0"/>
    <xf numFmtId="4" fontId="33" fillId="34" borderId="238">
      <alignment horizontal="right" vertical="center"/>
    </xf>
    <xf numFmtId="0" fontId="35" fillId="34" borderId="256">
      <alignment horizontal="left" vertical="center" wrapText="1" indent="2"/>
    </xf>
    <xf numFmtId="0" fontId="27" fillId="18" borderId="0" applyNumberFormat="0" applyBorder="0" applyAlignment="0" applyProtection="0"/>
    <xf numFmtId="0" fontId="27" fillId="14" borderId="0" applyNumberFormat="0" applyBorder="0" applyAlignment="0" applyProtection="0"/>
    <xf numFmtId="0" fontId="31" fillId="0" borderId="0" applyNumberFormat="0" applyFill="0" applyBorder="0" applyAlignment="0" applyProtection="0"/>
    <xf numFmtId="49" fontId="35" fillId="0" borderId="253" applyNumberFormat="0" applyFont="0" applyFill="0" applyBorder="0" applyProtection="0">
      <alignment horizontal="left" vertical="center" indent="2"/>
    </xf>
    <xf numFmtId="0" fontId="27" fillId="23" borderId="0" applyNumberFormat="0" applyBorder="0" applyAlignment="0" applyProtection="0"/>
    <xf numFmtId="0" fontId="47" fillId="56" borderId="250" applyNumberFormat="0" applyAlignment="0" applyProtection="0"/>
    <xf numFmtId="0" fontId="41" fillId="59" borderId="252" applyNumberFormat="0" applyFont="0" applyAlignment="0" applyProtection="0"/>
    <xf numFmtId="0" fontId="35" fillId="32" borderId="254">
      <alignment horizontal="left" vertical="center"/>
    </xf>
    <xf numFmtId="4" fontId="33" fillId="34" borderId="258">
      <alignment horizontal="right" vertical="center"/>
    </xf>
    <xf numFmtId="4" fontId="35" fillId="0" borderId="244">
      <alignment horizontal="right" vertical="center"/>
    </xf>
    <xf numFmtId="0" fontId="33" fillId="34" borderId="253">
      <alignment horizontal="right" vertical="center"/>
    </xf>
    <xf numFmtId="0" fontId="59" fillId="43" borderId="225" applyNumberFormat="0" applyAlignment="0" applyProtection="0"/>
    <xf numFmtId="0" fontId="51" fillId="0" borderId="251" applyNumberFormat="0" applyFill="0" applyAlignment="0" applyProtection="0"/>
    <xf numFmtId="0" fontId="47" fillId="56" borderId="250" applyNumberFormat="0" applyAlignment="0" applyProtection="0"/>
    <xf numFmtId="0" fontId="59" fillId="43" borderId="250" applyNumberFormat="0" applyAlignment="0" applyProtection="0"/>
    <xf numFmtId="0" fontId="47" fillId="56" borderId="225" applyNumberFormat="0" applyAlignment="0" applyProtection="0"/>
    <xf numFmtId="0" fontId="35" fillId="0" borderId="237">
      <alignment horizontal="right" vertical="center"/>
    </xf>
    <xf numFmtId="49" fontId="34" fillId="0" borderId="244" applyNumberFormat="0" applyFill="0" applyBorder="0" applyProtection="0">
      <alignment horizontal="left" vertical="center"/>
    </xf>
    <xf numFmtId="0" fontId="35" fillId="34" borderId="256">
      <alignment horizontal="left" vertical="center" wrapText="1" indent="2"/>
    </xf>
    <xf numFmtId="0" fontId="27" fillId="18" borderId="0" applyNumberFormat="0" applyBorder="0" applyAlignment="0" applyProtection="0"/>
    <xf numFmtId="0" fontId="35" fillId="0" borderId="253">
      <alignment horizontal="right" vertical="center"/>
    </xf>
    <xf numFmtId="0" fontId="47" fillId="56" borderId="263" applyNumberFormat="0" applyAlignment="0" applyProtection="0"/>
    <xf numFmtId="0" fontId="35" fillId="0" borderId="253">
      <alignment horizontal="right" vertical="center"/>
    </xf>
    <xf numFmtId="0" fontId="51" fillId="0" borderId="251" applyNumberFormat="0" applyFill="0" applyAlignment="0" applyProtection="0"/>
    <xf numFmtId="0" fontId="41" fillId="59" borderId="273" applyNumberFormat="0" applyFont="0" applyAlignment="0" applyProtection="0"/>
    <xf numFmtId="49" fontId="35" fillId="0" borderId="238" applyNumberFormat="0" applyFont="0" applyFill="0" applyBorder="0" applyProtection="0">
      <alignment horizontal="left" vertical="center" indent="5"/>
    </xf>
    <xf numFmtId="0" fontId="35" fillId="0" borderId="261">
      <alignment horizontal="left" vertical="center" wrapText="1" indent="2"/>
    </xf>
    <xf numFmtId="49" fontId="35" fillId="0" borderId="253" applyNumberFormat="0" applyFont="0" applyFill="0" applyBorder="0" applyProtection="0">
      <alignment horizontal="left" vertical="center" indent="2"/>
    </xf>
    <xf numFmtId="0" fontId="31" fillId="0" borderId="0" applyNumberFormat="0" applyFill="0" applyBorder="0" applyAlignment="0" applyProtection="0"/>
    <xf numFmtId="49" fontId="34" fillId="0" borderId="253" applyNumberFormat="0" applyFill="0" applyBorder="0" applyProtection="0">
      <alignment horizontal="left" vertical="center"/>
    </xf>
    <xf numFmtId="0" fontId="41" fillId="59" borderId="252" applyNumberFormat="0" applyFont="0" applyAlignment="0" applyProtection="0"/>
    <xf numFmtId="0" fontId="51" fillId="0" borderId="251" applyNumberFormat="0" applyFill="0" applyAlignment="0" applyProtection="0"/>
    <xf numFmtId="0" fontId="47" fillId="56" borderId="250" applyNumberFormat="0" applyAlignment="0" applyProtection="0"/>
    <xf numFmtId="0" fontId="66" fillId="0" borderId="251" applyNumberFormat="0" applyFill="0" applyAlignment="0" applyProtection="0"/>
    <xf numFmtId="0" fontId="12" fillId="16" borderId="0" applyNumberFormat="0" applyBorder="0" applyAlignment="0" applyProtection="0"/>
    <xf numFmtId="0" fontId="33" fillId="34" borderId="258">
      <alignment horizontal="right" vertical="center"/>
    </xf>
    <xf numFmtId="0" fontId="46" fillId="56" borderId="250" applyNumberFormat="0" applyAlignment="0" applyProtection="0"/>
    <xf numFmtId="0" fontId="66" fillId="0" borderId="251" applyNumberFormat="0" applyFill="0" applyAlignment="0" applyProtection="0"/>
    <xf numFmtId="0" fontId="66" fillId="0" borderId="280" applyNumberFormat="0" applyFill="0" applyAlignment="0" applyProtection="0"/>
    <xf numFmtId="0" fontId="66" fillId="0" borderId="251" applyNumberFormat="0" applyFill="0" applyAlignment="0" applyProtection="0"/>
    <xf numFmtId="173" fontId="35" fillId="60" borderId="268" applyNumberFormat="0" applyFont="0" applyBorder="0" applyAlignment="0" applyProtection="0">
      <alignment horizontal="right" vertical="center"/>
    </xf>
    <xf numFmtId="4" fontId="35" fillId="33" borderId="258"/>
    <xf numFmtId="0" fontId="59" fillId="43" borderId="265" applyNumberFormat="0" applyAlignment="0" applyProtection="0"/>
    <xf numFmtId="0" fontId="33" fillId="34" borderId="255">
      <alignment horizontal="right" vertical="center"/>
    </xf>
    <xf numFmtId="49" fontId="35" fillId="0" borderId="268" applyNumberFormat="0" applyFont="0" applyFill="0" applyBorder="0" applyProtection="0">
      <alignment horizontal="left" vertical="center" indent="2"/>
    </xf>
    <xf numFmtId="0" fontId="12" fillId="22" borderId="0" applyNumberFormat="0" applyBorder="0" applyAlignment="0" applyProtection="0"/>
    <xf numFmtId="0" fontId="27" fillId="24" borderId="0" applyNumberFormat="0" applyBorder="0" applyAlignment="0" applyProtection="0"/>
    <xf numFmtId="0" fontId="12" fillId="31" borderId="0" applyNumberFormat="0" applyBorder="0" applyAlignment="0" applyProtection="0"/>
    <xf numFmtId="0" fontId="33" fillId="34" borderId="253">
      <alignment horizontal="right" vertical="center"/>
    </xf>
    <xf numFmtId="0" fontId="27" fillId="29" borderId="0" applyNumberFormat="0" applyBorder="0" applyAlignment="0" applyProtection="0"/>
    <xf numFmtId="0" fontId="33" fillId="32" borderId="268">
      <alignment horizontal="right" vertical="center"/>
    </xf>
    <xf numFmtId="0" fontId="27" fillId="26" borderId="0" applyNumberFormat="0" applyBorder="0" applyAlignment="0" applyProtection="0"/>
    <xf numFmtId="0" fontId="27" fillId="24" borderId="0" applyNumberFormat="0" applyBorder="0" applyAlignment="0" applyProtection="0"/>
    <xf numFmtId="0" fontId="66" fillId="0" borderId="266" applyNumberFormat="0" applyFill="0" applyAlignment="0" applyProtection="0"/>
    <xf numFmtId="0" fontId="12" fillId="16" borderId="0" applyNumberFormat="0" applyBorder="0" applyAlignment="0" applyProtection="0"/>
    <xf numFmtId="0" fontId="27" fillId="18" borderId="0" applyNumberFormat="0" applyBorder="0" applyAlignment="0" applyProtection="0"/>
    <xf numFmtId="0" fontId="12" fillId="19" borderId="0" applyNumberFormat="0" applyBorder="0" applyAlignment="0" applyProtection="0"/>
    <xf numFmtId="4" fontId="33" fillId="34" borderId="245">
      <alignment horizontal="right" vertical="center"/>
    </xf>
    <xf numFmtId="0" fontId="2" fillId="0" borderId="15" applyNumberFormat="0" applyFill="0" applyAlignment="0" applyProtection="0"/>
    <xf numFmtId="0" fontId="27" fillId="15" borderId="0" applyNumberFormat="0" applyBorder="0" applyAlignment="0" applyProtection="0"/>
    <xf numFmtId="4" fontId="33" fillId="34" borderId="253">
      <alignment horizontal="right" vertical="center"/>
    </xf>
    <xf numFmtId="4" fontId="37" fillId="32" borderId="253">
      <alignment horizontal="right" vertical="center"/>
    </xf>
    <xf numFmtId="0" fontId="51" fillId="0" borderId="266" applyNumberFormat="0" applyFill="0" applyAlignment="0" applyProtection="0"/>
    <xf numFmtId="0" fontId="31" fillId="0" borderId="0" applyNumberFormat="0" applyFill="0" applyBorder="0" applyAlignment="0" applyProtection="0"/>
    <xf numFmtId="0" fontId="35" fillId="33" borderId="258"/>
    <xf numFmtId="0" fontId="59" fillId="43" borderId="250" applyNumberFormat="0" applyAlignment="0" applyProtection="0"/>
    <xf numFmtId="0" fontId="1" fillId="0" borderId="0" applyNumberFormat="0" applyFill="0" applyBorder="0" applyAlignment="0" applyProtection="0"/>
    <xf numFmtId="4" fontId="33" fillId="34" borderId="221">
      <alignment horizontal="right" vertical="center"/>
    </xf>
    <xf numFmtId="0" fontId="35" fillId="33" borderId="221"/>
    <xf numFmtId="0" fontId="46" fillId="56" borderId="218" applyNumberFormat="0" applyAlignment="0" applyProtection="0"/>
    <xf numFmtId="0" fontId="33" fillId="32" borderId="221">
      <alignment horizontal="right" vertical="center"/>
    </xf>
    <xf numFmtId="0" fontId="35" fillId="0" borderId="221">
      <alignment horizontal="right" vertical="center"/>
    </xf>
    <xf numFmtId="0" fontId="66" fillId="0" borderId="219" applyNumberFormat="0" applyFill="0" applyAlignment="0" applyProtection="0"/>
    <xf numFmtId="0" fontId="35" fillId="32" borderId="222">
      <alignment horizontal="left" vertical="center"/>
    </xf>
    <xf numFmtId="0" fontId="59" fillId="43" borderId="218" applyNumberFormat="0" applyAlignment="0" applyProtection="0"/>
    <xf numFmtId="173" fontId="35" fillId="60" borderId="221" applyNumberFormat="0" applyFont="0" applyBorder="0" applyAlignment="0" applyProtection="0">
      <alignment horizontal="right" vertical="center"/>
    </xf>
    <xf numFmtId="0" fontId="41" fillId="59" borderId="220" applyNumberFormat="0" applyFont="0" applyAlignment="0" applyProtection="0"/>
    <xf numFmtId="0" fontId="35" fillId="0" borderId="224">
      <alignment horizontal="left" vertical="center" wrapText="1" indent="2"/>
    </xf>
    <xf numFmtId="4" fontId="35" fillId="33" borderId="221"/>
    <xf numFmtId="49" fontId="34" fillId="0" borderId="221" applyNumberFormat="0" applyFill="0" applyBorder="0" applyProtection="0">
      <alignment horizontal="left" vertical="center"/>
    </xf>
    <xf numFmtId="0" fontId="35" fillId="0" borderId="221">
      <alignment horizontal="right" vertical="center"/>
    </xf>
    <xf numFmtId="4" fontId="33" fillId="34" borderId="223">
      <alignment horizontal="right" vertical="center"/>
    </xf>
    <xf numFmtId="4" fontId="33" fillId="34" borderId="221">
      <alignment horizontal="right" vertical="center"/>
    </xf>
    <xf numFmtId="4" fontId="33" fillId="34" borderId="221">
      <alignment horizontal="right" vertical="center"/>
    </xf>
    <xf numFmtId="0" fontId="37" fillId="32" borderId="221">
      <alignment horizontal="right" vertical="center"/>
    </xf>
    <xf numFmtId="0" fontId="33" fillId="32" borderId="221">
      <alignment horizontal="right" vertical="center"/>
    </xf>
    <xf numFmtId="49" fontId="35" fillId="0" borderId="221" applyNumberFormat="0" applyFont="0" applyFill="0" applyBorder="0" applyProtection="0">
      <alignment horizontal="left" vertical="center" indent="2"/>
    </xf>
    <xf numFmtId="0" fontId="59" fillId="43" borderId="218" applyNumberFormat="0" applyAlignment="0" applyProtection="0"/>
    <xf numFmtId="0" fontId="44" fillId="56" borderId="217" applyNumberFormat="0" applyAlignment="0" applyProtection="0"/>
    <xf numFmtId="49" fontId="35" fillId="0" borderId="221" applyNumberFormat="0" applyFont="0" applyFill="0" applyBorder="0" applyProtection="0">
      <alignment horizontal="left" vertical="center" indent="2"/>
    </xf>
    <xf numFmtId="0" fontId="50" fillId="43" borderId="218" applyNumberFormat="0" applyAlignment="0" applyProtection="0"/>
    <xf numFmtId="4" fontId="35" fillId="0" borderId="221" applyFill="0" applyBorder="0" applyProtection="0">
      <alignment horizontal="right" vertical="center"/>
    </xf>
    <xf numFmtId="0" fontId="47" fillId="56" borderId="218" applyNumberFormat="0" applyAlignment="0" applyProtection="0"/>
    <xf numFmtId="0" fontId="66" fillId="0" borderId="219" applyNumberFormat="0" applyFill="0" applyAlignment="0" applyProtection="0"/>
    <xf numFmtId="0" fontId="63" fillId="56" borderId="217" applyNumberFormat="0" applyAlignment="0" applyProtection="0"/>
    <xf numFmtId="0" fontId="35" fillId="0" borderId="221" applyNumberFormat="0" applyFill="0" applyAlignment="0" applyProtection="0"/>
    <xf numFmtId="4" fontId="35" fillId="0" borderId="221">
      <alignment horizontal="right" vertical="center"/>
    </xf>
    <xf numFmtId="0" fontId="35" fillId="0" borderId="221">
      <alignment horizontal="right" vertical="center"/>
    </xf>
    <xf numFmtId="0" fontId="59" fillId="43" borderId="218" applyNumberFormat="0" applyAlignment="0" applyProtection="0"/>
    <xf numFmtId="0" fontId="44" fillId="56" borderId="217" applyNumberFormat="0" applyAlignment="0" applyProtection="0"/>
    <xf numFmtId="0" fontId="46" fillId="56" borderId="218" applyNumberFormat="0" applyAlignment="0" applyProtection="0"/>
    <xf numFmtId="0" fontId="35" fillId="34" borderId="224">
      <alignment horizontal="left" vertical="center" wrapText="1" indent="2"/>
    </xf>
    <xf numFmtId="0" fontId="47" fillId="56" borderId="218" applyNumberFormat="0" applyAlignment="0" applyProtection="0"/>
    <xf numFmtId="0" fontId="47" fillId="56" borderId="218" applyNumberFormat="0" applyAlignment="0" applyProtection="0"/>
    <xf numFmtId="4" fontId="33" fillId="34" borderId="222">
      <alignment horizontal="right" vertical="center"/>
    </xf>
    <xf numFmtId="0" fontId="33" fillId="34" borderId="222">
      <alignment horizontal="right" vertical="center"/>
    </xf>
    <xf numFmtId="0" fontId="33" fillId="34" borderId="221">
      <alignment horizontal="right" vertical="center"/>
    </xf>
    <xf numFmtId="4" fontId="37" fillId="32" borderId="221">
      <alignment horizontal="right" vertical="center"/>
    </xf>
    <xf numFmtId="0" fontId="50" fillId="43" borderId="218" applyNumberFormat="0" applyAlignment="0" applyProtection="0"/>
    <xf numFmtId="0" fontId="51" fillId="0" borderId="219" applyNumberFormat="0" applyFill="0" applyAlignment="0" applyProtection="0"/>
    <xf numFmtId="0" fontId="66" fillId="0" borderId="219" applyNumberFormat="0" applyFill="0" applyAlignment="0" applyProtection="0"/>
    <xf numFmtId="0" fontId="41" fillId="59" borderId="220" applyNumberFormat="0" applyFont="0" applyAlignment="0" applyProtection="0"/>
    <xf numFmtId="0" fontId="59" fillId="43" borderId="218" applyNumberFormat="0" applyAlignment="0" applyProtection="0"/>
    <xf numFmtId="49" fontId="34" fillId="0" borderId="221" applyNumberFormat="0" applyFill="0" applyBorder="0" applyProtection="0">
      <alignment horizontal="left" vertical="center"/>
    </xf>
    <xf numFmtId="0" fontId="35" fillId="34" borderId="224">
      <alignment horizontal="left" vertical="center" wrapText="1" indent="2"/>
    </xf>
    <xf numFmtId="0" fontId="47" fillId="56" borderId="218" applyNumberFormat="0" applyAlignment="0" applyProtection="0"/>
    <xf numFmtId="0" fontId="35" fillId="0" borderId="224">
      <alignment horizontal="left" vertical="center" wrapText="1" indent="2"/>
    </xf>
    <xf numFmtId="0" fontId="41" fillId="59" borderId="220" applyNumberFormat="0" applyFont="0" applyAlignment="0" applyProtection="0"/>
    <xf numFmtId="0" fontId="5" fillId="59" borderId="220" applyNumberFormat="0" applyFont="0" applyAlignment="0" applyProtection="0"/>
    <xf numFmtId="0" fontId="63" fillId="56" borderId="217" applyNumberFormat="0" applyAlignment="0" applyProtection="0"/>
    <xf numFmtId="0" fontId="66" fillId="0" borderId="219" applyNumberFormat="0" applyFill="0" applyAlignment="0" applyProtection="0"/>
    <xf numFmtId="4" fontId="35" fillId="33" borderId="221"/>
    <xf numFmtId="0" fontId="33" fillId="34" borderId="221">
      <alignment horizontal="right" vertical="center"/>
    </xf>
    <xf numFmtId="0" fontId="66" fillId="0" borderId="219" applyNumberFormat="0" applyFill="0" applyAlignment="0" applyProtection="0"/>
    <xf numFmtId="4" fontId="33" fillId="34" borderId="223">
      <alignment horizontal="right" vertical="center"/>
    </xf>
    <xf numFmtId="0" fontId="46" fillId="56" borderId="218" applyNumberFormat="0" applyAlignment="0" applyProtection="0"/>
    <xf numFmtId="0" fontId="33" fillId="34" borderId="222">
      <alignment horizontal="right" vertical="center"/>
    </xf>
    <xf numFmtId="0" fontId="47" fillId="56" borderId="218" applyNumberFormat="0" applyAlignment="0" applyProtection="0"/>
    <xf numFmtId="0" fontId="51" fillId="0" borderId="219" applyNumberFormat="0" applyFill="0" applyAlignment="0" applyProtection="0"/>
    <xf numFmtId="0" fontId="41" fillId="59" borderId="220" applyNumberFormat="0" applyFont="0" applyAlignment="0" applyProtection="0"/>
    <xf numFmtId="4" fontId="33" fillId="34" borderId="222">
      <alignment horizontal="right" vertical="center"/>
    </xf>
    <xf numFmtId="0" fontId="35" fillId="34" borderId="224">
      <alignment horizontal="left" vertical="center" wrapText="1" indent="2"/>
    </xf>
    <xf numFmtId="0" fontId="35" fillId="33" borderId="221"/>
    <xf numFmtId="173" fontId="35" fillId="60" borderId="221" applyNumberFormat="0" applyFont="0" applyBorder="0" applyAlignment="0" applyProtection="0">
      <alignment horizontal="right" vertical="center"/>
    </xf>
    <xf numFmtId="0" fontId="35" fillId="0" borderId="221" applyNumberFormat="0" applyFill="0" applyAlignment="0" applyProtection="0"/>
    <xf numFmtId="4" fontId="35" fillId="0" borderId="221" applyFill="0" applyBorder="0" applyProtection="0">
      <alignment horizontal="right" vertical="center"/>
    </xf>
    <xf numFmtId="4" fontId="33" fillId="32" borderId="221">
      <alignment horizontal="right" vertical="center"/>
    </xf>
    <xf numFmtId="0" fontId="51" fillId="0" borderId="219" applyNumberFormat="0" applyFill="0" applyAlignment="0" applyProtection="0"/>
    <xf numFmtId="49" fontId="34" fillId="0" borderId="221" applyNumberFormat="0" applyFill="0" applyBorder="0" applyProtection="0">
      <alignment horizontal="left" vertical="center"/>
    </xf>
    <xf numFmtId="49" fontId="35" fillId="0" borderId="222" applyNumberFormat="0" applyFont="0" applyFill="0" applyBorder="0" applyProtection="0">
      <alignment horizontal="left" vertical="center" indent="5"/>
    </xf>
    <xf numFmtId="0" fontId="35" fillId="32" borderId="222">
      <alignment horizontal="left" vertical="center"/>
    </xf>
    <xf numFmtId="0" fontId="47" fillId="56" borderId="218" applyNumberFormat="0" applyAlignment="0" applyProtection="0"/>
    <xf numFmtId="4" fontId="33" fillId="34" borderId="223">
      <alignment horizontal="right" vertical="center"/>
    </xf>
    <xf numFmtId="0" fontId="59" fillId="43" borderId="218" applyNumberFormat="0" applyAlignment="0" applyProtection="0"/>
    <xf numFmtId="0" fontId="59" fillId="43" borderId="218" applyNumberFormat="0" applyAlignment="0" applyProtection="0"/>
    <xf numFmtId="0" fontId="41" fillId="59" borderId="220" applyNumberFormat="0" applyFont="0" applyAlignment="0" applyProtection="0"/>
    <xf numFmtId="0" fontId="63" fillId="56" borderId="217" applyNumberFormat="0" applyAlignment="0" applyProtection="0"/>
    <xf numFmtId="0" fontId="66" fillId="0" borderId="219" applyNumberFormat="0" applyFill="0" applyAlignment="0" applyProtection="0"/>
    <xf numFmtId="0" fontId="33" fillId="34" borderId="221">
      <alignment horizontal="right" vertical="center"/>
    </xf>
    <xf numFmtId="0" fontId="5" fillId="59" borderId="220" applyNumberFormat="0" applyFont="0" applyAlignment="0" applyProtection="0"/>
    <xf numFmtId="4" fontId="35" fillId="0" borderId="221">
      <alignment horizontal="right" vertical="center"/>
    </xf>
    <xf numFmtId="0" fontId="66" fillId="0" borderId="219" applyNumberFormat="0" applyFill="0" applyAlignment="0" applyProtection="0"/>
    <xf numFmtId="0" fontId="33" fillId="34" borderId="221">
      <alignment horizontal="right" vertical="center"/>
    </xf>
    <xf numFmtId="0" fontId="33" fillId="34" borderId="221">
      <alignment horizontal="right" vertical="center"/>
    </xf>
    <xf numFmtId="4" fontId="37" fillId="32" borderId="221">
      <alignment horizontal="right" vertical="center"/>
    </xf>
    <xf numFmtId="0" fontId="33" fillId="32" borderId="221">
      <alignment horizontal="right" vertical="center"/>
    </xf>
    <xf numFmtId="4" fontId="33" fillId="32" borderId="221">
      <alignment horizontal="right" vertical="center"/>
    </xf>
    <xf numFmtId="0" fontId="37" fillId="32" borderId="221">
      <alignment horizontal="right" vertical="center"/>
    </xf>
    <xf numFmtId="4" fontId="37" fillId="32" borderId="221">
      <alignment horizontal="right" vertical="center"/>
    </xf>
    <xf numFmtId="0" fontId="33" fillId="34" borderId="221">
      <alignment horizontal="right" vertical="center"/>
    </xf>
    <xf numFmtId="4" fontId="33" fillId="34" borderId="221">
      <alignment horizontal="right" vertical="center"/>
    </xf>
    <xf numFmtId="0" fontId="33" fillId="34" borderId="221">
      <alignment horizontal="right" vertical="center"/>
    </xf>
    <xf numFmtId="4" fontId="33" fillId="34" borderId="221">
      <alignment horizontal="right" vertical="center"/>
    </xf>
    <xf numFmtId="0" fontId="33" fillId="34" borderId="222">
      <alignment horizontal="right" vertical="center"/>
    </xf>
    <xf numFmtId="4" fontId="33" fillId="34" borderId="222">
      <alignment horizontal="right" vertical="center"/>
    </xf>
    <xf numFmtId="0" fontId="33" fillId="34" borderId="223">
      <alignment horizontal="right" vertical="center"/>
    </xf>
    <xf numFmtId="4" fontId="33" fillId="34" borderId="223">
      <alignment horizontal="right" vertical="center"/>
    </xf>
    <xf numFmtId="0" fontId="47" fillId="56" borderId="218" applyNumberFormat="0" applyAlignment="0" applyProtection="0"/>
    <xf numFmtId="0" fontId="35" fillId="34" borderId="224">
      <alignment horizontal="left" vertical="center" wrapText="1" indent="2"/>
    </xf>
    <xf numFmtId="0" fontId="35" fillId="0" borderId="224">
      <alignment horizontal="left" vertical="center" wrapText="1" indent="2"/>
    </xf>
    <xf numFmtId="0" fontId="35" fillId="32" borderId="222">
      <alignment horizontal="left" vertical="center"/>
    </xf>
    <xf numFmtId="0" fontId="59" fillId="43" borderId="218" applyNumberFormat="0" applyAlignment="0" applyProtection="0"/>
    <xf numFmtId="0" fontId="35" fillId="0" borderId="221">
      <alignment horizontal="right" vertical="center"/>
    </xf>
    <xf numFmtId="4" fontId="35" fillId="0" borderId="221">
      <alignment horizontal="right" vertical="center"/>
    </xf>
    <xf numFmtId="0" fontId="35" fillId="0" borderId="221" applyNumberFormat="0" applyFill="0" applyAlignment="0" applyProtection="0"/>
    <xf numFmtId="0" fontId="63" fillId="56" borderId="217" applyNumberFormat="0" applyAlignment="0" applyProtection="0"/>
    <xf numFmtId="173" fontId="35" fillId="60" borderId="221" applyNumberFormat="0" applyFont="0" applyBorder="0" applyAlignment="0" applyProtection="0">
      <alignment horizontal="right" vertical="center"/>
    </xf>
    <xf numFmtId="0" fontId="35" fillId="33" borderId="221"/>
    <xf numFmtId="4" fontId="35" fillId="33" borderId="221"/>
    <xf numFmtId="0" fontId="66" fillId="0" borderId="219" applyNumberFormat="0" applyFill="0" applyAlignment="0" applyProtection="0"/>
    <xf numFmtId="0" fontId="5" fillId="59" borderId="220" applyNumberFormat="0" applyFont="0" applyAlignment="0" applyProtection="0"/>
    <xf numFmtId="0" fontId="41" fillId="59" borderId="220" applyNumberFormat="0" applyFont="0" applyAlignment="0" applyProtection="0"/>
    <xf numFmtId="0" fontId="35" fillId="0" borderId="221" applyNumberFormat="0" applyFill="0" applyAlignment="0" applyProtection="0"/>
    <xf numFmtId="0" fontId="51" fillId="0" borderId="219" applyNumberFormat="0" applyFill="0" applyAlignment="0" applyProtection="0"/>
    <xf numFmtId="0" fontId="66" fillId="0" borderId="219" applyNumberFormat="0" applyFill="0" applyAlignment="0" applyProtection="0"/>
    <xf numFmtId="0" fontId="50" fillId="43" borderId="218" applyNumberFormat="0" applyAlignment="0" applyProtection="0"/>
    <xf numFmtId="0" fontId="47" fillId="56" borderId="218" applyNumberFormat="0" applyAlignment="0" applyProtection="0"/>
    <xf numFmtId="4" fontId="37" fillId="32" borderId="221">
      <alignment horizontal="right" vertical="center"/>
    </xf>
    <xf numFmtId="0" fontId="33" fillId="32" borderId="221">
      <alignment horizontal="right" vertical="center"/>
    </xf>
    <xf numFmtId="173" fontId="35" fillId="60" borderId="221" applyNumberFormat="0" applyFont="0" applyBorder="0" applyAlignment="0" applyProtection="0">
      <alignment horizontal="right" vertical="center"/>
    </xf>
    <xf numFmtId="0" fontId="51" fillId="0" borderId="219" applyNumberFormat="0" applyFill="0" applyAlignment="0" applyProtection="0"/>
    <xf numFmtId="49" fontId="35" fillId="0" borderId="221" applyNumberFormat="0" applyFont="0" applyFill="0" applyBorder="0" applyProtection="0">
      <alignment horizontal="left" vertical="center" indent="2"/>
    </xf>
    <xf numFmtId="49" fontId="35" fillId="0" borderId="222" applyNumberFormat="0" applyFont="0" applyFill="0" applyBorder="0" applyProtection="0">
      <alignment horizontal="left" vertical="center" indent="5"/>
    </xf>
    <xf numFmtId="49" fontId="35" fillId="0" borderId="221" applyNumberFormat="0" applyFont="0" applyFill="0" applyBorder="0" applyProtection="0">
      <alignment horizontal="left" vertical="center" indent="2"/>
    </xf>
    <xf numFmtId="4" fontId="35" fillId="0" borderId="221" applyFill="0" applyBorder="0" applyProtection="0">
      <alignment horizontal="right" vertical="center"/>
    </xf>
    <xf numFmtId="49" fontId="34" fillId="0" borderId="221" applyNumberFormat="0" applyFill="0" applyBorder="0" applyProtection="0">
      <alignment horizontal="left" vertical="center"/>
    </xf>
    <xf numFmtId="0" fontId="35" fillId="0" borderId="224">
      <alignment horizontal="left" vertical="center" wrapText="1" indent="2"/>
    </xf>
    <xf numFmtId="0" fontId="63" fillId="56" borderId="217" applyNumberFormat="0" applyAlignment="0" applyProtection="0"/>
    <xf numFmtId="0" fontId="33" fillId="34" borderId="223">
      <alignment horizontal="right" vertical="center"/>
    </xf>
    <xf numFmtId="0" fontId="50" fillId="43" borderId="218" applyNumberFormat="0" applyAlignment="0" applyProtection="0"/>
    <xf numFmtId="0" fontId="33" fillId="34" borderId="223">
      <alignment horizontal="right" vertical="center"/>
    </xf>
    <xf numFmtId="4" fontId="33" fillId="34" borderId="221">
      <alignment horizontal="right" vertical="center"/>
    </xf>
    <xf numFmtId="0" fontId="33" fillId="34" borderId="221">
      <alignment horizontal="right" vertical="center"/>
    </xf>
    <xf numFmtId="0" fontId="44" fillId="56" borderId="217" applyNumberFormat="0" applyAlignment="0" applyProtection="0"/>
    <xf numFmtId="0" fontId="46" fillId="56" borderId="218" applyNumberFormat="0" applyAlignment="0" applyProtection="0"/>
    <xf numFmtId="0" fontId="51" fillId="0" borderId="219" applyNumberFormat="0" applyFill="0" applyAlignment="0" applyProtection="0"/>
    <xf numFmtId="0" fontId="35" fillId="33" borderId="221"/>
    <xf numFmtId="4" fontId="35" fillId="33" borderId="221"/>
    <xf numFmtId="4" fontId="33" fillId="34" borderId="221">
      <alignment horizontal="right" vertical="center"/>
    </xf>
    <xf numFmtId="0" fontId="37" fillId="32" borderId="221">
      <alignment horizontal="right" vertical="center"/>
    </xf>
    <xf numFmtId="0" fontId="50" fillId="43" borderId="218" applyNumberFormat="0" applyAlignment="0" applyProtection="0"/>
    <xf numFmtId="0" fontId="47" fillId="56" borderId="218" applyNumberFormat="0" applyAlignment="0" applyProtection="0"/>
    <xf numFmtId="4" fontId="35" fillId="0" borderId="221">
      <alignment horizontal="right" vertical="center"/>
    </xf>
    <xf numFmtId="0" fontId="35" fillId="34" borderId="224">
      <alignment horizontal="left" vertical="center" wrapText="1" indent="2"/>
    </xf>
    <xf numFmtId="0" fontId="35" fillId="0" borderId="224">
      <alignment horizontal="left" vertical="center" wrapText="1" indent="2"/>
    </xf>
    <xf numFmtId="0" fontId="63" fillId="56" borderId="217" applyNumberFormat="0" applyAlignment="0" applyProtection="0"/>
    <xf numFmtId="0" fontId="59" fillId="43" borderId="218" applyNumberFormat="0" applyAlignment="0" applyProtection="0"/>
    <xf numFmtId="0" fontId="46" fillId="56" borderId="218" applyNumberFormat="0" applyAlignment="0" applyProtection="0"/>
    <xf numFmtId="0" fontId="44" fillId="56" borderId="217" applyNumberFormat="0" applyAlignment="0" applyProtection="0"/>
    <xf numFmtId="0" fontId="33" fillId="34" borderId="223">
      <alignment horizontal="right" vertical="center"/>
    </xf>
    <xf numFmtId="0" fontId="37" fillId="32" borderId="221">
      <alignment horizontal="right" vertical="center"/>
    </xf>
    <xf numFmtId="4" fontId="33" fillId="32" borderId="221">
      <alignment horizontal="right" vertical="center"/>
    </xf>
    <xf numFmtId="4" fontId="33" fillId="34" borderId="221">
      <alignment horizontal="right" vertical="center"/>
    </xf>
    <xf numFmtId="49" fontId="35" fillId="0" borderId="222" applyNumberFormat="0" applyFont="0" applyFill="0" applyBorder="0" applyProtection="0">
      <alignment horizontal="left" vertical="center" indent="5"/>
    </xf>
    <xf numFmtId="4" fontId="35" fillId="0" borderId="221" applyFill="0" applyBorder="0" applyProtection="0">
      <alignment horizontal="right" vertical="center"/>
    </xf>
    <xf numFmtId="4" fontId="33" fillId="32" borderId="221">
      <alignment horizontal="right" vertical="center"/>
    </xf>
    <xf numFmtId="0" fontId="59" fillId="43" borderId="250" applyNumberFormat="0" applyAlignment="0" applyProtection="0"/>
    <xf numFmtId="0" fontId="59" fillId="43" borderId="218" applyNumberFormat="0" applyAlignment="0" applyProtection="0"/>
    <xf numFmtId="0" fontId="50" fillId="43" borderId="218" applyNumberFormat="0" applyAlignment="0" applyProtection="0"/>
    <xf numFmtId="0" fontId="46" fillId="56" borderId="218" applyNumberFormat="0" applyAlignment="0" applyProtection="0"/>
    <xf numFmtId="0" fontId="35" fillId="34" borderId="224">
      <alignment horizontal="left" vertical="center" wrapText="1" indent="2"/>
    </xf>
    <xf numFmtId="0" fontId="35" fillId="0" borderId="224">
      <alignment horizontal="left" vertical="center" wrapText="1" indent="2"/>
    </xf>
    <xf numFmtId="0" fontId="35" fillId="34" borderId="224">
      <alignment horizontal="left" vertical="center" wrapText="1" indent="2"/>
    </xf>
    <xf numFmtId="0" fontId="35" fillId="0" borderId="224">
      <alignment horizontal="left" vertical="center" wrapText="1" indent="2"/>
    </xf>
    <xf numFmtId="0" fontId="44" fillId="56" borderId="217" applyNumberFormat="0" applyAlignment="0" applyProtection="0"/>
    <xf numFmtId="0" fontId="46" fillId="56" borderId="218" applyNumberFormat="0" applyAlignment="0" applyProtection="0"/>
    <xf numFmtId="0" fontId="47" fillId="56" borderId="218" applyNumberFormat="0" applyAlignment="0" applyProtection="0"/>
    <xf numFmtId="0" fontId="50" fillId="43" borderId="218" applyNumberFormat="0" applyAlignment="0" applyProtection="0"/>
    <xf numFmtId="0" fontId="51" fillId="0" borderId="219" applyNumberFormat="0" applyFill="0" applyAlignment="0" applyProtection="0"/>
    <xf numFmtId="0" fontId="59" fillId="43" borderId="218" applyNumberFormat="0" applyAlignment="0" applyProtection="0"/>
    <xf numFmtId="0" fontId="41" fillId="59" borderId="220" applyNumberFormat="0" applyFont="0" applyAlignment="0" applyProtection="0"/>
    <xf numFmtId="0" fontId="5" fillId="59" borderId="220" applyNumberFormat="0" applyFont="0" applyAlignment="0" applyProtection="0"/>
    <xf numFmtId="0" fontId="63" fillId="56" borderId="217" applyNumberFormat="0" applyAlignment="0" applyProtection="0"/>
    <xf numFmtId="0" fontId="66" fillId="0" borderId="219" applyNumberFormat="0" applyFill="0" applyAlignment="0" applyProtection="0"/>
    <xf numFmtId="0" fontId="47" fillId="56" borderId="218" applyNumberFormat="0" applyAlignment="0" applyProtection="0"/>
    <xf numFmtId="0" fontId="59" fillId="43" borderId="218" applyNumberFormat="0" applyAlignment="0" applyProtection="0"/>
    <xf numFmtId="0" fontId="41" fillId="59" borderId="220" applyNumberFormat="0" applyFont="0" applyAlignment="0" applyProtection="0"/>
    <xf numFmtId="0" fontId="63" fillId="56" borderId="217" applyNumberFormat="0" applyAlignment="0" applyProtection="0"/>
    <xf numFmtId="0" fontId="66" fillId="0" borderId="219" applyNumberFormat="0" applyFill="0" applyAlignment="0" applyProtection="0"/>
    <xf numFmtId="0" fontId="59" fillId="43" borderId="225" applyNumberFormat="0" applyAlignment="0" applyProtection="0"/>
    <xf numFmtId="4" fontId="35" fillId="0" borderId="228">
      <alignment horizontal="right" vertical="center"/>
    </xf>
    <xf numFmtId="4" fontId="33" fillId="34" borderId="229">
      <alignment horizontal="right" vertical="center"/>
    </xf>
    <xf numFmtId="0" fontId="47" fillId="56" borderId="225" applyNumberFormat="0" applyAlignment="0" applyProtection="0"/>
    <xf numFmtId="0" fontId="47" fillId="56" borderId="218" applyNumberFormat="0" applyAlignment="0" applyProtection="0"/>
    <xf numFmtId="173" fontId="35" fillId="60" borderId="282" applyNumberFormat="0" applyFont="0" applyBorder="0" applyAlignment="0" applyProtection="0">
      <alignment horizontal="right" vertical="center"/>
    </xf>
    <xf numFmtId="0" fontId="33" fillId="34" borderId="239">
      <alignment horizontal="right" vertical="center"/>
    </xf>
    <xf numFmtId="0" fontId="59" fillId="43" borderId="263" applyNumberFormat="0" applyAlignment="0" applyProtection="0"/>
    <xf numFmtId="0" fontId="59" fillId="43" borderId="218" applyNumberFormat="0" applyAlignment="0" applyProtection="0"/>
    <xf numFmtId="0" fontId="63" fillId="56" borderId="217" applyNumberFormat="0" applyAlignment="0" applyProtection="0"/>
    <xf numFmtId="0" fontId="66" fillId="0" borderId="219" applyNumberFormat="0" applyFill="0" applyAlignment="0" applyProtection="0"/>
    <xf numFmtId="0" fontId="50" fillId="43" borderId="250" applyNumberFormat="0" applyAlignment="0" applyProtection="0"/>
    <xf numFmtId="0" fontId="44" fillId="56" borderId="217" applyNumberFormat="0" applyAlignment="0" applyProtection="0"/>
    <xf numFmtId="0" fontId="46" fillId="56" borderId="218" applyNumberFormat="0" applyAlignment="0" applyProtection="0"/>
    <xf numFmtId="0" fontId="51" fillId="0" borderId="219" applyNumberFormat="0" applyFill="0" applyAlignment="0" applyProtection="0"/>
    <xf numFmtId="49" fontId="35" fillId="0" borderId="221" applyNumberFormat="0" applyFont="0" applyFill="0" applyBorder="0" applyProtection="0">
      <alignment horizontal="left" vertical="center" indent="2"/>
    </xf>
    <xf numFmtId="0" fontId="33" fillId="32" borderId="221">
      <alignment horizontal="right" vertical="center"/>
    </xf>
    <xf numFmtId="4" fontId="33" fillId="32" borderId="221">
      <alignment horizontal="right" vertical="center"/>
    </xf>
    <xf numFmtId="0" fontId="37" fillId="32" borderId="221">
      <alignment horizontal="right" vertical="center"/>
    </xf>
    <xf numFmtId="4" fontId="37" fillId="32" borderId="221">
      <alignment horizontal="right" vertical="center"/>
    </xf>
    <xf numFmtId="0" fontId="33" fillId="34" borderId="221">
      <alignment horizontal="right" vertical="center"/>
    </xf>
    <xf numFmtId="4" fontId="33" fillId="34" borderId="221">
      <alignment horizontal="right" vertical="center"/>
    </xf>
    <xf numFmtId="0" fontId="33" fillId="34" borderId="221">
      <alignment horizontal="right" vertical="center"/>
    </xf>
    <xf numFmtId="4" fontId="33" fillId="34" borderId="221">
      <alignment horizontal="right" vertical="center"/>
    </xf>
    <xf numFmtId="0" fontId="50" fillId="43" borderId="218" applyNumberFormat="0" applyAlignment="0" applyProtection="0"/>
    <xf numFmtId="0" fontId="35" fillId="0" borderId="221">
      <alignment horizontal="right" vertical="center"/>
    </xf>
    <xf numFmtId="4" fontId="35" fillId="0" borderId="221">
      <alignment horizontal="right" vertical="center"/>
    </xf>
    <xf numFmtId="4" fontId="35" fillId="0" borderId="221" applyFill="0" applyBorder="0" applyProtection="0">
      <alignment horizontal="right" vertical="center"/>
    </xf>
    <xf numFmtId="49" fontId="34" fillId="0" borderId="221" applyNumberFormat="0" applyFill="0" applyBorder="0" applyProtection="0">
      <alignment horizontal="left" vertical="center"/>
    </xf>
    <xf numFmtId="0" fontId="35" fillId="0" borderId="221" applyNumberFormat="0" applyFill="0" applyAlignment="0" applyProtection="0"/>
    <xf numFmtId="173" fontId="35" fillId="60" borderId="221" applyNumberFormat="0" applyFont="0" applyBorder="0" applyAlignment="0" applyProtection="0">
      <alignment horizontal="right" vertical="center"/>
    </xf>
    <xf numFmtId="0" fontId="35" fillId="33" borderId="221"/>
    <xf numFmtId="4" fontId="35" fillId="33" borderId="221"/>
    <xf numFmtId="4" fontId="33" fillId="34" borderId="221">
      <alignment horizontal="right" vertical="center"/>
    </xf>
    <xf numFmtId="0" fontId="35" fillId="33" borderId="221"/>
    <xf numFmtId="0" fontId="46" fillId="56" borderId="218" applyNumberFormat="0" applyAlignment="0" applyProtection="0"/>
    <xf numFmtId="0" fontId="33" fillId="32" borderId="221">
      <alignment horizontal="right" vertical="center"/>
    </xf>
    <xf numFmtId="0" fontId="35" fillId="0" borderId="221">
      <alignment horizontal="right" vertical="center"/>
    </xf>
    <xf numFmtId="0" fontId="66" fillId="0" borderId="219" applyNumberFormat="0" applyFill="0" applyAlignment="0" applyProtection="0"/>
    <xf numFmtId="0" fontId="35" fillId="32" borderId="222">
      <alignment horizontal="left" vertical="center"/>
    </xf>
    <xf numFmtId="0" fontId="59" fillId="43" borderId="218" applyNumberFormat="0" applyAlignment="0" applyProtection="0"/>
    <xf numFmtId="173" fontId="35" fillId="60" borderId="221" applyNumberFormat="0" applyFont="0" applyBorder="0" applyAlignment="0" applyProtection="0">
      <alignment horizontal="right" vertical="center"/>
    </xf>
    <xf numFmtId="0" fontId="41" fillId="59" borderId="220" applyNumberFormat="0" applyFont="0" applyAlignment="0" applyProtection="0"/>
    <xf numFmtId="0" fontId="35" fillId="0" borderId="224">
      <alignment horizontal="left" vertical="center" wrapText="1" indent="2"/>
    </xf>
    <xf numFmtId="4" fontId="35" fillId="33" borderId="221"/>
    <xf numFmtId="49" fontId="34" fillId="0" borderId="221" applyNumberFormat="0" applyFill="0" applyBorder="0" applyProtection="0">
      <alignment horizontal="left" vertical="center"/>
    </xf>
    <xf numFmtId="0" fontId="35" fillId="0" borderId="221">
      <alignment horizontal="right" vertical="center"/>
    </xf>
    <xf numFmtId="4" fontId="33" fillId="34" borderId="223">
      <alignment horizontal="right" vertical="center"/>
    </xf>
    <xf numFmtId="4" fontId="33" fillId="34" borderId="221">
      <alignment horizontal="right" vertical="center"/>
    </xf>
    <xf numFmtId="4" fontId="33" fillId="34" borderId="221">
      <alignment horizontal="right" vertical="center"/>
    </xf>
    <xf numFmtId="0" fontId="37" fillId="32" borderId="221">
      <alignment horizontal="right" vertical="center"/>
    </xf>
    <xf numFmtId="0" fontId="33" fillId="32" borderId="221">
      <alignment horizontal="right" vertical="center"/>
    </xf>
    <xf numFmtId="49" fontId="35" fillId="0" borderId="221" applyNumberFormat="0" applyFont="0" applyFill="0" applyBorder="0" applyProtection="0">
      <alignment horizontal="left" vertical="center" indent="2"/>
    </xf>
    <xf numFmtId="0" fontId="59" fillId="43" borderId="218" applyNumberFormat="0" applyAlignment="0" applyProtection="0"/>
    <xf numFmtId="0" fontId="44" fillId="56" borderId="217" applyNumberFormat="0" applyAlignment="0" applyProtection="0"/>
    <xf numFmtId="49" fontId="35" fillId="0" borderId="221" applyNumberFormat="0" applyFont="0" applyFill="0" applyBorder="0" applyProtection="0">
      <alignment horizontal="left" vertical="center" indent="2"/>
    </xf>
    <xf numFmtId="0" fontId="50" fillId="43" borderId="218" applyNumberFormat="0" applyAlignment="0" applyProtection="0"/>
    <xf numFmtId="4" fontId="35" fillId="0" borderId="221" applyFill="0" applyBorder="0" applyProtection="0">
      <alignment horizontal="right" vertical="center"/>
    </xf>
    <xf numFmtId="0" fontId="47" fillId="56" borderId="218" applyNumberFormat="0" applyAlignment="0" applyProtection="0"/>
    <xf numFmtId="0" fontId="66" fillId="0" borderId="219" applyNumberFormat="0" applyFill="0" applyAlignment="0" applyProtection="0"/>
    <xf numFmtId="0" fontId="63" fillId="56" borderId="217" applyNumberFormat="0" applyAlignment="0" applyProtection="0"/>
    <xf numFmtId="0" fontId="35" fillId="0" borderId="221" applyNumberFormat="0" applyFill="0" applyAlignment="0" applyProtection="0"/>
    <xf numFmtId="4" fontId="35" fillId="0" borderId="221">
      <alignment horizontal="right" vertical="center"/>
    </xf>
    <xf numFmtId="0" fontId="35" fillId="0" borderId="221">
      <alignment horizontal="right" vertical="center"/>
    </xf>
    <xf numFmtId="0" fontId="59" fillId="43" borderId="218" applyNumberFormat="0" applyAlignment="0" applyProtection="0"/>
    <xf numFmtId="0" fontId="44" fillId="56" borderId="217" applyNumberFormat="0" applyAlignment="0" applyProtection="0"/>
    <xf numFmtId="0" fontId="46" fillId="56" borderId="218" applyNumberFormat="0" applyAlignment="0" applyProtection="0"/>
    <xf numFmtId="0" fontId="35" fillId="34" borderId="224">
      <alignment horizontal="left" vertical="center" wrapText="1" indent="2"/>
    </xf>
    <xf numFmtId="0" fontId="47" fillId="56" borderId="218" applyNumberFormat="0" applyAlignment="0" applyProtection="0"/>
    <xf numFmtId="0" fontId="47" fillId="56" borderId="218" applyNumberFormat="0" applyAlignment="0" applyProtection="0"/>
    <xf numFmtId="4" fontId="33" fillId="34" borderId="222">
      <alignment horizontal="right" vertical="center"/>
    </xf>
    <xf numFmtId="0" fontId="33" fillId="34" borderId="222">
      <alignment horizontal="right" vertical="center"/>
    </xf>
    <xf numFmtId="0" fontId="33" fillId="34" borderId="221">
      <alignment horizontal="right" vertical="center"/>
    </xf>
    <xf numFmtId="4" fontId="37" fillId="32" borderId="221">
      <alignment horizontal="right" vertical="center"/>
    </xf>
    <xf numFmtId="0" fontId="50" fillId="43" borderId="218" applyNumberFormat="0" applyAlignment="0" applyProtection="0"/>
    <xf numFmtId="0" fontId="51" fillId="0" borderId="219" applyNumberFormat="0" applyFill="0" applyAlignment="0" applyProtection="0"/>
    <xf numFmtId="0" fontId="66" fillId="0" borderId="219" applyNumberFormat="0" applyFill="0" applyAlignment="0" applyProtection="0"/>
    <xf numFmtId="0" fontId="41" fillId="59" borderId="220" applyNumberFormat="0" applyFont="0" applyAlignment="0" applyProtection="0"/>
    <xf numFmtId="0" fontId="59" fillId="43" borderId="218" applyNumberFormat="0" applyAlignment="0" applyProtection="0"/>
    <xf numFmtId="49" fontId="34" fillId="0" borderId="221" applyNumberFormat="0" applyFill="0" applyBorder="0" applyProtection="0">
      <alignment horizontal="left" vertical="center"/>
    </xf>
    <xf numFmtId="0" fontId="35" fillId="34" borderId="224">
      <alignment horizontal="left" vertical="center" wrapText="1" indent="2"/>
    </xf>
    <xf numFmtId="0" fontId="47" fillId="56" borderId="218" applyNumberFormat="0" applyAlignment="0" applyProtection="0"/>
    <xf numFmtId="0" fontId="35" fillId="0" borderId="224">
      <alignment horizontal="left" vertical="center" wrapText="1" indent="2"/>
    </xf>
    <xf numFmtId="0" fontId="41" fillId="59" borderId="220" applyNumberFormat="0" applyFont="0" applyAlignment="0" applyProtection="0"/>
    <xf numFmtId="0" fontId="5" fillId="59" borderId="220" applyNumberFormat="0" applyFont="0" applyAlignment="0" applyProtection="0"/>
    <xf numFmtId="0" fontId="63" fillId="56" borderId="217" applyNumberFormat="0" applyAlignment="0" applyProtection="0"/>
    <xf numFmtId="0" fontId="66" fillId="0" borderId="219" applyNumberFormat="0" applyFill="0" applyAlignment="0" applyProtection="0"/>
    <xf numFmtId="4" fontId="35" fillId="33" borderId="221"/>
    <xf numFmtId="0" fontId="33" fillId="34" borderId="221">
      <alignment horizontal="right" vertical="center"/>
    </xf>
    <xf numFmtId="0" fontId="66" fillId="0" borderId="219" applyNumberFormat="0" applyFill="0" applyAlignment="0" applyProtection="0"/>
    <xf numFmtId="4" fontId="33" fillId="34" borderId="223">
      <alignment horizontal="right" vertical="center"/>
    </xf>
    <xf numFmtId="0" fontId="46" fillId="56" borderId="218" applyNumberFormat="0" applyAlignment="0" applyProtection="0"/>
    <xf numFmtId="0" fontId="33" fillId="34" borderId="222">
      <alignment horizontal="right" vertical="center"/>
    </xf>
    <xf numFmtId="0" fontId="47" fillId="56" borderId="218" applyNumberFormat="0" applyAlignment="0" applyProtection="0"/>
    <xf numFmtId="0" fontId="51" fillId="0" borderId="219" applyNumberFormat="0" applyFill="0" applyAlignment="0" applyProtection="0"/>
    <xf numFmtId="0" fontId="41" fillId="59" borderId="220" applyNumberFormat="0" applyFont="0" applyAlignment="0" applyProtection="0"/>
    <xf numFmtId="4" fontId="33" fillId="34" borderId="222">
      <alignment horizontal="right" vertical="center"/>
    </xf>
    <xf numFmtId="0" fontId="35" fillId="34" borderId="224">
      <alignment horizontal="left" vertical="center" wrapText="1" indent="2"/>
    </xf>
    <xf numFmtId="0" fontId="35" fillId="33" borderId="221"/>
    <xf numFmtId="173" fontId="35" fillId="60" borderId="221" applyNumberFormat="0" applyFont="0" applyBorder="0" applyAlignment="0" applyProtection="0">
      <alignment horizontal="right" vertical="center"/>
    </xf>
    <xf numFmtId="0" fontId="35" fillId="0" borderId="221" applyNumberFormat="0" applyFill="0" applyAlignment="0" applyProtection="0"/>
    <xf numFmtId="4" fontId="35" fillId="0" borderId="221" applyFill="0" applyBorder="0" applyProtection="0">
      <alignment horizontal="right" vertical="center"/>
    </xf>
    <xf numFmtId="4" fontId="33" fillId="32" borderId="221">
      <alignment horizontal="right" vertical="center"/>
    </xf>
    <xf numFmtId="0" fontId="51" fillId="0" borderId="219" applyNumberFormat="0" applyFill="0" applyAlignment="0" applyProtection="0"/>
    <xf numFmtId="49" fontId="34" fillId="0" borderId="221" applyNumberFormat="0" applyFill="0" applyBorder="0" applyProtection="0">
      <alignment horizontal="left" vertical="center"/>
    </xf>
    <xf numFmtId="49" fontId="35" fillId="0" borderId="222" applyNumberFormat="0" applyFont="0" applyFill="0" applyBorder="0" applyProtection="0">
      <alignment horizontal="left" vertical="center" indent="5"/>
    </xf>
    <xf numFmtId="0" fontId="35" fillId="32" borderId="222">
      <alignment horizontal="left" vertical="center"/>
    </xf>
    <xf numFmtId="0" fontId="47" fillId="56" borderId="218" applyNumberFormat="0" applyAlignment="0" applyProtection="0"/>
    <xf numFmtId="4" fontId="33" fillId="34" borderId="223">
      <alignment horizontal="right" vertical="center"/>
    </xf>
    <xf numFmtId="0" fontId="59" fillId="43" borderId="218" applyNumberFormat="0" applyAlignment="0" applyProtection="0"/>
    <xf numFmtId="0" fontId="59" fillId="43" borderId="218" applyNumberFormat="0" applyAlignment="0" applyProtection="0"/>
    <xf numFmtId="0" fontId="41" fillId="59" borderId="220" applyNumberFormat="0" applyFont="0" applyAlignment="0" applyProtection="0"/>
    <xf numFmtId="0" fontId="63" fillId="56" borderId="217" applyNumberFormat="0" applyAlignment="0" applyProtection="0"/>
    <xf numFmtId="0" fontId="66" fillId="0" borderId="219" applyNumberFormat="0" applyFill="0" applyAlignment="0" applyProtection="0"/>
    <xf numFmtId="0" fontId="33" fillId="34" borderId="221">
      <alignment horizontal="right" vertical="center"/>
    </xf>
    <xf numFmtId="0" fontId="5" fillId="59" borderId="220" applyNumberFormat="0" applyFont="0" applyAlignment="0" applyProtection="0"/>
    <xf numFmtId="4" fontId="35" fillId="0" borderId="221">
      <alignment horizontal="right" vertical="center"/>
    </xf>
    <xf numFmtId="0" fontId="66" fillId="0" borderId="219" applyNumberFormat="0" applyFill="0" applyAlignment="0" applyProtection="0"/>
    <xf numFmtId="0" fontId="33" fillId="34" borderId="221">
      <alignment horizontal="right" vertical="center"/>
    </xf>
    <xf numFmtId="0" fontId="33" fillId="34" borderId="221">
      <alignment horizontal="right" vertical="center"/>
    </xf>
    <xf numFmtId="4" fontId="37" fillId="32" borderId="221">
      <alignment horizontal="right" vertical="center"/>
    </xf>
    <xf numFmtId="0" fontId="33" fillId="32" borderId="221">
      <alignment horizontal="right" vertical="center"/>
    </xf>
    <xf numFmtId="4" fontId="33" fillId="32" borderId="221">
      <alignment horizontal="right" vertical="center"/>
    </xf>
    <xf numFmtId="0" fontId="37" fillId="32" borderId="221">
      <alignment horizontal="right" vertical="center"/>
    </xf>
    <xf numFmtId="4" fontId="37" fillId="32" borderId="221">
      <alignment horizontal="right" vertical="center"/>
    </xf>
    <xf numFmtId="0" fontId="33" fillId="34" borderId="221">
      <alignment horizontal="right" vertical="center"/>
    </xf>
    <xf numFmtId="4" fontId="33" fillId="34" borderId="221">
      <alignment horizontal="right" vertical="center"/>
    </xf>
    <xf numFmtId="0" fontId="33" fillId="34" borderId="221">
      <alignment horizontal="right" vertical="center"/>
    </xf>
    <xf numFmtId="4" fontId="33" fillId="34" borderId="221">
      <alignment horizontal="right" vertical="center"/>
    </xf>
    <xf numFmtId="0" fontId="33" fillId="34" borderId="222">
      <alignment horizontal="right" vertical="center"/>
    </xf>
    <xf numFmtId="4" fontId="33" fillId="34" borderId="222">
      <alignment horizontal="right" vertical="center"/>
    </xf>
    <xf numFmtId="0" fontId="33" fillId="34" borderId="223">
      <alignment horizontal="right" vertical="center"/>
    </xf>
    <xf numFmtId="4" fontId="33" fillId="34" borderId="223">
      <alignment horizontal="right" vertical="center"/>
    </xf>
    <xf numFmtId="0" fontId="47" fillId="56" borderId="218" applyNumberFormat="0" applyAlignment="0" applyProtection="0"/>
    <xf numFmtId="0" fontId="35" fillId="34" borderId="224">
      <alignment horizontal="left" vertical="center" wrapText="1" indent="2"/>
    </xf>
    <xf numFmtId="0" fontId="35" fillId="0" borderId="224">
      <alignment horizontal="left" vertical="center" wrapText="1" indent="2"/>
    </xf>
    <xf numFmtId="0" fontId="35" fillId="32" borderId="222">
      <alignment horizontal="left" vertical="center"/>
    </xf>
    <xf numFmtId="0" fontId="59" fillId="43" borderId="218" applyNumberFormat="0" applyAlignment="0" applyProtection="0"/>
    <xf numFmtId="0" fontId="35" fillId="0" borderId="221">
      <alignment horizontal="right" vertical="center"/>
    </xf>
    <xf numFmtId="4" fontId="35" fillId="0" borderId="221">
      <alignment horizontal="right" vertical="center"/>
    </xf>
    <xf numFmtId="0" fontId="35" fillId="0" borderId="221" applyNumberFormat="0" applyFill="0" applyAlignment="0" applyProtection="0"/>
    <xf numFmtId="0" fontId="63" fillId="56" borderId="217" applyNumberFormat="0" applyAlignment="0" applyProtection="0"/>
    <xf numFmtId="173" fontId="35" fillId="60" borderId="221" applyNumberFormat="0" applyFont="0" applyBorder="0" applyAlignment="0" applyProtection="0">
      <alignment horizontal="right" vertical="center"/>
    </xf>
    <xf numFmtId="0" fontId="35" fillId="33" borderId="221"/>
    <xf numFmtId="4" fontId="35" fillId="33" borderId="221"/>
    <xf numFmtId="0" fontId="66" fillId="0" borderId="219" applyNumberFormat="0" applyFill="0" applyAlignment="0" applyProtection="0"/>
    <xf numFmtId="0" fontId="5" fillId="59" borderId="220" applyNumberFormat="0" applyFont="0" applyAlignment="0" applyProtection="0"/>
    <xf numFmtId="0" fontId="41" fillId="59" borderId="220" applyNumberFormat="0" applyFont="0" applyAlignment="0" applyProtection="0"/>
    <xf numFmtId="0" fontId="35" fillId="0" borderId="221" applyNumberFormat="0" applyFill="0" applyAlignment="0" applyProtection="0"/>
    <xf numFmtId="0" fontId="51" fillId="0" borderId="219" applyNumberFormat="0" applyFill="0" applyAlignment="0" applyProtection="0"/>
    <xf numFmtId="0" fontId="66" fillId="0" borderId="219" applyNumberFormat="0" applyFill="0" applyAlignment="0" applyProtection="0"/>
    <xf numFmtId="0" fontId="50" fillId="43" borderId="218" applyNumberFormat="0" applyAlignment="0" applyProtection="0"/>
    <xf numFmtId="0" fontId="47" fillId="56" borderId="218" applyNumberFormat="0" applyAlignment="0" applyProtection="0"/>
    <xf numFmtId="4" fontId="37" fillId="32" borderId="221">
      <alignment horizontal="right" vertical="center"/>
    </xf>
    <xf numFmtId="0" fontId="33" fillId="32" borderId="221">
      <alignment horizontal="right" vertical="center"/>
    </xf>
    <xf numFmtId="173" fontId="35" fillId="60" borderId="221" applyNumberFormat="0" applyFont="0" applyBorder="0" applyAlignment="0" applyProtection="0">
      <alignment horizontal="right" vertical="center"/>
    </xf>
    <xf numFmtId="0" fontId="51" fillId="0" borderId="219" applyNumberFormat="0" applyFill="0" applyAlignment="0" applyProtection="0"/>
    <xf numFmtId="49" fontId="35" fillId="0" borderId="221" applyNumberFormat="0" applyFont="0" applyFill="0" applyBorder="0" applyProtection="0">
      <alignment horizontal="left" vertical="center" indent="2"/>
    </xf>
    <xf numFmtId="49" fontId="35" fillId="0" borderId="222" applyNumberFormat="0" applyFont="0" applyFill="0" applyBorder="0" applyProtection="0">
      <alignment horizontal="left" vertical="center" indent="5"/>
    </xf>
    <xf numFmtId="49" fontId="35" fillId="0" borderId="221" applyNumberFormat="0" applyFont="0" applyFill="0" applyBorder="0" applyProtection="0">
      <alignment horizontal="left" vertical="center" indent="2"/>
    </xf>
    <xf numFmtId="4" fontId="35" fillId="0" borderId="221" applyFill="0" applyBorder="0" applyProtection="0">
      <alignment horizontal="right" vertical="center"/>
    </xf>
    <xf numFmtId="49" fontId="34" fillId="0" borderId="221" applyNumberFormat="0" applyFill="0" applyBorder="0" applyProtection="0">
      <alignment horizontal="left" vertical="center"/>
    </xf>
    <xf numFmtId="0" fontId="35" fillId="0" borderId="224">
      <alignment horizontal="left" vertical="center" wrapText="1" indent="2"/>
    </xf>
    <xf numFmtId="0" fontId="63" fillId="56" borderId="217" applyNumberFormat="0" applyAlignment="0" applyProtection="0"/>
    <xf numFmtId="0" fontId="33" fillId="34" borderId="223">
      <alignment horizontal="right" vertical="center"/>
    </xf>
    <xf numFmtId="0" fontId="50" fillId="43" borderId="218" applyNumberFormat="0" applyAlignment="0" applyProtection="0"/>
    <xf numFmtId="0" fontId="33" fillId="34" borderId="223">
      <alignment horizontal="right" vertical="center"/>
    </xf>
    <xf numFmtId="4" fontId="33" fillId="34" borderId="221">
      <alignment horizontal="right" vertical="center"/>
    </xf>
    <xf numFmtId="0" fontId="33" fillId="34" borderId="221">
      <alignment horizontal="right" vertical="center"/>
    </xf>
    <xf numFmtId="0" fontId="44" fillId="56" borderId="217" applyNumberFormat="0" applyAlignment="0" applyProtection="0"/>
    <xf numFmtId="0" fontId="46" fillId="56" borderId="218" applyNumberFormat="0" applyAlignment="0" applyProtection="0"/>
    <xf numFmtId="0" fontId="51" fillId="0" borderId="219" applyNumberFormat="0" applyFill="0" applyAlignment="0" applyProtection="0"/>
    <xf numFmtId="0" fontId="35" fillId="33" borderId="221"/>
    <xf numFmtId="4" fontId="35" fillId="33" borderId="221"/>
    <xf numFmtId="4" fontId="33" fillId="34" borderId="221">
      <alignment horizontal="right" vertical="center"/>
    </xf>
    <xf numFmtId="0" fontId="37" fillId="32" borderId="221">
      <alignment horizontal="right" vertical="center"/>
    </xf>
    <xf numFmtId="0" fontId="50" fillId="43" borderId="218" applyNumberFormat="0" applyAlignment="0" applyProtection="0"/>
    <xf numFmtId="0" fontId="47" fillId="56" borderId="218" applyNumberFormat="0" applyAlignment="0" applyProtection="0"/>
    <xf numFmtId="4" fontId="35" fillId="0" borderId="221">
      <alignment horizontal="right" vertical="center"/>
    </xf>
    <xf numFmtId="0" fontId="35" fillId="34" borderId="224">
      <alignment horizontal="left" vertical="center" wrapText="1" indent="2"/>
    </xf>
    <xf numFmtId="0" fontId="35" fillId="0" borderId="224">
      <alignment horizontal="left" vertical="center" wrapText="1" indent="2"/>
    </xf>
    <xf numFmtId="0" fontId="63" fillId="56" borderId="217" applyNumberFormat="0" applyAlignment="0" applyProtection="0"/>
    <xf numFmtId="0" fontId="59" fillId="43" borderId="218" applyNumberFormat="0" applyAlignment="0" applyProtection="0"/>
    <xf numFmtId="0" fontId="46" fillId="56" borderId="218" applyNumberFormat="0" applyAlignment="0" applyProtection="0"/>
    <xf numFmtId="0" fontId="44" fillId="56" borderId="217" applyNumberFormat="0" applyAlignment="0" applyProtection="0"/>
    <xf numFmtId="0" fontId="33" fillId="34" borderId="223">
      <alignment horizontal="right" vertical="center"/>
    </xf>
    <xf numFmtId="0" fontId="37" fillId="32" borderId="221">
      <alignment horizontal="right" vertical="center"/>
    </xf>
    <xf numFmtId="4" fontId="33" fillId="32" borderId="221">
      <alignment horizontal="right" vertical="center"/>
    </xf>
    <xf numFmtId="4" fontId="33" fillId="34" borderId="221">
      <alignment horizontal="right" vertical="center"/>
    </xf>
    <xf numFmtId="49" fontId="35" fillId="0" borderId="222" applyNumberFormat="0" applyFont="0" applyFill="0" applyBorder="0" applyProtection="0">
      <alignment horizontal="left" vertical="center" indent="5"/>
    </xf>
    <xf numFmtId="4" fontId="35" fillId="0" borderId="221" applyFill="0" applyBorder="0" applyProtection="0">
      <alignment horizontal="right" vertical="center"/>
    </xf>
    <xf numFmtId="4" fontId="33" fillId="32" borderId="221">
      <alignment horizontal="right" vertical="center"/>
    </xf>
    <xf numFmtId="0" fontId="59" fillId="43" borderId="218" applyNumberFormat="0" applyAlignment="0" applyProtection="0"/>
    <xf numFmtId="0" fontId="50" fillId="43" borderId="218" applyNumberFormat="0" applyAlignment="0" applyProtection="0"/>
    <xf numFmtId="0" fontId="46" fillId="56" borderId="218" applyNumberFormat="0" applyAlignment="0" applyProtection="0"/>
    <xf numFmtId="0" fontId="35" fillId="34" borderId="224">
      <alignment horizontal="left" vertical="center" wrapText="1" indent="2"/>
    </xf>
    <xf numFmtId="0" fontId="35" fillId="0" borderId="224">
      <alignment horizontal="left" vertical="center" wrapText="1" indent="2"/>
    </xf>
    <xf numFmtId="0" fontId="35" fillId="34" borderId="224">
      <alignment horizontal="left" vertical="center" wrapText="1" indent="2"/>
    </xf>
    <xf numFmtId="0" fontId="35" fillId="32" borderId="254">
      <alignment horizontal="left" vertical="center"/>
    </xf>
    <xf numFmtId="0" fontId="50" fillId="43" borderId="225" applyNumberFormat="0" applyAlignment="0" applyProtection="0"/>
    <xf numFmtId="0" fontId="33" fillId="34" borderId="270">
      <alignment horizontal="right" vertical="center"/>
    </xf>
    <xf numFmtId="0" fontId="41" fillId="59" borderId="257" applyNumberFormat="0" applyFont="0" applyAlignment="0" applyProtection="0"/>
    <xf numFmtId="0" fontId="33" fillId="34" borderId="254">
      <alignment horizontal="right" vertical="center"/>
    </xf>
    <xf numFmtId="0" fontId="33" fillId="34" borderId="253">
      <alignment horizontal="right" vertical="center"/>
    </xf>
    <xf numFmtId="0" fontId="35" fillId="0" borderId="268">
      <alignment horizontal="right" vertical="center"/>
    </xf>
    <xf numFmtId="0" fontId="5" fillId="59" borderId="252" applyNumberFormat="0" applyFont="0" applyAlignment="0" applyProtection="0"/>
    <xf numFmtId="4" fontId="35" fillId="33" borderId="253"/>
    <xf numFmtId="0" fontId="47" fillId="56" borderId="250" applyNumberFormat="0" applyAlignment="0" applyProtection="0"/>
    <xf numFmtId="0" fontId="46" fillId="56" borderId="250" applyNumberFormat="0" applyAlignment="0" applyProtection="0"/>
    <xf numFmtId="0" fontId="27" fillId="17" borderId="0" applyNumberFormat="0" applyBorder="0" applyAlignment="0" applyProtection="0"/>
    <xf numFmtId="0" fontId="27" fillId="18" borderId="0" applyNumberFormat="0" applyBorder="0" applyAlignment="0" applyProtection="0"/>
    <xf numFmtId="0" fontId="2" fillId="0" borderId="15" applyNumberFormat="0" applyFill="0" applyAlignment="0" applyProtection="0"/>
    <xf numFmtId="0" fontId="35" fillId="0" borderId="256">
      <alignment horizontal="left" vertical="center" wrapText="1" indent="2"/>
    </xf>
    <xf numFmtId="0" fontId="29" fillId="13" borderId="14" applyNumberFormat="0" applyAlignment="0" applyProtection="0"/>
    <xf numFmtId="0" fontId="33" fillId="34" borderId="253">
      <alignment horizontal="right" vertical="center"/>
    </xf>
    <xf numFmtId="4" fontId="33" fillId="34" borderId="255">
      <alignment horizontal="right" vertical="center"/>
    </xf>
    <xf numFmtId="0" fontId="66" fillId="0" borderId="251" applyNumberFormat="0" applyFill="0" applyAlignment="0" applyProtection="0"/>
    <xf numFmtId="0" fontId="27" fillId="30" borderId="0" applyNumberFormat="0" applyBorder="0" applyAlignment="0" applyProtection="0"/>
    <xf numFmtId="0" fontId="51" fillId="0" borderId="264" applyNumberFormat="0" applyFill="0" applyAlignment="0" applyProtection="0"/>
    <xf numFmtId="0" fontId="35" fillId="34" borderId="231">
      <alignment horizontal="left" vertical="center" wrapText="1" indent="2"/>
    </xf>
    <xf numFmtId="0" fontId="35" fillId="0" borderId="231">
      <alignment horizontal="left" vertical="center" wrapText="1" indent="2"/>
    </xf>
    <xf numFmtId="0" fontId="27" fillId="17" borderId="0" applyNumberFormat="0" applyBorder="0" applyAlignment="0" applyProtection="0"/>
    <xf numFmtId="0" fontId="35" fillId="0" borderId="282">
      <alignment horizontal="right" vertical="center"/>
    </xf>
    <xf numFmtId="0" fontId="33" fillId="32" borderId="253">
      <alignment horizontal="right" vertical="center"/>
    </xf>
    <xf numFmtId="0" fontId="33" fillId="34" borderId="253">
      <alignment horizontal="right" vertical="center"/>
    </xf>
    <xf numFmtId="0" fontId="5" fillId="59" borderId="236" applyNumberFormat="0" applyFont="0" applyAlignment="0" applyProtection="0"/>
    <xf numFmtId="4" fontId="33" fillId="34" borderId="255">
      <alignment horizontal="right" vertical="center"/>
    </xf>
    <xf numFmtId="49" fontId="35" fillId="0" borderId="258" applyNumberFormat="0" applyFont="0" applyFill="0" applyBorder="0" applyProtection="0">
      <alignment horizontal="left" vertical="center" indent="2"/>
    </xf>
    <xf numFmtId="0" fontId="63" fillId="56" borderId="233" applyNumberFormat="0" applyAlignment="0" applyProtection="0"/>
    <xf numFmtId="0" fontId="30" fillId="13" borderId="13" applyNumberFormat="0" applyAlignment="0" applyProtection="0"/>
    <xf numFmtId="0" fontId="47" fillId="56" borderId="250" applyNumberFormat="0" applyAlignment="0" applyProtection="0"/>
    <xf numFmtId="173" fontId="35" fillId="60" borderId="253" applyNumberFormat="0" applyFont="0" applyBorder="0" applyAlignment="0" applyProtection="0">
      <alignment horizontal="right" vertical="center"/>
    </xf>
    <xf numFmtId="0" fontId="30" fillId="13" borderId="13" applyNumberFormat="0" applyAlignment="0" applyProtection="0"/>
    <xf numFmtId="0" fontId="35" fillId="0" borderId="253">
      <alignment horizontal="right" vertical="center"/>
    </xf>
    <xf numFmtId="49" fontId="35" fillId="0" borderId="268" applyNumberFormat="0" applyFont="0" applyFill="0" applyBorder="0" applyProtection="0">
      <alignment horizontal="left" vertical="center" indent="2"/>
    </xf>
    <xf numFmtId="0" fontId="35" fillId="34" borderId="261">
      <alignment horizontal="left" vertical="center" wrapText="1" indent="2"/>
    </xf>
    <xf numFmtId="0" fontId="44" fillId="56" borderId="249" applyNumberFormat="0" applyAlignment="0" applyProtection="0"/>
    <xf numFmtId="0" fontId="30" fillId="13" borderId="13" applyNumberFormat="0" applyAlignment="0" applyProtection="0"/>
    <xf numFmtId="0" fontId="29" fillId="13" borderId="14" applyNumberFormat="0" applyAlignment="0" applyProtection="0"/>
    <xf numFmtId="0" fontId="59" fillId="43" borderId="234" applyNumberFormat="0" applyAlignment="0" applyProtection="0"/>
    <xf numFmtId="0" fontId="47" fillId="56" borderId="241" applyNumberFormat="0" applyAlignment="0" applyProtection="0"/>
    <xf numFmtId="0" fontId="27" fillId="15" borderId="0" applyNumberFormat="0" applyBorder="0" applyAlignment="0" applyProtection="0"/>
    <xf numFmtId="4" fontId="33" fillId="34" borderId="244">
      <alignment horizontal="right" vertical="center"/>
    </xf>
    <xf numFmtId="0" fontId="63" fillId="56" borderId="278" applyNumberFormat="0" applyAlignment="0" applyProtection="0"/>
    <xf numFmtId="0" fontId="41" fillId="59" borderId="252" applyNumberFormat="0" applyFont="0" applyAlignment="0" applyProtection="0"/>
    <xf numFmtId="0" fontId="5" fillId="59" borderId="267" applyNumberFormat="0" applyFont="0" applyAlignment="0" applyProtection="0"/>
    <xf numFmtId="49" fontId="34" fillId="0" borderId="258" applyNumberFormat="0" applyFill="0" applyBorder="0" applyProtection="0">
      <alignment horizontal="left" vertical="center"/>
    </xf>
    <xf numFmtId="0" fontId="35" fillId="34" borderId="247">
      <alignment horizontal="left" vertical="center" wrapText="1" indent="2"/>
    </xf>
    <xf numFmtId="0" fontId="59" fillId="43" borderId="241" applyNumberFormat="0" applyAlignment="0" applyProtection="0"/>
    <xf numFmtId="0" fontId="35" fillId="0" borderId="244" applyNumberFormat="0" applyFill="0" applyAlignment="0" applyProtection="0"/>
    <xf numFmtId="0" fontId="41" fillId="59" borderId="252" applyNumberFormat="0" applyFont="0" applyAlignment="0" applyProtection="0"/>
    <xf numFmtId="4" fontId="37" fillId="32" borderId="258">
      <alignment horizontal="right" vertical="center"/>
    </xf>
    <xf numFmtId="0" fontId="59" fillId="43" borderId="250" applyNumberFormat="0" applyAlignment="0" applyProtection="0"/>
    <xf numFmtId="4" fontId="35" fillId="33" borderId="258"/>
    <xf numFmtId="173" fontId="35" fillId="60" borderId="268" applyNumberFormat="0" applyFont="0" applyBorder="0" applyAlignment="0" applyProtection="0">
      <alignment horizontal="right" vertical="center"/>
    </xf>
    <xf numFmtId="0" fontId="41" fillId="59" borderId="252" applyNumberFormat="0" applyFont="0" applyAlignment="0" applyProtection="0"/>
    <xf numFmtId="0" fontId="27" fillId="29" borderId="0" applyNumberFormat="0" applyBorder="0" applyAlignment="0" applyProtection="0"/>
    <xf numFmtId="49" fontId="35" fillId="0" borderId="244" applyNumberFormat="0" applyFont="0" applyFill="0" applyBorder="0" applyProtection="0">
      <alignment horizontal="left" vertical="center" indent="2"/>
    </xf>
    <xf numFmtId="0" fontId="47" fillId="56" borderId="250" applyNumberFormat="0" applyAlignment="0" applyProtection="0"/>
    <xf numFmtId="4" fontId="37" fillId="32" borderId="253">
      <alignment horizontal="right" vertical="center"/>
    </xf>
    <xf numFmtId="0" fontId="37" fillId="32" borderId="258">
      <alignment horizontal="right" vertical="center"/>
    </xf>
    <xf numFmtId="0" fontId="66" fillId="0" borderId="251" applyNumberFormat="0" applyFill="0" applyAlignment="0" applyProtection="0"/>
    <xf numFmtId="4" fontId="35" fillId="0" borderId="253">
      <alignment horizontal="right" vertical="center"/>
    </xf>
    <xf numFmtId="0" fontId="47" fillId="56" borderId="263" applyNumberFormat="0" applyAlignment="0" applyProtection="0"/>
    <xf numFmtId="0" fontId="46" fillId="56" borderId="250" applyNumberFormat="0" applyAlignment="0" applyProtection="0"/>
    <xf numFmtId="4" fontId="33" fillId="34" borderId="253">
      <alignment horizontal="right" vertical="center"/>
    </xf>
    <xf numFmtId="0" fontId="12" fillId="28" borderId="0" applyNumberFormat="0" applyBorder="0" applyAlignment="0" applyProtection="0"/>
    <xf numFmtId="0" fontId="50" fillId="43" borderId="250" applyNumberFormat="0" applyAlignment="0" applyProtection="0"/>
    <xf numFmtId="0" fontId="27" fillId="20" borderId="0" applyNumberFormat="0" applyBorder="0" applyAlignment="0" applyProtection="0"/>
    <xf numFmtId="4" fontId="35" fillId="0" borderId="282" applyFill="0" applyBorder="0" applyProtection="0">
      <alignment horizontal="right" vertical="center"/>
    </xf>
    <xf numFmtId="0" fontId="27" fillId="20" borderId="0" applyNumberFormat="0" applyBorder="0" applyAlignment="0" applyProtection="0"/>
    <xf numFmtId="0" fontId="47" fillId="56" borderId="265" applyNumberFormat="0" applyAlignment="0" applyProtection="0"/>
    <xf numFmtId="4" fontId="33" fillId="34" borderId="253">
      <alignment horizontal="right" vertical="center"/>
    </xf>
    <xf numFmtId="0" fontId="35" fillId="34" borderId="247">
      <alignment horizontal="left" vertical="center" wrapText="1" indent="2"/>
    </xf>
    <xf numFmtId="0" fontId="31" fillId="0" borderId="0" applyNumberFormat="0" applyFill="0" applyBorder="0" applyAlignment="0" applyProtection="0"/>
    <xf numFmtId="0" fontId="33" fillId="34" borderId="253">
      <alignment horizontal="right" vertical="center"/>
    </xf>
    <xf numFmtId="0" fontId="12" fillId="19" borderId="0" applyNumberFormat="0" applyBorder="0" applyAlignment="0" applyProtection="0"/>
    <xf numFmtId="0" fontId="50" fillId="43" borderId="250" applyNumberFormat="0" applyAlignment="0" applyProtection="0"/>
    <xf numFmtId="0" fontId="27" fillId="26" borderId="0" applyNumberFormat="0" applyBorder="0" applyAlignment="0" applyProtection="0"/>
    <xf numFmtId="0" fontId="41" fillId="59" borderId="257" applyNumberFormat="0" applyFont="0" applyAlignment="0" applyProtection="0"/>
    <xf numFmtId="0" fontId="27" fillId="29" borderId="0" applyNumberFormat="0" applyBorder="0" applyAlignment="0" applyProtection="0"/>
    <xf numFmtId="0" fontId="27" fillId="27" borderId="0" applyNumberFormat="0" applyBorder="0" applyAlignment="0" applyProtection="0"/>
    <xf numFmtId="0" fontId="27" fillId="23" borderId="0" applyNumberFormat="0" applyBorder="0" applyAlignment="0" applyProtection="0"/>
    <xf numFmtId="0" fontId="27" fillId="24" borderId="0" applyNumberFormat="0" applyBorder="0" applyAlignment="0" applyProtection="0"/>
    <xf numFmtId="0" fontId="12" fillId="22" borderId="0" applyNumberFormat="0" applyBorder="0" applyAlignment="0" applyProtection="0"/>
    <xf numFmtId="0" fontId="12" fillId="16" borderId="0" applyNumberFormat="0" applyBorder="0" applyAlignment="0" applyProtection="0"/>
    <xf numFmtId="0" fontId="27" fillId="17" borderId="0" applyNumberFormat="0" applyBorder="0" applyAlignment="0" applyProtection="0"/>
    <xf numFmtId="4" fontId="33" fillId="34" borderId="255">
      <alignment horizontal="right" vertical="center"/>
    </xf>
    <xf numFmtId="4" fontId="33" fillId="34" borderId="237">
      <alignment horizontal="right" vertical="center"/>
    </xf>
    <xf numFmtId="4" fontId="37" fillId="32" borderId="237">
      <alignment horizontal="right" vertical="center"/>
    </xf>
    <xf numFmtId="0" fontId="50" fillId="43" borderId="250" applyNumberFormat="0" applyAlignment="0" applyProtection="0"/>
    <xf numFmtId="4" fontId="33" fillId="34" borderId="228">
      <alignment horizontal="right" vertical="center"/>
    </xf>
    <xf numFmtId="0" fontId="35" fillId="33" borderId="228"/>
    <xf numFmtId="0" fontId="46" fillId="56" borderId="225" applyNumberFormat="0" applyAlignment="0" applyProtection="0"/>
    <xf numFmtId="0" fontId="33" fillId="32" borderId="228">
      <alignment horizontal="right" vertical="center"/>
    </xf>
    <xf numFmtId="0" fontId="35" fillId="0" borderId="228">
      <alignment horizontal="right" vertical="center"/>
    </xf>
    <xf numFmtId="0" fontId="66" fillId="0" borderId="226" applyNumberFormat="0" applyFill="0" applyAlignment="0" applyProtection="0"/>
    <xf numFmtId="0" fontId="35" fillId="32" borderId="229">
      <alignment horizontal="left" vertical="center"/>
    </xf>
    <xf numFmtId="0" fontId="59" fillId="43" borderId="225" applyNumberFormat="0" applyAlignment="0" applyProtection="0"/>
    <xf numFmtId="173" fontId="35" fillId="60" borderId="228" applyNumberFormat="0" applyFont="0" applyBorder="0" applyAlignment="0" applyProtection="0">
      <alignment horizontal="right" vertical="center"/>
    </xf>
    <xf numFmtId="0" fontId="41" fillId="59" borderId="227" applyNumberFormat="0" applyFont="0" applyAlignment="0" applyProtection="0"/>
    <xf numFmtId="0" fontId="35" fillId="0" borderId="231">
      <alignment horizontal="left" vertical="center" wrapText="1" indent="2"/>
    </xf>
    <xf numFmtId="4" fontId="35" fillId="33" borderId="228"/>
    <xf numFmtId="49" fontId="34" fillId="0" borderId="228" applyNumberFormat="0" applyFill="0" applyBorder="0" applyProtection="0">
      <alignment horizontal="left" vertical="center"/>
    </xf>
    <xf numFmtId="0" fontId="35" fillId="0" borderId="228">
      <alignment horizontal="right" vertical="center"/>
    </xf>
    <xf numFmtId="4" fontId="33" fillId="34" borderId="230">
      <alignment horizontal="right" vertical="center"/>
    </xf>
    <xf numFmtId="4" fontId="33" fillId="34" borderId="228">
      <alignment horizontal="right" vertical="center"/>
    </xf>
    <xf numFmtId="4" fontId="33" fillId="34" borderId="228">
      <alignment horizontal="right" vertical="center"/>
    </xf>
    <xf numFmtId="0" fontId="37" fillId="32" borderId="228">
      <alignment horizontal="right" vertical="center"/>
    </xf>
    <xf numFmtId="0" fontId="33" fillId="32" borderId="228">
      <alignment horizontal="right" vertical="center"/>
    </xf>
    <xf numFmtId="49" fontId="35" fillId="0" borderId="228" applyNumberFormat="0" applyFont="0" applyFill="0" applyBorder="0" applyProtection="0">
      <alignment horizontal="left" vertical="center" indent="2"/>
    </xf>
    <xf numFmtId="0" fontId="59" fillId="43" borderId="225" applyNumberFormat="0" applyAlignment="0" applyProtection="0"/>
    <xf numFmtId="0" fontId="44" fillId="56" borderId="232" applyNumberFormat="0" applyAlignment="0" applyProtection="0"/>
    <xf numFmtId="49" fontId="35" fillId="0" borderId="228" applyNumberFormat="0" applyFont="0" applyFill="0" applyBorder="0" applyProtection="0">
      <alignment horizontal="left" vertical="center" indent="2"/>
    </xf>
    <xf numFmtId="0" fontId="50" fillId="43" borderId="225" applyNumberFormat="0" applyAlignment="0" applyProtection="0"/>
    <xf numFmtId="4" fontId="35" fillId="0" borderId="228" applyFill="0" applyBorder="0" applyProtection="0">
      <alignment horizontal="right" vertical="center"/>
    </xf>
    <xf numFmtId="0" fontId="47" fillId="56" borderId="225" applyNumberFormat="0" applyAlignment="0" applyProtection="0"/>
    <xf numFmtId="0" fontId="66" fillId="0" borderId="226" applyNumberFormat="0" applyFill="0" applyAlignment="0" applyProtection="0"/>
    <xf numFmtId="0" fontId="63" fillId="56" borderId="232" applyNumberFormat="0" applyAlignment="0" applyProtection="0"/>
    <xf numFmtId="0" fontId="35" fillId="0" borderId="228" applyNumberFormat="0" applyFill="0" applyAlignment="0" applyProtection="0"/>
    <xf numFmtId="4" fontId="35" fillId="0" borderId="228">
      <alignment horizontal="right" vertical="center"/>
    </xf>
    <xf numFmtId="0" fontId="35" fillId="0" borderId="228">
      <alignment horizontal="right" vertical="center"/>
    </xf>
    <xf numFmtId="0" fontId="59" fillId="43" borderId="225" applyNumberFormat="0" applyAlignment="0" applyProtection="0"/>
    <xf numFmtId="0" fontId="44" fillId="56" borderId="232" applyNumberFormat="0" applyAlignment="0" applyProtection="0"/>
    <xf numFmtId="0" fontId="46" fillId="56" borderId="225" applyNumberFormat="0" applyAlignment="0" applyProtection="0"/>
    <xf numFmtId="0" fontId="35" fillId="34" borderId="231">
      <alignment horizontal="left" vertical="center" wrapText="1" indent="2"/>
    </xf>
    <xf numFmtId="0" fontId="47" fillId="56" borderId="225" applyNumberFormat="0" applyAlignment="0" applyProtection="0"/>
    <xf numFmtId="0" fontId="47" fillId="56" borderId="225" applyNumberFormat="0" applyAlignment="0" applyProtection="0"/>
    <xf numFmtId="4" fontId="33" fillId="34" borderId="229">
      <alignment horizontal="right" vertical="center"/>
    </xf>
    <xf numFmtId="0" fontId="33" fillId="34" borderId="229">
      <alignment horizontal="right" vertical="center"/>
    </xf>
    <xf numFmtId="0" fontId="33" fillId="34" borderId="228">
      <alignment horizontal="right" vertical="center"/>
    </xf>
    <xf numFmtId="4" fontId="37" fillId="32" borderId="228">
      <alignment horizontal="right" vertical="center"/>
    </xf>
    <xf numFmtId="0" fontId="50" fillId="43" borderId="225" applyNumberFormat="0" applyAlignment="0" applyProtection="0"/>
    <xf numFmtId="0" fontId="51" fillId="0" borderId="226" applyNumberFormat="0" applyFill="0" applyAlignment="0" applyProtection="0"/>
    <xf numFmtId="0" fontId="66" fillId="0" borderId="226" applyNumberFormat="0" applyFill="0" applyAlignment="0" applyProtection="0"/>
    <xf numFmtId="0" fontId="41" fillId="59" borderId="227" applyNumberFormat="0" applyFont="0" applyAlignment="0" applyProtection="0"/>
    <xf numFmtId="0" fontId="59" fillId="43" borderId="225" applyNumberFormat="0" applyAlignment="0" applyProtection="0"/>
    <xf numFmtId="49" fontId="34" fillId="0" borderId="228" applyNumberFormat="0" applyFill="0" applyBorder="0" applyProtection="0">
      <alignment horizontal="left" vertical="center"/>
    </xf>
    <xf numFmtId="0" fontId="35" fillId="34" borderId="231">
      <alignment horizontal="left" vertical="center" wrapText="1" indent="2"/>
    </xf>
    <xf numFmtId="0" fontId="47" fillId="56" borderId="225" applyNumberFormat="0" applyAlignment="0" applyProtection="0"/>
    <xf numFmtId="0" fontId="35" fillId="0" borderId="231">
      <alignment horizontal="left" vertical="center" wrapText="1" indent="2"/>
    </xf>
    <xf numFmtId="0" fontId="41" fillId="59" borderId="227" applyNumberFormat="0" applyFont="0" applyAlignment="0" applyProtection="0"/>
    <xf numFmtId="0" fontId="5" fillId="59" borderId="227" applyNumberFormat="0" applyFont="0" applyAlignment="0" applyProtection="0"/>
    <xf numFmtId="0" fontId="63" fillId="56" borderId="232" applyNumberFormat="0" applyAlignment="0" applyProtection="0"/>
    <xf numFmtId="0" fontId="66" fillId="0" borderId="226" applyNumberFormat="0" applyFill="0" applyAlignment="0" applyProtection="0"/>
    <xf numFmtId="4" fontId="35" fillId="33" borderId="228"/>
    <xf numFmtId="0" fontId="33" fillId="34" borderId="228">
      <alignment horizontal="right" vertical="center"/>
    </xf>
    <xf numFmtId="0" fontId="66" fillId="0" borderId="226" applyNumberFormat="0" applyFill="0" applyAlignment="0" applyProtection="0"/>
    <xf numFmtId="4" fontId="33" fillId="34" borderId="230">
      <alignment horizontal="right" vertical="center"/>
    </xf>
    <xf numFmtId="0" fontId="46" fillId="56" borderId="225" applyNumberFormat="0" applyAlignment="0" applyProtection="0"/>
    <xf numFmtId="0" fontId="33" fillId="34" borderId="229">
      <alignment horizontal="right" vertical="center"/>
    </xf>
    <xf numFmtId="0" fontId="47" fillId="56" borderId="225" applyNumberFormat="0" applyAlignment="0" applyProtection="0"/>
    <xf numFmtId="0" fontId="51" fillId="0" borderId="226" applyNumberFormat="0" applyFill="0" applyAlignment="0" applyProtection="0"/>
    <xf numFmtId="0" fontId="41" fillId="59" borderId="227" applyNumberFormat="0" applyFont="0" applyAlignment="0" applyProtection="0"/>
    <xf numFmtId="4" fontId="33" fillId="34" borderId="229">
      <alignment horizontal="right" vertical="center"/>
    </xf>
    <xf numFmtId="0" fontId="35" fillId="34" borderId="231">
      <alignment horizontal="left" vertical="center" wrapText="1" indent="2"/>
    </xf>
    <xf numFmtId="0" fontId="35" fillId="33" borderId="228"/>
    <xf numFmtId="173" fontId="35" fillId="60" borderId="228" applyNumberFormat="0" applyFont="0" applyBorder="0" applyAlignment="0" applyProtection="0">
      <alignment horizontal="right" vertical="center"/>
    </xf>
    <xf numFmtId="0" fontId="35" fillId="0" borderId="228" applyNumberFormat="0" applyFill="0" applyAlignment="0" applyProtection="0"/>
    <xf numFmtId="4" fontId="35" fillId="0" borderId="228" applyFill="0" applyBorder="0" applyProtection="0">
      <alignment horizontal="right" vertical="center"/>
    </xf>
    <xf numFmtId="4" fontId="33" fillId="32" borderId="228">
      <alignment horizontal="right" vertical="center"/>
    </xf>
    <xf numFmtId="0" fontId="51" fillId="0" borderId="226" applyNumberFormat="0" applyFill="0" applyAlignment="0" applyProtection="0"/>
    <xf numFmtId="49" fontId="34" fillId="0" borderId="228" applyNumberFormat="0" applyFill="0" applyBorder="0" applyProtection="0">
      <alignment horizontal="left" vertical="center"/>
    </xf>
    <xf numFmtId="49" fontId="35" fillId="0" borderId="229" applyNumberFormat="0" applyFont="0" applyFill="0" applyBorder="0" applyProtection="0">
      <alignment horizontal="left" vertical="center" indent="5"/>
    </xf>
    <xf numFmtId="0" fontId="35" fillId="32" borderId="229">
      <alignment horizontal="left" vertical="center"/>
    </xf>
    <xf numFmtId="0" fontId="47" fillId="56" borderId="225" applyNumberFormat="0" applyAlignment="0" applyProtection="0"/>
    <xf numFmtId="4" fontId="33" fillId="34" borderId="230">
      <alignment horizontal="right" vertical="center"/>
    </xf>
    <xf numFmtId="0" fontId="59" fillId="43" borderId="225" applyNumberFormat="0" applyAlignment="0" applyProtection="0"/>
    <xf numFmtId="0" fontId="59" fillId="43" borderId="225" applyNumberFormat="0" applyAlignment="0" applyProtection="0"/>
    <xf numFmtId="0" fontId="41" fillId="59" borderId="227" applyNumberFormat="0" applyFont="0" applyAlignment="0" applyProtection="0"/>
    <xf numFmtId="0" fontId="63" fillId="56" borderId="232" applyNumberFormat="0" applyAlignment="0" applyProtection="0"/>
    <xf numFmtId="0" fontId="66" fillId="0" borderId="226" applyNumberFormat="0" applyFill="0" applyAlignment="0" applyProtection="0"/>
    <xf numFmtId="0" fontId="33" fillId="34" borderId="228">
      <alignment horizontal="right" vertical="center"/>
    </xf>
    <xf numFmtId="0" fontId="5" fillId="59" borderId="227" applyNumberFormat="0" applyFont="0" applyAlignment="0" applyProtection="0"/>
    <xf numFmtId="4" fontId="35" fillId="0" borderId="228">
      <alignment horizontal="right" vertical="center"/>
    </xf>
    <xf numFmtId="0" fontId="66" fillId="0" borderId="226" applyNumberFormat="0" applyFill="0" applyAlignment="0" applyProtection="0"/>
    <xf numFmtId="0" fontId="33" fillId="34" borderId="228">
      <alignment horizontal="right" vertical="center"/>
    </xf>
    <xf numFmtId="0" fontId="33" fillId="34" borderId="228">
      <alignment horizontal="right" vertical="center"/>
    </xf>
    <xf numFmtId="4" fontId="37" fillId="32" borderId="228">
      <alignment horizontal="right" vertical="center"/>
    </xf>
    <xf numFmtId="0" fontId="33" fillId="32" borderId="228">
      <alignment horizontal="right" vertical="center"/>
    </xf>
    <xf numFmtId="4" fontId="33" fillId="32" borderId="228">
      <alignment horizontal="right" vertical="center"/>
    </xf>
    <xf numFmtId="0" fontId="37" fillId="32" borderId="228">
      <alignment horizontal="right" vertical="center"/>
    </xf>
    <xf numFmtId="4" fontId="37" fillId="32" borderId="228">
      <alignment horizontal="right" vertical="center"/>
    </xf>
    <xf numFmtId="0" fontId="33" fillId="34" borderId="228">
      <alignment horizontal="right" vertical="center"/>
    </xf>
    <xf numFmtId="4" fontId="33" fillId="34" borderId="228">
      <alignment horizontal="right" vertical="center"/>
    </xf>
    <xf numFmtId="0" fontId="33" fillId="34" borderId="228">
      <alignment horizontal="right" vertical="center"/>
    </xf>
    <xf numFmtId="4" fontId="33" fillId="34" borderId="228">
      <alignment horizontal="right" vertical="center"/>
    </xf>
    <xf numFmtId="0" fontId="33" fillId="34" borderId="229">
      <alignment horizontal="right" vertical="center"/>
    </xf>
    <xf numFmtId="4" fontId="33" fillId="34" borderId="229">
      <alignment horizontal="right" vertical="center"/>
    </xf>
    <xf numFmtId="0" fontId="33" fillId="34" borderId="230">
      <alignment horizontal="right" vertical="center"/>
    </xf>
    <xf numFmtId="4" fontId="33" fillId="34" borderId="230">
      <alignment horizontal="right" vertical="center"/>
    </xf>
    <xf numFmtId="0" fontId="47" fillId="56" borderId="225" applyNumberFormat="0" applyAlignment="0" applyProtection="0"/>
    <xf numFmtId="0" fontId="35" fillId="34" borderId="231">
      <alignment horizontal="left" vertical="center" wrapText="1" indent="2"/>
    </xf>
    <xf numFmtId="0" fontId="35" fillId="0" borderId="231">
      <alignment horizontal="left" vertical="center" wrapText="1" indent="2"/>
    </xf>
    <xf numFmtId="0" fontId="35" fillId="32" borderId="229">
      <alignment horizontal="left" vertical="center"/>
    </xf>
    <xf numFmtId="0" fontId="59" fillId="43" borderId="225" applyNumberFormat="0" applyAlignment="0" applyProtection="0"/>
    <xf numFmtId="0" fontId="35" fillId="0" borderId="228">
      <alignment horizontal="right" vertical="center"/>
    </xf>
    <xf numFmtId="4" fontId="35" fillId="0" borderId="228">
      <alignment horizontal="right" vertical="center"/>
    </xf>
    <xf numFmtId="0" fontId="35" fillId="0" borderId="228" applyNumberFormat="0" applyFill="0" applyAlignment="0" applyProtection="0"/>
    <xf numFmtId="0" fontId="63" fillId="56" borderId="232" applyNumberFormat="0" applyAlignment="0" applyProtection="0"/>
    <xf numFmtId="173" fontId="35" fillId="60" borderId="228" applyNumberFormat="0" applyFont="0" applyBorder="0" applyAlignment="0" applyProtection="0">
      <alignment horizontal="right" vertical="center"/>
    </xf>
    <xf numFmtId="0" fontId="35" fillId="33" borderId="228"/>
    <xf numFmtId="4" fontId="35" fillId="33" borderId="228"/>
    <xf numFmtId="0" fontId="66" fillId="0" borderId="226" applyNumberFormat="0" applyFill="0" applyAlignment="0" applyProtection="0"/>
    <xf numFmtId="0" fontId="5" fillId="59" borderId="227" applyNumberFormat="0" applyFont="0" applyAlignment="0" applyProtection="0"/>
    <xf numFmtId="0" fontId="41" fillId="59" borderId="227" applyNumberFormat="0" applyFont="0" applyAlignment="0" applyProtection="0"/>
    <xf numFmtId="0" fontId="35" fillId="0" borderId="228" applyNumberFormat="0" applyFill="0" applyAlignment="0" applyProtection="0"/>
    <xf numFmtId="0" fontId="51" fillId="0" borderId="226" applyNumberFormat="0" applyFill="0" applyAlignment="0" applyProtection="0"/>
    <xf numFmtId="0" fontId="66" fillId="0" borderId="226" applyNumberFormat="0" applyFill="0" applyAlignment="0" applyProtection="0"/>
    <xf numFmtId="0" fontId="50" fillId="43" borderId="225" applyNumberFormat="0" applyAlignment="0" applyProtection="0"/>
    <xf numFmtId="0" fontId="47" fillId="56" borderId="225" applyNumberFormat="0" applyAlignment="0" applyProtection="0"/>
    <xf numFmtId="4" fontId="37" fillId="32" borderId="228">
      <alignment horizontal="right" vertical="center"/>
    </xf>
    <xf numFmtId="0" fontId="33" fillId="32" borderId="228">
      <alignment horizontal="right" vertical="center"/>
    </xf>
    <xf numFmtId="173" fontId="35" fillId="60" borderId="228" applyNumberFormat="0" applyFont="0" applyBorder="0" applyAlignment="0" applyProtection="0">
      <alignment horizontal="right" vertical="center"/>
    </xf>
    <xf numFmtId="0" fontId="51" fillId="0" borderId="226" applyNumberFormat="0" applyFill="0" applyAlignment="0" applyProtection="0"/>
    <xf numFmtId="49" fontId="35" fillId="0" borderId="228" applyNumberFormat="0" applyFont="0" applyFill="0" applyBorder="0" applyProtection="0">
      <alignment horizontal="left" vertical="center" indent="2"/>
    </xf>
    <xf numFmtId="49" fontId="35" fillId="0" borderId="229" applyNumberFormat="0" applyFont="0" applyFill="0" applyBorder="0" applyProtection="0">
      <alignment horizontal="left" vertical="center" indent="5"/>
    </xf>
    <xf numFmtId="49" fontId="35" fillId="0" borderId="228" applyNumberFormat="0" applyFont="0" applyFill="0" applyBorder="0" applyProtection="0">
      <alignment horizontal="left" vertical="center" indent="2"/>
    </xf>
    <xf numFmtId="4" fontId="35" fillId="0" borderId="228" applyFill="0" applyBorder="0" applyProtection="0">
      <alignment horizontal="right" vertical="center"/>
    </xf>
    <xf numFmtId="49" fontId="34" fillId="0" borderId="228" applyNumberFormat="0" applyFill="0" applyBorder="0" applyProtection="0">
      <alignment horizontal="left" vertical="center"/>
    </xf>
    <xf numFmtId="0" fontId="35" fillId="0" borderId="231">
      <alignment horizontal="left" vertical="center" wrapText="1" indent="2"/>
    </xf>
    <xf numFmtId="0" fontId="63" fillId="56" borderId="232" applyNumberFormat="0" applyAlignment="0" applyProtection="0"/>
    <xf numFmtId="0" fontId="33" fillId="34" borderId="230">
      <alignment horizontal="right" vertical="center"/>
    </xf>
    <xf numFmtId="0" fontId="50" fillId="43" borderId="225" applyNumberFormat="0" applyAlignment="0" applyProtection="0"/>
    <xf numFmtId="0" fontId="33" fillId="34" borderId="230">
      <alignment horizontal="right" vertical="center"/>
    </xf>
    <xf numFmtId="4" fontId="33" fillId="34" borderId="228">
      <alignment horizontal="right" vertical="center"/>
    </xf>
    <xf numFmtId="0" fontId="33" fillId="34" borderId="228">
      <alignment horizontal="right" vertical="center"/>
    </xf>
    <xf numFmtId="0" fontId="44" fillId="56" borderId="232" applyNumberFormat="0" applyAlignment="0" applyProtection="0"/>
    <xf numFmtId="0" fontId="46" fillId="56" borderId="225" applyNumberFormat="0" applyAlignment="0" applyProtection="0"/>
    <xf numFmtId="0" fontId="51" fillId="0" borderId="226" applyNumberFormat="0" applyFill="0" applyAlignment="0" applyProtection="0"/>
    <xf numFmtId="0" fontId="35" fillId="33" borderId="228"/>
    <xf numFmtId="4" fontId="35" fillId="33" borderId="228"/>
    <xf numFmtId="4" fontId="33" fillId="34" borderId="228">
      <alignment horizontal="right" vertical="center"/>
    </xf>
    <xf numFmtId="0" fontId="37" fillId="32" borderId="228">
      <alignment horizontal="right" vertical="center"/>
    </xf>
    <xf numFmtId="0" fontId="50" fillId="43" borderId="225" applyNumberFormat="0" applyAlignment="0" applyProtection="0"/>
    <xf numFmtId="0" fontId="47" fillId="56" borderId="225" applyNumberFormat="0" applyAlignment="0" applyProtection="0"/>
    <xf numFmtId="4" fontId="35" fillId="0" borderId="228">
      <alignment horizontal="right" vertical="center"/>
    </xf>
    <xf numFmtId="0" fontId="35" fillId="34" borderId="231">
      <alignment horizontal="left" vertical="center" wrapText="1" indent="2"/>
    </xf>
    <xf numFmtId="0" fontId="35" fillId="0" borderId="231">
      <alignment horizontal="left" vertical="center" wrapText="1" indent="2"/>
    </xf>
    <xf numFmtId="0" fontId="63" fillId="56" borderId="232" applyNumberFormat="0" applyAlignment="0" applyProtection="0"/>
    <xf numFmtId="0" fontId="59" fillId="43" borderId="225" applyNumberFormat="0" applyAlignment="0" applyProtection="0"/>
    <xf numFmtId="0" fontId="46" fillId="56" borderId="225" applyNumberFormat="0" applyAlignment="0" applyProtection="0"/>
    <xf numFmtId="0" fontId="44" fillId="56" borderId="232" applyNumberFormat="0" applyAlignment="0" applyProtection="0"/>
    <xf numFmtId="0" fontId="33" fillId="34" borderId="230">
      <alignment horizontal="right" vertical="center"/>
    </xf>
    <xf numFmtId="0" fontId="37" fillId="32" borderId="228">
      <alignment horizontal="right" vertical="center"/>
    </xf>
    <xf numFmtId="4" fontId="33" fillId="32" borderId="228">
      <alignment horizontal="right" vertical="center"/>
    </xf>
    <xf numFmtId="4" fontId="33" fillId="34" borderId="228">
      <alignment horizontal="right" vertical="center"/>
    </xf>
    <xf numFmtId="49" fontId="35" fillId="0" borderId="229" applyNumberFormat="0" applyFont="0" applyFill="0" applyBorder="0" applyProtection="0">
      <alignment horizontal="left" vertical="center" indent="5"/>
    </xf>
    <xf numFmtId="4" fontId="35" fillId="0" borderId="228" applyFill="0" applyBorder="0" applyProtection="0">
      <alignment horizontal="right" vertical="center"/>
    </xf>
    <xf numFmtId="4" fontId="33" fillId="32" borderId="228">
      <alignment horizontal="right" vertical="center"/>
    </xf>
    <xf numFmtId="0" fontId="5" fillId="59" borderId="252" applyNumberFormat="0" applyFont="0" applyAlignment="0" applyProtection="0"/>
    <xf numFmtId="0" fontId="59" fillId="43" borderId="225" applyNumberFormat="0" applyAlignment="0" applyProtection="0"/>
    <xf numFmtId="0" fontId="50" fillId="43" borderId="225" applyNumberFormat="0" applyAlignment="0" applyProtection="0"/>
    <xf numFmtId="0" fontId="46" fillId="56" borderId="225" applyNumberFormat="0" applyAlignment="0" applyProtection="0"/>
    <xf numFmtId="0" fontId="35" fillId="34" borderId="231">
      <alignment horizontal="left" vertical="center" wrapText="1" indent="2"/>
    </xf>
    <xf numFmtId="0" fontId="35" fillId="0" borderId="231">
      <alignment horizontal="left" vertical="center" wrapText="1" indent="2"/>
    </xf>
    <xf numFmtId="0" fontId="35" fillId="34" borderId="231">
      <alignment horizontal="left" vertical="center" wrapText="1" indent="2"/>
    </xf>
    <xf numFmtId="0" fontId="35" fillId="0" borderId="231">
      <alignment horizontal="left" vertical="center" wrapText="1" indent="2"/>
    </xf>
    <xf numFmtId="0" fontId="44" fillId="56" borderId="232" applyNumberFormat="0" applyAlignment="0" applyProtection="0"/>
    <xf numFmtId="0" fontId="46" fillId="56" borderId="225" applyNumberFormat="0" applyAlignment="0" applyProtection="0"/>
    <xf numFmtId="0" fontId="47" fillId="56" borderId="225" applyNumberFormat="0" applyAlignment="0" applyProtection="0"/>
    <xf numFmtId="0" fontId="50" fillId="43" borderId="225" applyNumberFormat="0" applyAlignment="0" applyProtection="0"/>
    <xf numFmtId="0" fontId="51" fillId="0" borderId="226" applyNumberFormat="0" applyFill="0" applyAlignment="0" applyProtection="0"/>
    <xf numFmtId="0" fontId="59" fillId="43" borderId="225" applyNumberFormat="0" applyAlignment="0" applyProtection="0"/>
    <xf numFmtId="0" fontId="41" fillId="59" borderId="227" applyNumberFormat="0" applyFont="0" applyAlignment="0" applyProtection="0"/>
    <xf numFmtId="0" fontId="5" fillId="59" borderId="227" applyNumberFormat="0" applyFont="0" applyAlignment="0" applyProtection="0"/>
    <xf numFmtId="0" fontId="63" fillId="56" borderId="232" applyNumberFormat="0" applyAlignment="0" applyProtection="0"/>
    <xf numFmtId="0" fontId="66" fillId="0" borderId="226" applyNumberFormat="0" applyFill="0" applyAlignment="0" applyProtection="0"/>
    <xf numFmtId="0" fontId="47" fillId="56" borderId="225" applyNumberFormat="0" applyAlignment="0" applyProtection="0"/>
    <xf numFmtId="0" fontId="59" fillId="43" borderId="225" applyNumberFormat="0" applyAlignment="0" applyProtection="0"/>
    <xf numFmtId="0" fontId="41" fillId="59" borderId="227" applyNumberFormat="0" applyFont="0" applyAlignment="0" applyProtection="0"/>
    <xf numFmtId="0" fontId="63" fillId="56" borderId="232" applyNumberFormat="0" applyAlignment="0" applyProtection="0"/>
    <xf numFmtId="0" fontId="66" fillId="0" borderId="226" applyNumberFormat="0" applyFill="0" applyAlignment="0" applyProtection="0"/>
    <xf numFmtId="0" fontId="47" fillId="56" borderId="265" applyNumberFormat="0" applyAlignment="0" applyProtection="0"/>
    <xf numFmtId="4" fontId="35" fillId="0" borderId="253">
      <alignment horizontal="right" vertical="center"/>
    </xf>
    <xf numFmtId="0" fontId="27" fillId="14" borderId="0" applyNumberFormat="0" applyBorder="0" applyAlignment="0" applyProtection="0"/>
    <xf numFmtId="0" fontId="50" fillId="43" borderId="250" applyNumberFormat="0" applyAlignment="0" applyProtection="0"/>
    <xf numFmtId="0" fontId="47" fillId="56" borderId="225" applyNumberFormat="0" applyAlignment="0" applyProtection="0"/>
    <xf numFmtId="0" fontId="33" fillId="34" borderId="237">
      <alignment horizontal="right" vertical="center"/>
    </xf>
    <xf numFmtId="4" fontId="33" fillId="32" borderId="237">
      <alignment horizontal="right" vertical="center"/>
    </xf>
    <xf numFmtId="0" fontId="35" fillId="32" borderId="269">
      <alignment horizontal="left" vertical="center"/>
    </xf>
    <xf numFmtId="0" fontId="59" fillId="43" borderId="225" applyNumberFormat="0" applyAlignment="0" applyProtection="0"/>
    <xf numFmtId="0" fontId="63" fillId="56" borderId="232" applyNumberFormat="0" applyAlignment="0" applyProtection="0"/>
    <xf numFmtId="0" fontId="66" fillId="0" borderId="226" applyNumberFormat="0" applyFill="0" applyAlignment="0" applyProtection="0"/>
    <xf numFmtId="0" fontId="51" fillId="0" borderId="264" applyNumberFormat="0" applyFill="0" applyAlignment="0" applyProtection="0"/>
    <xf numFmtId="0" fontId="44" fillId="56" borderId="232" applyNumberFormat="0" applyAlignment="0" applyProtection="0"/>
    <xf numFmtId="0" fontId="46" fillId="56" borderId="225" applyNumberFormat="0" applyAlignment="0" applyProtection="0"/>
    <xf numFmtId="0" fontId="51" fillId="0" borderId="226" applyNumberFormat="0" applyFill="0" applyAlignment="0" applyProtection="0"/>
    <xf numFmtId="49" fontId="35" fillId="0" borderId="228" applyNumberFormat="0" applyFont="0" applyFill="0" applyBorder="0" applyProtection="0">
      <alignment horizontal="left" vertical="center" indent="2"/>
    </xf>
    <xf numFmtId="0" fontId="33" fillId="32" borderId="228">
      <alignment horizontal="right" vertical="center"/>
    </xf>
    <xf numFmtId="4" fontId="33" fillId="32" borderId="228">
      <alignment horizontal="right" vertical="center"/>
    </xf>
    <xf numFmtId="0" fontId="37" fillId="32" borderId="228">
      <alignment horizontal="right" vertical="center"/>
    </xf>
    <xf numFmtId="4" fontId="37" fillId="32" borderId="228">
      <alignment horizontal="right" vertical="center"/>
    </xf>
    <xf numFmtId="0" fontId="33" fillId="34" borderId="228">
      <alignment horizontal="right" vertical="center"/>
    </xf>
    <xf numFmtId="4" fontId="33" fillId="34" borderId="228">
      <alignment horizontal="right" vertical="center"/>
    </xf>
    <xf numFmtId="0" fontId="33" fillId="34" borderId="228">
      <alignment horizontal="right" vertical="center"/>
    </xf>
    <xf numFmtId="4" fontId="33" fillId="34" borderId="228">
      <alignment horizontal="right" vertical="center"/>
    </xf>
    <xf numFmtId="0" fontId="50" fillId="43" borderId="225" applyNumberFormat="0" applyAlignment="0" applyProtection="0"/>
    <xf numFmtId="0" fontId="35" fillId="0" borderId="228">
      <alignment horizontal="right" vertical="center"/>
    </xf>
    <xf numFmtId="4" fontId="35" fillId="0" borderId="228">
      <alignment horizontal="right" vertical="center"/>
    </xf>
    <xf numFmtId="4" fontId="35" fillId="0" borderId="228" applyFill="0" applyBorder="0" applyProtection="0">
      <alignment horizontal="right" vertical="center"/>
    </xf>
    <xf numFmtId="49" fontId="34" fillId="0" borderId="228" applyNumberFormat="0" applyFill="0" applyBorder="0" applyProtection="0">
      <alignment horizontal="left" vertical="center"/>
    </xf>
    <xf numFmtId="0" fontId="35" fillId="0" borderId="228" applyNumberFormat="0" applyFill="0" applyAlignment="0" applyProtection="0"/>
    <xf numFmtId="173" fontId="35" fillId="60" borderId="228" applyNumberFormat="0" applyFont="0" applyBorder="0" applyAlignment="0" applyProtection="0">
      <alignment horizontal="right" vertical="center"/>
    </xf>
    <xf numFmtId="0" fontId="35" fillId="33" borderId="228"/>
    <xf numFmtId="4" fontId="35" fillId="33" borderId="228"/>
    <xf numFmtId="4" fontId="33" fillId="34" borderId="228">
      <alignment horizontal="right" vertical="center"/>
    </xf>
    <xf numFmtId="0" fontId="35" fillId="33" borderId="228"/>
    <xf numFmtId="0" fontId="46" fillId="56" borderId="225" applyNumberFormat="0" applyAlignment="0" applyProtection="0"/>
    <xf numFmtId="0" fontId="33" fillId="32" borderId="228">
      <alignment horizontal="right" vertical="center"/>
    </xf>
    <xf numFmtId="0" fontId="35" fillId="0" borderId="228">
      <alignment horizontal="right" vertical="center"/>
    </xf>
    <xf numFmtId="0" fontId="66" fillId="0" borderId="226" applyNumberFormat="0" applyFill="0" applyAlignment="0" applyProtection="0"/>
    <xf numFmtId="0" fontId="35" fillId="32" borderId="229">
      <alignment horizontal="left" vertical="center"/>
    </xf>
    <xf numFmtId="0" fontId="59" fillId="43" borderId="225" applyNumberFormat="0" applyAlignment="0" applyProtection="0"/>
    <xf numFmtId="173" fontId="35" fillId="60" borderId="228" applyNumberFormat="0" applyFont="0" applyBorder="0" applyAlignment="0" applyProtection="0">
      <alignment horizontal="right" vertical="center"/>
    </xf>
    <xf numFmtId="0" fontId="41" fillId="59" borderId="227" applyNumberFormat="0" applyFont="0" applyAlignment="0" applyProtection="0"/>
    <xf numFmtId="0" fontId="35" fillId="0" borderId="231">
      <alignment horizontal="left" vertical="center" wrapText="1" indent="2"/>
    </xf>
    <xf numFmtId="4" fontId="35" fillId="33" borderId="228"/>
    <xf numFmtId="49" fontId="34" fillId="0" borderId="228" applyNumberFormat="0" applyFill="0" applyBorder="0" applyProtection="0">
      <alignment horizontal="left" vertical="center"/>
    </xf>
    <xf numFmtId="0" fontId="35" fillId="0" borderId="228">
      <alignment horizontal="right" vertical="center"/>
    </xf>
    <xf numFmtId="4" fontId="33" fillId="34" borderId="230">
      <alignment horizontal="right" vertical="center"/>
    </xf>
    <xf numFmtId="4" fontId="33" fillId="34" borderId="228">
      <alignment horizontal="right" vertical="center"/>
    </xf>
    <xf numFmtId="4" fontId="33" fillId="34" borderId="228">
      <alignment horizontal="right" vertical="center"/>
    </xf>
    <xf numFmtId="0" fontId="37" fillId="32" borderId="228">
      <alignment horizontal="right" vertical="center"/>
    </xf>
    <xf numFmtId="0" fontId="33" fillId="32" borderId="228">
      <alignment horizontal="right" vertical="center"/>
    </xf>
    <xf numFmtId="49" fontId="35" fillId="0" borderId="228" applyNumberFormat="0" applyFont="0" applyFill="0" applyBorder="0" applyProtection="0">
      <alignment horizontal="left" vertical="center" indent="2"/>
    </xf>
    <xf numFmtId="0" fontId="59" fillId="43" borderId="225" applyNumberFormat="0" applyAlignment="0" applyProtection="0"/>
    <xf numFmtId="0" fontId="44" fillId="56" borderId="232" applyNumberFormat="0" applyAlignment="0" applyProtection="0"/>
    <xf numFmtId="49" fontId="35" fillId="0" borderId="228" applyNumberFormat="0" applyFont="0" applyFill="0" applyBorder="0" applyProtection="0">
      <alignment horizontal="left" vertical="center" indent="2"/>
    </xf>
    <xf numFmtId="0" fontId="50" fillId="43" borderId="225" applyNumberFormat="0" applyAlignment="0" applyProtection="0"/>
    <xf numFmtId="4" fontId="35" fillId="0" borderId="228" applyFill="0" applyBorder="0" applyProtection="0">
      <alignment horizontal="right" vertical="center"/>
    </xf>
    <xf numFmtId="0" fontId="47" fillId="56" borderId="225" applyNumberFormat="0" applyAlignment="0" applyProtection="0"/>
    <xf numFmtId="0" fontId="66" fillId="0" borderId="226" applyNumberFormat="0" applyFill="0" applyAlignment="0" applyProtection="0"/>
    <xf numFmtId="0" fontId="63" fillId="56" borderId="232" applyNumberFormat="0" applyAlignment="0" applyProtection="0"/>
    <xf numFmtId="0" fontId="35" fillId="0" borderId="228" applyNumberFormat="0" applyFill="0" applyAlignment="0" applyProtection="0"/>
    <xf numFmtId="4" fontId="35" fillId="0" borderId="228">
      <alignment horizontal="right" vertical="center"/>
    </xf>
    <xf numFmtId="0" fontId="35" fillId="0" borderId="228">
      <alignment horizontal="right" vertical="center"/>
    </xf>
    <xf numFmtId="0" fontId="59" fillId="43" borderId="225" applyNumberFormat="0" applyAlignment="0" applyProtection="0"/>
    <xf numFmtId="0" fontId="44" fillId="56" borderId="232" applyNumberFormat="0" applyAlignment="0" applyProtection="0"/>
    <xf numFmtId="0" fontId="46" fillId="56" borderId="225" applyNumberFormat="0" applyAlignment="0" applyProtection="0"/>
    <xf numFmtId="0" fontId="35" fillId="34" borderId="231">
      <alignment horizontal="left" vertical="center" wrapText="1" indent="2"/>
    </xf>
    <xf numFmtId="0" fontId="47" fillId="56" borderId="225" applyNumberFormat="0" applyAlignment="0" applyProtection="0"/>
    <xf numFmtId="0" fontId="47" fillId="56" borderId="225" applyNumberFormat="0" applyAlignment="0" applyProtection="0"/>
    <xf numFmtId="4" fontId="33" fillId="34" borderId="229">
      <alignment horizontal="right" vertical="center"/>
    </xf>
    <xf numFmtId="0" fontId="33" fillId="34" borderId="229">
      <alignment horizontal="right" vertical="center"/>
    </xf>
    <xf numFmtId="0" fontId="33" fillId="34" borderId="228">
      <alignment horizontal="right" vertical="center"/>
    </xf>
    <xf numFmtId="4" fontId="37" fillId="32" borderId="228">
      <alignment horizontal="right" vertical="center"/>
    </xf>
    <xf numFmtId="0" fontId="50" fillId="43" borderId="225" applyNumberFormat="0" applyAlignment="0" applyProtection="0"/>
    <xf numFmtId="0" fontId="51" fillId="0" borderId="226" applyNumberFormat="0" applyFill="0" applyAlignment="0" applyProtection="0"/>
    <xf numFmtId="0" fontId="66" fillId="0" borderId="226" applyNumberFormat="0" applyFill="0" applyAlignment="0" applyProtection="0"/>
    <xf numFmtId="0" fontId="41" fillId="59" borderId="227" applyNumberFormat="0" applyFont="0" applyAlignment="0" applyProtection="0"/>
    <xf numFmtId="0" fontId="59" fillId="43" borderId="225" applyNumberFormat="0" applyAlignment="0" applyProtection="0"/>
    <xf numFmtId="49" fontId="34" fillId="0" borderId="228" applyNumberFormat="0" applyFill="0" applyBorder="0" applyProtection="0">
      <alignment horizontal="left" vertical="center"/>
    </xf>
    <xf numFmtId="0" fontId="35" fillId="34" borderId="231">
      <alignment horizontal="left" vertical="center" wrapText="1" indent="2"/>
    </xf>
    <xf numFmtId="0" fontId="47" fillId="56" borderId="225" applyNumberFormat="0" applyAlignment="0" applyProtection="0"/>
    <xf numFmtId="0" fontId="35" fillId="0" borderId="231">
      <alignment horizontal="left" vertical="center" wrapText="1" indent="2"/>
    </xf>
    <xf numFmtId="0" fontId="41" fillId="59" borderId="227" applyNumberFormat="0" applyFont="0" applyAlignment="0" applyProtection="0"/>
    <xf numFmtId="0" fontId="5" fillId="59" borderId="227" applyNumberFormat="0" applyFont="0" applyAlignment="0" applyProtection="0"/>
    <xf numFmtId="0" fontId="63" fillId="56" borderId="232" applyNumberFormat="0" applyAlignment="0" applyProtection="0"/>
    <xf numFmtId="0" fontId="66" fillId="0" borderId="226" applyNumberFormat="0" applyFill="0" applyAlignment="0" applyProtection="0"/>
    <xf numFmtId="4" fontId="35" fillId="33" borderId="228"/>
    <xf numFmtId="0" fontId="33" fillId="34" borderId="228">
      <alignment horizontal="right" vertical="center"/>
    </xf>
    <xf numFmtId="0" fontId="66" fillId="0" borderId="226" applyNumberFormat="0" applyFill="0" applyAlignment="0" applyProtection="0"/>
    <xf numFmtId="4" fontId="33" fillId="34" borderId="230">
      <alignment horizontal="right" vertical="center"/>
    </xf>
    <xf numFmtId="0" fontId="46" fillId="56" borderId="225" applyNumberFormat="0" applyAlignment="0" applyProtection="0"/>
    <xf numFmtId="0" fontId="33" fillId="34" borderId="229">
      <alignment horizontal="right" vertical="center"/>
    </xf>
    <xf numFmtId="0" fontId="47" fillId="56" borderId="225" applyNumberFormat="0" applyAlignment="0" applyProtection="0"/>
    <xf numFmtId="0" fontId="51" fillId="0" borderId="226" applyNumberFormat="0" applyFill="0" applyAlignment="0" applyProtection="0"/>
    <xf numFmtId="0" fontId="41" fillId="59" borderId="227" applyNumberFormat="0" applyFont="0" applyAlignment="0" applyProtection="0"/>
    <xf numFmtId="4" fontId="33" fillId="34" borderId="229">
      <alignment horizontal="right" vertical="center"/>
    </xf>
    <xf numFmtId="0" fontId="35" fillId="34" borderId="231">
      <alignment horizontal="left" vertical="center" wrapText="1" indent="2"/>
    </xf>
    <xf numFmtId="0" fontId="35" fillId="33" borderId="228"/>
    <xf numFmtId="173" fontId="35" fillId="60" borderId="228" applyNumberFormat="0" applyFont="0" applyBorder="0" applyAlignment="0" applyProtection="0">
      <alignment horizontal="right" vertical="center"/>
    </xf>
    <xf numFmtId="0" fontId="35" fillId="0" borderId="228" applyNumberFormat="0" applyFill="0" applyAlignment="0" applyProtection="0"/>
    <xf numFmtId="4" fontId="35" fillId="0" borderId="228" applyFill="0" applyBorder="0" applyProtection="0">
      <alignment horizontal="right" vertical="center"/>
    </xf>
    <xf numFmtId="4" fontId="33" fillId="32" borderId="228">
      <alignment horizontal="right" vertical="center"/>
    </xf>
    <xf numFmtId="0" fontId="51" fillId="0" borderId="226" applyNumberFormat="0" applyFill="0" applyAlignment="0" applyProtection="0"/>
    <xf numFmtId="49" fontId="34" fillId="0" borderId="228" applyNumberFormat="0" applyFill="0" applyBorder="0" applyProtection="0">
      <alignment horizontal="left" vertical="center"/>
    </xf>
    <xf numFmtId="49" fontId="35" fillId="0" borderId="229" applyNumberFormat="0" applyFont="0" applyFill="0" applyBorder="0" applyProtection="0">
      <alignment horizontal="left" vertical="center" indent="5"/>
    </xf>
    <xf numFmtId="0" fontId="35" fillId="32" borderId="229">
      <alignment horizontal="left" vertical="center"/>
    </xf>
    <xf numFmtId="0" fontId="47" fillId="56" borderId="225" applyNumberFormat="0" applyAlignment="0" applyProtection="0"/>
    <xf numFmtId="4" fontId="33" fillId="34" borderId="230">
      <alignment horizontal="right" vertical="center"/>
    </xf>
    <xf numFmtId="0" fontId="59" fillId="43" borderId="225" applyNumberFormat="0" applyAlignment="0" applyProtection="0"/>
    <xf numFmtId="0" fontId="59" fillId="43" borderId="225" applyNumberFormat="0" applyAlignment="0" applyProtection="0"/>
    <xf numFmtId="0" fontId="41" fillId="59" borderId="227" applyNumberFormat="0" applyFont="0" applyAlignment="0" applyProtection="0"/>
    <xf numFmtId="0" fontId="63" fillId="56" borderId="232" applyNumberFormat="0" applyAlignment="0" applyProtection="0"/>
    <xf numFmtId="0" fontId="66" fillId="0" borderId="226" applyNumberFormat="0" applyFill="0" applyAlignment="0" applyProtection="0"/>
    <xf numFmtId="0" fontId="33" fillId="34" borderId="228">
      <alignment horizontal="right" vertical="center"/>
    </xf>
    <xf numFmtId="0" fontId="5" fillId="59" borderId="227" applyNumberFormat="0" applyFont="0" applyAlignment="0" applyProtection="0"/>
    <xf numFmtId="4" fontId="35" fillId="0" borderId="228">
      <alignment horizontal="right" vertical="center"/>
    </xf>
    <xf numFmtId="0" fontId="66" fillId="0" borderId="226" applyNumberFormat="0" applyFill="0" applyAlignment="0" applyProtection="0"/>
    <xf numFmtId="0" fontId="33" fillId="34" borderId="228">
      <alignment horizontal="right" vertical="center"/>
    </xf>
    <xf numFmtId="0" fontId="33" fillId="34" borderId="228">
      <alignment horizontal="right" vertical="center"/>
    </xf>
    <xf numFmtId="4" fontId="37" fillId="32" borderId="228">
      <alignment horizontal="right" vertical="center"/>
    </xf>
    <xf numFmtId="0" fontId="33" fillId="32" borderId="228">
      <alignment horizontal="right" vertical="center"/>
    </xf>
    <xf numFmtId="4" fontId="33" fillId="32" borderId="228">
      <alignment horizontal="right" vertical="center"/>
    </xf>
    <xf numFmtId="0" fontId="37" fillId="32" borderId="228">
      <alignment horizontal="right" vertical="center"/>
    </xf>
    <xf numFmtId="4" fontId="37" fillId="32" borderId="228">
      <alignment horizontal="right" vertical="center"/>
    </xf>
    <xf numFmtId="0" fontId="33" fillId="34" borderId="228">
      <alignment horizontal="right" vertical="center"/>
    </xf>
    <xf numFmtId="4" fontId="33" fillId="34" borderId="228">
      <alignment horizontal="right" vertical="center"/>
    </xf>
    <xf numFmtId="0" fontId="33" fillId="34" borderId="228">
      <alignment horizontal="right" vertical="center"/>
    </xf>
    <xf numFmtId="4" fontId="33" fillId="34" borderId="228">
      <alignment horizontal="right" vertical="center"/>
    </xf>
    <xf numFmtId="0" fontId="33" fillId="34" borderId="229">
      <alignment horizontal="right" vertical="center"/>
    </xf>
    <xf numFmtId="4" fontId="33" fillId="34" borderId="229">
      <alignment horizontal="right" vertical="center"/>
    </xf>
    <xf numFmtId="0" fontId="33" fillId="34" borderId="230">
      <alignment horizontal="right" vertical="center"/>
    </xf>
    <xf numFmtId="4" fontId="33" fillId="34" borderId="230">
      <alignment horizontal="right" vertical="center"/>
    </xf>
    <xf numFmtId="0" fontId="47" fillId="56" borderId="225" applyNumberFormat="0" applyAlignment="0" applyProtection="0"/>
    <xf numFmtId="0" fontId="35" fillId="34" borderId="231">
      <alignment horizontal="left" vertical="center" wrapText="1" indent="2"/>
    </xf>
    <xf numFmtId="0" fontId="35" fillId="0" borderId="231">
      <alignment horizontal="left" vertical="center" wrapText="1" indent="2"/>
    </xf>
    <xf numFmtId="0" fontId="35" fillId="32" borderId="229">
      <alignment horizontal="left" vertical="center"/>
    </xf>
    <xf numFmtId="0" fontId="59" fillId="43" borderId="225" applyNumberFormat="0" applyAlignment="0" applyProtection="0"/>
    <xf numFmtId="0" fontId="35" fillId="0" borderId="228">
      <alignment horizontal="right" vertical="center"/>
    </xf>
    <xf numFmtId="4" fontId="35" fillId="0" borderId="228">
      <alignment horizontal="right" vertical="center"/>
    </xf>
    <xf numFmtId="0" fontId="35" fillId="0" borderId="228" applyNumberFormat="0" applyFill="0" applyAlignment="0" applyProtection="0"/>
    <xf numFmtId="0" fontId="63" fillId="56" borderId="232" applyNumberFormat="0" applyAlignment="0" applyProtection="0"/>
    <xf numFmtId="173" fontId="35" fillId="60" borderId="228" applyNumberFormat="0" applyFont="0" applyBorder="0" applyAlignment="0" applyProtection="0">
      <alignment horizontal="right" vertical="center"/>
    </xf>
    <xf numFmtId="0" fontId="35" fillId="33" borderId="228"/>
    <xf numFmtId="4" fontId="35" fillId="33" borderId="228"/>
    <xf numFmtId="0" fontId="66" fillId="0" borderId="226" applyNumberFormat="0" applyFill="0" applyAlignment="0" applyProtection="0"/>
    <xf numFmtId="0" fontId="5" fillId="59" borderId="227" applyNumberFormat="0" applyFont="0" applyAlignment="0" applyProtection="0"/>
    <xf numFmtId="0" fontId="41" fillId="59" borderId="227" applyNumberFormat="0" applyFont="0" applyAlignment="0" applyProtection="0"/>
    <xf numFmtId="0" fontId="35" fillId="0" borderId="228" applyNumberFormat="0" applyFill="0" applyAlignment="0" applyProtection="0"/>
    <xf numFmtId="0" fontId="51" fillId="0" borderId="226" applyNumberFormat="0" applyFill="0" applyAlignment="0" applyProtection="0"/>
    <xf numFmtId="0" fontId="66" fillId="0" borderId="226" applyNumberFormat="0" applyFill="0" applyAlignment="0" applyProtection="0"/>
    <xf numFmtId="0" fontId="50" fillId="43" borderId="225" applyNumberFormat="0" applyAlignment="0" applyProtection="0"/>
    <xf numFmtId="0" fontId="47" fillId="56" borderId="225" applyNumberFormat="0" applyAlignment="0" applyProtection="0"/>
    <xf numFmtId="4" fontId="37" fillId="32" borderId="228">
      <alignment horizontal="right" vertical="center"/>
    </xf>
    <xf numFmtId="0" fontId="33" fillId="32" borderId="228">
      <alignment horizontal="right" vertical="center"/>
    </xf>
    <xf numFmtId="173" fontId="35" fillId="60" borderId="228" applyNumberFormat="0" applyFont="0" applyBorder="0" applyAlignment="0" applyProtection="0">
      <alignment horizontal="right" vertical="center"/>
    </xf>
    <xf numFmtId="0" fontId="51" fillId="0" borderId="226" applyNumberFormat="0" applyFill="0" applyAlignment="0" applyProtection="0"/>
    <xf numFmtId="49" fontId="35" fillId="0" borderId="228" applyNumberFormat="0" applyFont="0" applyFill="0" applyBorder="0" applyProtection="0">
      <alignment horizontal="left" vertical="center" indent="2"/>
    </xf>
    <xf numFmtId="49" fontId="35" fillId="0" borderId="229" applyNumberFormat="0" applyFont="0" applyFill="0" applyBorder="0" applyProtection="0">
      <alignment horizontal="left" vertical="center" indent="5"/>
    </xf>
    <xf numFmtId="49" fontId="35" fillId="0" borderId="228" applyNumberFormat="0" applyFont="0" applyFill="0" applyBorder="0" applyProtection="0">
      <alignment horizontal="left" vertical="center" indent="2"/>
    </xf>
    <xf numFmtId="4" fontId="35" fillId="0" borderId="228" applyFill="0" applyBorder="0" applyProtection="0">
      <alignment horizontal="right" vertical="center"/>
    </xf>
    <xf numFmtId="49" fontId="34" fillId="0" borderId="228" applyNumberFormat="0" applyFill="0" applyBorder="0" applyProtection="0">
      <alignment horizontal="left" vertical="center"/>
    </xf>
    <xf numFmtId="0" fontId="35" fillId="0" borderId="231">
      <alignment horizontal="left" vertical="center" wrapText="1" indent="2"/>
    </xf>
    <xf numFmtId="0" fontId="63" fillId="56" borderId="232" applyNumberFormat="0" applyAlignment="0" applyProtection="0"/>
    <xf numFmtId="0" fontId="33" fillId="34" borderId="230">
      <alignment horizontal="right" vertical="center"/>
    </xf>
    <xf numFmtId="0" fontId="50" fillId="43" borderId="225" applyNumberFormat="0" applyAlignment="0" applyProtection="0"/>
    <xf numFmtId="0" fontId="33" fillId="34" borderId="230">
      <alignment horizontal="right" vertical="center"/>
    </xf>
    <xf numFmtId="4" fontId="33" fillId="34" borderId="228">
      <alignment horizontal="right" vertical="center"/>
    </xf>
    <xf numFmtId="0" fontId="33" fillId="34" borderId="228">
      <alignment horizontal="right" vertical="center"/>
    </xf>
    <xf numFmtId="0" fontId="44" fillId="56" borderId="232" applyNumberFormat="0" applyAlignment="0" applyProtection="0"/>
    <xf numFmtId="0" fontId="46" fillId="56" borderId="225" applyNumberFormat="0" applyAlignment="0" applyProtection="0"/>
    <xf numFmtId="0" fontId="51" fillId="0" borderId="226" applyNumberFormat="0" applyFill="0" applyAlignment="0" applyProtection="0"/>
    <xf numFmtId="0" fontId="35" fillId="33" borderId="228"/>
    <xf numFmtId="4" fontId="35" fillId="33" borderId="228"/>
    <xf numFmtId="4" fontId="33" fillId="34" borderId="228">
      <alignment horizontal="right" vertical="center"/>
    </xf>
    <xf numFmtId="0" fontId="37" fillId="32" borderId="228">
      <alignment horizontal="right" vertical="center"/>
    </xf>
    <xf numFmtId="0" fontId="50" fillId="43" borderId="225" applyNumberFormat="0" applyAlignment="0" applyProtection="0"/>
    <xf numFmtId="0" fontId="47" fillId="56" borderId="225" applyNumberFormat="0" applyAlignment="0" applyProtection="0"/>
    <xf numFmtId="4" fontId="35" fillId="0" borderId="228">
      <alignment horizontal="right" vertical="center"/>
    </xf>
    <xf numFmtId="0" fontId="35" fillId="34" borderId="231">
      <alignment horizontal="left" vertical="center" wrapText="1" indent="2"/>
    </xf>
    <xf numFmtId="0" fontId="35" fillId="0" borderId="231">
      <alignment horizontal="left" vertical="center" wrapText="1" indent="2"/>
    </xf>
    <xf numFmtId="0" fontId="63" fillId="56" borderId="232" applyNumberFormat="0" applyAlignment="0" applyProtection="0"/>
    <xf numFmtId="0" fontId="59" fillId="43" borderId="225" applyNumberFormat="0" applyAlignment="0" applyProtection="0"/>
    <xf numFmtId="0" fontId="46" fillId="56" borderId="225" applyNumberFormat="0" applyAlignment="0" applyProtection="0"/>
    <xf numFmtId="0" fontId="44" fillId="56" borderId="232" applyNumberFormat="0" applyAlignment="0" applyProtection="0"/>
    <xf numFmtId="0" fontId="33" fillId="34" borderId="230">
      <alignment horizontal="right" vertical="center"/>
    </xf>
    <xf numFmtId="0" fontId="37" fillId="32" borderId="228">
      <alignment horizontal="right" vertical="center"/>
    </xf>
    <xf numFmtId="4" fontId="33" fillId="32" borderId="228">
      <alignment horizontal="right" vertical="center"/>
    </xf>
    <xf numFmtId="4" fontId="33" fillId="34" borderId="228">
      <alignment horizontal="right" vertical="center"/>
    </xf>
    <xf numFmtId="49" fontId="35" fillId="0" borderId="229" applyNumberFormat="0" applyFont="0" applyFill="0" applyBorder="0" applyProtection="0">
      <alignment horizontal="left" vertical="center" indent="5"/>
    </xf>
    <xf numFmtId="4" fontId="35" fillId="0" borderId="228" applyFill="0" applyBorder="0" applyProtection="0">
      <alignment horizontal="right" vertical="center"/>
    </xf>
    <xf numFmtId="4" fontId="33" fillId="32" borderId="228">
      <alignment horizontal="right" vertical="center"/>
    </xf>
    <xf numFmtId="0" fontId="59" fillId="43" borderId="225" applyNumberFormat="0" applyAlignment="0" applyProtection="0"/>
    <xf numFmtId="0" fontId="50" fillId="43" borderId="225" applyNumberFormat="0" applyAlignment="0" applyProtection="0"/>
    <xf numFmtId="0" fontId="46" fillId="56" borderId="225" applyNumberFormat="0" applyAlignment="0" applyProtection="0"/>
    <xf numFmtId="0" fontId="35" fillId="34" borderId="231">
      <alignment horizontal="left" vertical="center" wrapText="1" indent="2"/>
    </xf>
    <xf numFmtId="0" fontId="35" fillId="0" borderId="231">
      <alignment horizontal="left" vertical="center" wrapText="1" indent="2"/>
    </xf>
    <xf numFmtId="0" fontId="35" fillId="34" borderId="231">
      <alignment horizontal="left" vertical="center" wrapText="1" indent="2"/>
    </xf>
    <xf numFmtId="0" fontId="37" fillId="32" borderId="237">
      <alignment horizontal="right" vertical="center"/>
    </xf>
    <xf numFmtId="0" fontId="59" fillId="43" borderId="250" applyNumberFormat="0" applyAlignment="0" applyProtection="0"/>
    <xf numFmtId="0" fontId="35" fillId="33" borderId="253"/>
    <xf numFmtId="0" fontId="27" fillId="20" borderId="0" applyNumberFormat="0" applyBorder="0" applyAlignment="0" applyProtection="0"/>
    <xf numFmtId="0" fontId="46" fillId="56" borderId="265" applyNumberFormat="0" applyAlignment="0" applyProtection="0"/>
    <xf numFmtId="0" fontId="27" fillId="18" borderId="0" applyNumberFormat="0" applyBorder="0" applyAlignment="0" applyProtection="0"/>
    <xf numFmtId="4" fontId="33" fillId="34" borderId="274">
      <alignment horizontal="right" vertical="center"/>
    </xf>
    <xf numFmtId="0" fontId="35" fillId="34" borderId="256">
      <alignment horizontal="left" vertical="center" wrapText="1" indent="2"/>
    </xf>
    <xf numFmtId="0" fontId="35" fillId="0" borderId="258" applyNumberFormat="0" applyFill="0" applyAlignment="0" applyProtection="0"/>
    <xf numFmtId="0" fontId="35" fillId="0" borderId="253" applyNumberFormat="0" applyFill="0" applyAlignment="0" applyProtection="0"/>
    <xf numFmtId="4" fontId="33" fillId="34" borderId="269">
      <alignment horizontal="right" vertical="center"/>
    </xf>
    <xf numFmtId="0" fontId="47" fillId="56" borderId="241" applyNumberFormat="0" applyAlignment="0" applyProtection="0"/>
    <xf numFmtId="0" fontId="66" fillId="0" borderId="264" applyNumberFormat="0" applyFill="0" applyAlignment="0" applyProtection="0"/>
    <xf numFmtId="173" fontId="35" fillId="60" borderId="253" applyNumberFormat="0" applyFont="0" applyBorder="0" applyAlignment="0" applyProtection="0">
      <alignment horizontal="right" vertical="center"/>
    </xf>
    <xf numFmtId="0" fontId="50" fillId="43" borderId="265" applyNumberFormat="0" applyAlignment="0" applyProtection="0"/>
    <xf numFmtId="49" fontId="35" fillId="0" borderId="274" applyNumberFormat="0" applyFont="0" applyFill="0" applyBorder="0" applyProtection="0">
      <alignment horizontal="left" vertical="center" indent="2"/>
    </xf>
    <xf numFmtId="4" fontId="33" fillId="32" borderId="253">
      <alignment horizontal="right" vertical="center"/>
    </xf>
    <xf numFmtId="173" fontId="35" fillId="60" borderId="258" applyNumberFormat="0" applyFont="0" applyBorder="0" applyAlignment="0" applyProtection="0">
      <alignment horizontal="right" vertical="center"/>
    </xf>
    <xf numFmtId="0" fontId="33" fillId="34" borderId="282">
      <alignment horizontal="right" vertical="center"/>
    </xf>
    <xf numFmtId="4" fontId="35" fillId="33" borderId="253"/>
    <xf numFmtId="4" fontId="33" fillId="34" borderId="253">
      <alignment horizontal="right" vertical="center"/>
    </xf>
    <xf numFmtId="0" fontId="35" fillId="34" borderId="277">
      <alignment horizontal="left" vertical="center" wrapText="1" indent="2"/>
    </xf>
    <xf numFmtId="49" fontId="35" fillId="0" borderId="268" applyNumberFormat="0" applyFont="0" applyFill="0" applyBorder="0" applyProtection="0">
      <alignment horizontal="left" vertical="center" indent="2"/>
    </xf>
    <xf numFmtId="4" fontId="35" fillId="0" borderId="253" applyFill="0" applyBorder="0" applyProtection="0">
      <alignment horizontal="right" vertical="center"/>
    </xf>
    <xf numFmtId="0" fontId="33" fillId="32" borderId="253">
      <alignment horizontal="right" vertical="center"/>
    </xf>
    <xf numFmtId="0" fontId="47" fillId="56" borderId="250" applyNumberFormat="0" applyAlignment="0" applyProtection="0"/>
    <xf numFmtId="4" fontId="35" fillId="0" borderId="258" applyFill="0" applyBorder="0" applyProtection="0">
      <alignment horizontal="right" vertical="center"/>
    </xf>
    <xf numFmtId="49" fontId="34" fillId="0" borderId="253" applyNumberFormat="0" applyFill="0" applyBorder="0" applyProtection="0">
      <alignment horizontal="left" vertical="center"/>
    </xf>
    <xf numFmtId="0" fontId="47" fillId="56" borderId="263" applyNumberFormat="0" applyAlignment="0" applyProtection="0"/>
    <xf numFmtId="0" fontId="63" fillId="56" borderId="249" applyNumberFormat="0" applyAlignment="0" applyProtection="0"/>
    <xf numFmtId="4" fontId="37" fillId="32" borderId="268">
      <alignment horizontal="right" vertical="center"/>
    </xf>
    <xf numFmtId="0" fontId="59" fillId="43" borderId="265" applyNumberFormat="0" applyAlignment="0" applyProtection="0"/>
    <xf numFmtId="0" fontId="12" fillId="19" borderId="0" applyNumberFormat="0" applyBorder="0" applyAlignment="0" applyProtection="0"/>
    <xf numFmtId="0" fontId="12" fillId="31" borderId="0" applyNumberFormat="0" applyBorder="0" applyAlignment="0" applyProtection="0"/>
    <xf numFmtId="0" fontId="35" fillId="0" borderId="256">
      <alignment horizontal="left" vertical="center" wrapText="1" indent="2"/>
    </xf>
    <xf numFmtId="4" fontId="33" fillId="34" borderId="269">
      <alignment horizontal="right" vertical="center"/>
    </xf>
    <xf numFmtId="4" fontId="33" fillId="34" borderId="276">
      <alignment horizontal="right" vertical="center"/>
    </xf>
    <xf numFmtId="0" fontId="47" fillId="56" borderId="265" applyNumberFormat="0" applyAlignment="0" applyProtection="0"/>
    <xf numFmtId="4" fontId="33" fillId="34" borderId="269">
      <alignment horizontal="right" vertical="center"/>
    </xf>
    <xf numFmtId="0" fontId="51" fillId="0" borderId="251" applyNumberFormat="0" applyFill="0" applyAlignment="0" applyProtection="0"/>
    <xf numFmtId="0" fontId="33" fillId="34" borderId="255">
      <alignment horizontal="right" vertical="center"/>
    </xf>
    <xf numFmtId="0" fontId="12" fillId="25" borderId="0" applyNumberFormat="0" applyBorder="0" applyAlignment="0" applyProtection="0"/>
    <xf numFmtId="0" fontId="12" fillId="25" borderId="0" applyNumberFormat="0" applyBorder="0" applyAlignment="0" applyProtection="0"/>
    <xf numFmtId="0" fontId="27" fillId="27" borderId="0" applyNumberFormat="0" applyBorder="0" applyAlignment="0" applyProtection="0"/>
    <xf numFmtId="0" fontId="12" fillId="28" borderId="0" applyNumberFormat="0" applyBorder="0" applyAlignment="0" applyProtection="0"/>
    <xf numFmtId="0" fontId="59" fillId="43" borderId="250" applyNumberFormat="0" applyAlignment="0" applyProtection="0"/>
    <xf numFmtId="0" fontId="12" fillId="22" borderId="0" applyNumberFormat="0" applyBorder="0" applyAlignment="0" applyProtection="0"/>
    <xf numFmtId="0" fontId="27" fillId="20" borderId="0" applyNumberFormat="0" applyBorder="0" applyAlignment="0" applyProtection="0"/>
    <xf numFmtId="0" fontId="27" fillId="14" borderId="0" applyNumberFormat="0" applyBorder="0" applyAlignment="0" applyProtection="0"/>
    <xf numFmtId="4" fontId="33" fillId="34" borderId="255">
      <alignment horizontal="right" vertical="center"/>
    </xf>
    <xf numFmtId="0" fontId="35" fillId="0" borderId="261">
      <alignment horizontal="left" vertical="center" wrapText="1" indent="2"/>
    </xf>
    <xf numFmtId="4" fontId="33" fillId="34" borderId="244">
      <alignment horizontal="right" vertical="center"/>
    </xf>
    <xf numFmtId="4" fontId="33" fillId="32" borderId="244">
      <alignment horizontal="right" vertical="center"/>
    </xf>
    <xf numFmtId="0" fontId="66" fillId="0" borderId="266" applyNumberFormat="0" applyFill="0" applyAlignment="0" applyProtection="0"/>
    <xf numFmtId="4" fontId="33" fillId="34" borderId="237">
      <alignment horizontal="right" vertical="center"/>
    </xf>
    <xf numFmtId="0" fontId="35" fillId="33" borderId="237"/>
    <xf numFmtId="0" fontId="46" fillId="56" borderId="234" applyNumberFormat="0" applyAlignment="0" applyProtection="0"/>
    <xf numFmtId="0" fontId="33" fillId="32" borderId="237">
      <alignment horizontal="right" vertical="center"/>
    </xf>
    <xf numFmtId="0" fontId="35" fillId="0" borderId="237">
      <alignment horizontal="right" vertical="center"/>
    </xf>
    <xf numFmtId="0" fontId="66" fillId="0" borderId="235" applyNumberFormat="0" applyFill="0" applyAlignment="0" applyProtection="0"/>
    <xf numFmtId="0" fontId="35" fillId="32" borderId="238">
      <alignment horizontal="left" vertical="center"/>
    </xf>
    <xf numFmtId="0" fontId="59" fillId="43" borderId="234" applyNumberFormat="0" applyAlignment="0" applyProtection="0"/>
    <xf numFmtId="173" fontId="35" fillId="60" borderId="237" applyNumberFormat="0" applyFont="0" applyBorder="0" applyAlignment="0" applyProtection="0">
      <alignment horizontal="right" vertical="center"/>
    </xf>
    <xf numFmtId="0" fontId="41" fillId="59" borderId="236" applyNumberFormat="0" applyFont="0" applyAlignment="0" applyProtection="0"/>
    <xf numFmtId="0" fontId="35" fillId="0" borderId="240">
      <alignment horizontal="left" vertical="center" wrapText="1" indent="2"/>
    </xf>
    <xf numFmtId="4" fontId="35" fillId="33" borderId="237"/>
    <xf numFmtId="49" fontId="34" fillId="0" borderId="237" applyNumberFormat="0" applyFill="0" applyBorder="0" applyProtection="0">
      <alignment horizontal="left" vertical="center"/>
    </xf>
    <xf numFmtId="0" fontId="35" fillId="0" borderId="237">
      <alignment horizontal="right" vertical="center"/>
    </xf>
    <xf numFmtId="4" fontId="33" fillId="34" borderId="239">
      <alignment horizontal="right" vertical="center"/>
    </xf>
    <xf numFmtId="4" fontId="33" fillId="34" borderId="237">
      <alignment horizontal="right" vertical="center"/>
    </xf>
    <xf numFmtId="4" fontId="33" fillId="34" borderId="237">
      <alignment horizontal="right" vertical="center"/>
    </xf>
    <xf numFmtId="0" fontId="37" fillId="32" borderId="237">
      <alignment horizontal="right" vertical="center"/>
    </xf>
    <xf numFmtId="0" fontId="33" fillId="32" borderId="237">
      <alignment horizontal="right" vertical="center"/>
    </xf>
    <xf numFmtId="49" fontId="35" fillId="0" borderId="237" applyNumberFormat="0" applyFont="0" applyFill="0" applyBorder="0" applyProtection="0">
      <alignment horizontal="left" vertical="center" indent="2"/>
    </xf>
    <xf numFmtId="0" fontId="59" fillId="43" borderId="234" applyNumberFormat="0" applyAlignment="0" applyProtection="0"/>
    <xf numFmtId="0" fontId="44" fillId="56" borderId="233" applyNumberFormat="0" applyAlignment="0" applyProtection="0"/>
    <xf numFmtId="49" fontId="35" fillId="0" borderId="237" applyNumberFormat="0" applyFont="0" applyFill="0" applyBorder="0" applyProtection="0">
      <alignment horizontal="left" vertical="center" indent="2"/>
    </xf>
    <xf numFmtId="0" fontId="50" fillId="43" borderId="234" applyNumberFormat="0" applyAlignment="0" applyProtection="0"/>
    <xf numFmtId="4" fontId="35" fillId="0" borderId="237" applyFill="0" applyBorder="0" applyProtection="0">
      <alignment horizontal="right" vertical="center"/>
    </xf>
    <xf numFmtId="0" fontId="47" fillId="56" borderId="234" applyNumberFormat="0" applyAlignment="0" applyProtection="0"/>
    <xf numFmtId="0" fontId="66" fillId="0" borderId="235" applyNumberFormat="0" applyFill="0" applyAlignment="0" applyProtection="0"/>
    <xf numFmtId="0" fontId="63" fillId="56" borderId="233" applyNumberFormat="0" applyAlignment="0" applyProtection="0"/>
    <xf numFmtId="0" fontId="35" fillId="0" borderId="237" applyNumberFormat="0" applyFill="0" applyAlignment="0" applyProtection="0"/>
    <xf numFmtId="4" fontId="35" fillId="0" borderId="237">
      <alignment horizontal="right" vertical="center"/>
    </xf>
    <xf numFmtId="0" fontId="35" fillId="0" borderId="237">
      <alignment horizontal="right" vertical="center"/>
    </xf>
    <xf numFmtId="0" fontId="59" fillId="43" borderId="234" applyNumberFormat="0" applyAlignment="0" applyProtection="0"/>
    <xf numFmtId="0" fontId="44" fillId="56" borderId="233" applyNumberFormat="0" applyAlignment="0" applyProtection="0"/>
    <xf numFmtId="0" fontId="46" fillId="56" borderId="234" applyNumberFormat="0" applyAlignment="0" applyProtection="0"/>
    <xf numFmtId="0" fontId="35" fillId="34" borderId="240">
      <alignment horizontal="left" vertical="center" wrapText="1" indent="2"/>
    </xf>
    <xf numFmtId="0" fontId="47" fillId="56" borderId="234" applyNumberFormat="0" applyAlignment="0" applyProtection="0"/>
    <xf numFmtId="0" fontId="47" fillId="56" borderId="234" applyNumberFormat="0" applyAlignment="0" applyProtection="0"/>
    <xf numFmtId="4" fontId="33" fillId="34" borderId="238">
      <alignment horizontal="right" vertical="center"/>
    </xf>
    <xf numFmtId="0" fontId="33" fillId="34" borderId="238">
      <alignment horizontal="right" vertical="center"/>
    </xf>
    <xf numFmtId="0" fontId="33" fillId="34" borderId="237">
      <alignment horizontal="right" vertical="center"/>
    </xf>
    <xf numFmtId="4" fontId="37" fillId="32" borderId="237">
      <alignment horizontal="right" vertical="center"/>
    </xf>
    <xf numFmtId="0" fontId="50" fillId="43" borderId="234" applyNumberFormat="0" applyAlignment="0" applyProtection="0"/>
    <xf numFmtId="0" fontId="51" fillId="0" borderId="235" applyNumberFormat="0" applyFill="0" applyAlignment="0" applyProtection="0"/>
    <xf numFmtId="0" fontId="66" fillId="0" borderId="235" applyNumberFormat="0" applyFill="0" applyAlignment="0" applyProtection="0"/>
    <xf numFmtId="0" fontId="41" fillId="59" borderId="236" applyNumberFormat="0" applyFont="0" applyAlignment="0" applyProtection="0"/>
    <xf numFmtId="0" fontId="59" fillId="43" borderId="234" applyNumberFormat="0" applyAlignment="0" applyProtection="0"/>
    <xf numFmtId="49" fontId="34" fillId="0" borderId="237" applyNumberFormat="0" applyFill="0" applyBorder="0" applyProtection="0">
      <alignment horizontal="left" vertical="center"/>
    </xf>
    <xf numFmtId="0" fontId="35" fillId="34" borderId="240">
      <alignment horizontal="left" vertical="center" wrapText="1" indent="2"/>
    </xf>
    <xf numFmtId="0" fontId="47" fillId="56" borderId="234" applyNumberFormat="0" applyAlignment="0" applyProtection="0"/>
    <xf numFmtId="0" fontId="35" fillId="0" borderId="240">
      <alignment horizontal="left" vertical="center" wrapText="1" indent="2"/>
    </xf>
    <xf numFmtId="0" fontId="41" fillId="59" borderId="236" applyNumberFormat="0" applyFont="0" applyAlignment="0" applyProtection="0"/>
    <xf numFmtId="0" fontId="5" fillId="59" borderId="236" applyNumberFormat="0" applyFont="0" applyAlignment="0" applyProtection="0"/>
    <xf numFmtId="0" fontId="63" fillId="56" borderId="233" applyNumberFormat="0" applyAlignment="0" applyProtection="0"/>
    <xf numFmtId="0" fontId="66" fillId="0" borderId="235" applyNumberFormat="0" applyFill="0" applyAlignment="0" applyProtection="0"/>
    <xf numFmtId="4" fontId="35" fillId="33" borderId="237"/>
    <xf numFmtId="0" fontId="33" fillId="34" borderId="237">
      <alignment horizontal="right" vertical="center"/>
    </xf>
    <xf numFmtId="0" fontId="66" fillId="0" borderId="235" applyNumberFormat="0" applyFill="0" applyAlignment="0" applyProtection="0"/>
    <xf numFmtId="4" fontId="33" fillId="34" borderId="239">
      <alignment horizontal="right" vertical="center"/>
    </xf>
    <xf numFmtId="0" fontId="46" fillId="56" borderId="234" applyNumberFormat="0" applyAlignment="0" applyProtection="0"/>
    <xf numFmtId="0" fontId="33" fillId="34" borderId="238">
      <alignment horizontal="right" vertical="center"/>
    </xf>
    <xf numFmtId="0" fontId="47" fillId="56" borderId="234" applyNumberFormat="0" applyAlignment="0" applyProtection="0"/>
    <xf numFmtId="0" fontId="51" fillId="0" borderId="235" applyNumberFormat="0" applyFill="0" applyAlignment="0" applyProtection="0"/>
    <xf numFmtId="0" fontId="41" fillId="59" borderId="236" applyNumberFormat="0" applyFont="0" applyAlignment="0" applyProtection="0"/>
    <xf numFmtId="4" fontId="33" fillId="34" borderId="238">
      <alignment horizontal="right" vertical="center"/>
    </xf>
    <xf numFmtId="0" fontId="35" fillId="34" borderId="240">
      <alignment horizontal="left" vertical="center" wrapText="1" indent="2"/>
    </xf>
    <xf numFmtId="0" fontId="35" fillId="33" borderId="237"/>
    <xf numFmtId="173" fontId="35" fillId="60" borderId="237" applyNumberFormat="0" applyFont="0" applyBorder="0" applyAlignment="0" applyProtection="0">
      <alignment horizontal="right" vertical="center"/>
    </xf>
    <xf numFmtId="0" fontId="35" fillId="0" borderId="237" applyNumberFormat="0" applyFill="0" applyAlignment="0" applyProtection="0"/>
    <xf numFmtId="4" fontId="35" fillId="0" borderId="237" applyFill="0" applyBorder="0" applyProtection="0">
      <alignment horizontal="right" vertical="center"/>
    </xf>
    <xf numFmtId="4" fontId="33" fillId="32" borderId="237">
      <alignment horizontal="right" vertical="center"/>
    </xf>
    <xf numFmtId="0" fontId="51" fillId="0" borderId="235" applyNumberFormat="0" applyFill="0" applyAlignment="0" applyProtection="0"/>
    <xf numFmtId="49" fontId="34" fillId="0" borderId="237" applyNumberFormat="0" applyFill="0" applyBorder="0" applyProtection="0">
      <alignment horizontal="left" vertical="center"/>
    </xf>
    <xf numFmtId="49" fontId="35" fillId="0" borderId="238" applyNumberFormat="0" applyFont="0" applyFill="0" applyBorder="0" applyProtection="0">
      <alignment horizontal="left" vertical="center" indent="5"/>
    </xf>
    <xf numFmtId="0" fontId="35" fillId="32" borderId="238">
      <alignment horizontal="left" vertical="center"/>
    </xf>
    <xf numFmtId="0" fontId="47" fillId="56" borderId="234" applyNumberFormat="0" applyAlignment="0" applyProtection="0"/>
    <xf numFmtId="4" fontId="33" fillId="34" borderId="239">
      <alignment horizontal="right" vertical="center"/>
    </xf>
    <xf numFmtId="0" fontId="59" fillId="43" borderId="234" applyNumberFormat="0" applyAlignment="0" applyProtection="0"/>
    <xf numFmtId="0" fontId="59" fillId="43" borderId="234" applyNumberFormat="0" applyAlignment="0" applyProtection="0"/>
    <xf numFmtId="0" fontId="41" fillId="59" borderId="236" applyNumberFormat="0" applyFont="0" applyAlignment="0" applyProtection="0"/>
    <xf numFmtId="0" fontId="63" fillId="56" borderId="233" applyNumberFormat="0" applyAlignment="0" applyProtection="0"/>
    <xf numFmtId="0" fontId="66" fillId="0" borderId="235" applyNumberFormat="0" applyFill="0" applyAlignment="0" applyProtection="0"/>
    <xf numFmtId="0" fontId="33" fillId="34" borderId="237">
      <alignment horizontal="right" vertical="center"/>
    </xf>
    <xf numFmtId="0" fontId="5" fillId="59" borderId="236" applyNumberFormat="0" applyFont="0" applyAlignment="0" applyProtection="0"/>
    <xf numFmtId="4" fontId="35" fillId="0" borderId="237">
      <alignment horizontal="right" vertical="center"/>
    </xf>
    <xf numFmtId="0" fontId="66" fillId="0" borderId="235" applyNumberFormat="0" applyFill="0" applyAlignment="0" applyProtection="0"/>
    <xf numFmtId="0" fontId="33" fillId="34" borderId="237">
      <alignment horizontal="right" vertical="center"/>
    </xf>
    <xf numFmtId="0" fontId="33" fillId="34" borderId="237">
      <alignment horizontal="right" vertical="center"/>
    </xf>
    <xf numFmtId="4" fontId="37" fillId="32" borderId="237">
      <alignment horizontal="right" vertical="center"/>
    </xf>
    <xf numFmtId="0" fontId="33" fillId="32" borderId="237">
      <alignment horizontal="right" vertical="center"/>
    </xf>
    <xf numFmtId="4" fontId="33" fillId="32" borderId="237">
      <alignment horizontal="right" vertical="center"/>
    </xf>
    <xf numFmtId="0" fontId="37" fillId="32" borderId="237">
      <alignment horizontal="right" vertical="center"/>
    </xf>
    <xf numFmtId="4" fontId="37" fillId="32" borderId="237">
      <alignment horizontal="right" vertical="center"/>
    </xf>
    <xf numFmtId="0" fontId="33" fillId="34" borderId="237">
      <alignment horizontal="right" vertical="center"/>
    </xf>
    <xf numFmtId="4" fontId="33" fillId="34" borderId="237">
      <alignment horizontal="right" vertical="center"/>
    </xf>
    <xf numFmtId="0" fontId="33" fillId="34" borderId="237">
      <alignment horizontal="right" vertical="center"/>
    </xf>
    <xf numFmtId="4" fontId="33" fillId="34" borderId="237">
      <alignment horizontal="right" vertical="center"/>
    </xf>
    <xf numFmtId="0" fontId="33" fillId="34" borderId="238">
      <alignment horizontal="right" vertical="center"/>
    </xf>
    <xf numFmtId="4" fontId="33" fillId="34" borderId="238">
      <alignment horizontal="right" vertical="center"/>
    </xf>
    <xf numFmtId="0" fontId="33" fillId="34" borderId="239">
      <alignment horizontal="right" vertical="center"/>
    </xf>
    <xf numFmtId="4" fontId="33" fillId="34" borderId="239">
      <alignment horizontal="right" vertical="center"/>
    </xf>
    <xf numFmtId="0" fontId="47" fillId="56" borderId="234" applyNumberFormat="0" applyAlignment="0" applyProtection="0"/>
    <xf numFmtId="0" fontId="35" fillId="34" borderId="240">
      <alignment horizontal="left" vertical="center" wrapText="1" indent="2"/>
    </xf>
    <xf numFmtId="0" fontId="35" fillId="0" borderId="240">
      <alignment horizontal="left" vertical="center" wrapText="1" indent="2"/>
    </xf>
    <xf numFmtId="0" fontId="35" fillId="32" borderId="238">
      <alignment horizontal="left" vertical="center"/>
    </xf>
    <xf numFmtId="0" fontId="59" fillId="43" borderId="234" applyNumberFormat="0" applyAlignment="0" applyProtection="0"/>
    <xf numFmtId="0" fontId="35" fillId="0" borderId="237">
      <alignment horizontal="right" vertical="center"/>
    </xf>
    <xf numFmtId="4" fontId="35" fillId="0" borderId="237">
      <alignment horizontal="right" vertical="center"/>
    </xf>
    <xf numFmtId="0" fontId="35" fillId="0" borderId="237" applyNumberFormat="0" applyFill="0" applyAlignment="0" applyProtection="0"/>
    <xf numFmtId="0" fontId="63" fillId="56" borderId="233" applyNumberFormat="0" applyAlignment="0" applyProtection="0"/>
    <xf numFmtId="173" fontId="35" fillId="60" borderId="237" applyNumberFormat="0" applyFont="0" applyBorder="0" applyAlignment="0" applyProtection="0">
      <alignment horizontal="right" vertical="center"/>
    </xf>
    <xf numFmtId="0" fontId="35" fillId="33" borderId="237"/>
    <xf numFmtId="4" fontId="35" fillId="33" borderId="237"/>
    <xf numFmtId="0" fontId="66" fillId="0" borderId="235" applyNumberFormat="0" applyFill="0" applyAlignment="0" applyProtection="0"/>
    <xf numFmtId="0" fontId="5" fillId="59" borderId="236" applyNumberFormat="0" applyFont="0" applyAlignment="0" applyProtection="0"/>
    <xf numFmtId="0" fontId="41" fillId="59" borderId="236" applyNumberFormat="0" applyFont="0" applyAlignment="0" applyProtection="0"/>
    <xf numFmtId="0" fontId="35" fillId="0" borderId="237" applyNumberFormat="0" applyFill="0" applyAlignment="0" applyProtection="0"/>
    <xf numFmtId="0" fontId="51" fillId="0" borderId="235" applyNumberFormat="0" applyFill="0" applyAlignment="0" applyProtection="0"/>
    <xf numFmtId="0" fontId="66" fillId="0" borderId="235" applyNumberFormat="0" applyFill="0" applyAlignment="0" applyProtection="0"/>
    <xf numFmtId="0" fontId="50" fillId="43" borderId="234" applyNumberFormat="0" applyAlignment="0" applyProtection="0"/>
    <xf numFmtId="0" fontId="47" fillId="56" borderId="234" applyNumberFormat="0" applyAlignment="0" applyProtection="0"/>
    <xf numFmtId="4" fontId="37" fillId="32" borderId="237">
      <alignment horizontal="right" vertical="center"/>
    </xf>
    <xf numFmtId="0" fontId="33" fillId="32" borderId="237">
      <alignment horizontal="right" vertical="center"/>
    </xf>
    <xf numFmtId="173" fontId="35" fillId="60" borderId="237" applyNumberFormat="0" applyFont="0" applyBorder="0" applyAlignment="0" applyProtection="0">
      <alignment horizontal="right" vertical="center"/>
    </xf>
    <xf numFmtId="0" fontId="51" fillId="0" borderId="235" applyNumberFormat="0" applyFill="0" applyAlignment="0" applyProtection="0"/>
    <xf numFmtId="49" fontId="35" fillId="0" borderId="237" applyNumberFormat="0" applyFont="0" applyFill="0" applyBorder="0" applyProtection="0">
      <alignment horizontal="left" vertical="center" indent="2"/>
    </xf>
    <xf numFmtId="49" fontId="35" fillId="0" borderId="238" applyNumberFormat="0" applyFont="0" applyFill="0" applyBorder="0" applyProtection="0">
      <alignment horizontal="left" vertical="center" indent="5"/>
    </xf>
    <xf numFmtId="49" fontId="35" fillId="0" borderId="237" applyNumberFormat="0" applyFont="0" applyFill="0" applyBorder="0" applyProtection="0">
      <alignment horizontal="left" vertical="center" indent="2"/>
    </xf>
    <xf numFmtId="4" fontId="35" fillId="0" borderId="237" applyFill="0" applyBorder="0" applyProtection="0">
      <alignment horizontal="right" vertical="center"/>
    </xf>
    <xf numFmtId="49" fontId="34" fillId="0" borderId="237" applyNumberFormat="0" applyFill="0" applyBorder="0" applyProtection="0">
      <alignment horizontal="left" vertical="center"/>
    </xf>
    <xf numFmtId="0" fontId="35" fillId="0" borderId="240">
      <alignment horizontal="left" vertical="center" wrapText="1" indent="2"/>
    </xf>
    <xf numFmtId="0" fontId="63" fillId="56" borderId="233" applyNumberFormat="0" applyAlignment="0" applyProtection="0"/>
    <xf numFmtId="0" fontId="33" fillId="34" borderId="239">
      <alignment horizontal="right" vertical="center"/>
    </xf>
    <xf numFmtId="0" fontId="50" fillId="43" borderId="234" applyNumberFormat="0" applyAlignment="0" applyProtection="0"/>
    <xf numFmtId="0" fontId="33" fillId="34" borderId="239">
      <alignment horizontal="right" vertical="center"/>
    </xf>
    <xf numFmtId="4" fontId="33" fillId="34" borderId="237">
      <alignment horizontal="right" vertical="center"/>
    </xf>
    <xf numFmtId="0" fontId="33" fillId="34" borderId="237">
      <alignment horizontal="right" vertical="center"/>
    </xf>
    <xf numFmtId="0" fontId="44" fillId="56" borderId="233" applyNumberFormat="0" applyAlignment="0" applyProtection="0"/>
    <xf numFmtId="0" fontId="46" fillId="56" borderId="234" applyNumberFormat="0" applyAlignment="0" applyProtection="0"/>
    <xf numFmtId="0" fontId="51" fillId="0" borderId="235" applyNumberFormat="0" applyFill="0" applyAlignment="0" applyProtection="0"/>
    <xf numFmtId="0" fontId="35" fillId="33" borderId="237"/>
    <xf numFmtId="4" fontId="35" fillId="33" borderId="237"/>
    <xf numFmtId="4" fontId="33" fillId="34" borderId="237">
      <alignment horizontal="right" vertical="center"/>
    </xf>
    <xf numFmtId="0" fontId="37" fillId="32" borderId="237">
      <alignment horizontal="right" vertical="center"/>
    </xf>
    <xf numFmtId="0" fontId="50" fillId="43" borderId="234" applyNumberFormat="0" applyAlignment="0" applyProtection="0"/>
    <xf numFmtId="0" fontId="47" fillId="56" borderId="234" applyNumberFormat="0" applyAlignment="0" applyProtection="0"/>
    <xf numFmtId="4" fontId="35" fillId="0" borderId="237">
      <alignment horizontal="right" vertical="center"/>
    </xf>
    <xf numFmtId="0" fontId="35" fillId="34" borderId="240">
      <alignment horizontal="left" vertical="center" wrapText="1" indent="2"/>
    </xf>
    <xf numFmtId="0" fontId="35" fillId="0" borderId="240">
      <alignment horizontal="left" vertical="center" wrapText="1" indent="2"/>
    </xf>
    <xf numFmtId="0" fontId="63" fillId="56" borderId="233" applyNumberFormat="0" applyAlignment="0" applyProtection="0"/>
    <xf numFmtId="0" fontId="59" fillId="43" borderId="234" applyNumberFormat="0" applyAlignment="0" applyProtection="0"/>
    <xf numFmtId="0" fontId="46" fillId="56" borderId="234" applyNumberFormat="0" applyAlignment="0" applyProtection="0"/>
    <xf numFmtId="0" fontId="44" fillId="56" borderId="233" applyNumberFormat="0" applyAlignment="0" applyProtection="0"/>
    <xf numFmtId="0" fontId="33" fillId="34" borderId="239">
      <alignment horizontal="right" vertical="center"/>
    </xf>
    <xf numFmtId="0" fontId="37" fillId="32" borderId="237">
      <alignment horizontal="right" vertical="center"/>
    </xf>
    <xf numFmtId="4" fontId="33" fillId="32" borderId="237">
      <alignment horizontal="right" vertical="center"/>
    </xf>
    <xf numFmtId="4" fontId="33" fillId="34" borderId="237">
      <alignment horizontal="right" vertical="center"/>
    </xf>
    <xf numFmtId="49" fontId="35" fillId="0" borderId="238" applyNumberFormat="0" applyFont="0" applyFill="0" applyBorder="0" applyProtection="0">
      <alignment horizontal="left" vertical="center" indent="5"/>
    </xf>
    <xf numFmtId="4" fontId="35" fillId="0" borderId="237" applyFill="0" applyBorder="0" applyProtection="0">
      <alignment horizontal="right" vertical="center"/>
    </xf>
    <xf numFmtId="4" fontId="33" fillId="32" borderId="237">
      <alignment horizontal="right" vertical="center"/>
    </xf>
    <xf numFmtId="0" fontId="47" fillId="56" borderId="263" applyNumberFormat="0" applyAlignment="0" applyProtection="0"/>
    <xf numFmtId="0" fontId="59" fillId="43" borderId="234" applyNumberFormat="0" applyAlignment="0" applyProtection="0"/>
    <xf numFmtId="0" fontId="50" fillId="43" borderId="234" applyNumberFormat="0" applyAlignment="0" applyProtection="0"/>
    <xf numFmtId="0" fontId="46" fillId="56" borderId="234" applyNumberFormat="0" applyAlignment="0" applyProtection="0"/>
    <xf numFmtId="0" fontId="35" fillId="34" borderId="240">
      <alignment horizontal="left" vertical="center" wrapText="1" indent="2"/>
    </xf>
    <xf numFmtId="0" fontId="35" fillId="0" borderId="240">
      <alignment horizontal="left" vertical="center" wrapText="1" indent="2"/>
    </xf>
    <xf numFmtId="0" fontId="35" fillId="34" borderId="240">
      <alignment horizontal="left" vertical="center" wrapText="1" indent="2"/>
    </xf>
    <xf numFmtId="0" fontId="35" fillId="0" borderId="240">
      <alignment horizontal="left" vertical="center" wrapText="1" indent="2"/>
    </xf>
    <xf numFmtId="0" fontId="44" fillId="56" borderId="233" applyNumberFormat="0" applyAlignment="0" applyProtection="0"/>
    <xf numFmtId="0" fontId="46" fillId="56" borderId="234" applyNumberFormat="0" applyAlignment="0" applyProtection="0"/>
    <xf numFmtId="0" fontId="47" fillId="56" borderId="234" applyNumberFormat="0" applyAlignment="0" applyProtection="0"/>
    <xf numFmtId="0" fontId="50" fillId="43" borderId="234" applyNumberFormat="0" applyAlignment="0" applyProtection="0"/>
    <xf numFmtId="0" fontId="51" fillId="0" borderId="235" applyNumberFormat="0" applyFill="0" applyAlignment="0" applyProtection="0"/>
    <xf numFmtId="0" fontId="59" fillId="43" borderId="234" applyNumberFormat="0" applyAlignment="0" applyProtection="0"/>
    <xf numFmtId="0" fontId="41" fillId="59" borderId="236" applyNumberFormat="0" applyFont="0" applyAlignment="0" applyProtection="0"/>
    <xf numFmtId="0" fontId="5" fillId="59" borderId="236" applyNumberFormat="0" applyFont="0" applyAlignment="0" applyProtection="0"/>
    <xf numFmtId="0" fontId="63" fillId="56" borderId="233" applyNumberFormat="0" applyAlignment="0" applyProtection="0"/>
    <xf numFmtId="0" fontId="66" fillId="0" borderId="235" applyNumberFormat="0" applyFill="0" applyAlignment="0" applyProtection="0"/>
    <xf numFmtId="0" fontId="47" fillId="56" borderId="234" applyNumberFormat="0" applyAlignment="0" applyProtection="0"/>
    <xf numFmtId="0" fontId="59" fillId="43" borderId="234" applyNumberFormat="0" applyAlignment="0" applyProtection="0"/>
    <xf numFmtId="0" fontId="41" fillId="59" borderId="236" applyNumberFormat="0" applyFont="0" applyAlignment="0" applyProtection="0"/>
    <xf numFmtId="0" fontId="63" fillId="56" borderId="233" applyNumberFormat="0" applyAlignment="0" applyProtection="0"/>
    <xf numFmtId="0" fontId="66" fillId="0" borderId="235" applyNumberFormat="0" applyFill="0" applyAlignment="0" applyProtection="0"/>
    <xf numFmtId="0" fontId="35" fillId="34" borderId="256">
      <alignment horizontal="left" vertical="center" wrapText="1" indent="2"/>
    </xf>
    <xf numFmtId="0" fontId="66" fillId="0" borderId="280" applyNumberFormat="0" applyFill="0" applyAlignment="0" applyProtection="0"/>
    <xf numFmtId="0" fontId="37" fillId="32" borderId="253">
      <alignment horizontal="right" vertical="center"/>
    </xf>
    <xf numFmtId="0" fontId="51" fillId="0" borderId="264" applyNumberFormat="0" applyFill="0" applyAlignment="0" applyProtection="0"/>
    <xf numFmtId="0" fontId="47" fillId="56" borderId="234" applyNumberFormat="0" applyAlignment="0" applyProtection="0"/>
    <xf numFmtId="0" fontId="33" fillId="34" borderId="244">
      <alignment horizontal="right" vertical="center"/>
    </xf>
    <xf numFmtId="4" fontId="33" fillId="34" borderId="254">
      <alignment horizontal="right" vertical="center"/>
    </xf>
    <xf numFmtId="0" fontId="35" fillId="0" borderId="261">
      <alignment horizontal="left" vertical="center" wrapText="1" indent="2"/>
    </xf>
    <xf numFmtId="0" fontId="59" fillId="43" borderId="234" applyNumberFormat="0" applyAlignment="0" applyProtection="0"/>
    <xf numFmtId="0" fontId="63" fillId="56" borderId="233" applyNumberFormat="0" applyAlignment="0" applyProtection="0"/>
    <xf numFmtId="0" fontId="66" fillId="0" borderId="235" applyNumberFormat="0" applyFill="0" applyAlignment="0" applyProtection="0"/>
    <xf numFmtId="0" fontId="46" fillId="56" borderId="241" applyNumberFormat="0" applyAlignment="0" applyProtection="0"/>
    <xf numFmtId="0" fontId="44" fillId="56" borderId="233" applyNumberFormat="0" applyAlignment="0" applyProtection="0"/>
    <xf numFmtId="0" fontId="46" fillId="56" borderId="234" applyNumberFormat="0" applyAlignment="0" applyProtection="0"/>
    <xf numFmtId="0" fontId="51" fillId="0" borderId="235" applyNumberFormat="0" applyFill="0" applyAlignment="0" applyProtection="0"/>
    <xf numFmtId="49" fontId="35" fillId="0" borderId="237" applyNumberFormat="0" applyFont="0" applyFill="0" applyBorder="0" applyProtection="0">
      <alignment horizontal="left" vertical="center" indent="2"/>
    </xf>
    <xf numFmtId="0" fontId="33" fillId="32" borderId="237">
      <alignment horizontal="right" vertical="center"/>
    </xf>
    <xf numFmtId="4" fontId="33" fillId="32" borderId="237">
      <alignment horizontal="right" vertical="center"/>
    </xf>
    <xf numFmtId="0" fontId="37" fillId="32" borderId="237">
      <alignment horizontal="right" vertical="center"/>
    </xf>
    <xf numFmtId="4" fontId="37" fillId="32" borderId="237">
      <alignment horizontal="right" vertical="center"/>
    </xf>
    <xf numFmtId="0" fontId="33" fillId="34" borderId="237">
      <alignment horizontal="right" vertical="center"/>
    </xf>
    <xf numFmtId="4" fontId="33" fillId="34" borderId="237">
      <alignment horizontal="right" vertical="center"/>
    </xf>
    <xf numFmtId="0" fontId="33" fillId="34" borderId="237">
      <alignment horizontal="right" vertical="center"/>
    </xf>
    <xf numFmtId="4" fontId="33" fillId="34" borderId="237">
      <alignment horizontal="right" vertical="center"/>
    </xf>
    <xf numFmtId="0" fontId="50" fillId="43" borderId="234" applyNumberFormat="0" applyAlignment="0" applyProtection="0"/>
    <xf numFmtId="0" fontId="35" fillId="0" borderId="237">
      <alignment horizontal="right" vertical="center"/>
    </xf>
    <xf numFmtId="4" fontId="35" fillId="0" borderId="237">
      <alignment horizontal="right" vertical="center"/>
    </xf>
    <xf numFmtId="4" fontId="35" fillId="0" borderId="237" applyFill="0" applyBorder="0" applyProtection="0">
      <alignment horizontal="right" vertical="center"/>
    </xf>
    <xf numFmtId="49" fontId="34" fillId="0" borderId="237" applyNumberFormat="0" applyFill="0" applyBorder="0" applyProtection="0">
      <alignment horizontal="left" vertical="center"/>
    </xf>
    <xf numFmtId="0" fontId="35" fillId="0" borderId="237" applyNumberFormat="0" applyFill="0" applyAlignment="0" applyProtection="0"/>
    <xf numFmtId="173" fontId="35" fillId="60" borderId="237" applyNumberFormat="0" applyFont="0" applyBorder="0" applyAlignment="0" applyProtection="0">
      <alignment horizontal="right" vertical="center"/>
    </xf>
    <xf numFmtId="0" fontId="35" fillId="33" borderId="237"/>
    <xf numFmtId="4" fontId="35" fillId="33" borderId="237"/>
    <xf numFmtId="4" fontId="33" fillId="34" borderId="237">
      <alignment horizontal="right" vertical="center"/>
    </xf>
    <xf numFmtId="0" fontId="35" fillId="33" borderId="237"/>
    <xf numFmtId="0" fontId="46" fillId="56" borderId="234" applyNumberFormat="0" applyAlignment="0" applyProtection="0"/>
    <xf numFmtId="0" fontId="33" fillId="32" borderId="237">
      <alignment horizontal="right" vertical="center"/>
    </xf>
    <xf numFmtId="0" fontId="35" fillId="0" borderId="237">
      <alignment horizontal="right" vertical="center"/>
    </xf>
    <xf numFmtId="0" fontId="66" fillId="0" borderId="235" applyNumberFormat="0" applyFill="0" applyAlignment="0" applyProtection="0"/>
    <xf numFmtId="0" fontId="35" fillId="32" borderId="238">
      <alignment horizontal="left" vertical="center"/>
    </xf>
    <xf numFmtId="0" fontId="59" fillId="43" borderId="234" applyNumberFormat="0" applyAlignment="0" applyProtection="0"/>
    <xf numFmtId="173" fontId="35" fillId="60" borderId="237" applyNumberFormat="0" applyFont="0" applyBorder="0" applyAlignment="0" applyProtection="0">
      <alignment horizontal="right" vertical="center"/>
    </xf>
    <xf numFmtId="0" fontId="41" fillId="59" borderId="236" applyNumberFormat="0" applyFont="0" applyAlignment="0" applyProtection="0"/>
    <xf numFmtId="0" fontId="35" fillId="0" borderId="240">
      <alignment horizontal="left" vertical="center" wrapText="1" indent="2"/>
    </xf>
    <xf numFmtId="4" fontId="35" fillId="33" borderId="237"/>
    <xf numFmtId="49" fontId="34" fillId="0" borderId="237" applyNumberFormat="0" applyFill="0" applyBorder="0" applyProtection="0">
      <alignment horizontal="left" vertical="center"/>
    </xf>
    <xf numFmtId="0" fontId="35" fillId="0" borderId="237">
      <alignment horizontal="right" vertical="center"/>
    </xf>
    <xf numFmtId="4" fontId="33" fillId="34" borderId="239">
      <alignment horizontal="right" vertical="center"/>
    </xf>
    <xf numFmtId="4" fontId="33" fillId="34" borderId="237">
      <alignment horizontal="right" vertical="center"/>
    </xf>
    <xf numFmtId="4" fontId="33" fillId="34" borderId="237">
      <alignment horizontal="right" vertical="center"/>
    </xf>
    <xf numFmtId="0" fontId="37" fillId="32" borderId="237">
      <alignment horizontal="right" vertical="center"/>
    </xf>
    <xf numFmtId="0" fontId="33" fillId="32" borderId="237">
      <alignment horizontal="right" vertical="center"/>
    </xf>
    <xf numFmtId="49" fontId="35" fillId="0" borderId="237" applyNumberFormat="0" applyFont="0" applyFill="0" applyBorder="0" applyProtection="0">
      <alignment horizontal="left" vertical="center" indent="2"/>
    </xf>
    <xf numFmtId="0" fontId="59" fillId="43" borderId="234" applyNumberFormat="0" applyAlignment="0" applyProtection="0"/>
    <xf numFmtId="0" fontId="44" fillId="56" borderId="233" applyNumberFormat="0" applyAlignment="0" applyProtection="0"/>
    <xf numFmtId="49" fontId="35" fillId="0" borderId="237" applyNumberFormat="0" applyFont="0" applyFill="0" applyBorder="0" applyProtection="0">
      <alignment horizontal="left" vertical="center" indent="2"/>
    </xf>
    <xf numFmtId="0" fontId="50" fillId="43" borderId="234" applyNumberFormat="0" applyAlignment="0" applyProtection="0"/>
    <xf numFmtId="4" fontId="35" fillId="0" borderId="237" applyFill="0" applyBorder="0" applyProtection="0">
      <alignment horizontal="right" vertical="center"/>
    </xf>
    <xf numFmtId="0" fontId="47" fillId="56" borderId="234" applyNumberFormat="0" applyAlignment="0" applyProtection="0"/>
    <xf numFmtId="0" fontId="66" fillId="0" borderId="235" applyNumberFormat="0" applyFill="0" applyAlignment="0" applyProtection="0"/>
    <xf numFmtId="0" fontId="63" fillId="56" borderId="233" applyNumberFormat="0" applyAlignment="0" applyProtection="0"/>
    <xf numFmtId="0" fontId="35" fillId="0" borderId="237" applyNumberFormat="0" applyFill="0" applyAlignment="0" applyProtection="0"/>
    <xf numFmtId="4" fontId="35" fillId="0" borderId="237">
      <alignment horizontal="right" vertical="center"/>
    </xf>
    <xf numFmtId="0" fontId="35" fillId="0" borderId="237">
      <alignment horizontal="right" vertical="center"/>
    </xf>
    <xf numFmtId="0" fontId="59" fillId="43" borderId="234" applyNumberFormat="0" applyAlignment="0" applyProtection="0"/>
    <xf numFmtId="0" fontId="44" fillId="56" borderId="233" applyNumberFormat="0" applyAlignment="0" applyProtection="0"/>
    <xf numFmtId="0" fontId="46" fillId="56" borderId="234" applyNumberFormat="0" applyAlignment="0" applyProtection="0"/>
    <xf numFmtId="0" fontId="35" fillId="34" borderId="240">
      <alignment horizontal="left" vertical="center" wrapText="1" indent="2"/>
    </xf>
    <xf numFmtId="0" fontId="47" fillId="56" borderId="234" applyNumberFormat="0" applyAlignment="0" applyProtection="0"/>
    <xf numFmtId="0" fontId="47" fillId="56" borderId="234" applyNumberFormat="0" applyAlignment="0" applyProtection="0"/>
    <xf numFmtId="4" fontId="33" fillId="34" borderId="238">
      <alignment horizontal="right" vertical="center"/>
    </xf>
    <xf numFmtId="0" fontId="33" fillId="34" borderId="238">
      <alignment horizontal="right" vertical="center"/>
    </xf>
    <xf numFmtId="0" fontId="33" fillId="34" borderId="237">
      <alignment horizontal="right" vertical="center"/>
    </xf>
    <xf numFmtId="4" fontId="37" fillId="32" borderId="237">
      <alignment horizontal="right" vertical="center"/>
    </xf>
    <xf numFmtId="0" fontId="50" fillId="43" borderId="234" applyNumberFormat="0" applyAlignment="0" applyProtection="0"/>
    <xf numFmtId="0" fontId="51" fillId="0" borderId="235" applyNumberFormat="0" applyFill="0" applyAlignment="0" applyProtection="0"/>
    <xf numFmtId="0" fontId="66" fillId="0" borderId="235" applyNumberFormat="0" applyFill="0" applyAlignment="0" applyProtection="0"/>
    <xf numFmtId="0" fontId="41" fillId="59" borderId="236" applyNumberFormat="0" applyFont="0" applyAlignment="0" applyProtection="0"/>
    <xf numFmtId="0" fontId="59" fillId="43" borderId="234" applyNumberFormat="0" applyAlignment="0" applyProtection="0"/>
    <xf numFmtId="49" fontId="34" fillId="0" borderId="237" applyNumberFormat="0" applyFill="0" applyBorder="0" applyProtection="0">
      <alignment horizontal="left" vertical="center"/>
    </xf>
    <xf numFmtId="0" fontId="35" fillId="34" borderId="240">
      <alignment horizontal="left" vertical="center" wrapText="1" indent="2"/>
    </xf>
    <xf numFmtId="0" fontId="47" fillId="56" borderId="234" applyNumberFormat="0" applyAlignment="0" applyProtection="0"/>
    <xf numFmtId="0" fontId="35" fillId="0" borderId="240">
      <alignment horizontal="left" vertical="center" wrapText="1" indent="2"/>
    </xf>
    <xf numFmtId="0" fontId="41" fillId="59" borderId="236" applyNumberFormat="0" applyFont="0" applyAlignment="0" applyProtection="0"/>
    <xf numFmtId="0" fontId="5" fillId="59" borderId="236" applyNumberFormat="0" applyFont="0" applyAlignment="0" applyProtection="0"/>
    <xf numFmtId="0" fontId="63" fillId="56" borderId="233" applyNumberFormat="0" applyAlignment="0" applyProtection="0"/>
    <xf numFmtId="0" fontId="66" fillId="0" borderId="235" applyNumberFormat="0" applyFill="0" applyAlignment="0" applyProtection="0"/>
    <xf numFmtId="4" fontId="35" fillId="33" borderId="237"/>
    <xf numFmtId="0" fontId="33" fillId="34" borderId="237">
      <alignment horizontal="right" vertical="center"/>
    </xf>
    <xf numFmtId="0" fontId="66" fillId="0" borderId="235" applyNumberFormat="0" applyFill="0" applyAlignment="0" applyProtection="0"/>
    <xf numFmtId="4" fontId="33" fillId="34" borderId="239">
      <alignment horizontal="right" vertical="center"/>
    </xf>
    <xf numFmtId="0" fontId="46" fillId="56" borderId="234" applyNumberFormat="0" applyAlignment="0" applyProtection="0"/>
    <xf numFmtId="0" fontId="33" fillId="34" borderId="238">
      <alignment horizontal="right" vertical="center"/>
    </xf>
    <xf numFmtId="0" fontId="47" fillId="56" borderId="234" applyNumberFormat="0" applyAlignment="0" applyProtection="0"/>
    <xf numFmtId="0" fontId="51" fillId="0" borderId="235" applyNumberFormat="0" applyFill="0" applyAlignment="0" applyProtection="0"/>
    <xf numFmtId="0" fontId="41" fillId="59" borderId="236" applyNumberFormat="0" applyFont="0" applyAlignment="0" applyProtection="0"/>
    <xf numFmtId="4" fontId="33" fillId="34" borderId="238">
      <alignment horizontal="right" vertical="center"/>
    </xf>
    <xf numFmtId="0" fontId="35" fillId="34" borderId="240">
      <alignment horizontal="left" vertical="center" wrapText="1" indent="2"/>
    </xf>
    <xf numFmtId="0" fontId="35" fillId="33" borderId="237"/>
    <xf numFmtId="173" fontId="35" fillId="60" borderId="237" applyNumberFormat="0" applyFont="0" applyBorder="0" applyAlignment="0" applyProtection="0">
      <alignment horizontal="right" vertical="center"/>
    </xf>
    <xf numFmtId="0" fontId="35" fillId="0" borderId="237" applyNumberFormat="0" applyFill="0" applyAlignment="0" applyProtection="0"/>
    <xf numFmtId="4" fontId="35" fillId="0" borderId="237" applyFill="0" applyBorder="0" applyProtection="0">
      <alignment horizontal="right" vertical="center"/>
    </xf>
    <xf numFmtId="4" fontId="33" fillId="32" borderId="237">
      <alignment horizontal="right" vertical="center"/>
    </xf>
    <xf numFmtId="0" fontId="51" fillId="0" borderId="235" applyNumberFormat="0" applyFill="0" applyAlignment="0" applyProtection="0"/>
    <xf numFmtId="49" fontId="34" fillId="0" borderId="237" applyNumberFormat="0" applyFill="0" applyBorder="0" applyProtection="0">
      <alignment horizontal="left" vertical="center"/>
    </xf>
    <xf numFmtId="49" fontId="35" fillId="0" borderId="238" applyNumberFormat="0" applyFont="0" applyFill="0" applyBorder="0" applyProtection="0">
      <alignment horizontal="left" vertical="center" indent="5"/>
    </xf>
    <xf numFmtId="0" fontId="35" fillId="32" borderId="238">
      <alignment horizontal="left" vertical="center"/>
    </xf>
    <xf numFmtId="0" fontId="47" fillId="56" borderId="234" applyNumberFormat="0" applyAlignment="0" applyProtection="0"/>
    <xf numFmtId="4" fontId="33" fillId="34" borderId="239">
      <alignment horizontal="right" vertical="center"/>
    </xf>
    <xf numFmtId="0" fontId="59" fillId="43" borderId="234" applyNumberFormat="0" applyAlignment="0" applyProtection="0"/>
    <xf numFmtId="0" fontId="59" fillId="43" borderId="234" applyNumberFormat="0" applyAlignment="0" applyProtection="0"/>
    <xf numFmtId="0" fontId="41" fillId="59" borderId="236" applyNumberFormat="0" applyFont="0" applyAlignment="0" applyProtection="0"/>
    <xf numFmtId="0" fontId="63" fillId="56" borderId="233" applyNumberFormat="0" applyAlignment="0" applyProtection="0"/>
    <xf numFmtId="0" fontId="66" fillId="0" borderId="235" applyNumberFormat="0" applyFill="0" applyAlignment="0" applyProtection="0"/>
    <xf numFmtId="0" fontId="33" fillId="34" borderId="237">
      <alignment horizontal="right" vertical="center"/>
    </xf>
    <xf numFmtId="0" fontId="5" fillId="59" borderId="236" applyNumberFormat="0" applyFont="0" applyAlignment="0" applyProtection="0"/>
    <xf numFmtId="4" fontId="35" fillId="0" borderId="237">
      <alignment horizontal="right" vertical="center"/>
    </xf>
    <xf numFmtId="0" fontId="66" fillId="0" borderId="235" applyNumberFormat="0" applyFill="0" applyAlignment="0" applyProtection="0"/>
    <xf numFmtId="0" fontId="33" fillId="34" borderId="237">
      <alignment horizontal="right" vertical="center"/>
    </xf>
    <xf numFmtId="0" fontId="33" fillId="34" borderId="237">
      <alignment horizontal="right" vertical="center"/>
    </xf>
    <xf numFmtId="4" fontId="37" fillId="32" borderId="237">
      <alignment horizontal="right" vertical="center"/>
    </xf>
    <xf numFmtId="0" fontId="33" fillId="32" borderId="237">
      <alignment horizontal="right" vertical="center"/>
    </xf>
    <xf numFmtId="4" fontId="33" fillId="32" borderId="237">
      <alignment horizontal="right" vertical="center"/>
    </xf>
    <xf numFmtId="0" fontId="37" fillId="32" borderId="237">
      <alignment horizontal="right" vertical="center"/>
    </xf>
    <xf numFmtId="4" fontId="37" fillId="32" borderId="237">
      <alignment horizontal="right" vertical="center"/>
    </xf>
    <xf numFmtId="0" fontId="33" fillId="34" borderId="237">
      <alignment horizontal="right" vertical="center"/>
    </xf>
    <xf numFmtId="4" fontId="33" fillId="34" borderId="237">
      <alignment horizontal="right" vertical="center"/>
    </xf>
    <xf numFmtId="0" fontId="33" fillId="34" borderId="237">
      <alignment horizontal="right" vertical="center"/>
    </xf>
    <xf numFmtId="4" fontId="33" fillId="34" borderId="237">
      <alignment horizontal="right" vertical="center"/>
    </xf>
    <xf numFmtId="0" fontId="33" fillId="34" borderId="238">
      <alignment horizontal="right" vertical="center"/>
    </xf>
    <xf numFmtId="4" fontId="33" fillId="34" borderId="238">
      <alignment horizontal="right" vertical="center"/>
    </xf>
    <xf numFmtId="0" fontId="33" fillId="34" borderId="239">
      <alignment horizontal="right" vertical="center"/>
    </xf>
    <xf numFmtId="4" fontId="33" fillId="34" borderId="239">
      <alignment horizontal="right" vertical="center"/>
    </xf>
    <xf numFmtId="0" fontId="47" fillId="56" borderId="234" applyNumberFormat="0" applyAlignment="0" applyProtection="0"/>
    <xf numFmtId="0" fontId="35" fillId="34" borderId="240">
      <alignment horizontal="left" vertical="center" wrapText="1" indent="2"/>
    </xf>
    <xf numFmtId="0" fontId="35" fillId="0" borderId="240">
      <alignment horizontal="left" vertical="center" wrapText="1" indent="2"/>
    </xf>
    <xf numFmtId="0" fontId="35" fillId="32" borderId="238">
      <alignment horizontal="left" vertical="center"/>
    </xf>
    <xf numFmtId="0" fontId="59" fillId="43" borderId="234" applyNumberFormat="0" applyAlignment="0" applyProtection="0"/>
    <xf numFmtId="0" fontId="35" fillId="0" borderId="237">
      <alignment horizontal="right" vertical="center"/>
    </xf>
    <xf numFmtId="4" fontId="35" fillId="0" borderId="237">
      <alignment horizontal="right" vertical="center"/>
    </xf>
    <xf numFmtId="0" fontId="35" fillId="0" borderId="237" applyNumberFormat="0" applyFill="0" applyAlignment="0" applyProtection="0"/>
    <xf numFmtId="0" fontId="63" fillId="56" borderId="233" applyNumberFormat="0" applyAlignment="0" applyProtection="0"/>
    <xf numFmtId="173" fontId="35" fillId="60" borderId="237" applyNumberFormat="0" applyFont="0" applyBorder="0" applyAlignment="0" applyProtection="0">
      <alignment horizontal="right" vertical="center"/>
    </xf>
    <xf numFmtId="0" fontId="35" fillId="33" borderId="237"/>
    <xf numFmtId="4" fontId="35" fillId="33" borderId="237"/>
    <xf numFmtId="0" fontId="66" fillId="0" borderId="235" applyNumberFormat="0" applyFill="0" applyAlignment="0" applyProtection="0"/>
    <xf numFmtId="0" fontId="5" fillId="59" borderId="236" applyNumberFormat="0" applyFont="0" applyAlignment="0" applyProtection="0"/>
    <xf numFmtId="0" fontId="41" fillId="59" borderId="236" applyNumberFormat="0" applyFont="0" applyAlignment="0" applyProtection="0"/>
    <xf numFmtId="0" fontId="35" fillId="0" borderId="237" applyNumberFormat="0" applyFill="0" applyAlignment="0" applyProtection="0"/>
    <xf numFmtId="0" fontId="51" fillId="0" borderId="235" applyNumberFormat="0" applyFill="0" applyAlignment="0" applyProtection="0"/>
    <xf numFmtId="0" fontId="66" fillId="0" borderId="235" applyNumberFormat="0" applyFill="0" applyAlignment="0" applyProtection="0"/>
    <xf numFmtId="0" fontId="50" fillId="43" borderId="234" applyNumberFormat="0" applyAlignment="0" applyProtection="0"/>
    <xf numFmtId="0" fontId="47" fillId="56" borderId="234" applyNumberFormat="0" applyAlignment="0" applyProtection="0"/>
    <xf numFmtId="4" fontId="37" fillId="32" borderId="237">
      <alignment horizontal="right" vertical="center"/>
    </xf>
    <xf numFmtId="0" fontId="33" fillId="32" borderId="237">
      <alignment horizontal="right" vertical="center"/>
    </xf>
    <xf numFmtId="173" fontId="35" fillId="60" borderId="237" applyNumberFormat="0" applyFont="0" applyBorder="0" applyAlignment="0" applyProtection="0">
      <alignment horizontal="right" vertical="center"/>
    </xf>
    <xf numFmtId="0" fontId="51" fillId="0" borderId="235" applyNumberFormat="0" applyFill="0" applyAlignment="0" applyProtection="0"/>
    <xf numFmtId="49" fontId="35" fillId="0" borderId="237" applyNumberFormat="0" applyFont="0" applyFill="0" applyBorder="0" applyProtection="0">
      <alignment horizontal="left" vertical="center" indent="2"/>
    </xf>
    <xf numFmtId="49" fontId="35" fillId="0" borderId="238" applyNumberFormat="0" applyFont="0" applyFill="0" applyBorder="0" applyProtection="0">
      <alignment horizontal="left" vertical="center" indent="5"/>
    </xf>
    <xf numFmtId="49" fontId="35" fillId="0" borderId="237" applyNumberFormat="0" applyFont="0" applyFill="0" applyBorder="0" applyProtection="0">
      <alignment horizontal="left" vertical="center" indent="2"/>
    </xf>
    <xf numFmtId="4" fontId="35" fillId="0" borderId="237" applyFill="0" applyBorder="0" applyProtection="0">
      <alignment horizontal="right" vertical="center"/>
    </xf>
    <xf numFmtId="49" fontId="34" fillId="0" borderId="237" applyNumberFormat="0" applyFill="0" applyBorder="0" applyProtection="0">
      <alignment horizontal="left" vertical="center"/>
    </xf>
    <xf numFmtId="0" fontId="35" fillId="0" borderId="240">
      <alignment horizontal="left" vertical="center" wrapText="1" indent="2"/>
    </xf>
    <xf numFmtId="0" fontId="63" fillId="56" borderId="233" applyNumberFormat="0" applyAlignment="0" applyProtection="0"/>
    <xf numFmtId="0" fontId="33" fillId="34" borderId="239">
      <alignment horizontal="right" vertical="center"/>
    </xf>
    <xf numFmtId="0" fontId="50" fillId="43" borderId="234" applyNumberFormat="0" applyAlignment="0" applyProtection="0"/>
    <xf numFmtId="0" fontId="33" fillId="34" borderId="239">
      <alignment horizontal="right" vertical="center"/>
    </xf>
    <xf numFmtId="4" fontId="33" fillId="34" borderId="237">
      <alignment horizontal="right" vertical="center"/>
    </xf>
    <xf numFmtId="0" fontId="33" fillId="34" borderId="237">
      <alignment horizontal="right" vertical="center"/>
    </xf>
    <xf numFmtId="0" fontId="44" fillId="56" borderId="233" applyNumberFormat="0" applyAlignment="0" applyProtection="0"/>
    <xf numFmtId="0" fontId="46" fillId="56" borderId="234" applyNumberFormat="0" applyAlignment="0" applyProtection="0"/>
    <xf numFmtId="0" fontId="51" fillId="0" borderId="235" applyNumberFormat="0" applyFill="0" applyAlignment="0" applyProtection="0"/>
    <xf numFmtId="0" fontId="35" fillId="33" borderId="237"/>
    <xf numFmtId="4" fontId="35" fillId="33" borderId="237"/>
    <xf numFmtId="4" fontId="33" fillId="34" borderId="237">
      <alignment horizontal="right" vertical="center"/>
    </xf>
    <xf numFmtId="0" fontId="37" fillId="32" borderId="237">
      <alignment horizontal="right" vertical="center"/>
    </xf>
    <xf numFmtId="0" fontId="50" fillId="43" borderId="234" applyNumberFormat="0" applyAlignment="0" applyProtection="0"/>
    <xf numFmtId="0" fontId="47" fillId="56" borderId="234" applyNumberFormat="0" applyAlignment="0" applyProtection="0"/>
    <xf numFmtId="4" fontId="35" fillId="0" borderId="237">
      <alignment horizontal="right" vertical="center"/>
    </xf>
    <xf numFmtId="0" fontId="35" fillId="34" borderId="240">
      <alignment horizontal="left" vertical="center" wrapText="1" indent="2"/>
    </xf>
    <xf numFmtId="0" fontId="35" fillId="0" borderId="240">
      <alignment horizontal="left" vertical="center" wrapText="1" indent="2"/>
    </xf>
    <xf numFmtId="0" fontId="63" fillId="56" borderId="233" applyNumberFormat="0" applyAlignment="0" applyProtection="0"/>
    <xf numFmtId="0" fontId="59" fillId="43" borderId="234" applyNumberFormat="0" applyAlignment="0" applyProtection="0"/>
    <xf numFmtId="0" fontId="46" fillId="56" borderId="234" applyNumberFormat="0" applyAlignment="0" applyProtection="0"/>
    <xf numFmtId="0" fontId="44" fillId="56" borderId="233" applyNumberFormat="0" applyAlignment="0" applyProtection="0"/>
    <xf numFmtId="0" fontId="33" fillId="34" borderId="239">
      <alignment horizontal="right" vertical="center"/>
    </xf>
    <xf numFmtId="0" fontId="37" fillId="32" borderId="237">
      <alignment horizontal="right" vertical="center"/>
    </xf>
    <xf numFmtId="4" fontId="33" fillId="32" borderId="237">
      <alignment horizontal="right" vertical="center"/>
    </xf>
    <xf numFmtId="4" fontId="33" fillId="34" borderId="237">
      <alignment horizontal="right" vertical="center"/>
    </xf>
    <xf numFmtId="49" fontId="35" fillId="0" borderId="238" applyNumberFormat="0" applyFont="0" applyFill="0" applyBorder="0" applyProtection="0">
      <alignment horizontal="left" vertical="center" indent="5"/>
    </xf>
    <xf numFmtId="4" fontId="35" fillId="0" borderId="237" applyFill="0" applyBorder="0" applyProtection="0">
      <alignment horizontal="right" vertical="center"/>
    </xf>
    <xf numFmtId="4" fontId="33" fillId="32" borderId="237">
      <alignment horizontal="right" vertical="center"/>
    </xf>
    <xf numFmtId="0" fontId="59" fillId="43" borderId="234" applyNumberFormat="0" applyAlignment="0" applyProtection="0"/>
    <xf numFmtId="0" fontId="50" fillId="43" borderId="234" applyNumberFormat="0" applyAlignment="0" applyProtection="0"/>
    <xf numFmtId="0" fontId="46" fillId="56" borderId="234" applyNumberFormat="0" applyAlignment="0" applyProtection="0"/>
    <xf numFmtId="0" fontId="35" fillId="34" borderId="240">
      <alignment horizontal="left" vertical="center" wrapText="1" indent="2"/>
    </xf>
    <xf numFmtId="0" fontId="35" fillId="0" borderId="240">
      <alignment horizontal="left" vertical="center" wrapText="1" indent="2"/>
    </xf>
    <xf numFmtId="0" fontId="35" fillId="34" borderId="240">
      <alignment horizontal="left" vertical="center" wrapText="1" indent="2"/>
    </xf>
    <xf numFmtId="0" fontId="33" fillId="32" borderId="244">
      <alignment horizontal="right" vertical="center"/>
    </xf>
    <xf numFmtId="0" fontId="35" fillId="0" borderId="253" applyNumberFormat="0" applyFill="0" applyAlignment="0" applyProtection="0"/>
    <xf numFmtId="49" fontId="35" fillId="0" borderId="258" applyNumberFormat="0" applyFont="0" applyFill="0" applyBorder="0" applyProtection="0">
      <alignment horizontal="left" vertical="center" indent="2"/>
    </xf>
    <xf numFmtId="4" fontId="33" fillId="32" borderId="268">
      <alignment horizontal="right" vertical="center"/>
    </xf>
    <xf numFmtId="4" fontId="33" fillId="34" borderId="270">
      <alignment horizontal="right" vertical="center"/>
    </xf>
    <xf numFmtId="0" fontId="35" fillId="33" borderId="253"/>
    <xf numFmtId="0" fontId="47" fillId="56" borderId="250" applyNumberFormat="0" applyAlignment="0" applyProtection="0"/>
    <xf numFmtId="4" fontId="33" fillId="34" borderId="253">
      <alignment horizontal="right" vertical="center"/>
    </xf>
    <xf numFmtId="0" fontId="35" fillId="0" borderId="256">
      <alignment horizontal="left" vertical="center" wrapText="1" indent="2"/>
    </xf>
    <xf numFmtId="0" fontId="35" fillId="33" borderId="253"/>
    <xf numFmtId="0" fontId="46" fillId="56" borderId="250" applyNumberFormat="0" applyAlignment="0" applyProtection="0"/>
    <xf numFmtId="0" fontId="66" fillId="0" borderId="266" applyNumberFormat="0" applyFill="0" applyAlignment="0" applyProtection="0"/>
    <xf numFmtId="49" fontId="35" fillId="0" borderId="258" applyNumberFormat="0" applyFont="0" applyFill="0" applyBorder="0" applyProtection="0">
      <alignment horizontal="left" vertical="center" indent="2"/>
    </xf>
    <xf numFmtId="4" fontId="33" fillId="34" borderId="254">
      <alignment horizontal="right" vertical="center"/>
    </xf>
    <xf numFmtId="0" fontId="35" fillId="33" borderId="258"/>
    <xf numFmtId="4" fontId="33" fillId="34" borderId="258">
      <alignment horizontal="right" vertical="center"/>
    </xf>
    <xf numFmtId="0" fontId="63" fillId="56" borderId="262" applyNumberFormat="0" applyAlignment="0" applyProtection="0"/>
    <xf numFmtId="0" fontId="33" fillId="34" borderId="253">
      <alignment horizontal="right" vertical="center"/>
    </xf>
    <xf numFmtId="0" fontId="33" fillId="34" borderId="258">
      <alignment horizontal="right" vertical="center"/>
    </xf>
    <xf numFmtId="173" fontId="35" fillId="60" borderId="274" applyNumberFormat="0" applyFont="0" applyBorder="0" applyAlignment="0" applyProtection="0">
      <alignment horizontal="right" vertical="center"/>
    </xf>
    <xf numFmtId="0" fontId="66" fillId="0" borderId="251" applyNumberFormat="0" applyFill="0" applyAlignment="0" applyProtection="0"/>
    <xf numFmtId="0" fontId="41" fillId="59" borderId="257" applyNumberFormat="0" applyFont="0" applyAlignment="0" applyProtection="0"/>
    <xf numFmtId="173" fontId="35" fillId="60" borderId="253" applyNumberFormat="0" applyFont="0" applyBorder="0" applyAlignment="0" applyProtection="0">
      <alignment horizontal="right" vertical="center"/>
    </xf>
    <xf numFmtId="0" fontId="66" fillId="0" borderId="251" applyNumberFormat="0" applyFill="0" applyAlignment="0" applyProtection="0"/>
    <xf numFmtId="4" fontId="35" fillId="33" borderId="253"/>
    <xf numFmtId="0" fontId="59" fillId="43" borderId="250" applyNumberFormat="0" applyAlignment="0" applyProtection="0"/>
    <xf numFmtId="0" fontId="50" fillId="43" borderId="250" applyNumberFormat="0" applyAlignment="0" applyProtection="0"/>
    <xf numFmtId="0" fontId="66" fillId="0" borderId="288" applyNumberFormat="0" applyFill="0" applyAlignment="0" applyProtection="0"/>
    <xf numFmtId="0" fontId="35" fillId="32" borderId="259">
      <alignment horizontal="left" vertical="center"/>
    </xf>
    <xf numFmtId="0" fontId="47" fillId="56" borderId="250" applyNumberFormat="0" applyAlignment="0" applyProtection="0"/>
    <xf numFmtId="0" fontId="51" fillId="0" borderId="264" applyNumberFormat="0" applyFill="0" applyAlignment="0" applyProtection="0"/>
    <xf numFmtId="0" fontId="33" fillId="34" borderId="253">
      <alignment horizontal="right" vertical="center"/>
    </xf>
    <xf numFmtId="4" fontId="35" fillId="0" borderId="258" applyFill="0" applyBorder="0" applyProtection="0">
      <alignment horizontal="right" vertical="center"/>
    </xf>
    <xf numFmtId="0" fontId="33" fillId="34" borderId="293">
      <alignment horizontal="right" vertical="center"/>
    </xf>
    <xf numFmtId="0" fontId="33" fillId="34" borderId="253">
      <alignment horizontal="right" vertical="center"/>
    </xf>
    <xf numFmtId="0" fontId="33" fillId="34" borderId="268">
      <alignment horizontal="right" vertical="center"/>
    </xf>
    <xf numFmtId="49" fontId="35" fillId="0" borderId="258" applyNumberFormat="0" applyFont="0" applyFill="0" applyBorder="0" applyProtection="0">
      <alignment horizontal="left" vertical="center" indent="2"/>
    </xf>
    <xf numFmtId="0" fontId="46" fillId="56" borderId="263" applyNumberFormat="0" applyAlignment="0" applyProtection="0"/>
    <xf numFmtId="0" fontId="35" fillId="34" borderId="261">
      <alignment horizontal="left" vertical="center" wrapText="1" indent="2"/>
    </xf>
    <xf numFmtId="49" fontId="34" fillId="0" borderId="253" applyNumberFormat="0" applyFill="0" applyBorder="0" applyProtection="0">
      <alignment horizontal="left" vertical="center"/>
    </xf>
    <xf numFmtId="0" fontId="66" fillId="0" borderId="266" applyNumberFormat="0" applyFill="0" applyAlignment="0" applyProtection="0"/>
    <xf numFmtId="0" fontId="51" fillId="0" borderId="264" applyNumberFormat="0" applyFill="0" applyAlignment="0" applyProtection="0"/>
    <xf numFmtId="0" fontId="41" fillId="59" borderId="257" applyNumberFormat="0" applyFont="0" applyAlignment="0" applyProtection="0"/>
    <xf numFmtId="0" fontId="47" fillId="56" borderId="265" applyNumberFormat="0" applyAlignment="0" applyProtection="0"/>
    <xf numFmtId="4" fontId="33" fillId="34" borderId="258">
      <alignment horizontal="right" vertical="center"/>
    </xf>
    <xf numFmtId="0" fontId="12" fillId="28" borderId="0" applyNumberFormat="0" applyBorder="0" applyAlignment="0" applyProtection="0"/>
    <xf numFmtId="0" fontId="35" fillId="0" borderId="274" applyNumberFormat="0" applyFill="0" applyAlignment="0" applyProtection="0"/>
    <xf numFmtId="0" fontId="27" fillId="26" borderId="0" applyNumberFormat="0" applyBorder="0" applyAlignment="0" applyProtection="0"/>
    <xf numFmtId="0" fontId="33" fillId="34" borderId="270">
      <alignment horizontal="right" vertical="center"/>
    </xf>
    <xf numFmtId="0" fontId="27" fillId="23" borderId="0" applyNumberFormat="0" applyBorder="0" applyAlignment="0" applyProtection="0"/>
    <xf numFmtId="0" fontId="27" fillId="21" borderId="0" applyNumberFormat="0" applyBorder="0" applyAlignment="0" applyProtection="0"/>
    <xf numFmtId="0" fontId="27" fillId="15" borderId="0" applyNumberFormat="0" applyBorder="0" applyAlignment="0" applyProtection="0"/>
    <xf numFmtId="0" fontId="47" fillId="56" borderId="250" applyNumberFormat="0" applyAlignment="0" applyProtection="0"/>
    <xf numFmtId="0" fontId="33" fillId="34" borderId="274">
      <alignment horizontal="right" vertical="center"/>
    </xf>
    <xf numFmtId="0" fontId="27" fillId="29" borderId="0" applyNumberFormat="0" applyBorder="0" applyAlignment="0" applyProtection="0"/>
    <xf numFmtId="0" fontId="37" fillId="32" borderId="258">
      <alignment horizontal="right" vertical="center"/>
    </xf>
    <xf numFmtId="0" fontId="46" fillId="56" borderId="263" applyNumberFormat="0" applyAlignment="0" applyProtection="0"/>
    <xf numFmtId="4" fontId="33" fillId="34" borderId="244">
      <alignment horizontal="right" vertical="center"/>
    </xf>
    <xf numFmtId="0" fontId="35" fillId="33" borderId="244"/>
    <xf numFmtId="0" fontId="46" fillId="56" borderId="241" applyNumberFormat="0" applyAlignment="0" applyProtection="0"/>
    <xf numFmtId="0" fontId="33" fillId="32" borderId="244">
      <alignment horizontal="right" vertical="center"/>
    </xf>
    <xf numFmtId="0" fontId="35" fillId="0" borderId="244">
      <alignment horizontal="right" vertical="center"/>
    </xf>
    <xf numFmtId="0" fontId="66" fillId="0" borderId="242" applyNumberFormat="0" applyFill="0" applyAlignment="0" applyProtection="0"/>
    <xf numFmtId="0" fontId="35" fillId="32" borderId="245">
      <alignment horizontal="left" vertical="center"/>
    </xf>
    <xf numFmtId="0" fontId="59" fillId="43" borderId="241" applyNumberFormat="0" applyAlignment="0" applyProtection="0"/>
    <xf numFmtId="173" fontId="35" fillId="60" borderId="244" applyNumberFormat="0" applyFont="0" applyBorder="0" applyAlignment="0" applyProtection="0">
      <alignment horizontal="right" vertical="center"/>
    </xf>
    <xf numFmtId="0" fontId="41" fillId="59" borderId="243" applyNumberFormat="0" applyFont="0" applyAlignment="0" applyProtection="0"/>
    <xf numFmtId="0" fontId="35" fillId="0" borderId="247">
      <alignment horizontal="left" vertical="center" wrapText="1" indent="2"/>
    </xf>
    <xf numFmtId="4" fontId="35" fillId="33" borderId="244"/>
    <xf numFmtId="49" fontId="34" fillId="0" borderId="244" applyNumberFormat="0" applyFill="0" applyBorder="0" applyProtection="0">
      <alignment horizontal="left" vertical="center"/>
    </xf>
    <xf numFmtId="0" fontId="35" fillId="0" borderId="244">
      <alignment horizontal="right" vertical="center"/>
    </xf>
    <xf numFmtId="4" fontId="33" fillId="34" borderId="246">
      <alignment horizontal="right" vertical="center"/>
    </xf>
    <xf numFmtId="4" fontId="33" fillId="34" borderId="244">
      <alignment horizontal="right" vertical="center"/>
    </xf>
    <xf numFmtId="4" fontId="33" fillId="34" borderId="244">
      <alignment horizontal="right" vertical="center"/>
    </xf>
    <xf numFmtId="0" fontId="37" fillId="32" borderId="244">
      <alignment horizontal="right" vertical="center"/>
    </xf>
    <xf numFmtId="0" fontId="33" fillId="32" borderId="244">
      <alignment horizontal="right" vertical="center"/>
    </xf>
    <xf numFmtId="49" fontId="35" fillId="0" borderId="244" applyNumberFormat="0" applyFont="0" applyFill="0" applyBorder="0" applyProtection="0">
      <alignment horizontal="left" vertical="center" indent="2"/>
    </xf>
    <xf numFmtId="0" fontId="59" fillId="43" borderId="241" applyNumberFormat="0" applyAlignment="0" applyProtection="0"/>
    <xf numFmtId="0" fontId="44" fillId="56" borderId="248" applyNumberFormat="0" applyAlignment="0" applyProtection="0"/>
    <xf numFmtId="49" fontId="35" fillId="0" borderId="244" applyNumberFormat="0" applyFont="0" applyFill="0" applyBorder="0" applyProtection="0">
      <alignment horizontal="left" vertical="center" indent="2"/>
    </xf>
    <xf numFmtId="0" fontId="50" fillId="43" borderId="241" applyNumberFormat="0" applyAlignment="0" applyProtection="0"/>
    <xf numFmtId="4" fontId="35" fillId="0" borderId="244" applyFill="0" applyBorder="0" applyProtection="0">
      <alignment horizontal="right" vertical="center"/>
    </xf>
    <xf numFmtId="0" fontId="47" fillId="56" borderId="241" applyNumberFormat="0" applyAlignment="0" applyProtection="0"/>
    <xf numFmtId="0" fontId="66" fillId="0" borderId="242" applyNumberFormat="0" applyFill="0" applyAlignment="0" applyProtection="0"/>
    <xf numFmtId="0" fontId="63" fillId="56" borderId="248" applyNumberFormat="0" applyAlignment="0" applyProtection="0"/>
    <xf numFmtId="0" fontId="35" fillId="0" borderId="244" applyNumberFormat="0" applyFill="0" applyAlignment="0" applyProtection="0"/>
    <xf numFmtId="4" fontId="35" fillId="0" borderId="244">
      <alignment horizontal="right" vertical="center"/>
    </xf>
    <xf numFmtId="0" fontId="35" fillId="0" borderId="244">
      <alignment horizontal="right" vertical="center"/>
    </xf>
    <xf numFmtId="0" fontId="59" fillId="43" borderId="241" applyNumberFormat="0" applyAlignment="0" applyProtection="0"/>
    <xf numFmtId="0" fontId="44" fillId="56" borderId="248" applyNumberFormat="0" applyAlignment="0" applyProtection="0"/>
    <xf numFmtId="0" fontId="46" fillId="56" borderId="241" applyNumberFormat="0" applyAlignment="0" applyProtection="0"/>
    <xf numFmtId="0" fontId="35" fillId="34" borderId="247">
      <alignment horizontal="left" vertical="center" wrapText="1" indent="2"/>
    </xf>
    <xf numFmtId="0" fontId="47" fillId="56" borderId="241" applyNumberFormat="0" applyAlignment="0" applyProtection="0"/>
    <xf numFmtId="0" fontId="47" fillId="56" borderId="241" applyNumberFormat="0" applyAlignment="0" applyProtection="0"/>
    <xf numFmtId="4" fontId="33" fillId="34" borderId="245">
      <alignment horizontal="right" vertical="center"/>
    </xf>
    <xf numFmtId="0" fontId="33" fillId="34" borderId="245">
      <alignment horizontal="right" vertical="center"/>
    </xf>
    <xf numFmtId="0" fontId="33" fillId="34" borderId="244">
      <alignment horizontal="right" vertical="center"/>
    </xf>
    <xf numFmtId="4" fontId="37" fillId="32" borderId="244">
      <alignment horizontal="right" vertical="center"/>
    </xf>
    <xf numFmtId="0" fontId="50" fillId="43" borderId="241" applyNumberFormat="0" applyAlignment="0" applyProtection="0"/>
    <xf numFmtId="0" fontId="51" fillId="0" borderId="242" applyNumberFormat="0" applyFill="0" applyAlignment="0" applyProtection="0"/>
    <xf numFmtId="0" fontId="66" fillId="0" borderId="242" applyNumberFormat="0" applyFill="0" applyAlignment="0" applyProtection="0"/>
    <xf numFmtId="0" fontId="41" fillId="59" borderId="243" applyNumberFormat="0" applyFont="0" applyAlignment="0" applyProtection="0"/>
    <xf numFmtId="0" fontId="59" fillId="43" borderId="241" applyNumberFormat="0" applyAlignment="0" applyProtection="0"/>
    <xf numFmtId="49" fontId="34" fillId="0" borderId="244" applyNumberFormat="0" applyFill="0" applyBorder="0" applyProtection="0">
      <alignment horizontal="left" vertical="center"/>
    </xf>
    <xf numFmtId="0" fontId="35" fillId="34" borderId="247">
      <alignment horizontal="left" vertical="center" wrapText="1" indent="2"/>
    </xf>
    <xf numFmtId="0" fontId="47" fillId="56" borderId="241" applyNumberFormat="0" applyAlignment="0" applyProtection="0"/>
    <xf numFmtId="0" fontId="35" fillId="0" borderId="247">
      <alignment horizontal="left" vertical="center" wrapText="1" indent="2"/>
    </xf>
    <xf numFmtId="0" fontId="41" fillId="59" borderId="243" applyNumberFormat="0" applyFont="0" applyAlignment="0" applyProtection="0"/>
    <xf numFmtId="0" fontId="5" fillId="59" borderId="243" applyNumberFormat="0" applyFont="0" applyAlignment="0" applyProtection="0"/>
    <xf numFmtId="0" fontId="63" fillId="56" borderId="248" applyNumberFormat="0" applyAlignment="0" applyProtection="0"/>
    <xf numFmtId="0" fontId="66" fillId="0" borderId="242" applyNumberFormat="0" applyFill="0" applyAlignment="0" applyProtection="0"/>
    <xf numFmtId="4" fontId="35" fillId="33" borderId="244"/>
    <xf numFmtId="0" fontId="33" fillId="34" borderId="244">
      <alignment horizontal="right" vertical="center"/>
    </xf>
    <xf numFmtId="0" fontId="66" fillId="0" borderId="242" applyNumberFormat="0" applyFill="0" applyAlignment="0" applyProtection="0"/>
    <xf numFmtId="4" fontId="33" fillId="34" borderId="246">
      <alignment horizontal="right" vertical="center"/>
    </xf>
    <xf numFmtId="0" fontId="46" fillId="56" borderId="241" applyNumberFormat="0" applyAlignment="0" applyProtection="0"/>
    <xf numFmtId="0" fontId="33" fillId="34" borderId="245">
      <alignment horizontal="right" vertical="center"/>
    </xf>
    <xf numFmtId="0" fontId="47" fillId="56" borderId="241" applyNumberFormat="0" applyAlignment="0" applyProtection="0"/>
    <xf numFmtId="0" fontId="51" fillId="0" borderId="242" applyNumberFormat="0" applyFill="0" applyAlignment="0" applyProtection="0"/>
    <xf numFmtId="0" fontId="41" fillId="59" borderId="243" applyNumberFormat="0" applyFont="0" applyAlignment="0" applyProtection="0"/>
    <xf numFmtId="4" fontId="33" fillId="34" borderId="245">
      <alignment horizontal="right" vertical="center"/>
    </xf>
    <xf numFmtId="0" fontId="35" fillId="34" borderId="247">
      <alignment horizontal="left" vertical="center" wrapText="1" indent="2"/>
    </xf>
    <xf numFmtId="0" fontId="35" fillId="33" borderId="244"/>
    <xf numFmtId="173" fontId="35" fillId="60" borderId="244" applyNumberFormat="0" applyFont="0" applyBorder="0" applyAlignment="0" applyProtection="0">
      <alignment horizontal="right" vertical="center"/>
    </xf>
    <xf numFmtId="0" fontId="35" fillId="0" borderId="244" applyNumberFormat="0" applyFill="0" applyAlignment="0" applyProtection="0"/>
    <xf numFmtId="4" fontId="35" fillId="0" borderId="244" applyFill="0" applyBorder="0" applyProtection="0">
      <alignment horizontal="right" vertical="center"/>
    </xf>
    <xf numFmtId="4" fontId="33" fillId="32" borderId="244">
      <alignment horizontal="right" vertical="center"/>
    </xf>
    <xf numFmtId="0" fontId="51" fillId="0" borderId="242" applyNumberFormat="0" applyFill="0" applyAlignment="0" applyProtection="0"/>
    <xf numFmtId="49" fontId="34" fillId="0" borderId="244" applyNumberFormat="0" applyFill="0" applyBorder="0" applyProtection="0">
      <alignment horizontal="left" vertical="center"/>
    </xf>
    <xf numFmtId="49" fontId="35" fillId="0" borderId="245" applyNumberFormat="0" applyFont="0" applyFill="0" applyBorder="0" applyProtection="0">
      <alignment horizontal="left" vertical="center" indent="5"/>
    </xf>
    <xf numFmtId="0" fontId="35" fillId="32" borderId="245">
      <alignment horizontal="left" vertical="center"/>
    </xf>
    <xf numFmtId="0" fontId="47" fillId="56" borderId="241" applyNumberFormat="0" applyAlignment="0" applyProtection="0"/>
    <xf numFmtId="4" fontId="33" fillId="34" borderId="246">
      <alignment horizontal="right" vertical="center"/>
    </xf>
    <xf numFmtId="0" fontId="59" fillId="43" borderId="241" applyNumberFormat="0" applyAlignment="0" applyProtection="0"/>
    <xf numFmtId="0" fontId="59" fillId="43" borderId="241" applyNumberFormat="0" applyAlignment="0" applyProtection="0"/>
    <xf numFmtId="0" fontId="41" fillId="59" borderId="243" applyNumberFormat="0" applyFont="0" applyAlignment="0" applyProtection="0"/>
    <xf numFmtId="0" fontId="63" fillId="56" borderId="248" applyNumberFormat="0" applyAlignment="0" applyProtection="0"/>
    <xf numFmtId="0" fontId="66" fillId="0" borderId="242" applyNumberFormat="0" applyFill="0" applyAlignment="0" applyProtection="0"/>
    <xf numFmtId="0" fontId="33" fillId="34" borderId="244">
      <alignment horizontal="right" vertical="center"/>
    </xf>
    <xf numFmtId="0" fontId="5" fillId="59" borderId="243" applyNumberFormat="0" applyFont="0" applyAlignment="0" applyProtection="0"/>
    <xf numFmtId="4" fontId="35" fillId="0" borderId="244">
      <alignment horizontal="right" vertical="center"/>
    </xf>
    <xf numFmtId="0" fontId="66" fillId="0" borderId="242" applyNumberFormat="0" applyFill="0" applyAlignment="0" applyProtection="0"/>
    <xf numFmtId="0" fontId="33" fillId="34" borderId="244">
      <alignment horizontal="right" vertical="center"/>
    </xf>
    <xf numFmtId="0" fontId="33" fillId="34" borderId="244">
      <alignment horizontal="right" vertical="center"/>
    </xf>
    <xf numFmtId="4" fontId="37" fillId="32" borderId="244">
      <alignment horizontal="right" vertical="center"/>
    </xf>
    <xf numFmtId="0" fontId="33" fillId="32" borderId="244">
      <alignment horizontal="right" vertical="center"/>
    </xf>
    <xf numFmtId="4" fontId="33" fillId="32" borderId="244">
      <alignment horizontal="right" vertical="center"/>
    </xf>
    <xf numFmtId="0" fontId="37" fillId="32" borderId="244">
      <alignment horizontal="right" vertical="center"/>
    </xf>
    <xf numFmtId="4" fontId="37" fillId="32" borderId="244">
      <alignment horizontal="right" vertical="center"/>
    </xf>
    <xf numFmtId="0" fontId="33" fillId="34" borderId="244">
      <alignment horizontal="right" vertical="center"/>
    </xf>
    <xf numFmtId="4" fontId="33" fillId="34" borderId="244">
      <alignment horizontal="right" vertical="center"/>
    </xf>
    <xf numFmtId="0" fontId="33" fillId="34" borderId="244">
      <alignment horizontal="right" vertical="center"/>
    </xf>
    <xf numFmtId="4" fontId="33" fillId="34" borderId="244">
      <alignment horizontal="right" vertical="center"/>
    </xf>
    <xf numFmtId="0" fontId="33" fillId="34" borderId="245">
      <alignment horizontal="right" vertical="center"/>
    </xf>
    <xf numFmtId="4" fontId="33" fillId="34" borderId="245">
      <alignment horizontal="right" vertical="center"/>
    </xf>
    <xf numFmtId="0" fontId="33" fillId="34" borderId="246">
      <alignment horizontal="right" vertical="center"/>
    </xf>
    <xf numFmtId="4" fontId="33" fillId="34" borderId="246">
      <alignment horizontal="right" vertical="center"/>
    </xf>
    <xf numFmtId="0" fontId="47" fillId="56" borderId="241" applyNumberFormat="0" applyAlignment="0" applyProtection="0"/>
    <xf numFmtId="0" fontId="35" fillId="34" borderId="247">
      <alignment horizontal="left" vertical="center" wrapText="1" indent="2"/>
    </xf>
    <xf numFmtId="0" fontId="35" fillId="0" borderId="247">
      <alignment horizontal="left" vertical="center" wrapText="1" indent="2"/>
    </xf>
    <xf numFmtId="0" fontId="35" fillId="32" borderId="245">
      <alignment horizontal="left" vertical="center"/>
    </xf>
    <xf numFmtId="0" fontId="59" fillId="43" borderId="241" applyNumberFormat="0" applyAlignment="0" applyProtection="0"/>
    <xf numFmtId="0" fontId="35" fillId="0" borderId="244">
      <alignment horizontal="right" vertical="center"/>
    </xf>
    <xf numFmtId="4" fontId="35" fillId="0" borderId="244">
      <alignment horizontal="right" vertical="center"/>
    </xf>
    <xf numFmtId="0" fontId="35" fillId="0" borderId="244" applyNumberFormat="0" applyFill="0" applyAlignment="0" applyProtection="0"/>
    <xf numFmtId="0" fontId="63" fillId="56" borderId="248" applyNumberFormat="0" applyAlignment="0" applyProtection="0"/>
    <xf numFmtId="173" fontId="35" fillId="60" borderId="244" applyNumberFormat="0" applyFont="0" applyBorder="0" applyAlignment="0" applyProtection="0">
      <alignment horizontal="right" vertical="center"/>
    </xf>
    <xf numFmtId="0" fontId="35" fillId="33" borderId="244"/>
    <xf numFmtId="4" fontId="35" fillId="33" borderId="244"/>
    <xf numFmtId="0" fontId="66" fillId="0" borderId="242" applyNumberFormat="0" applyFill="0" applyAlignment="0" applyProtection="0"/>
    <xf numFmtId="0" fontId="5" fillId="59" borderId="243" applyNumberFormat="0" applyFont="0" applyAlignment="0" applyProtection="0"/>
    <xf numFmtId="0" fontId="41" fillId="59" borderId="243" applyNumberFormat="0" applyFont="0" applyAlignment="0" applyProtection="0"/>
    <xf numFmtId="0" fontId="35" fillId="0" borderId="244" applyNumberFormat="0" applyFill="0" applyAlignment="0" applyProtection="0"/>
    <xf numFmtId="0" fontId="51" fillId="0" borderId="242" applyNumberFormat="0" applyFill="0" applyAlignment="0" applyProtection="0"/>
    <xf numFmtId="0" fontId="66" fillId="0" borderId="242" applyNumberFormat="0" applyFill="0" applyAlignment="0" applyProtection="0"/>
    <xf numFmtId="0" fontId="50" fillId="43" borderId="241" applyNumberFormat="0" applyAlignment="0" applyProtection="0"/>
    <xf numFmtId="0" fontId="47" fillId="56" borderId="241" applyNumberFormat="0" applyAlignment="0" applyProtection="0"/>
    <xf numFmtId="4" fontId="37" fillId="32" borderId="244">
      <alignment horizontal="right" vertical="center"/>
    </xf>
    <xf numFmtId="0" fontId="33" fillId="32" borderId="244">
      <alignment horizontal="right" vertical="center"/>
    </xf>
    <xf numFmtId="173" fontId="35" fillId="60" borderId="244" applyNumberFormat="0" applyFont="0" applyBorder="0" applyAlignment="0" applyProtection="0">
      <alignment horizontal="right" vertical="center"/>
    </xf>
    <xf numFmtId="0" fontId="51" fillId="0" borderId="242" applyNumberFormat="0" applyFill="0" applyAlignment="0" applyProtection="0"/>
    <xf numFmtId="49" fontId="35" fillId="0" borderId="244" applyNumberFormat="0" applyFont="0" applyFill="0" applyBorder="0" applyProtection="0">
      <alignment horizontal="left" vertical="center" indent="2"/>
    </xf>
    <xf numFmtId="49" fontId="35" fillId="0" borderId="245" applyNumberFormat="0" applyFont="0" applyFill="0" applyBorder="0" applyProtection="0">
      <alignment horizontal="left" vertical="center" indent="5"/>
    </xf>
    <xf numFmtId="49" fontId="35" fillId="0" borderId="244" applyNumberFormat="0" applyFont="0" applyFill="0" applyBorder="0" applyProtection="0">
      <alignment horizontal="left" vertical="center" indent="2"/>
    </xf>
    <xf numFmtId="4" fontId="35" fillId="0" borderId="244" applyFill="0" applyBorder="0" applyProtection="0">
      <alignment horizontal="right" vertical="center"/>
    </xf>
    <xf numFmtId="49" fontId="34" fillId="0" borderId="244" applyNumberFormat="0" applyFill="0" applyBorder="0" applyProtection="0">
      <alignment horizontal="left" vertical="center"/>
    </xf>
    <xf numFmtId="0" fontId="35" fillId="0" borderId="247">
      <alignment horizontal="left" vertical="center" wrapText="1" indent="2"/>
    </xf>
    <xf numFmtId="0" fontId="63" fillId="56" borderId="248" applyNumberFormat="0" applyAlignment="0" applyProtection="0"/>
    <xf numFmtId="0" fontId="33" fillId="34" borderId="246">
      <alignment horizontal="right" vertical="center"/>
    </xf>
    <xf numFmtId="0" fontId="50" fillId="43" borderId="241" applyNumberFormat="0" applyAlignment="0" applyProtection="0"/>
    <xf numFmtId="0" fontId="33" fillId="34" borderId="246">
      <alignment horizontal="right" vertical="center"/>
    </xf>
    <xf numFmtId="4" fontId="33" fillId="34" borderId="244">
      <alignment horizontal="right" vertical="center"/>
    </xf>
    <xf numFmtId="0" fontId="33" fillId="34" borderId="244">
      <alignment horizontal="right" vertical="center"/>
    </xf>
    <xf numFmtId="0" fontId="44" fillId="56" borderId="248" applyNumberFormat="0" applyAlignment="0" applyProtection="0"/>
    <xf numFmtId="0" fontId="46" fillId="56" borderId="241" applyNumberFormat="0" applyAlignment="0" applyProtection="0"/>
    <xf numFmtId="0" fontId="51" fillId="0" borderId="242" applyNumberFormat="0" applyFill="0" applyAlignment="0" applyProtection="0"/>
    <xf numFmtId="0" fontId="35" fillId="33" borderId="244"/>
    <xf numFmtId="4" fontId="35" fillId="33" borderId="244"/>
    <xf numFmtId="4" fontId="33" fillId="34" borderId="244">
      <alignment horizontal="right" vertical="center"/>
    </xf>
    <xf numFmtId="0" fontId="37" fillId="32" borderId="244">
      <alignment horizontal="right" vertical="center"/>
    </xf>
    <xf numFmtId="0" fontId="50" fillId="43" borderId="241" applyNumberFormat="0" applyAlignment="0" applyProtection="0"/>
    <xf numFmtId="0" fontId="47" fillId="56" borderId="241" applyNumberFormat="0" applyAlignment="0" applyProtection="0"/>
    <xf numFmtId="4" fontId="35" fillId="0" borderId="244">
      <alignment horizontal="right" vertical="center"/>
    </xf>
    <xf numFmtId="0" fontId="35" fillId="34" borderId="247">
      <alignment horizontal="left" vertical="center" wrapText="1" indent="2"/>
    </xf>
    <xf numFmtId="0" fontId="35" fillId="0" borderId="247">
      <alignment horizontal="left" vertical="center" wrapText="1" indent="2"/>
    </xf>
    <xf numFmtId="0" fontId="63" fillId="56" borderId="248" applyNumberFormat="0" applyAlignment="0" applyProtection="0"/>
    <xf numFmtId="0" fontId="59" fillId="43" borderId="241" applyNumberFormat="0" applyAlignment="0" applyProtection="0"/>
    <xf numFmtId="0" fontId="46" fillId="56" borderId="241" applyNumberFormat="0" applyAlignment="0" applyProtection="0"/>
    <xf numFmtId="0" fontId="44" fillId="56" borderId="248" applyNumberFormat="0" applyAlignment="0" applyProtection="0"/>
    <xf numFmtId="0" fontId="33" fillId="34" borderId="246">
      <alignment horizontal="right" vertical="center"/>
    </xf>
    <xf numFmtId="0" fontId="37" fillId="32" borderId="244">
      <alignment horizontal="right" vertical="center"/>
    </xf>
    <xf numFmtId="4" fontId="33" fillId="32" borderId="244">
      <alignment horizontal="right" vertical="center"/>
    </xf>
    <xf numFmtId="4" fontId="33" fillId="34" borderId="244">
      <alignment horizontal="right" vertical="center"/>
    </xf>
    <xf numFmtId="49" fontId="35" fillId="0" borderId="245" applyNumberFormat="0" applyFont="0" applyFill="0" applyBorder="0" applyProtection="0">
      <alignment horizontal="left" vertical="center" indent="5"/>
    </xf>
    <xf numFmtId="4" fontId="35" fillId="0" borderId="244" applyFill="0" applyBorder="0" applyProtection="0">
      <alignment horizontal="right" vertical="center"/>
    </xf>
    <xf numFmtId="4" fontId="33" fillId="32" borderId="244">
      <alignment horizontal="right" vertical="center"/>
    </xf>
    <xf numFmtId="0" fontId="35" fillId="0" borderId="271">
      <alignment horizontal="left" vertical="center" wrapText="1" indent="2"/>
    </xf>
    <xf numFmtId="0" fontId="59" fillId="43" borderId="241" applyNumberFormat="0" applyAlignment="0" applyProtection="0"/>
    <xf numFmtId="0" fontId="50" fillId="43" borderId="241" applyNumberFormat="0" applyAlignment="0" applyProtection="0"/>
    <xf numFmtId="0" fontId="46" fillId="56" borderId="241" applyNumberFormat="0" applyAlignment="0" applyProtection="0"/>
    <xf numFmtId="0" fontId="35" fillId="34" borderId="247">
      <alignment horizontal="left" vertical="center" wrapText="1" indent="2"/>
    </xf>
    <xf numFmtId="0" fontId="35" fillId="0" borderId="247">
      <alignment horizontal="left" vertical="center" wrapText="1" indent="2"/>
    </xf>
    <xf numFmtId="0" fontId="35" fillId="34" borderId="247">
      <alignment horizontal="left" vertical="center" wrapText="1" indent="2"/>
    </xf>
    <xf numFmtId="0" fontId="35" fillId="0" borderId="247">
      <alignment horizontal="left" vertical="center" wrapText="1" indent="2"/>
    </xf>
    <xf numFmtId="0" fontId="44" fillId="56" borderId="248" applyNumberFormat="0" applyAlignment="0" applyProtection="0"/>
    <xf numFmtId="0" fontId="46" fillId="56" borderId="241" applyNumberFormat="0" applyAlignment="0" applyProtection="0"/>
    <xf numFmtId="0" fontId="47" fillId="56" borderId="241" applyNumberFormat="0" applyAlignment="0" applyProtection="0"/>
    <xf numFmtId="0" fontId="50" fillId="43" borderId="241" applyNumberFormat="0" applyAlignment="0" applyProtection="0"/>
    <xf numFmtId="0" fontId="51" fillId="0" borderId="242" applyNumberFormat="0" applyFill="0" applyAlignment="0" applyProtection="0"/>
    <xf numFmtId="0" fontId="59" fillId="43" borderId="241" applyNumberFormat="0" applyAlignment="0" applyProtection="0"/>
    <xf numFmtId="0" fontId="41" fillId="59" borderId="243" applyNumberFormat="0" applyFont="0" applyAlignment="0" applyProtection="0"/>
    <xf numFmtId="0" fontId="5" fillId="59" borderId="243" applyNumberFormat="0" applyFont="0" applyAlignment="0" applyProtection="0"/>
    <xf numFmtId="0" fontId="63" fillId="56" borderId="248" applyNumberFormat="0" applyAlignment="0" applyProtection="0"/>
    <xf numFmtId="0" fontId="66" fillId="0" borderId="242" applyNumberFormat="0" applyFill="0" applyAlignment="0" applyProtection="0"/>
    <xf numFmtId="0" fontId="47" fillId="56" borderId="241" applyNumberFormat="0" applyAlignment="0" applyProtection="0"/>
    <xf numFmtId="0" fontId="59" fillId="43" borderId="241" applyNumberFormat="0" applyAlignment="0" applyProtection="0"/>
    <xf numFmtId="0" fontId="41" fillId="59" borderId="243" applyNumberFormat="0" applyFont="0" applyAlignment="0" applyProtection="0"/>
    <xf numFmtId="0" fontId="63" fillId="56" borderId="248" applyNumberFormat="0" applyAlignment="0" applyProtection="0"/>
    <xf numFmtId="0" fontId="66" fillId="0" borderId="242" applyNumberFormat="0" applyFill="0" applyAlignment="0" applyProtection="0"/>
    <xf numFmtId="0" fontId="33" fillId="34" borderId="255">
      <alignment horizontal="right" vertical="center"/>
    </xf>
    <xf numFmtId="0" fontId="1" fillId="0" borderId="0" applyNumberFormat="0" applyFill="0" applyBorder="0" applyAlignment="0" applyProtection="0"/>
    <xf numFmtId="49" fontId="35" fillId="0" borderId="268" applyNumberFormat="0" applyFont="0" applyFill="0" applyBorder="0" applyProtection="0">
      <alignment horizontal="left" vertical="center" indent="2"/>
    </xf>
    <xf numFmtId="0" fontId="31" fillId="0" borderId="0" applyNumberFormat="0" applyFill="0" applyBorder="0" applyAlignment="0" applyProtection="0"/>
    <xf numFmtId="0" fontId="47" fillId="56" borderId="241" applyNumberFormat="0" applyAlignment="0" applyProtection="0"/>
    <xf numFmtId="0" fontId="12" fillId="22" borderId="0" applyNumberFormat="0" applyBorder="0" applyAlignment="0" applyProtection="0"/>
    <xf numFmtId="0" fontId="33" fillId="32" borderId="253">
      <alignment horizontal="right" vertical="center"/>
    </xf>
    <xf numFmtId="4" fontId="33" fillId="34" borderId="253">
      <alignment horizontal="right" vertical="center"/>
    </xf>
    <xf numFmtId="0" fontId="59" fillId="43" borderId="241" applyNumberFormat="0" applyAlignment="0" applyProtection="0"/>
    <xf numFmtId="0" fontId="63" fillId="56" borderId="248" applyNumberFormat="0" applyAlignment="0" applyProtection="0"/>
    <xf numFmtId="0" fontId="66" fillId="0" borderId="242" applyNumberFormat="0" applyFill="0" applyAlignment="0" applyProtection="0"/>
    <xf numFmtId="49" fontId="35" fillId="0" borderId="253" applyNumberFormat="0" applyFont="0" applyFill="0" applyBorder="0" applyProtection="0">
      <alignment horizontal="left" vertical="center" indent="2"/>
    </xf>
    <xf numFmtId="0" fontId="44" fillId="56" borderId="248" applyNumberFormat="0" applyAlignment="0" applyProtection="0"/>
    <xf numFmtId="0" fontId="46" fillId="56" borderId="241" applyNumberFormat="0" applyAlignment="0" applyProtection="0"/>
    <xf numFmtId="0" fontId="51" fillId="0" borderId="242" applyNumberFormat="0" applyFill="0" applyAlignment="0" applyProtection="0"/>
    <xf numFmtId="49" fontId="35" fillId="0" borderId="244" applyNumberFormat="0" applyFont="0" applyFill="0" applyBorder="0" applyProtection="0">
      <alignment horizontal="left" vertical="center" indent="2"/>
    </xf>
    <xf numFmtId="0" fontId="33" fillId="32" borderId="244">
      <alignment horizontal="right" vertical="center"/>
    </xf>
    <xf numFmtId="4" fontId="33" fillId="32" borderId="244">
      <alignment horizontal="right" vertical="center"/>
    </xf>
    <xf numFmtId="0" fontId="37" fillId="32" borderId="244">
      <alignment horizontal="right" vertical="center"/>
    </xf>
    <xf numFmtId="4" fontId="37" fillId="32" borderId="244">
      <alignment horizontal="right" vertical="center"/>
    </xf>
    <xf numFmtId="0" fontId="33" fillId="34" borderId="244">
      <alignment horizontal="right" vertical="center"/>
    </xf>
    <xf numFmtId="4" fontId="33" fillId="34" borderId="244">
      <alignment horizontal="right" vertical="center"/>
    </xf>
    <xf numFmtId="0" fontId="33" fillId="34" borderId="244">
      <alignment horizontal="right" vertical="center"/>
    </xf>
    <xf numFmtId="4" fontId="33" fillId="34" borderId="244">
      <alignment horizontal="right" vertical="center"/>
    </xf>
    <xf numFmtId="0" fontId="50" fillId="43" borderId="241" applyNumberFormat="0" applyAlignment="0" applyProtection="0"/>
    <xf numFmtId="0" fontId="35" fillId="0" borderId="244">
      <alignment horizontal="right" vertical="center"/>
    </xf>
    <xf numFmtId="4" fontId="35" fillId="0" borderId="244">
      <alignment horizontal="right" vertical="center"/>
    </xf>
    <xf numFmtId="4" fontId="35" fillId="0" borderId="244" applyFill="0" applyBorder="0" applyProtection="0">
      <alignment horizontal="right" vertical="center"/>
    </xf>
    <xf numFmtId="49" fontId="34" fillId="0" borderId="244" applyNumberFormat="0" applyFill="0" applyBorder="0" applyProtection="0">
      <alignment horizontal="left" vertical="center"/>
    </xf>
    <xf numFmtId="0" fontId="35" fillId="0" borderId="244" applyNumberFormat="0" applyFill="0" applyAlignment="0" applyProtection="0"/>
    <xf numFmtId="173" fontId="35" fillId="60" borderId="244" applyNumberFormat="0" applyFont="0" applyBorder="0" applyAlignment="0" applyProtection="0">
      <alignment horizontal="right" vertical="center"/>
    </xf>
    <xf numFmtId="0" fontId="35" fillId="33" borderId="244"/>
    <xf numFmtId="4" fontId="35" fillId="33" borderId="244"/>
    <xf numFmtId="4" fontId="33" fillId="34" borderId="244">
      <alignment horizontal="right" vertical="center"/>
    </xf>
    <xf numFmtId="0" fontId="35" fillId="33" borderId="244"/>
    <xf numFmtId="0" fontId="46" fillId="56" borderId="241" applyNumberFormat="0" applyAlignment="0" applyProtection="0"/>
    <xf numFmtId="0" fontId="33" fillId="32" borderId="244">
      <alignment horizontal="right" vertical="center"/>
    </xf>
    <xf numFmtId="0" fontId="35" fillId="0" borderId="244">
      <alignment horizontal="right" vertical="center"/>
    </xf>
    <xf numFmtId="0" fontId="66" fillId="0" borderId="242" applyNumberFormat="0" applyFill="0" applyAlignment="0" applyProtection="0"/>
    <xf numFmtId="0" fontId="35" fillId="32" borderId="245">
      <alignment horizontal="left" vertical="center"/>
    </xf>
    <xf numFmtId="0" fontId="59" fillId="43" borderId="241" applyNumberFormat="0" applyAlignment="0" applyProtection="0"/>
    <xf numFmtId="173" fontId="35" fillId="60" borderId="244" applyNumberFormat="0" applyFont="0" applyBorder="0" applyAlignment="0" applyProtection="0">
      <alignment horizontal="right" vertical="center"/>
    </xf>
    <xf numFmtId="0" fontId="41" fillId="59" borderId="243" applyNumberFormat="0" applyFont="0" applyAlignment="0" applyProtection="0"/>
    <xf numFmtId="0" fontId="35" fillId="0" borderId="247">
      <alignment horizontal="left" vertical="center" wrapText="1" indent="2"/>
    </xf>
    <xf numFmtId="4" fontId="35" fillId="33" borderId="244"/>
    <xf numFmtId="49" fontId="34" fillId="0" borderId="244" applyNumberFormat="0" applyFill="0" applyBorder="0" applyProtection="0">
      <alignment horizontal="left" vertical="center"/>
    </xf>
    <xf numFmtId="0" fontId="35" fillId="0" borderId="244">
      <alignment horizontal="right" vertical="center"/>
    </xf>
    <xf numFmtId="4" fontId="33" fillId="34" borderId="246">
      <alignment horizontal="right" vertical="center"/>
    </xf>
    <xf numFmtId="4" fontId="33" fillId="34" borderId="244">
      <alignment horizontal="right" vertical="center"/>
    </xf>
    <xf numFmtId="4" fontId="33" fillId="34" borderId="244">
      <alignment horizontal="right" vertical="center"/>
    </xf>
    <xf numFmtId="0" fontId="37" fillId="32" borderId="244">
      <alignment horizontal="right" vertical="center"/>
    </xf>
    <xf numFmtId="0" fontId="33" fillId="32" borderId="244">
      <alignment horizontal="right" vertical="center"/>
    </xf>
    <xf numFmtId="49" fontId="35" fillId="0" borderId="244" applyNumberFormat="0" applyFont="0" applyFill="0" applyBorder="0" applyProtection="0">
      <alignment horizontal="left" vertical="center" indent="2"/>
    </xf>
    <xf numFmtId="0" fontId="59" fillId="43" borderId="241" applyNumberFormat="0" applyAlignment="0" applyProtection="0"/>
    <xf numFmtId="0" fontId="44" fillId="56" borderId="248" applyNumberFormat="0" applyAlignment="0" applyProtection="0"/>
    <xf numFmtId="49" fontId="35" fillId="0" borderId="244" applyNumberFormat="0" applyFont="0" applyFill="0" applyBorder="0" applyProtection="0">
      <alignment horizontal="left" vertical="center" indent="2"/>
    </xf>
    <xf numFmtId="0" fontId="50" fillId="43" borderId="241" applyNumberFormat="0" applyAlignment="0" applyProtection="0"/>
    <xf numFmtId="4" fontId="35" fillId="0" borderId="244" applyFill="0" applyBorder="0" applyProtection="0">
      <alignment horizontal="right" vertical="center"/>
    </xf>
    <xf numFmtId="0" fontId="47" fillId="56" borderId="241" applyNumberFormat="0" applyAlignment="0" applyProtection="0"/>
    <xf numFmtId="0" fontId="66" fillId="0" borderId="242" applyNumberFormat="0" applyFill="0" applyAlignment="0" applyProtection="0"/>
    <xf numFmtId="0" fontId="63" fillId="56" borderId="248" applyNumberFormat="0" applyAlignment="0" applyProtection="0"/>
    <xf numFmtId="0" fontId="35" fillId="0" borderId="244" applyNumberFormat="0" applyFill="0" applyAlignment="0" applyProtection="0"/>
    <xf numFmtId="4" fontId="35" fillId="0" borderId="244">
      <alignment horizontal="right" vertical="center"/>
    </xf>
    <xf numFmtId="0" fontId="35" fillId="0" borderId="244">
      <alignment horizontal="right" vertical="center"/>
    </xf>
    <xf numFmtId="0" fontId="59" fillId="43" borderId="241" applyNumberFormat="0" applyAlignment="0" applyProtection="0"/>
    <xf numFmtId="0" fontId="44" fillId="56" borderId="248" applyNumberFormat="0" applyAlignment="0" applyProtection="0"/>
    <xf numFmtId="0" fontId="46" fillId="56" borderId="241" applyNumberFormat="0" applyAlignment="0" applyProtection="0"/>
    <xf numFmtId="0" fontId="35" fillId="34" borderId="247">
      <alignment horizontal="left" vertical="center" wrapText="1" indent="2"/>
    </xf>
    <xf numFmtId="0" fontId="47" fillId="56" borderId="241" applyNumberFormat="0" applyAlignment="0" applyProtection="0"/>
    <xf numFmtId="0" fontId="47" fillId="56" borderId="241" applyNumberFormat="0" applyAlignment="0" applyProtection="0"/>
    <xf numFmtId="4" fontId="33" fillId="34" borderId="245">
      <alignment horizontal="right" vertical="center"/>
    </xf>
    <xf numFmtId="0" fontId="33" fillId="34" borderId="245">
      <alignment horizontal="right" vertical="center"/>
    </xf>
    <xf numFmtId="0" fontId="33" fillId="34" borderId="244">
      <alignment horizontal="right" vertical="center"/>
    </xf>
    <xf numFmtId="4" fontId="37" fillId="32" borderId="244">
      <alignment horizontal="right" vertical="center"/>
    </xf>
    <xf numFmtId="0" fontId="50" fillId="43" borderId="241" applyNumberFormat="0" applyAlignment="0" applyProtection="0"/>
    <xf numFmtId="0" fontId="51" fillId="0" borderId="242" applyNumberFormat="0" applyFill="0" applyAlignment="0" applyProtection="0"/>
    <xf numFmtId="0" fontId="66" fillId="0" borderId="242" applyNumberFormat="0" applyFill="0" applyAlignment="0" applyProtection="0"/>
    <xf numFmtId="0" fontId="41" fillId="59" borderId="243" applyNumberFormat="0" applyFont="0" applyAlignment="0" applyProtection="0"/>
    <xf numFmtId="0" fontId="59" fillId="43" borderId="241" applyNumberFormat="0" applyAlignment="0" applyProtection="0"/>
    <xf numFmtId="49" fontId="34" fillId="0" borderId="244" applyNumberFormat="0" applyFill="0" applyBorder="0" applyProtection="0">
      <alignment horizontal="left" vertical="center"/>
    </xf>
    <xf numFmtId="0" fontId="35" fillId="34" borderId="247">
      <alignment horizontal="left" vertical="center" wrapText="1" indent="2"/>
    </xf>
    <xf numFmtId="0" fontId="47" fillId="56" borderId="241" applyNumberFormat="0" applyAlignment="0" applyProtection="0"/>
    <xf numFmtId="0" fontId="35" fillId="0" borderId="247">
      <alignment horizontal="left" vertical="center" wrapText="1" indent="2"/>
    </xf>
    <xf numFmtId="0" fontId="41" fillId="59" borderId="243" applyNumberFormat="0" applyFont="0" applyAlignment="0" applyProtection="0"/>
    <xf numFmtId="0" fontId="5" fillId="59" borderId="243" applyNumberFormat="0" applyFont="0" applyAlignment="0" applyProtection="0"/>
    <xf numFmtId="0" fontId="63" fillId="56" borderId="248" applyNumberFormat="0" applyAlignment="0" applyProtection="0"/>
    <xf numFmtId="0" fontId="66" fillId="0" borderId="242" applyNumberFormat="0" applyFill="0" applyAlignment="0" applyProtection="0"/>
    <xf numFmtId="4" fontId="35" fillId="33" borderId="244"/>
    <xf numFmtId="0" fontId="33" fillId="34" borderId="244">
      <alignment horizontal="right" vertical="center"/>
    </xf>
    <xf numFmtId="0" fontId="66" fillId="0" borderId="242" applyNumberFormat="0" applyFill="0" applyAlignment="0" applyProtection="0"/>
    <xf numFmtId="4" fontId="33" fillId="34" borderId="246">
      <alignment horizontal="right" vertical="center"/>
    </xf>
    <xf numFmtId="0" fontId="46" fillId="56" borderId="241" applyNumberFormat="0" applyAlignment="0" applyProtection="0"/>
    <xf numFmtId="0" fontId="33" fillId="34" borderId="245">
      <alignment horizontal="right" vertical="center"/>
    </xf>
    <xf numFmtId="0" fontId="47" fillId="56" borderId="241" applyNumberFormat="0" applyAlignment="0" applyProtection="0"/>
    <xf numFmtId="0" fontId="51" fillId="0" borderId="242" applyNumberFormat="0" applyFill="0" applyAlignment="0" applyProtection="0"/>
    <xf numFmtId="0" fontId="41" fillId="59" borderId="243" applyNumberFormat="0" applyFont="0" applyAlignment="0" applyProtection="0"/>
    <xf numFmtId="4" fontId="33" fillId="34" borderId="245">
      <alignment horizontal="right" vertical="center"/>
    </xf>
    <xf numFmtId="0" fontId="35" fillId="34" borderId="247">
      <alignment horizontal="left" vertical="center" wrapText="1" indent="2"/>
    </xf>
    <xf numFmtId="0" fontId="35" fillId="33" borderId="244"/>
    <xf numFmtId="173" fontId="35" fillId="60" borderId="244" applyNumberFormat="0" applyFont="0" applyBorder="0" applyAlignment="0" applyProtection="0">
      <alignment horizontal="right" vertical="center"/>
    </xf>
    <xf numFmtId="0" fontId="35" fillId="0" borderId="244" applyNumberFormat="0" applyFill="0" applyAlignment="0" applyProtection="0"/>
    <xf numFmtId="4" fontId="35" fillId="0" borderId="244" applyFill="0" applyBorder="0" applyProtection="0">
      <alignment horizontal="right" vertical="center"/>
    </xf>
    <xf numFmtId="4" fontId="33" fillId="32" borderId="244">
      <alignment horizontal="right" vertical="center"/>
    </xf>
    <xf numFmtId="0" fontId="51" fillId="0" borderId="242" applyNumberFormat="0" applyFill="0" applyAlignment="0" applyProtection="0"/>
    <xf numFmtId="49" fontId="34" fillId="0" borderId="244" applyNumberFormat="0" applyFill="0" applyBorder="0" applyProtection="0">
      <alignment horizontal="left" vertical="center"/>
    </xf>
    <xf numFmtId="49" fontId="35" fillId="0" borderId="245" applyNumberFormat="0" applyFont="0" applyFill="0" applyBorder="0" applyProtection="0">
      <alignment horizontal="left" vertical="center" indent="5"/>
    </xf>
    <xf numFmtId="0" fontId="35" fillId="32" borderId="245">
      <alignment horizontal="left" vertical="center"/>
    </xf>
    <xf numFmtId="0" fontId="47" fillId="56" borderId="241" applyNumberFormat="0" applyAlignment="0" applyProtection="0"/>
    <xf numFmtId="4" fontId="33" fillId="34" borderId="246">
      <alignment horizontal="right" vertical="center"/>
    </xf>
    <xf numFmtId="0" fontId="59" fillId="43" borderId="241" applyNumberFormat="0" applyAlignment="0" applyProtection="0"/>
    <xf numFmtId="0" fontId="59" fillId="43" borderId="241" applyNumberFormat="0" applyAlignment="0" applyProtection="0"/>
    <xf numFmtId="0" fontId="41" fillId="59" borderId="243" applyNumberFormat="0" applyFont="0" applyAlignment="0" applyProtection="0"/>
    <xf numFmtId="0" fontId="63" fillId="56" borderId="248" applyNumberFormat="0" applyAlignment="0" applyProtection="0"/>
    <xf numFmtId="0" fontId="66" fillId="0" borderId="242" applyNumberFormat="0" applyFill="0" applyAlignment="0" applyProtection="0"/>
    <xf numFmtId="0" fontId="33" fillId="34" borderId="244">
      <alignment horizontal="right" vertical="center"/>
    </xf>
    <xf numFmtId="0" fontId="5" fillId="59" borderId="243" applyNumberFormat="0" applyFont="0" applyAlignment="0" applyProtection="0"/>
    <xf numFmtId="4" fontId="35" fillId="0" borderId="244">
      <alignment horizontal="right" vertical="center"/>
    </xf>
    <xf numFmtId="0" fontId="66" fillId="0" borderId="242" applyNumberFormat="0" applyFill="0" applyAlignment="0" applyProtection="0"/>
    <xf numFmtId="0" fontId="33" fillId="34" borderId="244">
      <alignment horizontal="right" vertical="center"/>
    </xf>
    <xf numFmtId="0" fontId="33" fillId="34" borderId="244">
      <alignment horizontal="right" vertical="center"/>
    </xf>
    <xf numFmtId="4" fontId="37" fillId="32" borderId="244">
      <alignment horizontal="right" vertical="center"/>
    </xf>
    <xf numFmtId="0" fontId="33" fillId="32" borderId="244">
      <alignment horizontal="right" vertical="center"/>
    </xf>
    <xf numFmtId="4" fontId="33" fillId="32" borderId="244">
      <alignment horizontal="right" vertical="center"/>
    </xf>
    <xf numFmtId="0" fontId="37" fillId="32" borderId="244">
      <alignment horizontal="right" vertical="center"/>
    </xf>
    <xf numFmtId="4" fontId="37" fillId="32" borderId="244">
      <alignment horizontal="right" vertical="center"/>
    </xf>
    <xf numFmtId="0" fontId="33" fillId="34" borderId="244">
      <alignment horizontal="right" vertical="center"/>
    </xf>
    <xf numFmtId="4" fontId="33" fillId="34" borderId="244">
      <alignment horizontal="right" vertical="center"/>
    </xf>
    <xf numFmtId="0" fontId="33" fillId="34" borderId="244">
      <alignment horizontal="right" vertical="center"/>
    </xf>
    <xf numFmtId="4" fontId="33" fillId="34" borderId="244">
      <alignment horizontal="right" vertical="center"/>
    </xf>
    <xf numFmtId="0" fontId="33" fillId="34" borderId="245">
      <alignment horizontal="right" vertical="center"/>
    </xf>
    <xf numFmtId="4" fontId="33" fillId="34" borderId="245">
      <alignment horizontal="right" vertical="center"/>
    </xf>
    <xf numFmtId="0" fontId="33" fillId="34" borderId="246">
      <alignment horizontal="right" vertical="center"/>
    </xf>
    <xf numFmtId="4" fontId="33" fillId="34" borderId="246">
      <alignment horizontal="right" vertical="center"/>
    </xf>
    <xf numFmtId="0" fontId="47" fillId="56" borderId="241" applyNumberFormat="0" applyAlignment="0" applyProtection="0"/>
    <xf numFmtId="0" fontId="35" fillId="34" borderId="247">
      <alignment horizontal="left" vertical="center" wrapText="1" indent="2"/>
    </xf>
    <xf numFmtId="0" fontId="35" fillId="0" borderId="247">
      <alignment horizontal="left" vertical="center" wrapText="1" indent="2"/>
    </xf>
    <xf numFmtId="0" fontId="35" fillId="32" borderId="245">
      <alignment horizontal="left" vertical="center"/>
    </xf>
    <xf numFmtId="0" fontId="59" fillId="43" borderId="241" applyNumberFormat="0" applyAlignment="0" applyProtection="0"/>
    <xf numFmtId="0" fontId="35" fillId="0" borderId="244">
      <alignment horizontal="right" vertical="center"/>
    </xf>
    <xf numFmtId="4" fontId="35" fillId="0" borderId="244">
      <alignment horizontal="right" vertical="center"/>
    </xf>
    <xf numFmtId="0" fontId="35" fillId="0" borderId="244" applyNumberFormat="0" applyFill="0" applyAlignment="0" applyProtection="0"/>
    <xf numFmtId="0" fontId="63" fillId="56" borderId="248" applyNumberFormat="0" applyAlignment="0" applyProtection="0"/>
    <xf numFmtId="173" fontId="35" fillId="60" borderId="244" applyNumberFormat="0" applyFont="0" applyBorder="0" applyAlignment="0" applyProtection="0">
      <alignment horizontal="right" vertical="center"/>
    </xf>
    <xf numFmtId="0" fontId="35" fillId="33" borderId="244"/>
    <xf numFmtId="4" fontId="35" fillId="33" borderId="244"/>
    <xf numFmtId="0" fontId="66" fillId="0" borderId="242" applyNumberFormat="0" applyFill="0" applyAlignment="0" applyProtection="0"/>
    <xf numFmtId="0" fontId="5" fillId="59" borderId="243" applyNumberFormat="0" applyFont="0" applyAlignment="0" applyProtection="0"/>
    <xf numFmtId="0" fontId="41" fillId="59" borderId="243" applyNumberFormat="0" applyFont="0" applyAlignment="0" applyProtection="0"/>
    <xf numFmtId="0" fontId="35" fillId="0" borderId="244" applyNumberFormat="0" applyFill="0" applyAlignment="0" applyProtection="0"/>
    <xf numFmtId="0" fontId="51" fillId="0" borderId="242" applyNumberFormat="0" applyFill="0" applyAlignment="0" applyProtection="0"/>
    <xf numFmtId="0" fontId="66" fillId="0" borderId="242" applyNumberFormat="0" applyFill="0" applyAlignment="0" applyProtection="0"/>
    <xf numFmtId="0" fontId="50" fillId="43" borderId="241" applyNumberFormat="0" applyAlignment="0" applyProtection="0"/>
    <xf numFmtId="0" fontId="47" fillId="56" borderId="241" applyNumberFormat="0" applyAlignment="0" applyProtection="0"/>
    <xf numFmtId="4" fontId="37" fillId="32" borderId="244">
      <alignment horizontal="right" vertical="center"/>
    </xf>
    <xf numFmtId="0" fontId="33" fillId="32" borderId="244">
      <alignment horizontal="right" vertical="center"/>
    </xf>
    <xf numFmtId="173" fontId="35" fillId="60" borderId="244" applyNumberFormat="0" applyFont="0" applyBorder="0" applyAlignment="0" applyProtection="0">
      <alignment horizontal="right" vertical="center"/>
    </xf>
    <xf numFmtId="0" fontId="51" fillId="0" borderId="242" applyNumberFormat="0" applyFill="0" applyAlignment="0" applyProtection="0"/>
    <xf numFmtId="49" fontId="35" fillId="0" borderId="244" applyNumberFormat="0" applyFont="0" applyFill="0" applyBorder="0" applyProtection="0">
      <alignment horizontal="left" vertical="center" indent="2"/>
    </xf>
    <xf numFmtId="49" fontId="35" fillId="0" borderId="245" applyNumberFormat="0" applyFont="0" applyFill="0" applyBorder="0" applyProtection="0">
      <alignment horizontal="left" vertical="center" indent="5"/>
    </xf>
    <xf numFmtId="49" fontId="35" fillId="0" borderId="244" applyNumberFormat="0" applyFont="0" applyFill="0" applyBorder="0" applyProtection="0">
      <alignment horizontal="left" vertical="center" indent="2"/>
    </xf>
    <xf numFmtId="4" fontId="35" fillId="0" borderId="244" applyFill="0" applyBorder="0" applyProtection="0">
      <alignment horizontal="right" vertical="center"/>
    </xf>
    <xf numFmtId="49" fontId="34" fillId="0" borderId="244" applyNumberFormat="0" applyFill="0" applyBorder="0" applyProtection="0">
      <alignment horizontal="left" vertical="center"/>
    </xf>
    <xf numFmtId="0" fontId="35" fillId="0" borderId="247">
      <alignment horizontal="left" vertical="center" wrapText="1" indent="2"/>
    </xf>
    <xf numFmtId="0" fontId="63" fillId="56" borderId="248" applyNumberFormat="0" applyAlignment="0" applyProtection="0"/>
    <xf numFmtId="0" fontId="33" fillId="34" borderId="246">
      <alignment horizontal="right" vertical="center"/>
    </xf>
    <xf numFmtId="0" fontId="50" fillId="43" borderId="241" applyNumberFormat="0" applyAlignment="0" applyProtection="0"/>
    <xf numFmtId="0" fontId="33" fillId="34" borderId="246">
      <alignment horizontal="right" vertical="center"/>
    </xf>
    <xf numFmtId="4" fontId="33" fillId="34" borderId="244">
      <alignment horizontal="right" vertical="center"/>
    </xf>
    <xf numFmtId="0" fontId="33" fillId="34" borderId="244">
      <alignment horizontal="right" vertical="center"/>
    </xf>
    <xf numFmtId="0" fontId="44" fillId="56" borderId="248" applyNumberFormat="0" applyAlignment="0" applyProtection="0"/>
    <xf numFmtId="0" fontId="46" fillId="56" borderId="241" applyNumberFormat="0" applyAlignment="0" applyProtection="0"/>
    <xf numFmtId="0" fontId="51" fillId="0" borderId="242" applyNumberFormat="0" applyFill="0" applyAlignment="0" applyProtection="0"/>
    <xf numFmtId="0" fontId="35" fillId="33" borderId="244"/>
    <xf numFmtId="4" fontId="35" fillId="33" borderId="244"/>
    <xf numFmtId="4" fontId="33" fillId="34" borderId="244">
      <alignment horizontal="right" vertical="center"/>
    </xf>
    <xf numFmtId="0" fontId="37" fillId="32" borderId="244">
      <alignment horizontal="right" vertical="center"/>
    </xf>
    <xf numFmtId="0" fontId="50" fillId="43" borderId="241" applyNumberFormat="0" applyAlignment="0" applyProtection="0"/>
    <xf numFmtId="0" fontId="47" fillId="56" borderId="241" applyNumberFormat="0" applyAlignment="0" applyProtection="0"/>
    <xf numFmtId="4" fontId="35" fillId="0" borderId="244">
      <alignment horizontal="right" vertical="center"/>
    </xf>
    <xf numFmtId="0" fontId="35" fillId="34" borderId="247">
      <alignment horizontal="left" vertical="center" wrapText="1" indent="2"/>
    </xf>
    <xf numFmtId="0" fontId="35" fillId="0" borderId="247">
      <alignment horizontal="left" vertical="center" wrapText="1" indent="2"/>
    </xf>
    <xf numFmtId="0" fontId="63" fillId="56" borderId="248" applyNumberFormat="0" applyAlignment="0" applyProtection="0"/>
    <xf numFmtId="0" fontId="59" fillId="43" borderId="241" applyNumberFormat="0" applyAlignment="0" applyProtection="0"/>
    <xf numFmtId="0" fontId="46" fillId="56" borderId="241" applyNumberFormat="0" applyAlignment="0" applyProtection="0"/>
    <xf numFmtId="0" fontId="44" fillId="56" borderId="248" applyNumberFormat="0" applyAlignment="0" applyProtection="0"/>
    <xf numFmtId="0" fontId="33" fillId="34" borderId="246">
      <alignment horizontal="right" vertical="center"/>
    </xf>
    <xf numFmtId="0" fontId="37" fillId="32" borderId="244">
      <alignment horizontal="right" vertical="center"/>
    </xf>
    <xf numFmtId="4" fontId="33" fillId="32" borderId="244">
      <alignment horizontal="right" vertical="center"/>
    </xf>
    <xf numFmtId="4" fontId="33" fillId="34" borderId="244">
      <alignment horizontal="right" vertical="center"/>
    </xf>
    <xf numFmtId="49" fontId="35" fillId="0" borderId="245" applyNumberFormat="0" applyFont="0" applyFill="0" applyBorder="0" applyProtection="0">
      <alignment horizontal="left" vertical="center" indent="5"/>
    </xf>
    <xf numFmtId="4" fontId="35" fillId="0" borderId="244" applyFill="0" applyBorder="0" applyProtection="0">
      <alignment horizontal="right" vertical="center"/>
    </xf>
    <xf numFmtId="4" fontId="33" fillId="32" borderId="244">
      <alignment horizontal="right" vertical="center"/>
    </xf>
    <xf numFmtId="0" fontId="59" fillId="43" borderId="241" applyNumberFormat="0" applyAlignment="0" applyProtection="0"/>
    <xf numFmtId="0" fontId="50" fillId="43" borderId="241" applyNumberFormat="0" applyAlignment="0" applyProtection="0"/>
    <xf numFmtId="0" fontId="46" fillId="56" borderId="241" applyNumberFormat="0" applyAlignment="0" applyProtection="0"/>
    <xf numFmtId="0" fontId="35" fillId="34" borderId="247">
      <alignment horizontal="left" vertical="center" wrapText="1" indent="2"/>
    </xf>
    <xf numFmtId="0" fontId="35" fillId="0" borderId="247">
      <alignment horizontal="left" vertical="center" wrapText="1" indent="2"/>
    </xf>
    <xf numFmtId="0" fontId="35" fillId="34" borderId="247">
      <alignment horizontal="left" vertical="center" wrapText="1" indent="2"/>
    </xf>
    <xf numFmtId="0" fontId="35" fillId="34" borderId="285">
      <alignment horizontal="left" vertical="center" wrapText="1" indent="2"/>
    </xf>
    <xf numFmtId="4" fontId="37" fillId="32" borderId="253">
      <alignment horizontal="right" vertical="center"/>
    </xf>
    <xf numFmtId="4" fontId="33" fillId="34" borderId="253">
      <alignment horizontal="right" vertical="center"/>
    </xf>
    <xf numFmtId="0" fontId="47" fillId="56" borderId="250" applyNumberFormat="0" applyAlignment="0" applyProtection="0"/>
    <xf numFmtId="0" fontId="66" fillId="0" borderId="251" applyNumberFormat="0" applyFill="0" applyAlignment="0" applyProtection="0"/>
    <xf numFmtId="4" fontId="33" fillId="34" borderId="253">
      <alignment horizontal="right" vertical="center"/>
    </xf>
    <xf numFmtId="4" fontId="37" fillId="32" borderId="253">
      <alignment horizontal="right" vertical="center"/>
    </xf>
    <xf numFmtId="0" fontId="47" fillId="56" borderId="265" applyNumberFormat="0" applyAlignment="0" applyProtection="0"/>
    <xf numFmtId="0" fontId="51" fillId="0" borderId="251" applyNumberFormat="0" applyFill="0" applyAlignment="0" applyProtection="0"/>
    <xf numFmtId="0" fontId="50" fillId="43" borderId="250" applyNumberFormat="0" applyAlignment="0" applyProtection="0"/>
    <xf numFmtId="0" fontId="63" fillId="56" borderId="249" applyNumberFormat="0" applyAlignment="0" applyProtection="0"/>
    <xf numFmtId="0" fontId="44" fillId="56" borderId="249" applyNumberFormat="0" applyAlignment="0" applyProtection="0"/>
    <xf numFmtId="0" fontId="5" fillId="59" borderId="257" applyNumberFormat="0" applyFont="0" applyAlignment="0" applyProtection="0"/>
    <xf numFmtId="0" fontId="35" fillId="0" borderId="261">
      <alignment horizontal="left" vertical="center" wrapText="1" indent="2"/>
    </xf>
    <xf numFmtId="0" fontId="2" fillId="0" borderId="15" applyNumberFormat="0" applyFill="0" applyAlignment="0" applyProtection="0"/>
    <xf numFmtId="0" fontId="47" fillId="56" borderId="250" applyNumberFormat="0" applyAlignment="0" applyProtection="0"/>
    <xf numFmtId="0" fontId="35" fillId="0" borderId="261">
      <alignment horizontal="left" vertical="center" wrapText="1" indent="2"/>
    </xf>
    <xf numFmtId="0" fontId="35" fillId="34" borderId="261">
      <alignment horizontal="left" vertical="center" wrapText="1" indent="2"/>
    </xf>
    <xf numFmtId="0" fontId="33" fillId="34" borderId="258">
      <alignment horizontal="right" vertical="center"/>
    </xf>
    <xf numFmtId="0" fontId="51" fillId="0" borderId="251" applyNumberFormat="0" applyFill="0" applyAlignment="0" applyProtection="0"/>
    <xf numFmtId="0" fontId="63" fillId="56" borderId="249" applyNumberFormat="0" applyAlignment="0" applyProtection="0"/>
    <xf numFmtId="4" fontId="35" fillId="0" borderId="253" applyFill="0" applyBorder="0" applyProtection="0">
      <alignment horizontal="right" vertical="center"/>
    </xf>
    <xf numFmtId="0" fontId="46" fillId="56" borderId="250" applyNumberFormat="0" applyAlignment="0" applyProtection="0"/>
    <xf numFmtId="0" fontId="63" fillId="56" borderId="249" applyNumberFormat="0" applyAlignment="0" applyProtection="0"/>
    <xf numFmtId="0" fontId="35" fillId="34" borderId="256">
      <alignment horizontal="left" vertical="center" wrapText="1" indent="2"/>
    </xf>
    <xf numFmtId="0" fontId="59" fillId="43" borderId="250" applyNumberFormat="0" applyAlignment="0" applyProtection="0"/>
    <xf numFmtId="0" fontId="5" fillId="59" borderId="252" applyNumberFormat="0" applyFont="0" applyAlignment="0" applyProtection="0"/>
    <xf numFmtId="4" fontId="37" fillId="32" borderId="253">
      <alignment horizontal="right" vertical="center"/>
    </xf>
    <xf numFmtId="0" fontId="33" fillId="34" borderId="253">
      <alignment horizontal="right" vertical="center"/>
    </xf>
    <xf numFmtId="0" fontId="50" fillId="43" borderId="250" applyNumberFormat="0" applyAlignment="0" applyProtection="0"/>
    <xf numFmtId="173" fontId="35" fillId="60" borderId="253" applyNumberFormat="0" applyFont="0" applyBorder="0" applyAlignment="0" applyProtection="0">
      <alignment horizontal="right" vertical="center"/>
    </xf>
    <xf numFmtId="49" fontId="35" fillId="0" borderId="253" applyNumberFormat="0" applyFont="0" applyFill="0" applyBorder="0" applyProtection="0">
      <alignment horizontal="left" vertical="center" indent="2"/>
    </xf>
    <xf numFmtId="4" fontId="33" fillId="34" borderId="258">
      <alignment horizontal="right" vertical="center"/>
    </xf>
    <xf numFmtId="0" fontId="35" fillId="34" borderId="277">
      <alignment horizontal="left" vertical="center" wrapText="1" indent="2"/>
    </xf>
    <xf numFmtId="0" fontId="50" fillId="43" borderId="265" applyNumberFormat="0" applyAlignment="0" applyProtection="0"/>
    <xf numFmtId="49" fontId="34" fillId="0" borderId="268" applyNumberFormat="0" applyFill="0" applyBorder="0" applyProtection="0">
      <alignment horizontal="left" vertical="center"/>
    </xf>
    <xf numFmtId="0" fontId="35" fillId="33" borderId="253"/>
    <xf numFmtId="0" fontId="35" fillId="0" borderId="253">
      <alignment horizontal="right" vertical="center"/>
    </xf>
    <xf numFmtId="0" fontId="66" fillId="0" borderId="264" applyNumberFormat="0" applyFill="0" applyAlignment="0" applyProtection="0"/>
    <xf numFmtId="0" fontId="33" fillId="34" borderId="270">
      <alignment horizontal="right" vertical="center"/>
    </xf>
    <xf numFmtId="0" fontId="35" fillId="32" borderId="283">
      <alignment horizontal="left" vertical="center"/>
    </xf>
    <xf numFmtId="0" fontId="44" fillId="56" borderId="286" applyNumberFormat="0" applyAlignment="0" applyProtection="0"/>
    <xf numFmtId="0" fontId="12" fillId="19" borderId="0" applyNumberFormat="0" applyBorder="0" applyAlignment="0" applyProtection="0"/>
    <xf numFmtId="4" fontId="37" fillId="32" borderId="258">
      <alignment horizontal="right" vertical="center"/>
    </xf>
    <xf numFmtId="0" fontId="27" fillId="27" borderId="0" applyNumberFormat="0" applyBorder="0" applyAlignment="0" applyProtection="0"/>
    <xf numFmtId="0" fontId="27" fillId="18" borderId="0" applyNumberFormat="0" applyBorder="0" applyAlignment="0" applyProtection="0"/>
    <xf numFmtId="0" fontId="59" fillId="43" borderId="279" applyNumberFormat="0" applyAlignment="0" applyProtection="0"/>
    <xf numFmtId="4" fontId="35" fillId="0" borderId="258">
      <alignment horizontal="right" vertical="center"/>
    </xf>
    <xf numFmtId="0" fontId="59" fillId="43" borderId="263" applyNumberFormat="0" applyAlignment="0" applyProtection="0"/>
    <xf numFmtId="0" fontId="33" fillId="32" borderId="268">
      <alignment horizontal="right" vertical="center"/>
    </xf>
    <xf numFmtId="0" fontId="27" fillId="30" borderId="0" applyNumberFormat="0" applyBorder="0" applyAlignment="0" applyProtection="0"/>
    <xf numFmtId="4" fontId="33" fillId="34" borderId="253">
      <alignment horizontal="right" vertical="center"/>
    </xf>
    <xf numFmtId="0" fontId="44" fillId="56" borderId="272" applyNumberFormat="0" applyAlignment="0" applyProtection="0"/>
    <xf numFmtId="0" fontId="35" fillId="34" borderId="285">
      <alignment horizontal="left" vertical="center" wrapText="1" indent="2"/>
    </xf>
    <xf numFmtId="0" fontId="50" fillId="43" borderId="263" applyNumberFormat="0" applyAlignment="0" applyProtection="0"/>
    <xf numFmtId="0" fontId="66" fillId="0" borderId="290" applyNumberFormat="0" applyFill="0" applyAlignment="0" applyProtection="0"/>
    <xf numFmtId="0" fontId="35" fillId="33" borderId="282"/>
    <xf numFmtId="0" fontId="50" fillId="43" borderId="265" applyNumberFormat="0" applyAlignment="0" applyProtection="0"/>
    <xf numFmtId="0" fontId="35" fillId="0" borderId="258" applyNumberFormat="0" applyFill="0" applyAlignment="0" applyProtection="0"/>
    <xf numFmtId="49" fontId="34" fillId="0" borderId="258" applyNumberFormat="0" applyFill="0" applyBorder="0" applyProtection="0">
      <alignment horizontal="left" vertical="center"/>
    </xf>
    <xf numFmtId="0" fontId="33" fillId="34" borderId="268">
      <alignment horizontal="right" vertical="center"/>
    </xf>
    <xf numFmtId="0" fontId="51" fillId="0" borderId="251" applyNumberFormat="0" applyFill="0" applyAlignment="0" applyProtection="0"/>
    <xf numFmtId="0" fontId="35" fillId="0" borderId="256">
      <alignment horizontal="left" vertical="center" wrapText="1" indent="2"/>
    </xf>
    <xf numFmtId="0" fontId="33" fillId="34" borderId="270">
      <alignment horizontal="right" vertical="center"/>
    </xf>
    <xf numFmtId="0" fontId="27" fillId="21" borderId="0" applyNumberFormat="0" applyBorder="0" applyAlignment="0" applyProtection="0"/>
    <xf numFmtId="0" fontId="66" fillId="0" borderId="251" applyNumberFormat="0" applyFill="0" applyAlignment="0" applyProtection="0"/>
    <xf numFmtId="4" fontId="33" fillId="34" borderId="275">
      <alignment horizontal="right" vertical="center"/>
    </xf>
    <xf numFmtId="0" fontId="2" fillId="0" borderId="15" applyNumberFormat="0" applyFill="0" applyAlignment="0" applyProtection="0"/>
    <xf numFmtId="0" fontId="33" fillId="34" borderId="258">
      <alignment horizontal="right" vertical="center"/>
    </xf>
    <xf numFmtId="0" fontId="63" fillId="56" borderId="262" applyNumberFormat="0" applyAlignment="0" applyProtection="0"/>
    <xf numFmtId="0" fontId="63" fillId="56" borderId="249" applyNumberFormat="0" applyAlignment="0" applyProtection="0"/>
    <xf numFmtId="173" fontId="35" fillId="60" borderId="253" applyNumberFormat="0" applyFont="0" applyBorder="0" applyAlignment="0" applyProtection="0">
      <alignment horizontal="right" vertical="center"/>
    </xf>
    <xf numFmtId="0" fontId="59" fillId="43" borderId="263" applyNumberFormat="0" applyAlignment="0" applyProtection="0"/>
    <xf numFmtId="0" fontId="12" fillId="28" borderId="0" applyNumberFormat="0" applyBorder="0" applyAlignment="0" applyProtection="0"/>
    <xf numFmtId="0" fontId="35" fillId="0" borderId="282">
      <alignment horizontal="right" vertical="center"/>
    </xf>
    <xf numFmtId="0" fontId="12" fillId="16" borderId="0" applyNumberFormat="0" applyBorder="0" applyAlignment="0" applyProtection="0"/>
    <xf numFmtId="0" fontId="51" fillId="0" borderId="264" applyNumberFormat="0" applyFill="0" applyAlignment="0" applyProtection="0"/>
    <xf numFmtId="0" fontId="37" fillId="32" borderId="268">
      <alignment horizontal="right" vertical="center"/>
    </xf>
    <xf numFmtId="0" fontId="66" fillId="0" borderId="264" applyNumberFormat="0" applyFill="0" applyAlignment="0" applyProtection="0"/>
    <xf numFmtId="0" fontId="27" fillId="29" borderId="0" applyNumberFormat="0" applyBorder="0" applyAlignment="0" applyProtection="0"/>
    <xf numFmtId="0" fontId="59" fillId="43" borderId="265" applyNumberFormat="0" applyAlignment="0" applyProtection="0"/>
    <xf numFmtId="0" fontId="27" fillId="21" borderId="0" applyNumberFormat="0" applyBorder="0" applyAlignment="0" applyProtection="0"/>
    <xf numFmtId="49" fontId="35" fillId="0" borderId="253" applyNumberFormat="0" applyFont="0" applyFill="0" applyBorder="0" applyProtection="0">
      <alignment horizontal="left" vertical="center" indent="2"/>
    </xf>
    <xf numFmtId="4" fontId="35" fillId="0" borderId="253" applyFill="0" applyBorder="0" applyProtection="0">
      <alignment horizontal="right" vertical="center"/>
    </xf>
    <xf numFmtId="4" fontId="33" fillId="32" borderId="253">
      <alignment horizontal="right" vertical="center"/>
    </xf>
    <xf numFmtId="4" fontId="35" fillId="33" borderId="268"/>
    <xf numFmtId="0" fontId="27" fillId="26" borderId="0" applyNumberFormat="0" applyBorder="0" applyAlignment="0" applyProtection="0"/>
    <xf numFmtId="4" fontId="33" fillId="32" borderId="258">
      <alignment horizontal="right" vertical="center"/>
    </xf>
    <xf numFmtId="4" fontId="35" fillId="33" borderId="253"/>
    <xf numFmtId="4" fontId="35" fillId="0" borderId="282" applyFill="0" applyBorder="0" applyProtection="0">
      <alignment horizontal="right" vertical="center"/>
    </xf>
    <xf numFmtId="4" fontId="35" fillId="0" borderId="268" applyFill="0" applyBorder="0" applyProtection="0">
      <alignment horizontal="right" vertical="center"/>
    </xf>
    <xf numFmtId="4" fontId="35" fillId="0" borderId="274" applyFill="0" applyBorder="0" applyProtection="0">
      <alignment horizontal="right" vertical="center"/>
    </xf>
    <xf numFmtId="0" fontId="27" fillId="21" borderId="0" applyNumberFormat="0" applyBorder="0" applyAlignment="0" applyProtection="0"/>
    <xf numFmtId="0" fontId="33" fillId="34" borderId="255">
      <alignment horizontal="right" vertical="center"/>
    </xf>
    <xf numFmtId="4" fontId="33" fillId="34" borderId="282">
      <alignment horizontal="right" vertical="center"/>
    </xf>
    <xf numFmtId="0" fontId="41" fillId="59" borderId="252" applyNumberFormat="0" applyFont="0" applyAlignment="0" applyProtection="0"/>
    <xf numFmtId="4" fontId="33" fillId="34" borderId="274">
      <alignment horizontal="right" vertical="center"/>
    </xf>
    <xf numFmtId="0" fontId="35" fillId="0" borderId="253">
      <alignment horizontal="right" vertical="center"/>
    </xf>
    <xf numFmtId="4" fontId="35" fillId="33" borderId="253"/>
    <xf numFmtId="0" fontId="41" fillId="59" borderId="252" applyNumberFormat="0" applyFont="0" applyAlignment="0" applyProtection="0"/>
    <xf numFmtId="4" fontId="33" fillId="34" borderId="253">
      <alignment horizontal="right" vertical="center"/>
    </xf>
    <xf numFmtId="0" fontId="63" fillId="56" borderId="262" applyNumberFormat="0" applyAlignment="0" applyProtection="0"/>
    <xf numFmtId="4" fontId="33" fillId="34" borderId="258">
      <alignment horizontal="right" vertical="center"/>
    </xf>
    <xf numFmtId="0" fontId="44" fillId="56" borderId="262" applyNumberFormat="0" applyAlignment="0" applyProtection="0"/>
    <xf numFmtId="0" fontId="33" fillId="34" borderId="259">
      <alignment horizontal="right" vertical="center"/>
    </xf>
    <xf numFmtId="0" fontId="63" fillId="56" borderId="249" applyNumberFormat="0" applyAlignment="0" applyProtection="0"/>
    <xf numFmtId="49" fontId="35" fillId="0" borderId="254" applyNumberFormat="0" applyFont="0" applyFill="0" applyBorder="0" applyProtection="0">
      <alignment horizontal="left" vertical="center" indent="5"/>
    </xf>
    <xf numFmtId="0" fontId="59" fillId="43" borderId="263" applyNumberFormat="0" applyAlignment="0" applyProtection="0"/>
    <xf numFmtId="49" fontId="35" fillId="0" borderId="254" applyNumberFormat="0" applyFont="0" applyFill="0" applyBorder="0" applyProtection="0">
      <alignment horizontal="left" vertical="center" indent="5"/>
    </xf>
    <xf numFmtId="4" fontId="35" fillId="0" borderId="268">
      <alignment horizontal="right" vertical="center"/>
    </xf>
    <xf numFmtId="0" fontId="33" fillId="32" borderId="258">
      <alignment horizontal="right" vertical="center"/>
    </xf>
    <xf numFmtId="0" fontId="33" fillId="32" borderId="253">
      <alignment horizontal="right" vertical="center"/>
    </xf>
    <xf numFmtId="0" fontId="41" fillId="59" borderId="281" applyNumberFormat="0" applyFont="0" applyAlignment="0" applyProtection="0"/>
    <xf numFmtId="0" fontId="59" fillId="43" borderId="250" applyNumberFormat="0" applyAlignment="0" applyProtection="0"/>
    <xf numFmtId="0" fontId="47" fillId="56" borderId="250" applyNumberFormat="0" applyAlignment="0" applyProtection="0"/>
    <xf numFmtId="0" fontId="35" fillId="34" borderId="256">
      <alignment horizontal="left" vertical="center" wrapText="1" indent="2"/>
    </xf>
    <xf numFmtId="4" fontId="33" fillId="34" borderId="274">
      <alignment horizontal="right" vertical="center"/>
    </xf>
    <xf numFmtId="0" fontId="51" fillId="0" borderId="251" applyNumberFormat="0" applyFill="0" applyAlignment="0" applyProtection="0"/>
    <xf numFmtId="0" fontId="35" fillId="34" borderId="277">
      <alignment horizontal="left" vertical="center" wrapText="1" indent="2"/>
    </xf>
    <xf numFmtId="0" fontId="51" fillId="0" borderId="264" applyNumberFormat="0" applyFill="0" applyAlignment="0" applyProtection="0"/>
    <xf numFmtId="4" fontId="35" fillId="33" borderId="268"/>
    <xf numFmtId="0" fontId="50" fillId="43" borderId="265" applyNumberFormat="0" applyAlignment="0" applyProtection="0"/>
    <xf numFmtId="0" fontId="46" fillId="56" borderId="250" applyNumberFormat="0" applyAlignment="0" applyProtection="0"/>
    <xf numFmtId="4" fontId="33" fillId="34" borderId="270">
      <alignment horizontal="right" vertical="center"/>
    </xf>
    <xf numFmtId="0" fontId="37" fillId="32" borderId="253">
      <alignment horizontal="right" vertical="center"/>
    </xf>
    <xf numFmtId="0" fontId="47" fillId="56" borderId="263" applyNumberFormat="0" applyAlignment="0" applyProtection="0"/>
    <xf numFmtId="0" fontId="27" fillId="20" borderId="0" applyNumberFormat="0" applyBorder="0" applyAlignment="0" applyProtection="0"/>
    <xf numFmtId="0" fontId="35" fillId="0" borderId="258">
      <alignment horizontal="right" vertical="center"/>
    </xf>
    <xf numFmtId="0" fontId="33" fillId="34" borderId="254">
      <alignment horizontal="right" vertical="center"/>
    </xf>
    <xf numFmtId="0" fontId="35" fillId="0" borderId="258">
      <alignment horizontal="right" vertical="center"/>
    </xf>
    <xf numFmtId="0" fontId="35" fillId="0" borderId="261">
      <alignment horizontal="left" vertical="center" wrapText="1" indent="2"/>
    </xf>
    <xf numFmtId="0" fontId="33" fillId="34" borderId="254">
      <alignment horizontal="right" vertical="center"/>
    </xf>
    <xf numFmtId="0" fontId="35" fillId="32" borderId="259">
      <alignment horizontal="left" vertical="center"/>
    </xf>
    <xf numFmtId="0" fontId="33" fillId="32" borderId="253">
      <alignment horizontal="right" vertical="center"/>
    </xf>
    <xf numFmtId="0" fontId="12" fillId="31" borderId="0" applyNumberFormat="0" applyBorder="0" applyAlignment="0" applyProtection="0"/>
    <xf numFmtId="0" fontId="35" fillId="33" borderId="253"/>
    <xf numFmtId="0" fontId="35" fillId="0" borderId="258" applyNumberFormat="0" applyFill="0" applyAlignment="0" applyProtection="0"/>
    <xf numFmtId="4" fontId="37" fillId="32" borderId="253">
      <alignment horizontal="right" vertical="center"/>
    </xf>
    <xf numFmtId="0" fontId="35" fillId="32" borderId="254">
      <alignment horizontal="left" vertical="center"/>
    </xf>
    <xf numFmtId="0" fontId="66" fillId="0" borderId="251" applyNumberFormat="0" applyFill="0" applyAlignment="0" applyProtection="0"/>
    <xf numFmtId="4" fontId="35" fillId="0" borderId="268">
      <alignment horizontal="right" vertical="center"/>
    </xf>
    <xf numFmtId="4" fontId="35" fillId="33" borderId="258"/>
    <xf numFmtId="49" fontId="34" fillId="0" borderId="253" applyNumberFormat="0" applyFill="0" applyBorder="0" applyProtection="0">
      <alignment horizontal="left" vertical="center"/>
    </xf>
    <xf numFmtId="0" fontId="35" fillId="0" borderId="256">
      <alignment horizontal="left" vertical="center" wrapText="1" indent="2"/>
    </xf>
    <xf numFmtId="0" fontId="35" fillId="0" borderId="258">
      <alignment horizontal="right" vertical="center"/>
    </xf>
    <xf numFmtId="0" fontId="1" fillId="0" borderId="0" applyNumberFormat="0" applyFill="0" applyBorder="0" applyAlignment="0" applyProtection="0"/>
    <xf numFmtId="0" fontId="63" fillId="56" borderId="262" applyNumberFormat="0" applyAlignment="0" applyProtection="0"/>
    <xf numFmtId="0" fontId="66" fillId="0" borderId="251" applyNumberFormat="0" applyFill="0" applyAlignment="0" applyProtection="0"/>
    <xf numFmtId="0" fontId="37" fillId="32" borderId="253">
      <alignment horizontal="right" vertical="center"/>
    </xf>
    <xf numFmtId="0" fontId="35" fillId="0" borderId="256">
      <alignment horizontal="left" vertical="center" wrapText="1" indent="2"/>
    </xf>
    <xf numFmtId="0" fontId="27" fillId="29" borderId="0" applyNumberFormat="0" applyBorder="0" applyAlignment="0" applyProtection="0"/>
    <xf numFmtId="49" fontId="35" fillId="0" borderId="254" applyNumberFormat="0" applyFont="0" applyFill="0" applyBorder="0" applyProtection="0">
      <alignment horizontal="left" vertical="center" indent="5"/>
    </xf>
    <xf numFmtId="0" fontId="37" fillId="32" borderId="268">
      <alignment horizontal="right" vertical="center"/>
    </xf>
    <xf numFmtId="0" fontId="51" fillId="0" borderId="251" applyNumberFormat="0" applyFill="0" applyAlignment="0" applyProtection="0"/>
    <xf numFmtId="0" fontId="47" fillId="56" borderId="265" applyNumberFormat="0" applyAlignment="0" applyProtection="0"/>
    <xf numFmtId="4" fontId="33" fillId="34" borderId="293">
      <alignment horizontal="right" vertical="center"/>
    </xf>
    <xf numFmtId="4" fontId="35" fillId="33" borderId="292"/>
    <xf numFmtId="0" fontId="66" fillId="0" borderId="251" applyNumberFormat="0" applyFill="0" applyAlignment="0" applyProtection="0"/>
    <xf numFmtId="0" fontId="33" fillId="34" borderId="253">
      <alignment horizontal="right" vertical="center"/>
    </xf>
    <xf numFmtId="4" fontId="33" fillId="34" borderId="258">
      <alignment horizontal="right" vertical="center"/>
    </xf>
    <xf numFmtId="173" fontId="35" fillId="60" borderId="253" applyNumberFormat="0" applyFont="0" applyBorder="0" applyAlignment="0" applyProtection="0">
      <alignment horizontal="right" vertical="center"/>
    </xf>
    <xf numFmtId="0" fontId="41" fillId="59" borderId="252" applyNumberFormat="0" applyFont="0" applyAlignment="0" applyProtection="0"/>
    <xf numFmtId="0" fontId="51" fillId="0" borderId="264" applyNumberFormat="0" applyFill="0" applyAlignment="0" applyProtection="0"/>
    <xf numFmtId="0" fontId="5" fillId="59" borderId="257" applyNumberFormat="0" applyFont="0" applyAlignment="0" applyProtection="0"/>
    <xf numFmtId="0" fontId="59" fillId="43" borderId="250" applyNumberFormat="0" applyAlignment="0" applyProtection="0"/>
    <xf numFmtId="0" fontId="35" fillId="0" borderId="285">
      <alignment horizontal="left" vertical="center" wrapText="1" indent="2"/>
    </xf>
    <xf numFmtId="0" fontId="47" fillId="56" borderId="250" applyNumberFormat="0" applyAlignment="0" applyProtection="0"/>
    <xf numFmtId="0" fontId="35" fillId="0" borderId="256">
      <alignment horizontal="left" vertical="center" wrapText="1" indent="2"/>
    </xf>
    <xf numFmtId="0" fontId="59" fillId="43" borderId="250" applyNumberFormat="0" applyAlignment="0" applyProtection="0"/>
    <xf numFmtId="0" fontId="44" fillId="56" borderId="249" applyNumberFormat="0" applyAlignment="0" applyProtection="0"/>
    <xf numFmtId="0" fontId="47" fillId="56" borderId="250" applyNumberFormat="0" applyAlignment="0" applyProtection="0"/>
    <xf numFmtId="0" fontId="35" fillId="34" borderId="256">
      <alignment horizontal="left" vertical="center" wrapText="1" indent="2"/>
    </xf>
    <xf numFmtId="49" fontId="34" fillId="0" borderId="258" applyNumberFormat="0" applyFill="0" applyBorder="0" applyProtection="0">
      <alignment horizontal="left" vertical="center"/>
    </xf>
    <xf numFmtId="0" fontId="35" fillId="34" borderId="256">
      <alignment horizontal="left" vertical="center" wrapText="1" indent="2"/>
    </xf>
    <xf numFmtId="0" fontId="35" fillId="33" borderId="253"/>
    <xf numFmtId="0" fontId="51" fillId="0" borderId="290" applyNumberFormat="0" applyFill="0" applyAlignment="0" applyProtection="0"/>
    <xf numFmtId="0" fontId="63" fillId="56" borderId="262" applyNumberFormat="0" applyAlignment="0" applyProtection="0"/>
    <xf numFmtId="0" fontId="35" fillId="0" borderId="256">
      <alignment horizontal="left" vertical="center" wrapText="1" indent="2"/>
    </xf>
    <xf numFmtId="4" fontId="33" fillId="32" borderId="253">
      <alignment horizontal="right" vertical="center"/>
    </xf>
    <xf numFmtId="0" fontId="41" fillId="59" borderId="257" applyNumberFormat="0" applyFont="0" applyAlignment="0" applyProtection="0"/>
    <xf numFmtId="0" fontId="47" fillId="56" borderId="279" applyNumberFormat="0" applyAlignment="0" applyProtection="0"/>
    <xf numFmtId="0" fontId="27" fillId="27" borderId="0" applyNumberFormat="0" applyBorder="0" applyAlignment="0" applyProtection="0"/>
    <xf numFmtId="0" fontId="47" fillId="56" borderId="265" applyNumberFormat="0" applyAlignment="0" applyProtection="0"/>
    <xf numFmtId="0" fontId="27" fillId="29" borderId="0" applyNumberFormat="0" applyBorder="0" applyAlignment="0" applyProtection="0"/>
    <xf numFmtId="0" fontId="46" fillId="56" borderId="263" applyNumberFormat="0" applyAlignment="0" applyProtection="0"/>
    <xf numFmtId="0" fontId="63" fillId="56" borderId="262" applyNumberFormat="0" applyAlignment="0" applyProtection="0"/>
    <xf numFmtId="0" fontId="5" fillId="59" borderId="252" applyNumberFormat="0" applyFont="0" applyAlignment="0" applyProtection="0"/>
    <xf numFmtId="4" fontId="33" fillId="34" borderId="253">
      <alignment horizontal="right" vertical="center"/>
    </xf>
    <xf numFmtId="49" fontId="35" fillId="0" borderId="253" applyNumberFormat="0" applyFont="0" applyFill="0" applyBorder="0" applyProtection="0">
      <alignment horizontal="left" vertical="center" indent="2"/>
    </xf>
    <xf numFmtId="173" fontId="35" fillId="60" borderId="258" applyNumberFormat="0" applyFont="0" applyBorder="0" applyAlignment="0" applyProtection="0">
      <alignment horizontal="right" vertical="center"/>
    </xf>
    <xf numFmtId="0" fontId="66" fillId="0" borderId="251" applyNumberFormat="0" applyFill="0" applyAlignment="0" applyProtection="0"/>
    <xf numFmtId="0" fontId="12" fillId="25" borderId="0" applyNumberFormat="0" applyBorder="0" applyAlignment="0" applyProtection="0"/>
    <xf numFmtId="4" fontId="33" fillId="34" borderId="260">
      <alignment horizontal="right" vertical="center"/>
    </xf>
    <xf numFmtId="0" fontId="30" fillId="13" borderId="13" applyNumberFormat="0" applyAlignment="0" applyProtection="0"/>
    <xf numFmtId="0" fontId="51" fillId="0" borderId="264" applyNumberFormat="0" applyFill="0" applyAlignment="0" applyProtection="0"/>
    <xf numFmtId="49" fontId="35" fillId="0" borderId="259" applyNumberFormat="0" applyFont="0" applyFill="0" applyBorder="0" applyProtection="0">
      <alignment horizontal="left" vertical="center" indent="5"/>
    </xf>
    <xf numFmtId="0" fontId="63" fillId="56" borderId="249" applyNumberFormat="0" applyAlignment="0" applyProtection="0"/>
    <xf numFmtId="0" fontId="59" fillId="43" borderId="250" applyNumberFormat="0" applyAlignment="0" applyProtection="0"/>
    <xf numFmtId="4" fontId="35" fillId="0" borderId="258" applyFill="0" applyBorder="0" applyProtection="0">
      <alignment horizontal="right" vertical="center"/>
    </xf>
    <xf numFmtId="4" fontId="33" fillId="34" borderId="268">
      <alignment horizontal="right" vertical="center"/>
    </xf>
    <xf numFmtId="0" fontId="47" fillId="56" borderId="287" applyNumberFormat="0" applyAlignment="0" applyProtection="0"/>
    <xf numFmtId="0" fontId="63" fillId="56" borderId="272" applyNumberFormat="0" applyAlignment="0" applyProtection="0"/>
    <xf numFmtId="0" fontId="41" fillId="59" borderId="267" applyNumberFormat="0" applyFont="0" applyAlignment="0" applyProtection="0"/>
    <xf numFmtId="0" fontId="66" fillId="0" borderId="251" applyNumberFormat="0" applyFill="0" applyAlignment="0" applyProtection="0"/>
    <xf numFmtId="0" fontId="35" fillId="34" borderId="261">
      <alignment horizontal="left" vertical="center" wrapText="1" indent="2"/>
    </xf>
    <xf numFmtId="0" fontId="27" fillId="21" borderId="0" applyNumberFormat="0" applyBorder="0" applyAlignment="0" applyProtection="0"/>
    <xf numFmtId="49" fontId="34" fillId="0" borderId="268" applyNumberFormat="0" applyFill="0" applyBorder="0" applyProtection="0">
      <alignment horizontal="left" vertical="center"/>
    </xf>
    <xf numFmtId="0" fontId="66" fillId="0" borderId="264" applyNumberFormat="0" applyFill="0" applyAlignment="0" applyProtection="0"/>
    <xf numFmtId="4" fontId="35" fillId="0" borderId="253">
      <alignment horizontal="right" vertical="center"/>
    </xf>
    <xf numFmtId="0" fontId="35" fillId="33" borderId="258"/>
    <xf numFmtId="173" fontId="35" fillId="60" borderId="258" applyNumberFormat="0" applyFont="0" applyBorder="0" applyAlignment="0" applyProtection="0">
      <alignment horizontal="right" vertical="center"/>
    </xf>
    <xf numFmtId="0" fontId="27" fillId="24" borderId="0" applyNumberFormat="0" applyBorder="0" applyAlignment="0" applyProtection="0"/>
    <xf numFmtId="0" fontId="27" fillId="29" borderId="0" applyNumberFormat="0" applyBorder="0" applyAlignment="0" applyProtection="0"/>
    <xf numFmtId="4" fontId="33" fillId="34" borderId="259">
      <alignment horizontal="right" vertical="center"/>
    </xf>
    <xf numFmtId="0" fontId="50" fillId="43" borderId="263" applyNumberFormat="0" applyAlignment="0" applyProtection="0"/>
    <xf numFmtId="0" fontId="63" fillId="56" borderId="249" applyNumberFormat="0" applyAlignment="0" applyProtection="0"/>
    <xf numFmtId="0" fontId="50" fillId="43" borderId="263" applyNumberFormat="0" applyAlignment="0" applyProtection="0"/>
    <xf numFmtId="4" fontId="33" fillId="34" borderId="260">
      <alignment horizontal="right" vertical="center"/>
    </xf>
    <xf numFmtId="0" fontId="27" fillId="23" borderId="0" applyNumberFormat="0" applyBorder="0" applyAlignment="0" applyProtection="0"/>
    <xf numFmtId="0" fontId="27" fillId="17" borderId="0" applyNumberFormat="0" applyBorder="0" applyAlignment="0" applyProtection="0"/>
    <xf numFmtId="0" fontId="47" fillId="56" borderId="289" applyNumberFormat="0" applyAlignment="0" applyProtection="0"/>
    <xf numFmtId="4" fontId="33" fillId="32" borderId="253">
      <alignment horizontal="right" vertical="center"/>
    </xf>
    <xf numFmtId="0" fontId="27" fillId="14" borderId="0" applyNumberFormat="0" applyBorder="0" applyAlignment="0" applyProtection="0"/>
    <xf numFmtId="0" fontId="35" fillId="34" borderId="261">
      <alignment horizontal="left" vertical="center" wrapText="1" indent="2"/>
    </xf>
    <xf numFmtId="0" fontId="35" fillId="34" borderId="261">
      <alignment horizontal="left" vertical="center" wrapText="1" indent="2"/>
    </xf>
    <xf numFmtId="4" fontId="33" fillId="34" borderId="269">
      <alignment horizontal="right" vertical="center"/>
    </xf>
    <xf numFmtId="0" fontId="66" fillId="0" borderId="251" applyNumberFormat="0" applyFill="0" applyAlignment="0" applyProtection="0"/>
    <xf numFmtId="0" fontId="33" fillId="34" borderId="270">
      <alignment horizontal="right" vertical="center"/>
    </xf>
    <xf numFmtId="0" fontId="5" fillId="59" borderId="252" applyNumberFormat="0" applyFont="0" applyAlignment="0" applyProtection="0"/>
    <xf numFmtId="0" fontId="50" fillId="43" borderId="263" applyNumberFormat="0" applyAlignment="0" applyProtection="0"/>
    <xf numFmtId="0" fontId="35" fillId="32" borderId="259">
      <alignment horizontal="left" vertical="center"/>
    </xf>
    <xf numFmtId="0" fontId="33" fillId="34" borderId="268">
      <alignment horizontal="right" vertical="center"/>
    </xf>
    <xf numFmtId="0" fontId="33" fillId="32" borderId="253">
      <alignment horizontal="right" vertical="center"/>
    </xf>
    <xf numFmtId="0" fontId="12" fillId="28" borderId="0" applyNumberFormat="0" applyBorder="0" applyAlignment="0" applyProtection="0"/>
    <xf numFmtId="0" fontId="47" fillId="56" borderId="263" applyNumberFormat="0" applyAlignment="0" applyProtection="0"/>
    <xf numFmtId="0" fontId="44" fillId="56" borderId="249" applyNumberFormat="0" applyAlignment="0" applyProtection="0"/>
    <xf numFmtId="4" fontId="33" fillId="34" borderId="260">
      <alignment horizontal="right" vertical="center"/>
    </xf>
    <xf numFmtId="0" fontId="29" fillId="13" borderId="14" applyNumberFormat="0" applyAlignment="0" applyProtection="0"/>
    <xf numFmtId="0" fontId="33" fillId="34" borderId="260">
      <alignment horizontal="right" vertical="center"/>
    </xf>
    <xf numFmtId="0" fontId="59" fillId="43" borderId="250" applyNumberFormat="0" applyAlignment="0" applyProtection="0"/>
    <xf numFmtId="0" fontId="44" fillId="56" borderId="272" applyNumberFormat="0" applyAlignment="0" applyProtection="0"/>
    <xf numFmtId="0" fontId="33" fillId="34" borderId="258">
      <alignment horizontal="right" vertical="center"/>
    </xf>
    <xf numFmtId="4" fontId="35" fillId="0" borderId="253">
      <alignment horizontal="right" vertical="center"/>
    </xf>
    <xf numFmtId="4" fontId="35" fillId="0" borderId="258" applyFill="0" applyBorder="0" applyProtection="0">
      <alignment horizontal="right" vertical="center"/>
    </xf>
    <xf numFmtId="0" fontId="27" fillId="29" borderId="0" applyNumberFormat="0" applyBorder="0" applyAlignment="0" applyProtection="0"/>
    <xf numFmtId="0" fontId="66" fillId="0" borderId="251" applyNumberFormat="0" applyFill="0" applyAlignment="0" applyProtection="0"/>
    <xf numFmtId="0" fontId="12" fillId="25" borderId="0" applyNumberFormat="0" applyBorder="0" applyAlignment="0" applyProtection="0"/>
    <xf numFmtId="0" fontId="66" fillId="0" borderId="264" applyNumberFormat="0" applyFill="0" applyAlignment="0" applyProtection="0"/>
    <xf numFmtId="0" fontId="47" fillId="56" borderId="263" applyNumberFormat="0" applyAlignment="0" applyProtection="0"/>
    <xf numFmtId="0" fontId="59" fillId="43" borderId="250" applyNumberFormat="0" applyAlignment="0" applyProtection="0"/>
    <xf numFmtId="0" fontId="33" fillId="34" borderId="270">
      <alignment horizontal="right" vertical="center"/>
    </xf>
    <xf numFmtId="0" fontId="50" fillId="43" borderId="250" applyNumberFormat="0" applyAlignment="0" applyProtection="0"/>
    <xf numFmtId="0" fontId="41" fillId="59" borderId="257" applyNumberFormat="0" applyFont="0" applyAlignment="0" applyProtection="0"/>
    <xf numFmtId="4" fontId="33" fillId="32" borderId="258">
      <alignment horizontal="right" vertical="center"/>
    </xf>
    <xf numFmtId="4" fontId="33" fillId="34" borderId="274">
      <alignment horizontal="right" vertical="center"/>
    </xf>
    <xf numFmtId="0" fontId="59" fillId="43" borderId="250" applyNumberFormat="0" applyAlignment="0" applyProtection="0"/>
    <xf numFmtId="0" fontId="59" fillId="43" borderId="263" applyNumberFormat="0" applyAlignment="0" applyProtection="0"/>
    <xf numFmtId="4" fontId="33" fillId="32" borderId="253">
      <alignment horizontal="right" vertical="center"/>
    </xf>
    <xf numFmtId="0" fontId="31" fillId="0" borderId="0" applyNumberFormat="0" applyFill="0" applyBorder="0" applyAlignment="0" applyProtection="0"/>
    <xf numFmtId="0" fontId="35" fillId="33" borderId="268"/>
    <xf numFmtId="0" fontId="27" fillId="29" borderId="0" applyNumberFormat="0" applyBorder="0" applyAlignment="0" applyProtection="0"/>
    <xf numFmtId="0" fontId="30" fillId="13" borderId="13" applyNumberFormat="0" applyAlignment="0" applyProtection="0"/>
    <xf numFmtId="0" fontId="12" fillId="31" borderId="0" applyNumberFormat="0" applyBorder="0" applyAlignment="0" applyProtection="0"/>
    <xf numFmtId="0" fontId="33" fillId="34" borderId="258">
      <alignment horizontal="right" vertical="center"/>
    </xf>
    <xf numFmtId="0" fontId="47" fillId="56" borderId="250" applyNumberFormat="0" applyAlignment="0" applyProtection="0"/>
    <xf numFmtId="0" fontId="27" fillId="24" borderId="0" applyNumberFormat="0" applyBorder="0" applyAlignment="0" applyProtection="0"/>
    <xf numFmtId="0" fontId="35" fillId="34" borderId="271">
      <alignment horizontal="left" vertical="center" wrapText="1" indent="2"/>
    </xf>
    <xf numFmtId="0" fontId="35" fillId="0" borderId="258">
      <alignment horizontal="right" vertical="center"/>
    </xf>
    <xf numFmtId="49" fontId="35" fillId="0" borderId="258" applyNumberFormat="0" applyFont="0" applyFill="0" applyBorder="0" applyProtection="0">
      <alignment horizontal="left" vertical="center" indent="2"/>
    </xf>
    <xf numFmtId="0" fontId="44" fillId="56" borderId="272" applyNumberFormat="0" applyAlignment="0" applyProtection="0"/>
    <xf numFmtId="0" fontId="44" fillId="56" borderId="249" applyNumberFormat="0" applyAlignment="0" applyProtection="0"/>
    <xf numFmtId="0" fontId="59" fillId="43" borderId="250" applyNumberFormat="0" applyAlignment="0" applyProtection="0"/>
    <xf numFmtId="49" fontId="34" fillId="0" borderId="268" applyNumberFormat="0" applyFill="0" applyBorder="0" applyProtection="0">
      <alignment horizontal="left" vertical="center"/>
    </xf>
    <xf numFmtId="0" fontId="37" fillId="32" borderId="253">
      <alignment horizontal="right" vertical="center"/>
    </xf>
    <xf numFmtId="0" fontId="35" fillId="0" borderId="258" applyNumberFormat="0" applyFill="0" applyAlignment="0" applyProtection="0"/>
    <xf numFmtId="4" fontId="33" fillId="34" borderId="268">
      <alignment horizontal="right" vertical="center"/>
    </xf>
    <xf numFmtId="0" fontId="27" fillId="20" borderId="0" applyNumberFormat="0" applyBorder="0" applyAlignment="0" applyProtection="0"/>
    <xf numFmtId="0" fontId="5" fillId="59" borderId="252" applyNumberFormat="0" applyFont="0" applyAlignment="0" applyProtection="0"/>
    <xf numFmtId="0" fontId="31" fillId="0" borderId="0" applyNumberFormat="0" applyFill="0" applyBorder="0" applyAlignment="0" applyProtection="0"/>
    <xf numFmtId="0" fontId="46" fillId="56" borderId="250" applyNumberFormat="0" applyAlignment="0" applyProtection="0"/>
    <xf numFmtId="0" fontId="33" fillId="34" borderId="276">
      <alignment horizontal="right" vertical="center"/>
    </xf>
    <xf numFmtId="0" fontId="51" fillId="0" borderId="251" applyNumberFormat="0" applyFill="0" applyAlignment="0" applyProtection="0"/>
    <xf numFmtId="49" fontId="34" fillId="0" borderId="258" applyNumberFormat="0" applyFill="0" applyBorder="0" applyProtection="0">
      <alignment horizontal="left" vertical="center"/>
    </xf>
    <xf numFmtId="0" fontId="12" fillId="31" borderId="0" applyNumberFormat="0" applyBorder="0" applyAlignment="0" applyProtection="0"/>
    <xf numFmtId="4" fontId="33" fillId="34" borderId="276">
      <alignment horizontal="right" vertical="center"/>
    </xf>
    <xf numFmtId="0" fontId="35" fillId="34" borderId="256">
      <alignment horizontal="left" vertical="center" wrapText="1" indent="2"/>
    </xf>
    <xf numFmtId="0" fontId="47" fillId="56" borderId="263" applyNumberFormat="0" applyAlignment="0" applyProtection="0"/>
    <xf numFmtId="0" fontId="51" fillId="0" borderId="266" applyNumberFormat="0" applyFill="0" applyAlignment="0" applyProtection="0"/>
    <xf numFmtId="0" fontId="59" fillId="43" borderId="279" applyNumberFormat="0" applyAlignment="0" applyProtection="0"/>
    <xf numFmtId="0" fontId="35" fillId="0" borderId="258">
      <alignment horizontal="right" vertical="center"/>
    </xf>
    <xf numFmtId="0" fontId="35" fillId="33" borderId="268"/>
    <xf numFmtId="0" fontId="35" fillId="0" borderId="268">
      <alignment horizontal="right" vertical="center"/>
    </xf>
    <xf numFmtId="0" fontId="44" fillId="56" borderId="249" applyNumberFormat="0" applyAlignment="0" applyProtection="0"/>
    <xf numFmtId="0" fontId="41" fillId="59" borderId="257" applyNumberFormat="0" applyFont="0" applyAlignment="0" applyProtection="0"/>
    <xf numFmtId="0" fontId="35" fillId="33" borderId="253"/>
    <xf numFmtId="4" fontId="35" fillId="33" borderId="268"/>
    <xf numFmtId="173" fontId="35" fillId="60" borderId="258" applyNumberFormat="0" applyFont="0" applyBorder="0" applyAlignment="0" applyProtection="0">
      <alignment horizontal="right" vertical="center"/>
    </xf>
    <xf numFmtId="4" fontId="37" fillId="32" borderId="268">
      <alignment horizontal="right" vertical="center"/>
    </xf>
    <xf numFmtId="0" fontId="50" fillId="43" borderId="265" applyNumberFormat="0" applyAlignment="0" applyProtection="0"/>
    <xf numFmtId="49" fontId="34" fillId="0" borderId="253" applyNumberFormat="0" applyFill="0" applyBorder="0" applyProtection="0">
      <alignment horizontal="left" vertical="center"/>
    </xf>
    <xf numFmtId="0" fontId="35" fillId="0" borderId="261">
      <alignment horizontal="left" vertical="center" wrapText="1" indent="2"/>
    </xf>
    <xf numFmtId="0" fontId="2" fillId="0" borderId="15" applyNumberFormat="0" applyFill="0" applyAlignment="0" applyProtection="0"/>
    <xf numFmtId="173" fontId="35" fillId="60" borderId="253" applyNumberFormat="0" applyFont="0" applyBorder="0" applyAlignment="0" applyProtection="0">
      <alignment horizontal="right" vertical="center"/>
    </xf>
    <xf numFmtId="4" fontId="35" fillId="0" borderId="258" applyFill="0" applyBorder="0" applyProtection="0">
      <alignment horizontal="right" vertical="center"/>
    </xf>
    <xf numFmtId="0" fontId="63" fillId="56" borderId="249" applyNumberFormat="0" applyAlignment="0" applyProtection="0"/>
    <xf numFmtId="173" fontId="35" fillId="60" borderId="282" applyNumberFormat="0" applyFont="0" applyBorder="0" applyAlignment="0" applyProtection="0">
      <alignment horizontal="right" vertical="center"/>
    </xf>
    <xf numFmtId="173" fontId="35" fillId="60" borderId="253" applyNumberFormat="0" applyFont="0" applyBorder="0" applyAlignment="0" applyProtection="0">
      <alignment horizontal="right" vertical="center"/>
    </xf>
    <xf numFmtId="0" fontId="12" fillId="16" borderId="0" applyNumberFormat="0" applyBorder="0" applyAlignment="0" applyProtection="0"/>
    <xf numFmtId="4" fontId="35" fillId="0" borderId="253">
      <alignment horizontal="right" vertical="center"/>
    </xf>
    <xf numFmtId="0" fontId="47" fillId="56" borderId="250" applyNumberFormat="0" applyAlignment="0" applyProtection="0"/>
    <xf numFmtId="0" fontId="35" fillId="0" borderId="253" applyNumberFormat="0" applyFill="0" applyAlignment="0" applyProtection="0"/>
    <xf numFmtId="0" fontId="12" fillId="16" borderId="0" applyNumberFormat="0" applyBorder="0" applyAlignment="0" applyProtection="0"/>
    <xf numFmtId="0" fontId="35" fillId="0" borderId="253">
      <alignment horizontal="right" vertical="center"/>
    </xf>
    <xf numFmtId="0" fontId="50" fillId="43" borderId="263" applyNumberFormat="0" applyAlignment="0" applyProtection="0"/>
    <xf numFmtId="173" fontId="35" fillId="60" borderId="258" applyNumberFormat="0" applyFont="0" applyBorder="0" applyAlignment="0" applyProtection="0">
      <alignment horizontal="right" vertical="center"/>
    </xf>
    <xf numFmtId="49" fontId="35" fillId="0" borderId="259" applyNumberFormat="0" applyFont="0" applyFill="0" applyBorder="0" applyProtection="0">
      <alignment horizontal="left" vertical="center" indent="5"/>
    </xf>
    <xf numFmtId="4" fontId="33" fillId="34" borderId="255">
      <alignment horizontal="right" vertical="center"/>
    </xf>
    <xf numFmtId="4" fontId="35" fillId="0" borderId="253" applyFill="0" applyBorder="0" applyProtection="0">
      <alignment horizontal="right" vertical="center"/>
    </xf>
    <xf numFmtId="0" fontId="35" fillId="33" borderId="253"/>
    <xf numFmtId="0" fontId="66" fillId="0" borderId="251" applyNumberFormat="0" applyFill="0" applyAlignment="0" applyProtection="0"/>
    <xf numFmtId="4" fontId="33" fillId="34" borderId="258">
      <alignment horizontal="right" vertical="center"/>
    </xf>
    <xf numFmtId="0" fontId="59" fillId="43" borderId="263" applyNumberFormat="0" applyAlignment="0" applyProtection="0"/>
    <xf numFmtId="4" fontId="37" fillId="32" borderId="274">
      <alignment horizontal="right" vertical="center"/>
    </xf>
    <xf numFmtId="0" fontId="12" fillId="31" borderId="0" applyNumberFormat="0" applyBorder="0" applyAlignment="0" applyProtection="0"/>
    <xf numFmtId="0" fontId="46" fillId="56" borderId="263" applyNumberFormat="0" applyAlignment="0" applyProtection="0"/>
    <xf numFmtId="0" fontId="46" fillId="56" borderId="250" applyNumberFormat="0" applyAlignment="0" applyProtection="0"/>
    <xf numFmtId="0" fontId="50" fillId="43" borderId="265" applyNumberFormat="0" applyAlignment="0" applyProtection="0"/>
    <xf numFmtId="0" fontId="33" fillId="32" borderId="253">
      <alignment horizontal="right" vertical="center"/>
    </xf>
    <xf numFmtId="0" fontId="47" fillId="56" borderId="250" applyNumberFormat="0" applyAlignment="0" applyProtection="0"/>
    <xf numFmtId="0" fontId="12" fillId="28" borderId="0" applyNumberFormat="0" applyBorder="0" applyAlignment="0" applyProtection="0"/>
    <xf numFmtId="0" fontId="41" fillId="59" borderId="257" applyNumberFormat="0" applyFont="0" applyAlignment="0" applyProtection="0"/>
    <xf numFmtId="0" fontId="35" fillId="34" borderId="271">
      <alignment horizontal="left" vertical="center" wrapText="1" indent="2"/>
    </xf>
    <xf numFmtId="0" fontId="12" fillId="25" borderId="0" applyNumberFormat="0" applyBorder="0" applyAlignment="0" applyProtection="0"/>
    <xf numFmtId="0" fontId="33" fillId="34" borderId="254">
      <alignment horizontal="right" vertical="center"/>
    </xf>
    <xf numFmtId="4" fontId="35" fillId="33" borderId="258"/>
    <xf numFmtId="0" fontId="46" fillId="56" borderId="250" applyNumberFormat="0" applyAlignment="0" applyProtection="0"/>
    <xf numFmtId="0" fontId="12" fillId="25" borderId="0" applyNumberFormat="0" applyBorder="0" applyAlignment="0" applyProtection="0"/>
    <xf numFmtId="0" fontId="27" fillId="14" borderId="0" applyNumberFormat="0" applyBorder="0" applyAlignment="0" applyProtection="0"/>
    <xf numFmtId="0" fontId="46" fillId="56" borderId="250" applyNumberFormat="0" applyAlignment="0" applyProtection="0"/>
    <xf numFmtId="4" fontId="33" fillId="34" borderId="253">
      <alignment horizontal="right" vertical="center"/>
    </xf>
    <xf numFmtId="4" fontId="37" fillId="32" borderId="253">
      <alignment horizontal="right" vertical="center"/>
    </xf>
    <xf numFmtId="0" fontId="59" fillId="43" borderId="250" applyNumberFormat="0" applyAlignment="0" applyProtection="0"/>
    <xf numFmtId="0" fontId="33" fillId="34" borderId="258">
      <alignment horizontal="right" vertical="center"/>
    </xf>
    <xf numFmtId="0" fontId="66" fillId="0" borderId="264" applyNumberFormat="0" applyFill="0" applyAlignment="0" applyProtection="0"/>
    <xf numFmtId="0" fontId="37" fillId="32" borderId="253">
      <alignment horizontal="right" vertical="center"/>
    </xf>
    <xf numFmtId="0" fontId="27" fillId="30" borderId="0" applyNumberFormat="0" applyBorder="0" applyAlignment="0" applyProtection="0"/>
    <xf numFmtId="0" fontId="51" fillId="0" borderId="288" applyNumberFormat="0" applyFill="0" applyAlignment="0" applyProtection="0"/>
    <xf numFmtId="4" fontId="37" fillId="32" borderId="258">
      <alignment horizontal="right" vertical="center"/>
    </xf>
    <xf numFmtId="49" fontId="35" fillId="0" borderId="253" applyNumberFormat="0" applyFont="0" applyFill="0" applyBorder="0" applyProtection="0">
      <alignment horizontal="left" vertical="center" indent="2"/>
    </xf>
    <xf numFmtId="173" fontId="35" fillId="60" borderId="253" applyNumberFormat="0" applyFont="0" applyBorder="0" applyAlignment="0" applyProtection="0">
      <alignment horizontal="right" vertical="center"/>
    </xf>
    <xf numFmtId="49" fontId="35" fillId="0" borderId="258" applyNumberFormat="0" applyFont="0" applyFill="0" applyBorder="0" applyProtection="0">
      <alignment horizontal="left" vertical="center" indent="2"/>
    </xf>
    <xf numFmtId="4" fontId="33" fillId="34" borderId="268">
      <alignment horizontal="right" vertical="center"/>
    </xf>
    <xf numFmtId="0" fontId="29" fillId="13" borderId="14" applyNumberFormat="0" applyAlignment="0" applyProtection="0"/>
    <xf numFmtId="4" fontId="33" fillId="34" borderId="270">
      <alignment horizontal="right" vertical="center"/>
    </xf>
    <xf numFmtId="0" fontId="37" fillId="32" borderId="253">
      <alignment horizontal="right" vertical="center"/>
    </xf>
    <xf numFmtId="49" fontId="34" fillId="0" borderId="258" applyNumberFormat="0" applyFill="0" applyBorder="0" applyProtection="0">
      <alignment horizontal="left" vertical="center"/>
    </xf>
    <xf numFmtId="0" fontId="35" fillId="34" borderId="271">
      <alignment horizontal="left" vertical="center" wrapText="1" indent="2"/>
    </xf>
    <xf numFmtId="49" fontId="35" fillId="0" borderId="253" applyNumberFormat="0" applyFont="0" applyFill="0" applyBorder="0" applyProtection="0">
      <alignment horizontal="left" vertical="center" indent="2"/>
    </xf>
    <xf numFmtId="49" fontId="35" fillId="0" borderId="253" applyNumberFormat="0" applyFont="0" applyFill="0" applyBorder="0" applyProtection="0">
      <alignment horizontal="left" vertical="center" indent="2"/>
    </xf>
    <xf numFmtId="49" fontId="35" fillId="0" borderId="269" applyNumberFormat="0" applyFont="0" applyFill="0" applyBorder="0" applyProtection="0">
      <alignment horizontal="left" vertical="center" indent="5"/>
    </xf>
    <xf numFmtId="0" fontId="33" fillId="34" borderId="260">
      <alignment horizontal="right" vertical="center"/>
    </xf>
    <xf numFmtId="0" fontId="35" fillId="0" borderId="253" applyNumberFormat="0" applyFill="0" applyAlignment="0" applyProtection="0"/>
    <xf numFmtId="0" fontId="47" fillId="56" borderId="287" applyNumberFormat="0" applyAlignment="0" applyProtection="0"/>
    <xf numFmtId="4" fontId="33" fillId="34" borderId="260">
      <alignment horizontal="right" vertical="center"/>
    </xf>
    <xf numFmtId="49" fontId="35" fillId="0" borderId="254" applyNumberFormat="0" applyFont="0" applyFill="0" applyBorder="0" applyProtection="0">
      <alignment horizontal="left" vertical="center" indent="5"/>
    </xf>
    <xf numFmtId="0" fontId="47" fillId="56" borderId="250" applyNumberFormat="0" applyAlignment="0" applyProtection="0"/>
    <xf numFmtId="4" fontId="33" fillId="34" borderId="274">
      <alignment horizontal="right" vertical="center"/>
    </xf>
    <xf numFmtId="0" fontId="33" fillId="34" borderId="260">
      <alignment horizontal="right" vertical="center"/>
    </xf>
    <xf numFmtId="4" fontId="33" fillId="34" borderId="254">
      <alignment horizontal="right" vertical="center"/>
    </xf>
    <xf numFmtId="0" fontId="27" fillId="17" borderId="0" applyNumberFormat="0" applyBorder="0" applyAlignment="0" applyProtection="0"/>
    <xf numFmtId="49" fontId="35" fillId="0" borderId="274" applyNumberFormat="0" applyFont="0" applyFill="0" applyBorder="0" applyProtection="0">
      <alignment horizontal="left" vertical="center" indent="2"/>
    </xf>
    <xf numFmtId="49" fontId="34" fillId="0" borderId="253" applyNumberFormat="0" applyFill="0" applyBorder="0" applyProtection="0">
      <alignment horizontal="left" vertical="center"/>
    </xf>
    <xf numFmtId="4" fontId="33" fillId="34" borderId="254">
      <alignment horizontal="right" vertical="center"/>
    </xf>
    <xf numFmtId="0" fontId="27" fillId="23" borderId="0" applyNumberFormat="0" applyBorder="0" applyAlignment="0" applyProtection="0"/>
    <xf numFmtId="0" fontId="12" fillId="22" borderId="0" applyNumberFormat="0" applyBorder="0" applyAlignment="0" applyProtection="0"/>
    <xf numFmtId="173" fontId="35" fillId="60" borderId="282" applyNumberFormat="0" applyFont="0" applyBorder="0" applyAlignment="0" applyProtection="0">
      <alignment horizontal="right" vertical="center"/>
    </xf>
    <xf numFmtId="0" fontId="59" fillId="43" borderId="263" applyNumberFormat="0" applyAlignment="0" applyProtection="0"/>
    <xf numFmtId="0" fontId="33" fillId="34" borderId="253">
      <alignment horizontal="right" vertical="center"/>
    </xf>
    <xf numFmtId="0" fontId="59" fillId="43" borderId="250" applyNumberFormat="0" applyAlignment="0" applyProtection="0"/>
    <xf numFmtId="0" fontId="46" fillId="56" borderId="250" applyNumberFormat="0" applyAlignment="0" applyProtection="0"/>
    <xf numFmtId="0" fontId="5" fillId="59" borderId="252" applyNumberFormat="0" applyFont="0" applyAlignment="0" applyProtection="0"/>
    <xf numFmtId="0" fontId="51" fillId="0" borderId="266" applyNumberFormat="0" applyFill="0" applyAlignment="0" applyProtection="0"/>
    <xf numFmtId="0" fontId="41" fillId="59" borderId="252" applyNumberFormat="0" applyFont="0" applyAlignment="0" applyProtection="0"/>
    <xf numFmtId="4" fontId="35" fillId="33" borderId="268"/>
    <xf numFmtId="0" fontId="33" fillId="34" borderId="253">
      <alignment horizontal="right" vertical="center"/>
    </xf>
    <xf numFmtId="4" fontId="33" fillId="34" borderId="253">
      <alignment horizontal="right" vertical="center"/>
    </xf>
    <xf numFmtId="0" fontId="12" fillId="19" borderId="0" applyNumberFormat="0" applyBorder="0" applyAlignment="0" applyProtection="0"/>
    <xf numFmtId="4" fontId="35" fillId="33" borderId="268"/>
    <xf numFmtId="0" fontId="27" fillId="29" borderId="0" applyNumberFormat="0" applyBorder="0" applyAlignment="0" applyProtection="0"/>
    <xf numFmtId="0" fontId="59" fillId="43" borderId="265" applyNumberFormat="0" applyAlignment="0" applyProtection="0"/>
    <xf numFmtId="0" fontId="47" fillId="56" borderId="263" applyNumberFormat="0" applyAlignment="0" applyProtection="0"/>
    <xf numFmtId="0" fontId="35" fillId="33" borderId="258"/>
    <xf numFmtId="0" fontId="12" fillId="22" borderId="0" applyNumberFormat="0" applyBorder="0" applyAlignment="0" applyProtection="0"/>
    <xf numFmtId="0" fontId="35" fillId="0" borderId="258">
      <alignment horizontal="right" vertical="center"/>
    </xf>
    <xf numFmtId="0" fontId="33" fillId="32" borderId="253">
      <alignment horizontal="right" vertical="center"/>
    </xf>
    <xf numFmtId="49" fontId="34" fillId="0" borderId="268" applyNumberFormat="0" applyFill="0" applyBorder="0" applyProtection="0">
      <alignment horizontal="left" vertical="center"/>
    </xf>
    <xf numFmtId="0" fontId="35" fillId="0" borderId="253">
      <alignment horizontal="right" vertical="center"/>
    </xf>
    <xf numFmtId="4" fontId="33" fillId="34" borderId="255">
      <alignment horizontal="right" vertical="center"/>
    </xf>
    <xf numFmtId="49" fontId="34" fillId="0" borderId="253" applyNumberFormat="0" applyFill="0" applyBorder="0" applyProtection="0">
      <alignment horizontal="left" vertical="center"/>
    </xf>
    <xf numFmtId="0" fontId="35" fillId="0" borderId="256">
      <alignment horizontal="left" vertical="center" wrapText="1" indent="2"/>
    </xf>
    <xf numFmtId="49" fontId="34" fillId="0" borderId="253" applyNumberFormat="0" applyFill="0" applyBorder="0" applyProtection="0">
      <alignment horizontal="left" vertical="center"/>
    </xf>
    <xf numFmtId="0" fontId="41" fillId="59" borderId="273" applyNumberFormat="0" applyFont="0" applyAlignment="0" applyProtection="0"/>
    <xf numFmtId="4" fontId="35" fillId="0" borderId="268">
      <alignment horizontal="right" vertical="center"/>
    </xf>
    <xf numFmtId="0" fontId="29" fillId="13" borderId="14" applyNumberFormat="0" applyAlignment="0" applyProtection="0"/>
    <xf numFmtId="0" fontId="51" fillId="0" borderId="264" applyNumberFormat="0" applyFill="0" applyAlignment="0" applyProtection="0"/>
    <xf numFmtId="0" fontId="33" fillId="34" borderId="258">
      <alignment horizontal="right" vertical="center"/>
    </xf>
    <xf numFmtId="0" fontId="35" fillId="34" borderId="256">
      <alignment horizontal="left" vertical="center" wrapText="1" indent="2"/>
    </xf>
    <xf numFmtId="0" fontId="27" fillId="24" borderId="0" applyNumberFormat="0" applyBorder="0" applyAlignment="0" applyProtection="0"/>
    <xf numFmtId="0" fontId="66" fillId="0" borderId="290" applyNumberFormat="0" applyFill="0" applyAlignment="0" applyProtection="0"/>
    <xf numFmtId="0" fontId="27" fillId="21" borderId="0" applyNumberFormat="0" applyBorder="0" applyAlignment="0" applyProtection="0"/>
    <xf numFmtId="0" fontId="35" fillId="33" borderId="274"/>
    <xf numFmtId="4" fontId="35" fillId="0" borderId="253">
      <alignment horizontal="right" vertical="center"/>
    </xf>
    <xf numFmtId="0" fontId="51" fillId="0" borderId="288" applyNumberFormat="0" applyFill="0" applyAlignment="0" applyProtection="0"/>
    <xf numFmtId="0" fontId="35" fillId="0" borderId="253">
      <alignment horizontal="right" vertical="center"/>
    </xf>
    <xf numFmtId="0" fontId="66" fillId="0" borderId="266" applyNumberFormat="0" applyFill="0" applyAlignment="0" applyProtection="0"/>
    <xf numFmtId="0" fontId="66" fillId="0" borderId="280" applyNumberFormat="0" applyFill="0" applyAlignment="0" applyProtection="0"/>
    <xf numFmtId="0" fontId="33" fillId="34" borderId="259">
      <alignment horizontal="right" vertical="center"/>
    </xf>
    <xf numFmtId="0" fontId="35" fillId="32" borderId="259">
      <alignment horizontal="left" vertical="center"/>
    </xf>
    <xf numFmtId="49" fontId="35" fillId="0" borderId="254" applyNumberFormat="0" applyFont="0" applyFill="0" applyBorder="0" applyProtection="0">
      <alignment horizontal="left" vertical="center" indent="5"/>
    </xf>
    <xf numFmtId="0" fontId="47" fillId="56" borderId="263" applyNumberFormat="0" applyAlignment="0" applyProtection="0"/>
    <xf numFmtId="49" fontId="35" fillId="0" borderId="259" applyNumberFormat="0" applyFont="0" applyFill="0" applyBorder="0" applyProtection="0">
      <alignment horizontal="left" vertical="center" indent="5"/>
    </xf>
    <xf numFmtId="0" fontId="31" fillId="0" borderId="0" applyNumberFormat="0" applyFill="0" applyBorder="0" applyAlignment="0" applyProtection="0"/>
    <xf numFmtId="0" fontId="35" fillId="32" borderId="254">
      <alignment horizontal="left" vertical="center"/>
    </xf>
    <xf numFmtId="0" fontId="35" fillId="0" borderId="256">
      <alignment horizontal="left" vertical="center" wrapText="1" indent="2"/>
    </xf>
    <xf numFmtId="0" fontId="66" fillId="0" borderId="264" applyNumberFormat="0" applyFill="0" applyAlignment="0" applyProtection="0"/>
    <xf numFmtId="0" fontId="47" fillId="56" borderId="263" applyNumberFormat="0" applyAlignment="0" applyProtection="0"/>
    <xf numFmtId="0" fontId="41" fillId="59" borderId="267" applyNumberFormat="0" applyFont="0" applyAlignment="0" applyProtection="0"/>
    <xf numFmtId="0" fontId="63" fillId="56" borderId="249" applyNumberFormat="0" applyAlignment="0" applyProtection="0"/>
    <xf numFmtId="0" fontId="63" fillId="56" borderId="278" applyNumberFormat="0" applyAlignment="0" applyProtection="0"/>
    <xf numFmtId="0" fontId="47" fillId="56" borderId="279" applyNumberFormat="0" applyAlignment="0" applyProtection="0"/>
    <xf numFmtId="0" fontId="66" fillId="0" borderId="264" applyNumberFormat="0" applyFill="0" applyAlignment="0" applyProtection="0"/>
    <xf numFmtId="0" fontId="37" fillId="32" borderId="258">
      <alignment horizontal="right" vertical="center"/>
    </xf>
    <xf numFmtId="4" fontId="33" fillId="34" borderId="259">
      <alignment horizontal="right" vertical="center"/>
    </xf>
    <xf numFmtId="49" fontId="34" fillId="0" borderId="258" applyNumberFormat="0" applyFill="0" applyBorder="0" applyProtection="0">
      <alignment horizontal="left" vertical="center"/>
    </xf>
    <xf numFmtId="0" fontId="33" fillId="32" borderId="253">
      <alignment horizontal="right" vertical="center"/>
    </xf>
    <xf numFmtId="0" fontId="51" fillId="0" borderId="251" applyNumberFormat="0" applyFill="0" applyAlignment="0" applyProtection="0"/>
    <xf numFmtId="0" fontId="35" fillId="0" borderId="253" applyNumberFormat="0" applyFill="0" applyAlignment="0" applyProtection="0"/>
    <xf numFmtId="0" fontId="51" fillId="0" borderId="251" applyNumberFormat="0" applyFill="0" applyAlignment="0" applyProtection="0"/>
    <xf numFmtId="4" fontId="35" fillId="0" borderId="253" applyFill="0" applyBorder="0" applyProtection="0">
      <alignment horizontal="right" vertical="center"/>
    </xf>
    <xf numFmtId="49" fontId="35" fillId="0" borderId="254" applyNumberFormat="0" applyFont="0" applyFill="0" applyBorder="0" applyProtection="0">
      <alignment horizontal="left" vertical="center" indent="5"/>
    </xf>
    <xf numFmtId="0" fontId="35" fillId="0" borderId="253" applyNumberFormat="0" applyFill="0" applyAlignment="0" applyProtection="0"/>
    <xf numFmtId="0" fontId="27" fillId="18" borderId="0" applyNumberFormat="0" applyBorder="0" applyAlignment="0" applyProtection="0"/>
    <xf numFmtId="0" fontId="35" fillId="0" borderId="253" applyNumberFormat="0" applyFill="0" applyAlignment="0" applyProtection="0"/>
    <xf numFmtId="4" fontId="35" fillId="0" borderId="258" applyFill="0" applyBorder="0" applyProtection="0">
      <alignment horizontal="right" vertical="center"/>
    </xf>
    <xf numFmtId="0" fontId="27" fillId="14" borderId="0" applyNumberFormat="0" applyBorder="0" applyAlignment="0" applyProtection="0"/>
    <xf numFmtId="4" fontId="33" fillId="34" borderId="253">
      <alignment horizontal="right" vertical="center"/>
    </xf>
    <xf numFmtId="0" fontId="41" fillId="59" borderId="257" applyNumberFormat="0" applyFont="0" applyAlignment="0" applyProtection="0"/>
    <xf numFmtId="4" fontId="33" fillId="34" borderId="258">
      <alignment horizontal="right" vertical="center"/>
    </xf>
    <xf numFmtId="0" fontId="12" fillId="19" borderId="0" applyNumberFormat="0" applyBorder="0" applyAlignment="0" applyProtection="0"/>
    <xf numFmtId="0" fontId="66" fillId="0" borderId="264" applyNumberFormat="0" applyFill="0" applyAlignment="0" applyProtection="0"/>
    <xf numFmtId="0" fontId="50" fillId="43" borderId="250" applyNumberFormat="0" applyAlignment="0" applyProtection="0"/>
    <xf numFmtId="0" fontId="47" fillId="56" borderId="250" applyNumberFormat="0" applyAlignment="0" applyProtection="0"/>
    <xf numFmtId="4" fontId="35" fillId="0" borderId="253">
      <alignment horizontal="right" vertical="center"/>
    </xf>
    <xf numFmtId="0" fontId="35" fillId="34" borderId="256">
      <alignment horizontal="left" vertical="center" wrapText="1" indent="2"/>
    </xf>
    <xf numFmtId="0" fontId="35" fillId="0" borderId="256">
      <alignment horizontal="left" vertical="center" wrapText="1" indent="2"/>
    </xf>
    <xf numFmtId="0" fontId="63" fillId="56" borderId="249" applyNumberFormat="0" applyAlignment="0" applyProtection="0"/>
    <xf numFmtId="0" fontId="59" fillId="43" borderId="250" applyNumberFormat="0" applyAlignment="0" applyProtection="0"/>
    <xf numFmtId="0" fontId="46" fillId="56" borderId="250" applyNumberFormat="0" applyAlignment="0" applyProtection="0"/>
    <xf numFmtId="0" fontId="44" fillId="56" borderId="249" applyNumberFormat="0" applyAlignment="0" applyProtection="0"/>
    <xf numFmtId="0" fontId="33" fillId="34" borderId="255">
      <alignment horizontal="right" vertical="center"/>
    </xf>
    <xf numFmtId="0" fontId="37" fillId="32" borderId="253">
      <alignment horizontal="right" vertical="center"/>
    </xf>
    <xf numFmtId="4" fontId="33" fillId="32" borderId="253">
      <alignment horizontal="right" vertical="center"/>
    </xf>
    <xf numFmtId="4" fontId="33" fillId="34" borderId="253">
      <alignment horizontal="right" vertical="center"/>
    </xf>
    <xf numFmtId="49" fontId="35" fillId="0" borderId="254" applyNumberFormat="0" applyFont="0" applyFill="0" applyBorder="0" applyProtection="0">
      <alignment horizontal="left" vertical="center" indent="5"/>
    </xf>
    <xf numFmtId="4" fontId="35" fillId="0" borderId="253" applyFill="0" applyBorder="0" applyProtection="0">
      <alignment horizontal="right" vertical="center"/>
    </xf>
    <xf numFmtId="4" fontId="33" fillId="32" borderId="253">
      <alignment horizontal="right" vertical="center"/>
    </xf>
    <xf numFmtId="0" fontId="59" fillId="43" borderId="250" applyNumberFormat="0" applyAlignment="0" applyProtection="0"/>
    <xf numFmtId="0" fontId="50" fillId="43" borderId="250" applyNumberFormat="0" applyAlignment="0" applyProtection="0"/>
    <xf numFmtId="0" fontId="46" fillId="56" borderId="250" applyNumberFormat="0" applyAlignment="0" applyProtection="0"/>
    <xf numFmtId="0" fontId="35" fillId="34" borderId="256">
      <alignment horizontal="left" vertical="center" wrapText="1" indent="2"/>
    </xf>
    <xf numFmtId="0" fontId="35" fillId="0" borderId="256">
      <alignment horizontal="left" vertical="center" wrapText="1" indent="2"/>
    </xf>
    <xf numFmtId="0" fontId="35" fillId="34" borderId="256">
      <alignment horizontal="left" vertical="center" wrapText="1" indent="2"/>
    </xf>
    <xf numFmtId="4" fontId="33" fillId="34" borderId="268">
      <alignment horizontal="right" vertical="center"/>
    </xf>
    <xf numFmtId="0" fontId="1" fillId="0" borderId="0" applyNumberFormat="0" applyFill="0" applyBorder="0" applyAlignment="0" applyProtection="0"/>
    <xf numFmtId="4" fontId="33" fillId="34" borderId="270">
      <alignment horizontal="right" vertical="center"/>
    </xf>
    <xf numFmtId="0" fontId="33" fillId="34" borderId="268">
      <alignment horizontal="right" vertical="center"/>
    </xf>
    <xf numFmtId="0" fontId="66" fillId="0" borderId="280" applyNumberFormat="0" applyFill="0" applyAlignment="0" applyProtection="0"/>
    <xf numFmtId="0" fontId="33" fillId="34" borderId="269">
      <alignment horizontal="right" vertical="center"/>
    </xf>
    <xf numFmtId="0" fontId="35" fillId="0" borderId="268">
      <alignment horizontal="right" vertical="center"/>
    </xf>
    <xf numFmtId="0" fontId="37" fillId="32" borderId="268">
      <alignment horizontal="right" vertical="center"/>
    </xf>
    <xf numFmtId="173" fontId="35" fillId="60" borderId="274" applyNumberFormat="0" applyFont="0" applyBorder="0" applyAlignment="0" applyProtection="0">
      <alignment horizontal="right" vertical="center"/>
    </xf>
    <xf numFmtId="0" fontId="35" fillId="0" borderId="292" applyNumberFormat="0" applyFill="0" applyAlignment="0" applyProtection="0"/>
    <xf numFmtId="49" fontId="34" fillId="0" borderId="274" applyNumberFormat="0" applyFill="0" applyBorder="0" applyProtection="0">
      <alignment horizontal="left" vertical="center"/>
    </xf>
    <xf numFmtId="4" fontId="35" fillId="0" borderId="268" applyFill="0" applyBorder="0" applyProtection="0">
      <alignment horizontal="right" vertical="center"/>
    </xf>
    <xf numFmtId="0" fontId="33" fillId="34" borderId="268">
      <alignment horizontal="right" vertical="center"/>
    </xf>
    <xf numFmtId="4" fontId="33" fillId="34" borderId="282">
      <alignment horizontal="right" vertical="center"/>
    </xf>
    <xf numFmtId="49" fontId="34" fillId="0" borderId="274" applyNumberFormat="0" applyFill="0" applyBorder="0" applyProtection="0">
      <alignment horizontal="left" vertical="center"/>
    </xf>
    <xf numFmtId="4" fontId="35" fillId="0" borderId="268">
      <alignment horizontal="right" vertical="center"/>
    </xf>
    <xf numFmtId="0" fontId="44" fillId="56" borderId="272" applyNumberFormat="0" applyAlignment="0" applyProtection="0"/>
    <xf numFmtId="0" fontId="35" fillId="0" borderId="274" applyNumberFormat="0" applyFill="0" applyAlignment="0" applyProtection="0"/>
    <xf numFmtId="0" fontId="5" fillId="59" borderId="267" applyNumberFormat="0" applyFont="0" applyAlignment="0" applyProtection="0"/>
    <xf numFmtId="0" fontId="46" fillId="56" borderId="265" applyNumberFormat="0" applyAlignment="0" applyProtection="0"/>
    <xf numFmtId="4" fontId="33" fillId="34" borderId="268">
      <alignment horizontal="right" vertical="center"/>
    </xf>
    <xf numFmtId="0" fontId="35" fillId="0" borderId="271">
      <alignment horizontal="left" vertical="center" wrapText="1" indent="2"/>
    </xf>
    <xf numFmtId="173" fontId="35" fillId="60" borderId="268" applyNumberFormat="0" applyFont="0" applyBorder="0" applyAlignment="0" applyProtection="0">
      <alignment horizontal="right" vertical="center"/>
    </xf>
    <xf numFmtId="49" fontId="35" fillId="0" borderId="269" applyNumberFormat="0" applyFont="0" applyFill="0" applyBorder="0" applyProtection="0">
      <alignment horizontal="left" vertical="center" indent="5"/>
    </xf>
    <xf numFmtId="49" fontId="35" fillId="0" borderId="274" applyNumberFormat="0" applyFont="0" applyFill="0" applyBorder="0" applyProtection="0">
      <alignment horizontal="left" vertical="center" indent="2"/>
    </xf>
    <xf numFmtId="0" fontId="27" fillId="20" borderId="0" applyNumberFormat="0" applyBorder="0" applyAlignment="0" applyProtection="0"/>
    <xf numFmtId="0" fontId="50" fillId="43" borderId="265" applyNumberFormat="0" applyAlignment="0" applyProtection="0"/>
    <xf numFmtId="0" fontId="35" fillId="0" borderId="285">
      <alignment horizontal="left" vertical="center" wrapText="1" indent="2"/>
    </xf>
    <xf numFmtId="0" fontId="27" fillId="27" borderId="0" applyNumberFormat="0" applyBorder="0" applyAlignment="0" applyProtection="0"/>
    <xf numFmtId="0" fontId="47" fillId="56" borderId="287" applyNumberFormat="0" applyAlignment="0" applyProtection="0"/>
    <xf numFmtId="4" fontId="33" fillId="32" borderId="274">
      <alignment horizontal="right" vertical="center"/>
    </xf>
    <xf numFmtId="0" fontId="31" fillId="0" borderId="0" applyNumberFormat="0" applyFill="0" applyBorder="0" applyAlignment="0" applyProtection="0"/>
    <xf numFmtId="0" fontId="1" fillId="0" borderId="0" applyNumberFormat="0" applyFill="0" applyBorder="0" applyAlignment="0" applyProtection="0"/>
    <xf numFmtId="0" fontId="46" fillId="56" borderId="265" applyNumberFormat="0" applyAlignment="0" applyProtection="0"/>
    <xf numFmtId="0" fontId="51" fillId="0" borderId="266" applyNumberFormat="0" applyFill="0" applyAlignment="0" applyProtection="0"/>
    <xf numFmtId="0" fontId="59" fillId="43" borderId="279" applyNumberFormat="0" applyAlignment="0" applyProtection="0"/>
    <xf numFmtId="0" fontId="47" fillId="56" borderId="265" applyNumberFormat="0" applyAlignment="0" applyProtection="0"/>
    <xf numFmtId="4" fontId="33" fillId="34" borderId="268">
      <alignment horizontal="right" vertical="center"/>
    </xf>
    <xf numFmtId="0" fontId="46" fillId="56" borderId="265" applyNumberFormat="0" applyAlignment="0" applyProtection="0"/>
    <xf numFmtId="4" fontId="33" fillId="34" borderId="274">
      <alignment horizontal="right" vertical="center"/>
    </xf>
    <xf numFmtId="0" fontId="30" fillId="13" borderId="13" applyNumberFormat="0" applyAlignment="0" applyProtection="0"/>
    <xf numFmtId="4" fontId="33" fillId="34" borderId="276">
      <alignment horizontal="right" vertical="center"/>
    </xf>
    <xf numFmtId="0" fontId="33" fillId="34" borderId="274">
      <alignment horizontal="right" vertical="center"/>
    </xf>
    <xf numFmtId="0" fontId="27" fillId="18" borderId="0" applyNumberFormat="0" applyBorder="0" applyAlignment="0" applyProtection="0"/>
    <xf numFmtId="0" fontId="27" fillId="29" borderId="0" applyNumberFormat="0" applyBorder="0" applyAlignment="0" applyProtection="0"/>
    <xf numFmtId="0" fontId="27" fillId="27" borderId="0" applyNumberFormat="0" applyBorder="0" applyAlignment="0" applyProtection="0"/>
    <xf numFmtId="49" fontId="35" fillId="0" borderId="274" applyNumberFormat="0" applyFont="0" applyFill="0" applyBorder="0" applyProtection="0">
      <alignment horizontal="left" vertical="center" indent="2"/>
    </xf>
    <xf numFmtId="4" fontId="33" fillId="34" borderId="274">
      <alignment horizontal="right" vertical="center"/>
    </xf>
    <xf numFmtId="0" fontId="47" fillId="56" borderId="265" applyNumberFormat="0" applyAlignment="0" applyProtection="0"/>
    <xf numFmtId="4" fontId="33" fillId="32" borderId="292">
      <alignment horizontal="right" vertical="center"/>
    </xf>
    <xf numFmtId="0" fontId="35" fillId="34" borderId="277">
      <alignment horizontal="left" vertical="center" wrapText="1" indent="2"/>
    </xf>
    <xf numFmtId="0" fontId="33" fillId="32" borderId="268">
      <alignment horizontal="right" vertical="center"/>
    </xf>
    <xf numFmtId="4" fontId="33" fillId="34" borderId="270">
      <alignment horizontal="right" vertical="center"/>
    </xf>
    <xf numFmtId="0" fontId="1" fillId="0" borderId="0" applyNumberFormat="0" applyFill="0" applyBorder="0" applyAlignment="0" applyProtection="0"/>
    <xf numFmtId="4" fontId="35" fillId="0" borderId="258">
      <alignment horizontal="right" vertical="center"/>
    </xf>
    <xf numFmtId="173" fontId="35" fillId="60" borderId="268" applyNumberFormat="0" applyFont="0" applyBorder="0" applyAlignment="0" applyProtection="0">
      <alignment horizontal="right" vertical="center"/>
    </xf>
    <xf numFmtId="49" fontId="35" fillId="0" borderId="258" applyNumberFormat="0" applyFont="0" applyFill="0" applyBorder="0" applyProtection="0">
      <alignment horizontal="left" vertical="center" indent="2"/>
    </xf>
    <xf numFmtId="0" fontId="47" fillId="56" borderId="263" applyNumberFormat="0" applyAlignment="0" applyProtection="0"/>
    <xf numFmtId="0" fontId="47" fillId="56" borderId="289" applyNumberFormat="0" applyAlignment="0" applyProtection="0"/>
    <xf numFmtId="0" fontId="37" fillId="32" borderId="268">
      <alignment horizontal="right" vertical="center"/>
    </xf>
    <xf numFmtId="0" fontId="51" fillId="0" borderId="266" applyNumberFormat="0" applyFill="0" applyAlignment="0" applyProtection="0"/>
    <xf numFmtId="4" fontId="33" fillId="34" borderId="268">
      <alignment horizontal="right" vertical="center"/>
    </xf>
    <xf numFmtId="0" fontId="66" fillId="0" borderId="266" applyNumberFormat="0" applyFill="0" applyAlignment="0" applyProtection="0"/>
    <xf numFmtId="0" fontId="41" fillId="59" borderId="267" applyNumberFormat="0" applyFont="0" applyAlignment="0" applyProtection="0"/>
    <xf numFmtId="0" fontId="47" fillId="56" borderId="279" applyNumberFormat="0" applyAlignment="0" applyProtection="0"/>
    <xf numFmtId="0" fontId="33" fillId="32" borderId="274">
      <alignment horizontal="right" vertical="center"/>
    </xf>
    <xf numFmtId="0" fontId="51" fillId="0" borderId="288" applyNumberFormat="0" applyFill="0" applyAlignment="0" applyProtection="0"/>
    <xf numFmtId="0" fontId="46" fillId="56" borderId="265" applyNumberFormat="0" applyAlignment="0" applyProtection="0"/>
    <xf numFmtId="49" fontId="35" fillId="0" borderId="259" applyNumberFormat="0" applyFont="0" applyFill="0" applyBorder="0" applyProtection="0">
      <alignment horizontal="left" vertical="center" indent="5"/>
    </xf>
    <xf numFmtId="0" fontId="50" fillId="43" borderId="263" applyNumberFormat="0" applyAlignment="0" applyProtection="0"/>
    <xf numFmtId="0" fontId="44" fillId="56" borderId="262" applyNumberFormat="0" applyAlignment="0" applyProtection="0"/>
    <xf numFmtId="0" fontId="35" fillId="34" borderId="261">
      <alignment horizontal="left" vertical="center" wrapText="1" indent="2"/>
    </xf>
    <xf numFmtId="0" fontId="66" fillId="0" borderId="264" applyNumberFormat="0" applyFill="0" applyAlignment="0" applyProtection="0"/>
    <xf numFmtId="4" fontId="33" fillId="34" borderId="259">
      <alignment horizontal="right" vertical="center"/>
    </xf>
    <xf numFmtId="0" fontId="35" fillId="0" borderId="271">
      <alignment horizontal="left" vertical="center" wrapText="1" indent="2"/>
    </xf>
    <xf numFmtId="0" fontId="33" fillId="34" borderId="258">
      <alignment horizontal="right" vertical="center"/>
    </xf>
    <xf numFmtId="4" fontId="33" fillId="32" borderId="258">
      <alignment horizontal="right" vertical="center"/>
    </xf>
    <xf numFmtId="4" fontId="33" fillId="34" borderId="269">
      <alignment horizontal="right" vertical="center"/>
    </xf>
    <xf numFmtId="0" fontId="2" fillId="0" borderId="15" applyNumberFormat="0" applyFill="0" applyAlignment="0" applyProtection="0"/>
    <xf numFmtId="4" fontId="35" fillId="33" borderId="268"/>
    <xf numFmtId="0" fontId="46" fillId="56" borderId="263" applyNumberFormat="0" applyAlignment="0" applyProtection="0"/>
    <xf numFmtId="0" fontId="33" fillId="34" borderId="274">
      <alignment horizontal="right" vertical="center"/>
    </xf>
    <xf numFmtId="0" fontId="35" fillId="34" borderId="271">
      <alignment horizontal="left" vertical="center" wrapText="1" indent="2"/>
    </xf>
    <xf numFmtId="0" fontId="33" fillId="32" borderId="292">
      <alignment horizontal="right" vertical="center"/>
    </xf>
    <xf numFmtId="0" fontId="33" fillId="34" borderId="268">
      <alignment horizontal="right" vertical="center"/>
    </xf>
    <xf numFmtId="0" fontId="35" fillId="0" borderId="258">
      <alignment horizontal="right" vertical="center"/>
    </xf>
    <xf numFmtId="0" fontId="35" fillId="32" borderId="259">
      <alignment horizontal="left" vertical="center"/>
    </xf>
    <xf numFmtId="0" fontId="35" fillId="0" borderId="271">
      <alignment horizontal="left" vertical="center" wrapText="1" indent="2"/>
    </xf>
    <xf numFmtId="4" fontId="33" fillId="34" borderId="268">
      <alignment horizontal="right" vertical="center"/>
    </xf>
    <xf numFmtId="4" fontId="35" fillId="33" borderId="258"/>
    <xf numFmtId="0" fontId="37" fillId="32" borderId="258">
      <alignment horizontal="right" vertical="center"/>
    </xf>
    <xf numFmtId="0" fontId="33" fillId="34" borderId="258">
      <alignment horizontal="right" vertical="center"/>
    </xf>
    <xf numFmtId="0" fontId="35" fillId="0" borderId="261">
      <alignment horizontal="left" vertical="center" wrapText="1" indent="2"/>
    </xf>
    <xf numFmtId="0" fontId="50" fillId="43" borderId="263" applyNumberFormat="0" applyAlignment="0" applyProtection="0"/>
    <xf numFmtId="0" fontId="35" fillId="0" borderId="271">
      <alignment horizontal="left" vertical="center" wrapText="1" indent="2"/>
    </xf>
    <xf numFmtId="0" fontId="41" fillId="59" borderId="267" applyNumberFormat="0" applyFont="0" applyAlignment="0" applyProtection="0"/>
    <xf numFmtId="0" fontId="59" fillId="43" borderId="279" applyNumberFormat="0" applyAlignment="0" applyProtection="0"/>
    <xf numFmtId="0" fontId="66" fillId="0" borderId="290" applyNumberFormat="0" applyFill="0" applyAlignment="0" applyProtection="0"/>
    <xf numFmtId="0" fontId="50" fillId="43" borderId="287" applyNumberFormat="0" applyAlignment="0" applyProtection="0"/>
    <xf numFmtId="0" fontId="63" fillId="56" borderId="272" applyNumberFormat="0" applyAlignment="0" applyProtection="0"/>
    <xf numFmtId="0" fontId="41" fillId="59" borderId="257" applyNumberFormat="0" applyFont="0" applyAlignment="0" applyProtection="0"/>
    <xf numFmtId="0" fontId="41" fillId="59" borderId="273" applyNumberFormat="0" applyFont="0" applyAlignment="0" applyProtection="0"/>
    <xf numFmtId="0" fontId="27" fillId="17" borderId="0" applyNumberFormat="0" applyBorder="0" applyAlignment="0" applyProtection="0"/>
    <xf numFmtId="0" fontId="27" fillId="30" borderId="0" applyNumberFormat="0" applyBorder="0" applyAlignment="0" applyProtection="0"/>
    <xf numFmtId="0" fontId="27" fillId="24" borderId="0" applyNumberFormat="0" applyBorder="0" applyAlignment="0" applyProtection="0"/>
    <xf numFmtId="0" fontId="35" fillId="0" borderId="271">
      <alignment horizontal="left" vertical="center" wrapText="1" indent="2"/>
    </xf>
    <xf numFmtId="0" fontId="50" fillId="43" borderId="263" applyNumberFormat="0" applyAlignment="0" applyProtection="0"/>
    <xf numFmtId="0" fontId="35" fillId="33" borderId="258"/>
    <xf numFmtId="0" fontId="37" fillId="32" borderId="258">
      <alignment horizontal="right" vertical="center"/>
    </xf>
    <xf numFmtId="0" fontId="63" fillId="56" borderId="262" applyNumberFormat="0" applyAlignment="0" applyProtection="0"/>
    <xf numFmtId="0" fontId="27" fillId="17" borderId="0" applyNumberFormat="0" applyBorder="0" applyAlignment="0" applyProtection="0"/>
    <xf numFmtId="4" fontId="35" fillId="0" borderId="282">
      <alignment horizontal="right" vertical="center"/>
    </xf>
    <xf numFmtId="0" fontId="35" fillId="32" borderId="269">
      <alignment horizontal="left" vertical="center"/>
    </xf>
    <xf numFmtId="0" fontId="33" fillId="32" borderId="258">
      <alignment horizontal="right" vertical="center"/>
    </xf>
    <xf numFmtId="49" fontId="34" fillId="0" borderId="268" applyNumberFormat="0" applyFill="0" applyBorder="0" applyProtection="0">
      <alignment horizontal="left" vertical="center"/>
    </xf>
    <xf numFmtId="0" fontId="27" fillId="14" borderId="0" applyNumberFormat="0" applyBorder="0" applyAlignment="0" applyProtection="0"/>
    <xf numFmtId="0" fontId="35" fillId="32" borderId="269">
      <alignment horizontal="left" vertical="center"/>
    </xf>
    <xf numFmtId="49" fontId="35" fillId="0" borderId="282" applyNumberFormat="0" applyFont="0" applyFill="0" applyBorder="0" applyProtection="0">
      <alignment horizontal="left" vertical="center" indent="2"/>
    </xf>
    <xf numFmtId="4" fontId="33" fillId="34" borderId="258">
      <alignment horizontal="right" vertical="center"/>
    </xf>
    <xf numFmtId="0" fontId="47" fillId="56" borderId="279" applyNumberFormat="0" applyAlignment="0" applyProtection="0"/>
    <xf numFmtId="0" fontId="41" fillId="59" borderId="273" applyNumberFormat="0" applyFont="0" applyAlignment="0" applyProtection="0"/>
    <xf numFmtId="0" fontId="33" fillId="34" borderId="258">
      <alignment horizontal="right" vertical="center"/>
    </xf>
    <xf numFmtId="0" fontId="35" fillId="34" borderId="261">
      <alignment horizontal="left" vertical="center" wrapText="1" indent="2"/>
    </xf>
    <xf numFmtId="0" fontId="27" fillId="20" borderId="0" applyNumberFormat="0" applyBorder="0" applyAlignment="0" applyProtection="0"/>
    <xf numFmtId="0" fontId="35" fillId="0" borderId="258" applyNumberFormat="0" applyFill="0" applyAlignment="0" applyProtection="0"/>
    <xf numFmtId="49" fontId="35" fillId="0" borderId="258" applyNumberFormat="0" applyFont="0" applyFill="0" applyBorder="0" applyProtection="0">
      <alignment horizontal="left" vertical="center" indent="2"/>
    </xf>
    <xf numFmtId="0" fontId="27" fillId="17" borderId="0" applyNumberFormat="0" applyBorder="0" applyAlignment="0" applyProtection="0"/>
    <xf numFmtId="0" fontId="35" fillId="0" borderId="274">
      <alignment horizontal="right" vertical="center"/>
    </xf>
    <xf numFmtId="0" fontId="59" fillId="43" borderId="265" applyNumberFormat="0" applyAlignment="0" applyProtection="0"/>
    <xf numFmtId="0" fontId="12" fillId="16" borderId="0" applyNumberFormat="0" applyBorder="0" applyAlignment="0" applyProtection="0"/>
    <xf numFmtId="4" fontId="33" fillId="34" borderId="258">
      <alignment horizontal="right" vertical="center"/>
    </xf>
    <xf numFmtId="0" fontId="27" fillId="27" borderId="0" applyNumberFormat="0" applyBorder="0" applyAlignment="0" applyProtection="0"/>
    <xf numFmtId="0" fontId="29" fillId="13" borderId="14" applyNumberFormat="0" applyAlignment="0" applyProtection="0"/>
    <xf numFmtId="49" fontId="35" fillId="0" borderId="268" applyNumberFormat="0" applyFont="0" applyFill="0" applyBorder="0" applyProtection="0">
      <alignment horizontal="left" vertical="center" indent="2"/>
    </xf>
    <xf numFmtId="0" fontId="47" fillId="56" borderId="263" applyNumberFormat="0" applyAlignment="0" applyProtection="0"/>
    <xf numFmtId="0" fontId="63" fillId="56" borderId="262" applyNumberFormat="0" applyAlignment="0" applyProtection="0"/>
    <xf numFmtId="0" fontId="66" fillId="0" borderId="264" applyNumberFormat="0" applyFill="0" applyAlignment="0" applyProtection="0"/>
    <xf numFmtId="0" fontId="51" fillId="0" borderId="266" applyNumberFormat="0" applyFill="0" applyAlignment="0" applyProtection="0"/>
    <xf numFmtId="4" fontId="33" fillId="32" borderId="258">
      <alignment horizontal="right" vertical="center"/>
    </xf>
    <xf numFmtId="0" fontId="50" fillId="43" borderId="263" applyNumberFormat="0" applyAlignment="0" applyProtection="0"/>
    <xf numFmtId="0" fontId="59" fillId="43" borderId="263" applyNumberFormat="0" applyAlignment="0" applyProtection="0"/>
    <xf numFmtId="0" fontId="44" fillId="56" borderId="262" applyNumberFormat="0" applyAlignment="0" applyProtection="0"/>
    <xf numFmtId="0" fontId="35" fillId="0" borderId="261">
      <alignment horizontal="left" vertical="center" wrapText="1" indent="2"/>
    </xf>
    <xf numFmtId="0" fontId="59" fillId="43" borderId="263" applyNumberFormat="0" applyAlignment="0" applyProtection="0"/>
    <xf numFmtId="0" fontId="35" fillId="0" borderId="258" applyNumberFormat="0" applyFill="0" applyAlignment="0" applyProtection="0"/>
    <xf numFmtId="4" fontId="35" fillId="0" borderId="258">
      <alignment horizontal="right" vertical="center"/>
    </xf>
    <xf numFmtId="0" fontId="33" fillId="34" borderId="258">
      <alignment horizontal="right" vertical="center"/>
    </xf>
    <xf numFmtId="4" fontId="33" fillId="34" borderId="260">
      <alignment horizontal="right" vertical="center"/>
    </xf>
    <xf numFmtId="4" fontId="33" fillId="32" borderId="258">
      <alignment horizontal="right" vertical="center"/>
    </xf>
    <xf numFmtId="0" fontId="35" fillId="0" borderId="258">
      <alignment horizontal="right" vertical="center"/>
    </xf>
    <xf numFmtId="4" fontId="37" fillId="32" borderId="268">
      <alignment horizontal="right" vertical="center"/>
    </xf>
    <xf numFmtId="0" fontId="41" fillId="59" borderId="281" applyNumberFormat="0" applyFont="0" applyAlignment="0" applyProtection="0"/>
    <xf numFmtId="0" fontId="35" fillId="33" borderId="268"/>
    <xf numFmtId="4" fontId="33" fillId="32" borderId="274">
      <alignment horizontal="right" vertical="center"/>
    </xf>
    <xf numFmtId="0" fontId="27" fillId="17" borderId="0" applyNumberFormat="0" applyBorder="0" applyAlignment="0" applyProtection="0"/>
    <xf numFmtId="0" fontId="41" fillId="59" borderId="267" applyNumberFormat="0" applyFont="0" applyAlignment="0" applyProtection="0"/>
    <xf numFmtId="0" fontId="47" fillId="56" borderId="263" applyNumberFormat="0" applyAlignment="0" applyProtection="0"/>
    <xf numFmtId="4" fontId="33" fillId="34" borderId="268">
      <alignment horizontal="right" vertical="center"/>
    </xf>
    <xf numFmtId="4" fontId="37" fillId="32" borderId="268">
      <alignment horizontal="right" vertical="center"/>
    </xf>
    <xf numFmtId="0" fontId="35" fillId="0" borderId="271">
      <alignment horizontal="left" vertical="center" wrapText="1" indent="2"/>
    </xf>
    <xf numFmtId="0" fontId="27" fillId="26" borderId="0" applyNumberFormat="0" applyBorder="0" applyAlignment="0" applyProtection="0"/>
    <xf numFmtId="0" fontId="35" fillId="34" borderId="285">
      <alignment horizontal="left" vertical="center" wrapText="1" indent="2"/>
    </xf>
    <xf numFmtId="0" fontId="51" fillId="0" borderId="280" applyNumberFormat="0" applyFill="0" applyAlignment="0" applyProtection="0"/>
    <xf numFmtId="4" fontId="35" fillId="33" borderId="268"/>
    <xf numFmtId="4" fontId="33" fillId="34" borderId="268">
      <alignment horizontal="right" vertical="center"/>
    </xf>
    <xf numFmtId="0" fontId="47" fillId="56" borderId="265" applyNumberFormat="0" applyAlignment="0" applyProtection="0"/>
    <xf numFmtId="0" fontId="46" fillId="56" borderId="263" applyNumberFormat="0" applyAlignment="0" applyProtection="0"/>
    <xf numFmtId="0" fontId="41" fillId="59" borderId="291" applyNumberFormat="0" applyFont="0" applyAlignment="0" applyProtection="0"/>
    <xf numFmtId="0" fontId="30" fillId="13" borderId="13" applyNumberFormat="0" applyAlignment="0" applyProtection="0"/>
    <xf numFmtId="0" fontId="33" fillId="34" borderId="268">
      <alignment horizontal="right" vertical="center"/>
    </xf>
    <xf numFmtId="4" fontId="33" fillId="34" borderId="258">
      <alignment horizontal="right" vertical="center"/>
    </xf>
    <xf numFmtId="4" fontId="33" fillId="34" borderId="260">
      <alignment horizontal="right" vertical="center"/>
    </xf>
    <xf numFmtId="4" fontId="37" fillId="32" borderId="258">
      <alignment horizontal="right" vertical="center"/>
    </xf>
    <xf numFmtId="0" fontId="33" fillId="34" borderId="268">
      <alignment horizontal="right" vertical="center"/>
    </xf>
    <xf numFmtId="0" fontId="35" fillId="0" borderId="274">
      <alignment horizontal="right" vertical="center"/>
    </xf>
    <xf numFmtId="0" fontId="27" fillId="18" borderId="0" applyNumberFormat="0" applyBorder="0" applyAlignment="0" applyProtection="0"/>
    <xf numFmtId="0" fontId="33" fillId="34" borderId="258">
      <alignment horizontal="right" vertical="center"/>
    </xf>
    <xf numFmtId="0" fontId="12" fillId="25" borderId="0" applyNumberFormat="0" applyBorder="0" applyAlignment="0" applyProtection="0"/>
    <xf numFmtId="0" fontId="47" fillId="56" borderId="263" applyNumberFormat="0" applyAlignment="0" applyProtection="0"/>
    <xf numFmtId="0" fontId="47" fillId="56" borderId="263" applyNumberFormat="0" applyAlignment="0" applyProtection="0"/>
    <xf numFmtId="4" fontId="35" fillId="33" borderId="258"/>
    <xf numFmtId="0" fontId="50" fillId="43" borderId="263" applyNumberFormat="0" applyAlignment="0" applyProtection="0"/>
    <xf numFmtId="0" fontId="44" fillId="56" borderId="262" applyNumberFormat="0" applyAlignment="0" applyProtection="0"/>
    <xf numFmtId="0" fontId="12" fillId="19" borderId="0" applyNumberFormat="0" applyBorder="0" applyAlignment="0" applyProtection="0"/>
    <xf numFmtId="4" fontId="37" fillId="32" borderId="292">
      <alignment horizontal="right" vertical="center"/>
    </xf>
    <xf numFmtId="0" fontId="5" fillId="59" borderId="257" applyNumberFormat="0" applyFont="0" applyAlignment="0" applyProtection="0"/>
    <xf numFmtId="0" fontId="50" fillId="43" borderId="289" applyNumberFormat="0" applyAlignment="0" applyProtection="0"/>
    <xf numFmtId="0" fontId="66" fillId="0" borderId="280" applyNumberFormat="0" applyFill="0" applyAlignment="0" applyProtection="0"/>
    <xf numFmtId="4" fontId="37" fillId="32" borderId="268">
      <alignment horizontal="right" vertical="center"/>
    </xf>
    <xf numFmtId="0" fontId="37" fillId="32" borderId="268">
      <alignment horizontal="right" vertical="center"/>
    </xf>
    <xf numFmtId="0" fontId="66" fillId="0" borderId="280" applyNumberFormat="0" applyFill="0" applyAlignment="0" applyProtection="0"/>
    <xf numFmtId="49" fontId="35" fillId="0" borderId="274" applyNumberFormat="0" applyFont="0" applyFill="0" applyBorder="0" applyProtection="0">
      <alignment horizontal="left" vertical="center" indent="2"/>
    </xf>
    <xf numFmtId="0" fontId="27" fillId="27" borderId="0" applyNumberFormat="0" applyBorder="0" applyAlignment="0" applyProtection="0"/>
    <xf numFmtId="0" fontId="35" fillId="0" borderId="258">
      <alignment horizontal="right" vertical="center"/>
    </xf>
    <xf numFmtId="0" fontId="35" fillId="0" borderId="258" applyNumberFormat="0" applyFill="0" applyAlignment="0" applyProtection="0"/>
    <xf numFmtId="0" fontId="66" fillId="0" borderId="264" applyNumberFormat="0" applyFill="0" applyAlignment="0" applyProtection="0"/>
    <xf numFmtId="4" fontId="35" fillId="0" borderId="258" applyFill="0" applyBorder="0" applyProtection="0">
      <alignment horizontal="right" vertical="center"/>
    </xf>
    <xf numFmtId="0" fontId="46" fillId="56" borderId="263" applyNumberFormat="0" applyAlignment="0" applyProtection="0"/>
    <xf numFmtId="4" fontId="35" fillId="33" borderId="258"/>
    <xf numFmtId="0" fontId="66" fillId="0" borderId="264" applyNumberFormat="0" applyFill="0" applyAlignment="0" applyProtection="0"/>
    <xf numFmtId="0" fontId="63" fillId="56" borderId="272" applyNumberFormat="0" applyAlignment="0" applyProtection="0"/>
    <xf numFmtId="49" fontId="35" fillId="0" borderId="258" applyNumberFormat="0" applyFont="0" applyFill="0" applyBorder="0" applyProtection="0">
      <alignment horizontal="left" vertical="center" indent="2"/>
    </xf>
    <xf numFmtId="0" fontId="59" fillId="43" borderId="265" applyNumberFormat="0" applyAlignment="0" applyProtection="0"/>
    <xf numFmtId="0" fontId="66" fillId="0" borderId="266" applyNumberFormat="0" applyFill="0" applyAlignment="0" applyProtection="0"/>
    <xf numFmtId="4" fontId="33" fillId="34" borderId="276">
      <alignment horizontal="right" vertical="center"/>
    </xf>
    <xf numFmtId="0" fontId="46" fillId="56" borderId="263" applyNumberFormat="0" applyAlignment="0" applyProtection="0"/>
    <xf numFmtId="0" fontId="5" fillId="59" borderId="267" applyNumberFormat="0" applyFont="0" applyAlignment="0" applyProtection="0"/>
    <xf numFmtId="0" fontId="66" fillId="0" borderId="290" applyNumberFormat="0" applyFill="0" applyAlignment="0" applyProtection="0"/>
    <xf numFmtId="4" fontId="33" fillId="34" borderId="269">
      <alignment horizontal="right" vertical="center"/>
    </xf>
    <xf numFmtId="0" fontId="66" fillId="0" borderId="264" applyNumberFormat="0" applyFill="0" applyAlignment="0" applyProtection="0"/>
    <xf numFmtId="4" fontId="33" fillId="34" borderId="258">
      <alignment horizontal="right" vertical="center"/>
    </xf>
    <xf numFmtId="0" fontId="27" fillId="14" borderId="0" applyNumberFormat="0" applyBorder="0" applyAlignment="0" applyProtection="0"/>
    <xf numFmtId="4" fontId="37" fillId="32" borderId="282">
      <alignment horizontal="right" vertical="center"/>
    </xf>
    <xf numFmtId="4" fontId="33" fillId="34" borderId="294">
      <alignment horizontal="right" vertical="center"/>
    </xf>
    <xf numFmtId="0" fontId="12" fillId="25" borderId="0" applyNumberFormat="0" applyBorder="0" applyAlignment="0" applyProtection="0"/>
    <xf numFmtId="0" fontId="27" fillId="21" borderId="0" applyNumberFormat="0" applyBorder="0" applyAlignment="0" applyProtection="0"/>
    <xf numFmtId="49" fontId="34" fillId="0" borderId="282" applyNumberFormat="0" applyFill="0" applyBorder="0" applyProtection="0">
      <alignment horizontal="left" vertical="center"/>
    </xf>
    <xf numFmtId="0" fontId="27" fillId="27" borderId="0" applyNumberFormat="0" applyBorder="0" applyAlignment="0" applyProtection="0"/>
    <xf numFmtId="0" fontId="41" fillId="59" borderId="267" applyNumberFormat="0" applyFont="0" applyAlignment="0" applyProtection="0"/>
    <xf numFmtId="0" fontId="66" fillId="0" borderId="288" applyNumberFormat="0" applyFill="0" applyAlignment="0" applyProtection="0"/>
    <xf numFmtId="4" fontId="33" fillId="34" borderId="292">
      <alignment horizontal="right" vertical="center"/>
    </xf>
    <xf numFmtId="4" fontId="33" fillId="34" borderId="282">
      <alignment horizontal="right" vertical="center"/>
    </xf>
    <xf numFmtId="0" fontId="59" fillId="43" borderId="263" applyNumberFormat="0" applyAlignment="0" applyProtection="0"/>
    <xf numFmtId="0" fontId="33" fillId="34" borderId="258">
      <alignment horizontal="right" vertical="center"/>
    </xf>
    <xf numFmtId="0" fontId="5" fillId="59" borderId="257" applyNumberFormat="0" applyFont="0" applyAlignment="0" applyProtection="0"/>
    <xf numFmtId="4" fontId="33" fillId="34" borderId="259">
      <alignment horizontal="right" vertical="center"/>
    </xf>
    <xf numFmtId="0" fontId="59" fillId="43" borderId="263" applyNumberFormat="0" applyAlignment="0" applyProtection="0"/>
    <xf numFmtId="0" fontId="33" fillId="34" borderId="269">
      <alignment horizontal="right" vertical="center"/>
    </xf>
    <xf numFmtId="0" fontId="35" fillId="34" borderId="285">
      <alignment horizontal="left" vertical="center" wrapText="1" indent="2"/>
    </xf>
    <xf numFmtId="0" fontId="59" fillId="43" borderId="265" applyNumberFormat="0" applyAlignment="0" applyProtection="0"/>
    <xf numFmtId="0" fontId="47" fillId="56" borderId="265" applyNumberFormat="0" applyAlignment="0" applyProtection="0"/>
    <xf numFmtId="0" fontId="59" fillId="43" borderId="263" applyNumberFormat="0" applyAlignment="0" applyProtection="0"/>
    <xf numFmtId="0" fontId="33" fillId="34" borderId="268">
      <alignment horizontal="right" vertical="center"/>
    </xf>
    <xf numFmtId="0" fontId="5" fillId="59" borderId="257" applyNumberFormat="0" applyFont="0" applyAlignment="0" applyProtection="0"/>
    <xf numFmtId="4" fontId="33" fillId="34" borderId="259">
      <alignment horizontal="right" vertical="center"/>
    </xf>
    <xf numFmtId="4" fontId="33" fillId="34" borderId="258">
      <alignment horizontal="right" vertical="center"/>
    </xf>
    <xf numFmtId="0" fontId="33" fillId="34" borderId="293">
      <alignment horizontal="right" vertical="center"/>
    </xf>
    <xf numFmtId="4" fontId="33" fillId="34" borderId="258">
      <alignment horizontal="right" vertical="center"/>
    </xf>
    <xf numFmtId="0" fontId="59" fillId="43" borderId="263" applyNumberFormat="0" applyAlignment="0" applyProtection="0"/>
    <xf numFmtId="4" fontId="37" fillId="32" borderId="258">
      <alignment horizontal="right" vertical="center"/>
    </xf>
    <xf numFmtId="0" fontId="35" fillId="34" borderId="261">
      <alignment horizontal="left" vertical="center" wrapText="1" indent="2"/>
    </xf>
    <xf numFmtId="0" fontId="5" fillId="59" borderId="257" applyNumberFormat="0" applyFont="0" applyAlignment="0" applyProtection="0"/>
    <xf numFmtId="0" fontId="51" fillId="0" borderId="264" applyNumberFormat="0" applyFill="0" applyAlignment="0" applyProtection="0"/>
    <xf numFmtId="0" fontId="59" fillId="43" borderId="263" applyNumberFormat="0" applyAlignment="0" applyProtection="0"/>
    <xf numFmtId="4" fontId="35" fillId="0" borderId="258">
      <alignment horizontal="right" vertical="center"/>
    </xf>
    <xf numFmtId="0" fontId="66" fillId="0" borderId="264" applyNumberFormat="0" applyFill="0" applyAlignment="0" applyProtection="0"/>
    <xf numFmtId="0" fontId="5" fillId="59" borderId="273" applyNumberFormat="0" applyFont="0" applyAlignment="0" applyProtection="0"/>
    <xf numFmtId="0" fontId="35" fillId="0" borderId="274">
      <alignment horizontal="right" vertical="center"/>
    </xf>
    <xf numFmtId="0" fontId="66" fillId="0" borderId="266" applyNumberFormat="0" applyFill="0" applyAlignment="0" applyProtection="0"/>
    <xf numFmtId="0" fontId="46" fillId="56" borderId="279" applyNumberFormat="0" applyAlignment="0" applyProtection="0"/>
    <xf numFmtId="0" fontId="63" fillId="56" borderId="278" applyNumberFormat="0" applyAlignment="0" applyProtection="0"/>
    <xf numFmtId="4" fontId="35" fillId="0" borderId="268">
      <alignment horizontal="right" vertical="center"/>
    </xf>
    <xf numFmtId="0" fontId="2" fillId="0" borderId="15" applyNumberFormat="0" applyFill="0" applyAlignment="0" applyProtection="0"/>
    <xf numFmtId="0" fontId="47" fillId="56" borderId="263" applyNumberFormat="0" applyAlignment="0" applyProtection="0"/>
    <xf numFmtId="0" fontId="33" fillId="32" borderId="258">
      <alignment horizontal="right" vertical="center"/>
    </xf>
    <xf numFmtId="0" fontId="41" fillId="59" borderId="291" applyNumberFormat="0" applyFont="0" applyAlignment="0" applyProtection="0"/>
    <xf numFmtId="49" fontId="35" fillId="0" borderId="275" applyNumberFormat="0" applyFont="0" applyFill="0" applyBorder="0" applyProtection="0">
      <alignment horizontal="left" vertical="center" indent="5"/>
    </xf>
    <xf numFmtId="0" fontId="5" fillId="59" borderId="267" applyNumberFormat="0" applyFont="0" applyAlignment="0" applyProtection="0"/>
    <xf numFmtId="4" fontId="33" fillId="34" borderId="276">
      <alignment horizontal="right" vertical="center"/>
    </xf>
    <xf numFmtId="0" fontId="33" fillId="34" borderId="268">
      <alignment horizontal="right" vertical="center"/>
    </xf>
    <xf numFmtId="0" fontId="35" fillId="33" borderId="274"/>
    <xf numFmtId="4" fontId="37" fillId="32" borderId="282">
      <alignment horizontal="right" vertical="center"/>
    </xf>
    <xf numFmtId="4" fontId="33" fillId="34" borderId="292">
      <alignment horizontal="right" vertical="center"/>
    </xf>
    <xf numFmtId="0" fontId="33" fillId="32" borderId="268">
      <alignment horizontal="right" vertical="center"/>
    </xf>
    <xf numFmtId="49" fontId="34" fillId="0" borderId="258" applyNumberFormat="0" applyFill="0" applyBorder="0" applyProtection="0">
      <alignment horizontal="left" vertical="center"/>
    </xf>
    <xf numFmtId="0" fontId="37" fillId="32" borderId="258">
      <alignment horizontal="right" vertical="center"/>
    </xf>
    <xf numFmtId="0" fontId="46" fillId="56" borderId="263" applyNumberFormat="0" applyAlignment="0" applyProtection="0"/>
    <xf numFmtId="0" fontId="35" fillId="0" borderId="261">
      <alignment horizontal="left" vertical="center" wrapText="1" indent="2"/>
    </xf>
    <xf numFmtId="0" fontId="63" fillId="56" borderId="262" applyNumberFormat="0" applyAlignment="0" applyProtection="0"/>
    <xf numFmtId="0" fontId="33" fillId="34" borderId="259">
      <alignment horizontal="right" vertical="center"/>
    </xf>
    <xf numFmtId="49" fontId="34" fillId="0" borderId="282" applyNumberFormat="0" applyFill="0" applyBorder="0" applyProtection="0">
      <alignment horizontal="left" vertical="center"/>
    </xf>
    <xf numFmtId="0" fontId="33" fillId="34" borderId="259">
      <alignment horizontal="right" vertical="center"/>
    </xf>
    <xf numFmtId="0" fontId="33" fillId="32" borderId="258">
      <alignment horizontal="right" vertical="center"/>
    </xf>
    <xf numFmtId="0" fontId="35" fillId="0" borderId="282" applyNumberFormat="0" applyFill="0" applyAlignment="0" applyProtection="0"/>
    <xf numFmtId="4" fontId="35" fillId="0" borderId="268">
      <alignment horizontal="right" vertical="center"/>
    </xf>
    <xf numFmtId="0" fontId="27" fillId="15" borderId="0" applyNumberFormat="0" applyBorder="0" applyAlignment="0" applyProtection="0"/>
    <xf numFmtId="0" fontId="33" fillId="34" borderId="274">
      <alignment horizontal="right" vertical="center"/>
    </xf>
    <xf numFmtId="0" fontId="44" fillId="56" borderId="262" applyNumberFormat="0" applyAlignment="0" applyProtection="0"/>
    <xf numFmtId="0" fontId="27" fillId="14" borderId="0" applyNumberFormat="0" applyBorder="0" applyAlignment="0" applyProtection="0"/>
    <xf numFmtId="0" fontId="41" fillId="59" borderId="267" applyNumberFormat="0" applyFont="0" applyAlignment="0" applyProtection="0"/>
    <xf numFmtId="0" fontId="47" fillId="56" borderId="279" applyNumberFormat="0" applyAlignment="0" applyProtection="0"/>
    <xf numFmtId="0" fontId="63" fillId="56" borderId="272" applyNumberFormat="0" applyAlignment="0" applyProtection="0"/>
    <xf numFmtId="4" fontId="35" fillId="0" borderId="258">
      <alignment horizontal="right" vertical="center"/>
    </xf>
    <xf numFmtId="0" fontId="66" fillId="0" borderId="264" applyNumberFormat="0" applyFill="0" applyAlignment="0" applyProtection="0"/>
    <xf numFmtId="0" fontId="33" fillId="34" borderId="275">
      <alignment horizontal="right" vertical="center"/>
    </xf>
    <xf numFmtId="173" fontId="35" fillId="60" borderId="268" applyNumberFormat="0" applyFont="0" applyBorder="0" applyAlignment="0" applyProtection="0">
      <alignment horizontal="right" vertical="center"/>
    </xf>
    <xf numFmtId="0" fontId="35" fillId="0" borderId="261">
      <alignment horizontal="left" vertical="center" wrapText="1" indent="2"/>
    </xf>
    <xf numFmtId="4" fontId="33" fillId="32" borderId="258">
      <alignment horizontal="right" vertical="center"/>
    </xf>
    <xf numFmtId="0" fontId="66" fillId="0" borderId="264" applyNumberFormat="0" applyFill="0" applyAlignment="0" applyProtection="0"/>
    <xf numFmtId="0" fontId="35" fillId="34" borderId="261">
      <alignment horizontal="left" vertical="center" wrapText="1" indent="2"/>
    </xf>
    <xf numFmtId="0" fontId="47" fillId="56" borderId="263" applyNumberFormat="0" applyAlignment="0" applyProtection="0"/>
    <xf numFmtId="0" fontId="46" fillId="56" borderId="265" applyNumberFormat="0" applyAlignment="0" applyProtection="0"/>
    <xf numFmtId="4" fontId="33" fillId="34" borderId="269">
      <alignment horizontal="right" vertical="center"/>
    </xf>
    <xf numFmtId="49" fontId="35" fillId="0" borderId="292" applyNumberFormat="0" applyFont="0" applyFill="0" applyBorder="0" applyProtection="0">
      <alignment horizontal="left" vertical="center" indent="2"/>
    </xf>
    <xf numFmtId="0" fontId="66" fillId="0" borderId="290" applyNumberFormat="0" applyFill="0" applyAlignment="0" applyProtection="0"/>
    <xf numFmtId="4" fontId="33" fillId="34" borderId="268">
      <alignment horizontal="right" vertical="center"/>
    </xf>
    <xf numFmtId="173" fontId="35" fillId="60" borderId="258" applyNumberFormat="0" applyFont="0" applyBorder="0" applyAlignment="0" applyProtection="0">
      <alignment horizontal="right" vertical="center"/>
    </xf>
    <xf numFmtId="49" fontId="35" fillId="0" borderId="282" applyNumberFormat="0" applyFont="0" applyFill="0" applyBorder="0" applyProtection="0">
      <alignment horizontal="left" vertical="center" indent="2"/>
    </xf>
    <xf numFmtId="0" fontId="12" fillId="22" borderId="0" applyNumberFormat="0" applyBorder="0" applyAlignment="0" applyProtection="0"/>
    <xf numFmtId="0" fontId="27" fillId="29" borderId="0" applyNumberFormat="0" applyBorder="0" applyAlignment="0" applyProtection="0"/>
    <xf numFmtId="0" fontId="27" fillId="23" borderId="0" applyNumberFormat="0" applyBorder="0" applyAlignment="0" applyProtection="0"/>
    <xf numFmtId="0" fontId="33" fillId="34" borderId="269">
      <alignment horizontal="right" vertical="center"/>
    </xf>
    <xf numFmtId="0" fontId="35" fillId="33" borderId="268"/>
    <xf numFmtId="0" fontId="33" fillId="34" borderId="260">
      <alignment horizontal="right" vertical="center"/>
    </xf>
    <xf numFmtId="0" fontId="41" fillId="59" borderId="281" applyNumberFormat="0" applyFont="0" applyAlignment="0" applyProtection="0"/>
    <xf numFmtId="0" fontId="35" fillId="34" borderId="261">
      <alignment horizontal="left" vertical="center" wrapText="1" indent="2"/>
    </xf>
    <xf numFmtId="4" fontId="33" fillId="34" borderId="258">
      <alignment horizontal="right" vertical="center"/>
    </xf>
    <xf numFmtId="0" fontId="41" fillId="59" borderId="257" applyNumberFormat="0" applyFont="0" applyAlignment="0" applyProtection="0"/>
    <xf numFmtId="0" fontId="27" fillId="24" borderId="0" applyNumberFormat="0" applyBorder="0" applyAlignment="0" applyProtection="0"/>
    <xf numFmtId="4" fontId="33" fillId="32" borderId="268">
      <alignment horizontal="right" vertical="center"/>
    </xf>
    <xf numFmtId="4" fontId="35" fillId="33" borderId="274"/>
    <xf numFmtId="4" fontId="37" fillId="32" borderId="258">
      <alignment horizontal="right" vertical="center"/>
    </xf>
    <xf numFmtId="0" fontId="47" fillId="56" borderId="265" applyNumberFormat="0" applyAlignment="0" applyProtection="0"/>
    <xf numFmtId="0" fontId="44" fillId="56" borderId="296" applyNumberFormat="0" applyAlignment="0" applyProtection="0"/>
    <xf numFmtId="0" fontId="12" fillId="22" borderId="0" applyNumberFormat="0" applyBorder="0" applyAlignment="0" applyProtection="0"/>
    <xf numFmtId="0" fontId="33" fillId="34" borderId="269">
      <alignment horizontal="right" vertical="center"/>
    </xf>
    <xf numFmtId="0" fontId="35" fillId="34" borderId="277">
      <alignment horizontal="left" vertical="center" wrapText="1" indent="2"/>
    </xf>
    <xf numFmtId="0" fontId="33" fillId="34" borderId="258">
      <alignment horizontal="right" vertical="center"/>
    </xf>
    <xf numFmtId="0" fontId="33" fillId="34" borderId="270">
      <alignment horizontal="right" vertical="center"/>
    </xf>
    <xf numFmtId="0" fontId="41" fillId="59" borderId="267" applyNumberFormat="0" applyFont="0" applyAlignment="0" applyProtection="0"/>
    <xf numFmtId="4" fontId="35" fillId="33" borderId="258"/>
    <xf numFmtId="0" fontId="44" fillId="56" borderId="272" applyNumberFormat="0" applyAlignment="0" applyProtection="0"/>
    <xf numFmtId="49" fontId="34" fillId="0" borderId="274" applyNumberFormat="0" applyFill="0" applyBorder="0" applyProtection="0">
      <alignment horizontal="left" vertical="center"/>
    </xf>
    <xf numFmtId="173" fontId="35" fillId="60" borderId="258" applyNumberFormat="0" applyFont="0" applyBorder="0" applyAlignment="0" applyProtection="0">
      <alignment horizontal="right" vertical="center"/>
    </xf>
    <xf numFmtId="0" fontId="31" fillId="0" borderId="0" applyNumberFormat="0" applyFill="0" applyBorder="0" applyAlignment="0" applyProtection="0"/>
    <xf numFmtId="49" fontId="35" fillId="0" borderId="259" applyNumberFormat="0" applyFont="0" applyFill="0" applyBorder="0" applyProtection="0">
      <alignment horizontal="left" vertical="center" indent="5"/>
    </xf>
    <xf numFmtId="4" fontId="37" fillId="32" borderId="268">
      <alignment horizontal="right" vertical="center"/>
    </xf>
    <xf numFmtId="0" fontId="12" fillId="19" borderId="0" applyNumberFormat="0" applyBorder="0" applyAlignment="0" applyProtection="0"/>
    <xf numFmtId="0" fontId="33" fillId="34" borderId="260">
      <alignment horizontal="right" vertical="center"/>
    </xf>
    <xf numFmtId="0" fontId="27" fillId="26" borderId="0" applyNumberFormat="0" applyBorder="0" applyAlignment="0" applyProtection="0"/>
    <xf numFmtId="0" fontId="35" fillId="0" borderId="268" applyNumberFormat="0" applyFill="0" applyAlignment="0" applyProtection="0"/>
    <xf numFmtId="0" fontId="66" fillId="0" borderId="280" applyNumberFormat="0" applyFill="0" applyAlignment="0" applyProtection="0"/>
    <xf numFmtId="4" fontId="33" fillId="34" borderId="260">
      <alignment horizontal="right" vertical="center"/>
    </xf>
    <xf numFmtId="0" fontId="35" fillId="0" borderId="258" applyNumberFormat="0" applyFill="0" applyAlignment="0" applyProtection="0"/>
    <xf numFmtId="0" fontId="63" fillId="56" borderId="262" applyNumberFormat="0" applyAlignment="0" applyProtection="0"/>
    <xf numFmtId="0" fontId="33" fillId="34" borderId="268">
      <alignment horizontal="right" vertical="center"/>
    </xf>
    <xf numFmtId="0" fontId="33" fillId="32" borderId="258">
      <alignment horizontal="right" vertical="center"/>
    </xf>
    <xf numFmtId="0" fontId="59" fillId="43" borderId="263" applyNumberFormat="0" applyAlignment="0" applyProtection="0"/>
    <xf numFmtId="0" fontId="51" fillId="0" borderId="264" applyNumberFormat="0" applyFill="0" applyAlignment="0" applyProtection="0"/>
    <xf numFmtId="0" fontId="33" fillId="34" borderId="258">
      <alignment horizontal="right" vertical="center"/>
    </xf>
    <xf numFmtId="0" fontId="35" fillId="34" borderId="261">
      <alignment horizontal="left" vertical="center" wrapText="1" indent="2"/>
    </xf>
    <xf numFmtId="0" fontId="35" fillId="32" borderId="259">
      <alignment horizontal="left" vertical="center"/>
    </xf>
    <xf numFmtId="0" fontId="41" fillId="59" borderId="257" applyNumberFormat="0" applyFont="0" applyAlignment="0" applyProtection="0"/>
    <xf numFmtId="0" fontId="5" fillId="59" borderId="257" applyNumberFormat="0" applyFont="0" applyAlignment="0" applyProtection="0"/>
    <xf numFmtId="4" fontId="37" fillId="32" borderId="258">
      <alignment horizontal="right" vertical="center"/>
    </xf>
    <xf numFmtId="0" fontId="66" fillId="0" borderId="264" applyNumberFormat="0" applyFill="0" applyAlignment="0" applyProtection="0"/>
    <xf numFmtId="4" fontId="35" fillId="0" borderId="258" applyFill="0" applyBorder="0" applyProtection="0">
      <alignment horizontal="right" vertical="center"/>
    </xf>
    <xf numFmtId="49" fontId="34" fillId="0" borderId="258" applyNumberFormat="0" applyFill="0" applyBorder="0" applyProtection="0">
      <alignment horizontal="left" vertical="center"/>
    </xf>
    <xf numFmtId="4" fontId="33" fillId="34" borderId="270">
      <alignment horizontal="right" vertical="center"/>
    </xf>
    <xf numFmtId="0" fontId="27" fillId="18" borderId="0" applyNumberFormat="0" applyBorder="0" applyAlignment="0" applyProtection="0"/>
    <xf numFmtId="0" fontId="35" fillId="0" borderId="261">
      <alignment horizontal="left" vertical="center" wrapText="1" indent="2"/>
    </xf>
    <xf numFmtId="4" fontId="35" fillId="0" borderId="268">
      <alignment horizontal="right" vertical="center"/>
    </xf>
    <xf numFmtId="0" fontId="66" fillId="0" borderId="266" applyNumberFormat="0" applyFill="0" applyAlignment="0" applyProtection="0"/>
    <xf numFmtId="0" fontId="47" fillId="56" borderId="265" applyNumberFormat="0" applyAlignment="0" applyProtection="0"/>
    <xf numFmtId="0" fontId="51" fillId="0" borderId="288" applyNumberFormat="0" applyFill="0" applyAlignment="0" applyProtection="0"/>
    <xf numFmtId="0" fontId="35" fillId="34" borderId="261">
      <alignment horizontal="left" vertical="center" wrapText="1" indent="2"/>
    </xf>
    <xf numFmtId="0" fontId="1" fillId="0" borderId="0" applyNumberFormat="0" applyFill="0" applyBorder="0" applyAlignment="0" applyProtection="0"/>
    <xf numFmtId="0" fontId="46" fillId="56" borderId="265" applyNumberFormat="0" applyAlignment="0" applyProtection="0"/>
    <xf numFmtId="49" fontId="34" fillId="0" borderId="282" applyNumberFormat="0" applyFill="0" applyBorder="0" applyProtection="0">
      <alignment horizontal="left" vertical="center"/>
    </xf>
    <xf numFmtId="0" fontId="12" fillId="28" borderId="0" applyNumberFormat="0" applyBorder="0" applyAlignment="0" applyProtection="0"/>
    <xf numFmtId="0" fontId="27" fillId="27" borderId="0" applyNumberFormat="0" applyBorder="0" applyAlignment="0" applyProtection="0"/>
    <xf numFmtId="0" fontId="50" fillId="43" borderId="289" applyNumberFormat="0" applyAlignment="0" applyProtection="0"/>
    <xf numFmtId="0" fontId="47" fillId="56" borderId="265" applyNumberFormat="0" applyAlignment="0" applyProtection="0"/>
    <xf numFmtId="0" fontId="47" fillId="56" borderId="265" applyNumberFormat="0" applyAlignment="0" applyProtection="0"/>
    <xf numFmtId="173" fontId="35" fillId="60" borderId="268" applyNumberFormat="0" applyFont="0" applyBorder="0" applyAlignment="0" applyProtection="0">
      <alignment horizontal="right" vertical="center"/>
    </xf>
    <xf numFmtId="173" fontId="35" fillId="60" borderId="282" applyNumberFormat="0" applyFont="0" applyBorder="0" applyAlignment="0" applyProtection="0">
      <alignment horizontal="right" vertical="center"/>
    </xf>
    <xf numFmtId="0" fontId="44" fillId="56" borderId="262" applyNumberFormat="0" applyAlignment="0" applyProtection="0"/>
    <xf numFmtId="0" fontId="12" fillId="19" borderId="0" applyNumberFormat="0" applyBorder="0" applyAlignment="0" applyProtection="0"/>
    <xf numFmtId="0" fontId="29" fillId="13" borderId="14" applyNumberFormat="0" applyAlignment="0" applyProtection="0"/>
    <xf numFmtId="0" fontId="12" fillId="31" borderId="0" applyNumberFormat="0" applyBorder="0" applyAlignment="0" applyProtection="0"/>
    <xf numFmtId="0" fontId="33" fillId="34" borderId="258">
      <alignment horizontal="right" vertical="center"/>
    </xf>
    <xf numFmtId="0" fontId="66" fillId="0" borderId="264" applyNumberFormat="0" applyFill="0" applyAlignment="0" applyProtection="0"/>
    <xf numFmtId="0" fontId="37" fillId="32" borderId="258">
      <alignment horizontal="right" vertical="center"/>
    </xf>
    <xf numFmtId="0" fontId="50" fillId="43" borderId="265" applyNumberFormat="0" applyAlignment="0" applyProtection="0"/>
    <xf numFmtId="0" fontId="27" fillId="18" borderId="0" applyNumberFormat="0" applyBorder="0" applyAlignment="0" applyProtection="0"/>
    <xf numFmtId="0" fontId="33" fillId="34" borderId="274">
      <alignment horizontal="right" vertical="center"/>
    </xf>
    <xf numFmtId="0" fontId="27" fillId="17" borderId="0" applyNumberFormat="0" applyBorder="0" applyAlignment="0" applyProtection="0"/>
    <xf numFmtId="4" fontId="35" fillId="33" borderId="258"/>
    <xf numFmtId="0" fontId="66" fillId="0" borderId="266" applyNumberFormat="0" applyFill="0" applyAlignment="0" applyProtection="0"/>
    <xf numFmtId="0" fontId="33" fillId="34" borderId="259">
      <alignment horizontal="right" vertical="center"/>
    </xf>
    <xf numFmtId="0" fontId="50" fillId="43" borderId="263" applyNumberFormat="0" applyAlignment="0" applyProtection="0"/>
    <xf numFmtId="0" fontId="35" fillId="33" borderId="258"/>
    <xf numFmtId="4" fontId="37" fillId="32" borderId="258">
      <alignment horizontal="right" vertical="center"/>
    </xf>
    <xf numFmtId="0" fontId="59" fillId="43" borderId="263" applyNumberFormat="0" applyAlignment="0" applyProtection="0"/>
    <xf numFmtId="0" fontId="35" fillId="34" borderId="295">
      <alignment horizontal="left" vertical="center" wrapText="1" indent="2"/>
    </xf>
    <xf numFmtId="0" fontId="66" fillId="0" borderId="264" applyNumberFormat="0" applyFill="0" applyAlignment="0" applyProtection="0"/>
    <xf numFmtId="4" fontId="33" fillId="32" borderId="258">
      <alignment horizontal="right" vertical="center"/>
    </xf>
    <xf numFmtId="0" fontId="30" fillId="13" borderId="13" applyNumberFormat="0" applyAlignment="0" applyProtection="0"/>
    <xf numFmtId="0" fontId="12" fillId="28" borderId="0" applyNumberFormat="0" applyBorder="0" applyAlignment="0" applyProtection="0"/>
    <xf numFmtId="0" fontId="33" fillId="34" borderId="269">
      <alignment horizontal="right" vertical="center"/>
    </xf>
    <xf numFmtId="0" fontId="63" fillId="56" borderId="272" applyNumberFormat="0" applyAlignment="0" applyProtection="0"/>
    <xf numFmtId="0" fontId="47" fillId="56" borderId="289" applyNumberFormat="0" applyAlignment="0" applyProtection="0"/>
    <xf numFmtId="0" fontId="12" fillId="22" borderId="0" applyNumberFormat="0" applyBorder="0" applyAlignment="0" applyProtection="0"/>
    <xf numFmtId="0" fontId="47" fillId="56" borderId="265" applyNumberFormat="0" applyAlignment="0" applyProtection="0"/>
    <xf numFmtId="0" fontId="33" fillId="32" borderId="258">
      <alignment horizontal="right" vertical="center"/>
    </xf>
    <xf numFmtId="0" fontId="63" fillId="56" borderId="262" applyNumberFormat="0" applyAlignment="0" applyProtection="0"/>
    <xf numFmtId="0" fontId="63" fillId="56" borderId="262" applyNumberFormat="0" applyAlignment="0" applyProtection="0"/>
    <xf numFmtId="49" fontId="35" fillId="0" borderId="259" applyNumberFormat="0" applyFont="0" applyFill="0" applyBorder="0" applyProtection="0">
      <alignment horizontal="left" vertical="center" indent="5"/>
    </xf>
    <xf numFmtId="0" fontId="44" fillId="56" borderId="262" applyNumberFormat="0" applyAlignment="0" applyProtection="0"/>
    <xf numFmtId="0" fontId="35" fillId="33" borderId="258"/>
    <xf numFmtId="0" fontId="63" fillId="56" borderId="262" applyNumberFormat="0" applyAlignment="0" applyProtection="0"/>
    <xf numFmtId="49" fontId="35" fillId="0" borderId="293" applyNumberFormat="0" applyFont="0" applyFill="0" applyBorder="0" applyProtection="0">
      <alignment horizontal="left" vertical="center" indent="5"/>
    </xf>
    <xf numFmtId="0" fontId="51" fillId="0" borderId="264" applyNumberFormat="0" applyFill="0" applyAlignment="0" applyProtection="0"/>
    <xf numFmtId="0" fontId="33" fillId="34" borderId="276">
      <alignment horizontal="right" vertical="center"/>
    </xf>
    <xf numFmtId="0" fontId="27" fillId="20" borderId="0" applyNumberFormat="0" applyBorder="0" applyAlignment="0" applyProtection="0"/>
    <xf numFmtId="0" fontId="35" fillId="33" borderId="258"/>
    <xf numFmtId="0" fontId="66" fillId="0" borderId="266" applyNumberFormat="0" applyFill="0" applyAlignment="0" applyProtection="0"/>
    <xf numFmtId="0" fontId="27" fillId="20" borderId="0" applyNumberFormat="0" applyBorder="0" applyAlignment="0" applyProtection="0"/>
    <xf numFmtId="0" fontId="35" fillId="0" borderId="268" applyNumberFormat="0" applyFill="0" applyAlignment="0" applyProtection="0"/>
    <xf numFmtId="0" fontId="47" fillId="56" borderId="279" applyNumberFormat="0" applyAlignment="0" applyProtection="0"/>
    <xf numFmtId="49" fontId="34" fillId="0" borderId="258" applyNumberFormat="0" applyFill="0" applyBorder="0" applyProtection="0">
      <alignment horizontal="left" vertical="center"/>
    </xf>
    <xf numFmtId="0" fontId="35" fillId="0" borderId="261">
      <alignment horizontal="left" vertical="center" wrapText="1" indent="2"/>
    </xf>
    <xf numFmtId="0" fontId="63" fillId="56" borderId="262" applyNumberFormat="0" applyAlignment="0" applyProtection="0"/>
    <xf numFmtId="0" fontId="33" fillId="34" borderId="260">
      <alignment horizontal="right" vertical="center"/>
    </xf>
    <xf numFmtId="0" fontId="50" fillId="43" borderId="263" applyNumberFormat="0" applyAlignment="0" applyProtection="0"/>
    <xf numFmtId="0" fontId="33" fillId="34" borderId="260">
      <alignment horizontal="right" vertical="center"/>
    </xf>
    <xf numFmtId="4" fontId="33" fillId="34" borderId="258">
      <alignment horizontal="right" vertical="center"/>
    </xf>
    <xf numFmtId="0" fontId="33" fillId="34" borderId="258">
      <alignment horizontal="right" vertical="center"/>
    </xf>
    <xf numFmtId="0" fontId="44" fillId="56" borderId="262" applyNumberFormat="0" applyAlignment="0" applyProtection="0"/>
    <xf numFmtId="0" fontId="46" fillId="56" borderId="263" applyNumberFormat="0" applyAlignment="0" applyProtection="0"/>
    <xf numFmtId="0" fontId="51" fillId="0" borderId="264" applyNumberFormat="0" applyFill="0" applyAlignment="0" applyProtection="0"/>
    <xf numFmtId="0" fontId="35" fillId="33" borderId="258"/>
    <xf numFmtId="4" fontId="35" fillId="33" borderId="258"/>
    <xf numFmtId="4" fontId="33" fillId="34" borderId="258">
      <alignment horizontal="right" vertical="center"/>
    </xf>
    <xf numFmtId="0" fontId="37" fillId="32" borderId="258">
      <alignment horizontal="right" vertical="center"/>
    </xf>
    <xf numFmtId="0" fontId="50" fillId="43" borderId="263" applyNumberFormat="0" applyAlignment="0" applyProtection="0"/>
    <xf numFmtId="0" fontId="47" fillId="56" borderId="263" applyNumberFormat="0" applyAlignment="0" applyProtection="0"/>
    <xf numFmtId="4" fontId="35" fillId="0" borderId="258">
      <alignment horizontal="right" vertical="center"/>
    </xf>
    <xf numFmtId="0" fontId="35" fillId="34" borderId="261">
      <alignment horizontal="left" vertical="center" wrapText="1" indent="2"/>
    </xf>
    <xf numFmtId="0" fontId="35" fillId="0" borderId="261">
      <alignment horizontal="left" vertical="center" wrapText="1" indent="2"/>
    </xf>
    <xf numFmtId="0" fontId="63" fillId="56" borderId="262" applyNumberFormat="0" applyAlignment="0" applyProtection="0"/>
    <xf numFmtId="0" fontId="59" fillId="43" borderId="263" applyNumberFormat="0" applyAlignment="0" applyProtection="0"/>
    <xf numFmtId="0" fontId="46" fillId="56" borderId="263" applyNumberFormat="0" applyAlignment="0" applyProtection="0"/>
    <xf numFmtId="0" fontId="44" fillId="56" borderId="262" applyNumberFormat="0" applyAlignment="0" applyProtection="0"/>
    <xf numFmtId="0" fontId="33" fillId="34" borderId="260">
      <alignment horizontal="right" vertical="center"/>
    </xf>
    <xf numFmtId="0" fontId="37" fillId="32" borderId="258">
      <alignment horizontal="right" vertical="center"/>
    </xf>
    <xf numFmtId="4" fontId="33" fillId="32" borderId="258">
      <alignment horizontal="right" vertical="center"/>
    </xf>
    <xf numFmtId="4" fontId="33" fillId="34" borderId="258">
      <alignment horizontal="right" vertical="center"/>
    </xf>
    <xf numFmtId="49" fontId="35" fillId="0" borderId="259" applyNumberFormat="0" applyFont="0" applyFill="0" applyBorder="0" applyProtection="0">
      <alignment horizontal="left" vertical="center" indent="5"/>
    </xf>
    <xf numFmtId="4" fontId="35" fillId="0" borderId="258" applyFill="0" applyBorder="0" applyProtection="0">
      <alignment horizontal="right" vertical="center"/>
    </xf>
    <xf numFmtId="4" fontId="33" fillId="32" borderId="258">
      <alignment horizontal="right" vertical="center"/>
    </xf>
    <xf numFmtId="0" fontId="59" fillId="43" borderId="263" applyNumberFormat="0" applyAlignment="0" applyProtection="0"/>
    <xf numFmtId="0" fontId="50" fillId="43" borderId="263" applyNumberFormat="0" applyAlignment="0" applyProtection="0"/>
    <xf numFmtId="0" fontId="46" fillId="56" borderId="263" applyNumberFormat="0" applyAlignment="0" applyProtection="0"/>
    <xf numFmtId="0" fontId="35" fillId="34" borderId="261">
      <alignment horizontal="left" vertical="center" wrapText="1" indent="2"/>
    </xf>
    <xf numFmtId="0" fontId="35" fillId="0" borderId="261">
      <alignment horizontal="left" vertical="center" wrapText="1" indent="2"/>
    </xf>
    <xf numFmtId="0" fontId="35" fillId="34" borderId="261">
      <alignment horizontal="left" vertical="center" wrapText="1" indent="2"/>
    </xf>
    <xf numFmtId="0" fontId="33" fillId="34" borderId="269">
      <alignment horizontal="right" vertical="center"/>
    </xf>
    <xf numFmtId="0" fontId="33" fillId="34" borderId="268">
      <alignment horizontal="right" vertical="center"/>
    </xf>
    <xf numFmtId="4" fontId="33" fillId="32" borderId="268">
      <alignment horizontal="right" vertical="center"/>
    </xf>
    <xf numFmtId="4" fontId="35" fillId="33" borderId="274"/>
    <xf numFmtId="0" fontId="47" fillId="56" borderId="289" applyNumberFormat="0" applyAlignment="0" applyProtection="0"/>
    <xf numFmtId="0" fontId="33" fillId="34" borderId="276">
      <alignment horizontal="right" vertical="center"/>
    </xf>
    <xf numFmtId="0" fontId="33" fillId="34" borderId="275">
      <alignment horizontal="right" vertical="center"/>
    </xf>
    <xf numFmtId="0" fontId="12" fillId="25" borderId="0" applyNumberFormat="0" applyBorder="0" applyAlignment="0" applyProtection="0"/>
    <xf numFmtId="0" fontId="5" fillId="59" borderId="281" applyNumberFormat="0" applyFont="0" applyAlignment="0" applyProtection="0"/>
    <xf numFmtId="49" fontId="34" fillId="0" borderId="274" applyNumberFormat="0" applyFill="0" applyBorder="0" applyProtection="0">
      <alignment horizontal="left" vertical="center"/>
    </xf>
    <xf numFmtId="0" fontId="27" fillId="17" borderId="0" applyNumberFormat="0" applyBorder="0" applyAlignment="0" applyProtection="0"/>
    <xf numFmtId="0" fontId="27" fillId="24" borderId="0" applyNumberFormat="0" applyBorder="0" applyAlignment="0" applyProtection="0"/>
    <xf numFmtId="0" fontId="66" fillId="0" borderId="266" applyNumberFormat="0" applyFill="0" applyAlignment="0" applyProtection="0"/>
    <xf numFmtId="0" fontId="37" fillId="32" borderId="282">
      <alignment horizontal="right" vertical="center"/>
    </xf>
    <xf numFmtId="0" fontId="27" fillId="15" borderId="0" applyNumberFormat="0" applyBorder="0" applyAlignment="0" applyProtection="0"/>
    <xf numFmtId="0" fontId="59" fillId="43" borderId="265" applyNumberFormat="0" applyAlignment="0" applyProtection="0"/>
    <xf numFmtId="4" fontId="33" fillId="34" borderId="282">
      <alignment horizontal="right" vertical="center"/>
    </xf>
    <xf numFmtId="0" fontId="33" fillId="34" borderId="275">
      <alignment horizontal="right" vertical="center"/>
    </xf>
    <xf numFmtId="4" fontId="33" fillId="34" borderId="274">
      <alignment horizontal="right" vertical="center"/>
    </xf>
    <xf numFmtId="0" fontId="31" fillId="0" borderId="0" applyNumberFormat="0" applyFill="0" applyBorder="0" applyAlignment="0" applyProtection="0"/>
    <xf numFmtId="0" fontId="47" fillId="56" borderId="265" applyNumberFormat="0" applyAlignment="0" applyProtection="0"/>
    <xf numFmtId="0" fontId="35" fillId="32" borderId="293">
      <alignment horizontal="left" vertical="center"/>
    </xf>
    <xf numFmtId="0" fontId="27" fillId="21" borderId="0" applyNumberFormat="0" applyBorder="0" applyAlignment="0" applyProtection="0"/>
    <xf numFmtId="4" fontId="33" fillId="34" borderId="275">
      <alignment horizontal="right" vertical="center"/>
    </xf>
    <xf numFmtId="0" fontId="35" fillId="33" borderId="292"/>
    <xf numFmtId="0" fontId="12" fillId="22" borderId="0" applyNumberFormat="0" applyBorder="0" applyAlignment="0" applyProtection="0"/>
    <xf numFmtId="4" fontId="37" fillId="32" borderId="274">
      <alignment horizontal="right" vertical="center"/>
    </xf>
    <xf numFmtId="4" fontId="33" fillId="34" borderId="276">
      <alignment horizontal="right" vertical="center"/>
    </xf>
    <xf numFmtId="0" fontId="37" fillId="32" borderId="274">
      <alignment horizontal="right" vertical="center"/>
    </xf>
    <xf numFmtId="0" fontId="30" fillId="13" borderId="13" applyNumberFormat="0" applyAlignment="0" applyProtection="0"/>
    <xf numFmtId="4" fontId="35" fillId="33" borderId="282"/>
    <xf numFmtId="4" fontId="33" fillId="34" borderId="274">
      <alignment horizontal="right" vertical="center"/>
    </xf>
    <xf numFmtId="4" fontId="33" fillId="34" borderId="284">
      <alignment horizontal="right" vertical="center"/>
    </xf>
    <xf numFmtId="0" fontId="59" fillId="43" borderId="287" applyNumberFormat="0" applyAlignment="0" applyProtection="0"/>
    <xf numFmtId="4" fontId="33" fillId="34" borderId="274">
      <alignment horizontal="right" vertical="center"/>
    </xf>
    <xf numFmtId="0" fontId="35" fillId="32" borderId="275">
      <alignment horizontal="left" vertical="center"/>
    </xf>
    <xf numFmtId="4" fontId="33" fillId="32" borderId="274">
      <alignment horizontal="right" vertical="center"/>
    </xf>
    <xf numFmtId="0" fontId="47" fillId="56" borderId="279" applyNumberFormat="0" applyAlignment="0" applyProtection="0"/>
    <xf numFmtId="0" fontId="44" fillId="56" borderId="286" applyNumberFormat="0" applyAlignment="0" applyProtection="0"/>
    <xf numFmtId="0" fontId="27" fillId="20" borderId="0" applyNumberFormat="0" applyBorder="0" applyAlignment="0" applyProtection="0"/>
    <xf numFmtId="0" fontId="66" fillId="0" borderId="266" applyNumberFormat="0" applyFill="0" applyAlignment="0" applyProtection="0"/>
    <xf numFmtId="0" fontId="66" fillId="0" borderId="280" applyNumberFormat="0" applyFill="0" applyAlignment="0" applyProtection="0"/>
    <xf numFmtId="0" fontId="27" fillId="20" borderId="0" applyNumberFormat="0" applyBorder="0" applyAlignment="0" applyProtection="0"/>
    <xf numFmtId="0" fontId="35" fillId="34" borderId="285">
      <alignment horizontal="left" vertical="center" wrapText="1" indent="2"/>
    </xf>
    <xf numFmtId="0" fontId="27" fillId="21" borderId="0" applyNumberFormat="0" applyBorder="0" applyAlignment="0" applyProtection="0"/>
    <xf numFmtId="0" fontId="46" fillId="56" borderId="279" applyNumberFormat="0" applyAlignment="0" applyProtection="0"/>
    <xf numFmtId="0" fontId="30" fillId="13" borderId="13" applyNumberFormat="0" applyAlignment="0" applyProtection="0"/>
    <xf numFmtId="4" fontId="33" fillId="34" borderId="294">
      <alignment horizontal="right" vertical="center"/>
    </xf>
    <xf numFmtId="0" fontId="33" fillId="34" borderId="275">
      <alignment horizontal="right" vertical="center"/>
    </xf>
    <xf numFmtId="0" fontId="35" fillId="32" borderId="283">
      <alignment horizontal="left" vertical="center"/>
    </xf>
    <xf numFmtId="0" fontId="31" fillId="0" borderId="0" applyNumberFormat="0" applyFill="0" applyBorder="0" applyAlignment="0" applyProtection="0"/>
    <xf numFmtId="0" fontId="50" fillId="43" borderId="279" applyNumberFormat="0" applyAlignment="0" applyProtection="0"/>
    <xf numFmtId="0" fontId="35" fillId="32" borderId="275">
      <alignment horizontal="left" vertical="center"/>
    </xf>
    <xf numFmtId="0" fontId="63" fillId="56" borderId="286" applyNumberFormat="0" applyAlignment="0" applyProtection="0"/>
    <xf numFmtId="0" fontId="35" fillId="0" borderId="282">
      <alignment horizontal="right" vertical="center"/>
    </xf>
    <xf numFmtId="0" fontId="59" fillId="43" borderId="265" applyNumberFormat="0" applyAlignment="0" applyProtection="0"/>
    <xf numFmtId="0" fontId="44" fillId="56" borderId="272" applyNumberFormat="0" applyAlignment="0" applyProtection="0"/>
    <xf numFmtId="4" fontId="37" fillId="32" borderId="268">
      <alignment horizontal="right" vertical="center"/>
    </xf>
    <xf numFmtId="4" fontId="33" fillId="34" borderId="274">
      <alignment horizontal="right" vertical="center"/>
    </xf>
    <xf numFmtId="0" fontId="59" fillId="43" borderId="279" applyNumberFormat="0" applyAlignment="0" applyProtection="0"/>
    <xf numFmtId="4" fontId="33" fillId="34" borderId="274">
      <alignment horizontal="right" vertical="center"/>
    </xf>
    <xf numFmtId="0" fontId="35" fillId="34" borderId="277">
      <alignment horizontal="left" vertical="center" wrapText="1" indent="2"/>
    </xf>
    <xf numFmtId="0" fontId="31" fillId="0" borderId="0" applyNumberFormat="0" applyFill="0" applyBorder="0" applyAlignment="0" applyProtection="0"/>
    <xf numFmtId="0" fontId="33" fillId="34" borderId="282">
      <alignment horizontal="right" vertical="center"/>
    </xf>
    <xf numFmtId="0" fontId="5" fillId="59" borderId="273" applyNumberFormat="0" applyFont="0" applyAlignment="0" applyProtection="0"/>
    <xf numFmtId="0" fontId="41" fillId="59" borderId="281" applyNumberFormat="0" applyFont="0" applyAlignment="0" applyProtection="0"/>
    <xf numFmtId="0" fontId="12" fillId="19" borderId="0" applyNumberFormat="0" applyBorder="0" applyAlignment="0" applyProtection="0"/>
    <xf numFmtId="0" fontId="33" fillId="34" borderId="268">
      <alignment horizontal="right" vertical="center"/>
    </xf>
    <xf numFmtId="4" fontId="33" fillId="32" borderId="268">
      <alignment horizontal="right" vertical="center"/>
    </xf>
    <xf numFmtId="0" fontId="35" fillId="0" borderId="271">
      <alignment horizontal="left" vertical="center" wrapText="1" indent="2"/>
    </xf>
    <xf numFmtId="0" fontId="63" fillId="56" borderId="272" applyNumberFormat="0" applyAlignment="0" applyProtection="0"/>
    <xf numFmtId="0" fontId="35" fillId="0" borderId="268">
      <alignment horizontal="right" vertical="center"/>
    </xf>
    <xf numFmtId="0" fontId="66" fillId="0" borderId="266" applyNumberFormat="0" applyFill="0" applyAlignment="0" applyProtection="0"/>
    <xf numFmtId="0" fontId="12" fillId="28" borderId="0" applyNumberFormat="0" applyBorder="0" applyAlignment="0" applyProtection="0"/>
    <xf numFmtId="0" fontId="63" fillId="56" borderId="272" applyNumberFormat="0" applyAlignment="0" applyProtection="0"/>
    <xf numFmtId="0" fontId="59" fillId="43" borderId="265" applyNumberFormat="0" applyAlignment="0" applyProtection="0"/>
    <xf numFmtId="0" fontId="35" fillId="34" borderId="271">
      <alignment horizontal="left" vertical="center" wrapText="1" indent="2"/>
    </xf>
    <xf numFmtId="4" fontId="35" fillId="0" borderId="274" applyFill="0" applyBorder="0" applyProtection="0">
      <alignment horizontal="right" vertical="center"/>
    </xf>
    <xf numFmtId="0" fontId="35" fillId="32" borderId="269">
      <alignment horizontal="left" vertical="center"/>
    </xf>
    <xf numFmtId="0" fontId="35" fillId="34" borderId="295">
      <alignment horizontal="left" vertical="center" wrapText="1" indent="2"/>
    </xf>
    <xf numFmtId="49" fontId="34" fillId="0" borderId="268" applyNumberFormat="0" applyFill="0" applyBorder="0" applyProtection="0">
      <alignment horizontal="left" vertical="center"/>
    </xf>
    <xf numFmtId="0" fontId="35" fillId="0" borderId="274">
      <alignment horizontal="right" vertical="center"/>
    </xf>
    <xf numFmtId="0" fontId="27" fillId="24" borderId="0" applyNumberFormat="0" applyBorder="0" applyAlignment="0" applyProtection="0"/>
    <xf numFmtId="173" fontId="35" fillId="60" borderId="274" applyNumberFormat="0" applyFont="0" applyBorder="0" applyAlignment="0" applyProtection="0">
      <alignment horizontal="right" vertical="center"/>
    </xf>
    <xf numFmtId="4" fontId="35" fillId="0" borderId="282">
      <alignment horizontal="right" vertical="center"/>
    </xf>
    <xf numFmtId="0" fontId="66" fillId="0" borderId="266" applyNumberFormat="0" applyFill="0" applyAlignment="0" applyProtection="0"/>
    <xf numFmtId="49" fontId="35" fillId="0" borderId="268" applyNumberFormat="0" applyFont="0" applyFill="0" applyBorder="0" applyProtection="0">
      <alignment horizontal="left" vertical="center" indent="2"/>
    </xf>
    <xf numFmtId="0" fontId="66" fillId="0" borderId="280" applyNumberFormat="0" applyFill="0" applyAlignment="0" applyProtection="0"/>
    <xf numFmtId="0" fontId="35" fillId="0" borderId="271">
      <alignment horizontal="left" vertical="center" wrapText="1" indent="2"/>
    </xf>
    <xf numFmtId="4" fontId="35" fillId="0" borderId="268" applyFill="0" applyBorder="0" applyProtection="0">
      <alignment horizontal="right" vertical="center"/>
    </xf>
    <xf numFmtId="0" fontId="35" fillId="32" borderId="269">
      <alignment horizontal="left" vertical="center"/>
    </xf>
    <xf numFmtId="0" fontId="33" fillId="34" borderId="268">
      <alignment horizontal="right" vertical="center"/>
    </xf>
    <xf numFmtId="0" fontId="35" fillId="0" borderId="268" applyNumberFormat="0" applyFill="0" applyAlignment="0" applyProtection="0"/>
    <xf numFmtId="0" fontId="63" fillId="56" borderId="278" applyNumberFormat="0" applyAlignment="0" applyProtection="0"/>
    <xf numFmtId="0" fontId="27" fillId="30" borderId="0" applyNumberFormat="0" applyBorder="0" applyAlignment="0" applyProtection="0"/>
    <xf numFmtId="4" fontId="35" fillId="33" borderId="274"/>
    <xf numFmtId="0" fontId="33" fillId="34" borderId="274">
      <alignment horizontal="right" vertical="center"/>
    </xf>
    <xf numFmtId="0" fontId="66" fillId="0" borderId="290" applyNumberFormat="0" applyFill="0" applyAlignment="0" applyProtection="0"/>
    <xf numFmtId="0" fontId="33" fillId="34" borderId="282">
      <alignment horizontal="right" vertical="center"/>
    </xf>
    <xf numFmtId="49" fontId="35" fillId="0" borderId="268" applyNumberFormat="0" applyFont="0" applyFill="0" applyBorder="0" applyProtection="0">
      <alignment horizontal="left" vertical="center" indent="2"/>
    </xf>
    <xf numFmtId="0" fontId="35" fillId="0" borderId="274" applyNumberFormat="0" applyFill="0" applyAlignment="0" applyProtection="0"/>
    <xf numFmtId="0" fontId="35" fillId="33" borderId="274"/>
    <xf numFmtId="49" fontId="34" fillId="0" borderId="274" applyNumberFormat="0" applyFill="0" applyBorder="0" applyProtection="0">
      <alignment horizontal="left" vertical="center"/>
    </xf>
    <xf numFmtId="0" fontId="27" fillId="26" borderId="0" applyNumberFormat="0" applyBorder="0" applyAlignment="0" applyProtection="0"/>
    <xf numFmtId="4" fontId="35" fillId="33" borderId="274"/>
    <xf numFmtId="0" fontId="29" fillId="13" borderId="14" applyNumberFormat="0" applyAlignment="0" applyProtection="0"/>
    <xf numFmtId="0" fontId="35" fillId="0" borderId="271">
      <alignment horizontal="left" vertical="center" wrapText="1" indent="2"/>
    </xf>
    <xf numFmtId="0" fontId="47" fillId="56" borderId="289" applyNumberFormat="0" applyAlignment="0" applyProtection="0"/>
    <xf numFmtId="0" fontId="41" fillId="59" borderId="267" applyNumberFormat="0" applyFont="0" applyAlignment="0" applyProtection="0"/>
    <xf numFmtId="0" fontId="35" fillId="0" borderId="268">
      <alignment horizontal="right" vertical="center"/>
    </xf>
    <xf numFmtId="0" fontId="33" fillId="34" borderId="268">
      <alignment horizontal="right" vertical="center"/>
    </xf>
    <xf numFmtId="4" fontId="33" fillId="34" borderId="268">
      <alignment horizontal="right" vertical="center"/>
    </xf>
    <xf numFmtId="4" fontId="35" fillId="33" borderId="274"/>
    <xf numFmtId="0" fontId="2" fillId="0" borderId="15" applyNumberFormat="0" applyFill="0" applyAlignment="0" applyProtection="0"/>
    <xf numFmtId="0" fontId="35" fillId="34" borderId="271">
      <alignment horizontal="left" vertical="center" wrapText="1" indent="2"/>
    </xf>
    <xf numFmtId="0" fontId="47" fillId="56" borderId="279" applyNumberFormat="0" applyAlignment="0" applyProtection="0"/>
    <xf numFmtId="0" fontId="27" fillId="21" borderId="0" applyNumberFormat="0" applyBorder="0" applyAlignment="0" applyProtection="0"/>
    <xf numFmtId="0" fontId="33" fillId="34" borderId="284">
      <alignment horizontal="right" vertical="center"/>
    </xf>
    <xf numFmtId="4" fontId="35" fillId="33" borderId="282"/>
    <xf numFmtId="0" fontId="47" fillId="56" borderId="279" applyNumberFormat="0" applyAlignment="0" applyProtection="0"/>
    <xf numFmtId="0" fontId="33" fillId="32" borderId="268">
      <alignment horizontal="right" vertical="center"/>
    </xf>
    <xf numFmtId="4" fontId="33" fillId="34" borderId="284">
      <alignment horizontal="right" vertical="center"/>
    </xf>
    <xf numFmtId="0" fontId="35" fillId="0" borderId="282">
      <alignment horizontal="right" vertical="center"/>
    </xf>
    <xf numFmtId="0" fontId="51" fillId="0" borderId="266" applyNumberFormat="0" applyFill="0" applyAlignment="0" applyProtection="0"/>
    <xf numFmtId="49" fontId="34" fillId="0" borderId="274" applyNumberFormat="0" applyFill="0" applyBorder="0" applyProtection="0">
      <alignment horizontal="left" vertical="center"/>
    </xf>
    <xf numFmtId="0" fontId="46" fillId="56" borderId="265" applyNumberFormat="0" applyAlignment="0" applyProtection="0"/>
    <xf numFmtId="0" fontId="66" fillId="0" borderId="266" applyNumberFormat="0" applyFill="0" applyAlignment="0" applyProtection="0"/>
    <xf numFmtId="49" fontId="34" fillId="0" borderId="268" applyNumberFormat="0" applyFill="0" applyBorder="0" applyProtection="0">
      <alignment horizontal="left" vertical="center"/>
    </xf>
    <xf numFmtId="0" fontId="59" fillId="43" borderId="279" applyNumberFormat="0" applyAlignment="0" applyProtection="0"/>
    <xf numFmtId="4" fontId="33" fillId="32" borderId="282">
      <alignment horizontal="right" vertical="center"/>
    </xf>
    <xf numFmtId="0" fontId="12" fillId="22" borderId="0" applyNumberFormat="0" applyBorder="0" applyAlignment="0" applyProtection="0"/>
    <xf numFmtId="4" fontId="35" fillId="0" borderId="274">
      <alignment horizontal="right" vertical="center"/>
    </xf>
    <xf numFmtId="0" fontId="59" fillId="43" borderId="265" applyNumberFormat="0" applyAlignment="0" applyProtection="0"/>
    <xf numFmtId="0" fontId="27" fillId="29" borderId="0" applyNumberFormat="0" applyBorder="0" applyAlignment="0" applyProtection="0"/>
    <xf numFmtId="0" fontId="50" fillId="43" borderId="287" applyNumberFormat="0" applyAlignment="0" applyProtection="0"/>
    <xf numFmtId="0" fontId="66" fillId="0" borderId="280" applyNumberFormat="0" applyFill="0" applyAlignment="0" applyProtection="0"/>
    <xf numFmtId="0" fontId="5" fillId="59" borderId="267" applyNumberFormat="0" applyFont="0" applyAlignment="0" applyProtection="0"/>
    <xf numFmtId="0" fontId="33" fillId="32" borderId="268">
      <alignment horizontal="right" vertical="center"/>
    </xf>
    <xf numFmtId="0" fontId="63" fillId="56" borderId="272" applyNumberFormat="0" applyAlignment="0" applyProtection="0"/>
    <xf numFmtId="4" fontId="33" fillId="34" borderId="268">
      <alignment horizontal="right" vertical="center"/>
    </xf>
    <xf numFmtId="4" fontId="35" fillId="33" borderId="268"/>
    <xf numFmtId="0" fontId="66" fillId="0" borderId="266" applyNumberFormat="0" applyFill="0" applyAlignment="0" applyProtection="0"/>
    <xf numFmtId="0" fontId="51" fillId="0" borderId="290" applyNumberFormat="0" applyFill="0" applyAlignment="0" applyProtection="0"/>
    <xf numFmtId="0" fontId="44" fillId="56" borderId="272" applyNumberFormat="0" applyAlignment="0" applyProtection="0"/>
    <xf numFmtId="0" fontId="46" fillId="56" borderId="265" applyNumberFormat="0" applyAlignment="0" applyProtection="0"/>
    <xf numFmtId="0" fontId="66" fillId="0" borderId="266" applyNumberFormat="0" applyFill="0" applyAlignment="0" applyProtection="0"/>
    <xf numFmtId="49" fontId="34" fillId="0" borderId="268" applyNumberFormat="0" applyFill="0" applyBorder="0" applyProtection="0">
      <alignment horizontal="left" vertical="center"/>
    </xf>
    <xf numFmtId="0" fontId="33" fillId="34" borderId="269">
      <alignment horizontal="right" vertical="center"/>
    </xf>
    <xf numFmtId="0" fontId="35" fillId="0" borderId="268">
      <alignment horizontal="right" vertical="center"/>
    </xf>
    <xf numFmtId="0" fontId="51" fillId="0" borderId="266" applyNumberFormat="0" applyFill="0" applyAlignment="0" applyProtection="0"/>
    <xf numFmtId="0" fontId="5" fillId="59" borderId="267" applyNumberFormat="0" applyFont="0" applyAlignment="0" applyProtection="0"/>
    <xf numFmtId="0" fontId="66" fillId="0" borderId="266" applyNumberFormat="0" applyFill="0" applyAlignment="0" applyProtection="0"/>
    <xf numFmtId="4" fontId="35" fillId="0" borderId="282" applyFill="0" applyBorder="0" applyProtection="0">
      <alignment horizontal="right" vertical="center"/>
    </xf>
    <xf numFmtId="0" fontId="51" fillId="0" borderId="280" applyNumberFormat="0" applyFill="0" applyAlignment="0" applyProtection="0"/>
    <xf numFmtId="0" fontId="35" fillId="34" borderId="277">
      <alignment horizontal="left" vertical="center" wrapText="1" indent="2"/>
    </xf>
    <xf numFmtId="4" fontId="33" fillId="34" borderId="274">
      <alignment horizontal="right" vertical="center"/>
    </xf>
    <xf numFmtId="0" fontId="41" fillId="59" borderId="273" applyNumberFormat="0" applyFont="0" applyAlignment="0" applyProtection="0"/>
    <xf numFmtId="0" fontId="27" fillId="21" borderId="0" applyNumberFormat="0" applyBorder="0" applyAlignment="0" applyProtection="0"/>
    <xf numFmtId="0" fontId="63" fillId="56" borderId="278" applyNumberFormat="0" applyAlignment="0" applyProtection="0"/>
    <xf numFmtId="0" fontId="47" fillId="56" borderId="265" applyNumberFormat="0" applyAlignment="0" applyProtection="0"/>
    <xf numFmtId="49" fontId="35" fillId="0" borderId="292" applyNumberFormat="0" applyFont="0" applyFill="0" applyBorder="0" applyProtection="0">
      <alignment horizontal="left" vertical="center" indent="2"/>
    </xf>
    <xf numFmtId="0" fontId="27" fillId="30" borderId="0" applyNumberFormat="0" applyBorder="0" applyAlignment="0" applyProtection="0"/>
    <xf numFmtId="0" fontId="46" fillId="56" borderId="279" applyNumberFormat="0" applyAlignment="0" applyProtection="0"/>
    <xf numFmtId="4" fontId="33" fillId="32" borderId="282">
      <alignment horizontal="right" vertical="center"/>
    </xf>
    <xf numFmtId="0" fontId="12" fillId="31" borderId="0" applyNumberFormat="0" applyBorder="0" applyAlignment="0" applyProtection="0"/>
    <xf numFmtId="0" fontId="27" fillId="17" borderId="0" applyNumberFormat="0" applyBorder="0" applyAlignment="0" applyProtection="0"/>
    <xf numFmtId="0" fontId="30" fillId="13" borderId="13" applyNumberFormat="0" applyAlignment="0" applyProtection="0"/>
    <xf numFmtId="0" fontId="35" fillId="0" borderId="274">
      <alignment horizontal="right" vertical="center"/>
    </xf>
    <xf numFmtId="4" fontId="33" fillId="34" borderId="292">
      <alignment horizontal="right" vertical="center"/>
    </xf>
    <xf numFmtId="173" fontId="35" fillId="60" borderId="268" applyNumberFormat="0" applyFont="0" applyBorder="0" applyAlignment="0" applyProtection="0">
      <alignment horizontal="right" vertical="center"/>
    </xf>
    <xf numFmtId="0" fontId="35" fillId="0" borderId="277">
      <alignment horizontal="left" vertical="center" wrapText="1" indent="2"/>
    </xf>
    <xf numFmtId="4" fontId="33" fillId="32" borderId="268">
      <alignment horizontal="right" vertical="center"/>
    </xf>
    <xf numFmtId="0" fontId="1" fillId="0" borderId="0" applyNumberFormat="0" applyFill="0" applyBorder="0" applyAlignment="0" applyProtection="0"/>
    <xf numFmtId="0" fontId="63" fillId="56" borderId="272" applyNumberFormat="0" applyAlignment="0" applyProtection="0"/>
    <xf numFmtId="49" fontId="35" fillId="0" borderId="269" applyNumberFormat="0" applyFont="0" applyFill="0" applyBorder="0" applyProtection="0">
      <alignment horizontal="left" vertical="center" indent="5"/>
    </xf>
    <xf numFmtId="4" fontId="35" fillId="0" borderId="268">
      <alignment horizontal="right" vertical="center"/>
    </xf>
    <xf numFmtId="0" fontId="59" fillId="43" borderId="289" applyNumberFormat="0" applyAlignment="0" applyProtection="0"/>
    <xf numFmtId="0" fontId="47" fillId="56" borderId="265" applyNumberFormat="0" applyAlignment="0" applyProtection="0"/>
    <xf numFmtId="4" fontId="35" fillId="33" borderId="274"/>
    <xf numFmtId="0" fontId="27" fillId="20" borderId="0" applyNumberFormat="0" applyBorder="0" applyAlignment="0" applyProtection="0"/>
    <xf numFmtId="4" fontId="35" fillId="0" borderId="268" applyFill="0" applyBorder="0" applyProtection="0">
      <alignment horizontal="right" vertical="center"/>
    </xf>
    <xf numFmtId="0" fontId="12" fillId="28" borderId="0" applyNumberFormat="0" applyBorder="0" applyAlignment="0" applyProtection="0"/>
    <xf numFmtId="0" fontId="35" fillId="32" borderId="269">
      <alignment horizontal="left" vertical="center"/>
    </xf>
    <xf numFmtId="0" fontId="50" fillId="43" borderId="265" applyNumberFormat="0" applyAlignment="0" applyProtection="0"/>
    <xf numFmtId="4" fontId="33" fillId="34" borderId="268">
      <alignment horizontal="right" vertical="center"/>
    </xf>
    <xf numFmtId="4" fontId="35" fillId="33" borderId="268"/>
    <xf numFmtId="0" fontId="35" fillId="34" borderId="271">
      <alignment horizontal="left" vertical="center" wrapText="1" indent="2"/>
    </xf>
    <xf numFmtId="0" fontId="33" fillId="32" borderId="274">
      <alignment horizontal="right" vertical="center"/>
    </xf>
    <xf numFmtId="0" fontId="35" fillId="0" borderId="277">
      <alignment horizontal="left" vertical="center" wrapText="1" indent="2"/>
    </xf>
    <xf numFmtId="49" fontId="35" fillId="0" borderId="268" applyNumberFormat="0" applyFont="0" applyFill="0" applyBorder="0" applyProtection="0">
      <alignment horizontal="left" vertical="center" indent="2"/>
    </xf>
    <xf numFmtId="0" fontId="5" fillId="59" borderId="267" applyNumberFormat="0" applyFont="0" applyAlignment="0" applyProtection="0"/>
    <xf numFmtId="4" fontId="33" fillId="34" borderId="275">
      <alignment horizontal="right" vertical="center"/>
    </xf>
    <xf numFmtId="0" fontId="27" fillId="15" borderId="0" applyNumberFormat="0" applyBorder="0" applyAlignment="0" applyProtection="0"/>
    <xf numFmtId="0" fontId="29" fillId="13" borderId="14" applyNumberFormat="0" applyAlignment="0" applyProtection="0"/>
    <xf numFmtId="0" fontId="2" fillId="0" borderId="15" applyNumberFormat="0" applyFill="0" applyAlignment="0" applyProtection="0"/>
    <xf numFmtId="0" fontId="51" fillId="0" borderId="280" applyNumberFormat="0" applyFill="0" applyAlignment="0" applyProtection="0"/>
    <xf numFmtId="0" fontId="12" fillId="25" borderId="0" applyNumberFormat="0" applyBorder="0" applyAlignment="0" applyProtection="0"/>
    <xf numFmtId="0" fontId="41" fillId="59" borderId="273" applyNumberFormat="0" applyFont="0" applyAlignment="0" applyProtection="0"/>
    <xf numFmtId="0" fontId="37" fillId="32" borderId="268">
      <alignment horizontal="right" vertical="center"/>
    </xf>
    <xf numFmtId="0" fontId="50" fillId="43" borderId="265" applyNumberFormat="0" applyAlignment="0" applyProtection="0"/>
    <xf numFmtId="173" fontId="35" fillId="60" borderId="268" applyNumberFormat="0" applyFont="0" applyBorder="0" applyAlignment="0" applyProtection="0">
      <alignment horizontal="right" vertical="center"/>
    </xf>
    <xf numFmtId="0" fontId="59" fillId="43" borderId="265" applyNumberFormat="0" applyAlignment="0" applyProtection="0"/>
    <xf numFmtId="49" fontId="34" fillId="0" borderId="268" applyNumberFormat="0" applyFill="0" applyBorder="0" applyProtection="0">
      <alignment horizontal="left" vertical="center"/>
    </xf>
    <xf numFmtId="49" fontId="35" fillId="0" borderId="268" applyNumberFormat="0" applyFont="0" applyFill="0" applyBorder="0" applyProtection="0">
      <alignment horizontal="left" vertical="center" indent="2"/>
    </xf>
    <xf numFmtId="4" fontId="35" fillId="0" borderId="268" applyFill="0" applyBorder="0" applyProtection="0">
      <alignment horizontal="right" vertical="center"/>
    </xf>
    <xf numFmtId="0" fontId="50" fillId="43" borderId="279" applyNumberFormat="0" applyAlignment="0" applyProtection="0"/>
    <xf numFmtId="173" fontId="35" fillId="60" borderId="268" applyNumberFormat="0" applyFont="0" applyBorder="0" applyAlignment="0" applyProtection="0">
      <alignment horizontal="right" vertical="center"/>
    </xf>
    <xf numFmtId="0" fontId="66" fillId="0" borderId="290" applyNumberFormat="0" applyFill="0" applyAlignment="0" applyProtection="0"/>
    <xf numFmtId="0" fontId="59" fillId="43" borderId="287" applyNumberFormat="0" applyAlignment="0" applyProtection="0"/>
    <xf numFmtId="0" fontId="27" fillId="21" borderId="0" applyNumberFormat="0" applyBorder="0" applyAlignment="0" applyProtection="0"/>
    <xf numFmtId="4" fontId="33" fillId="34" borderId="268">
      <alignment horizontal="right" vertical="center"/>
    </xf>
    <xf numFmtId="0" fontId="27" fillId="27" borderId="0" applyNumberFormat="0" applyBorder="0" applyAlignment="0" applyProtection="0"/>
    <xf numFmtId="4" fontId="33" fillId="34" borderId="294">
      <alignment horizontal="right" vertical="center"/>
    </xf>
    <xf numFmtId="0" fontId="35" fillId="0" borderId="292" applyNumberFormat="0" applyFill="0" applyAlignment="0" applyProtection="0"/>
    <xf numFmtId="0" fontId="35" fillId="34" borderId="277">
      <alignment horizontal="left" vertical="center" wrapText="1" indent="2"/>
    </xf>
    <xf numFmtId="0" fontId="33" fillId="34" borderId="268">
      <alignment horizontal="right" vertical="center"/>
    </xf>
    <xf numFmtId="0" fontId="35" fillId="0" borderId="268">
      <alignment horizontal="right" vertical="center"/>
    </xf>
    <xf numFmtId="0" fontId="35" fillId="0" borderId="268">
      <alignment horizontal="right" vertical="center"/>
    </xf>
    <xf numFmtId="0" fontId="33" fillId="34" borderId="274">
      <alignment horizontal="right" vertical="center"/>
    </xf>
    <xf numFmtId="0" fontId="5" fillId="59" borderId="273" applyNumberFormat="0" applyFont="0" applyAlignment="0" applyProtection="0"/>
    <xf numFmtId="0" fontId="50" fillId="43" borderId="279" applyNumberFormat="0" applyAlignment="0" applyProtection="0"/>
    <xf numFmtId="0" fontId="37" fillId="32" borderId="274">
      <alignment horizontal="right" vertical="center"/>
    </xf>
    <xf numFmtId="0" fontId="12" fillId="28" borderId="0" applyNumberFormat="0" applyBorder="0" applyAlignment="0" applyProtection="0"/>
    <xf numFmtId="0" fontId="27" fillId="23" borderId="0" applyNumberFormat="0" applyBorder="0" applyAlignment="0" applyProtection="0"/>
    <xf numFmtId="49" fontId="35" fillId="0" borderId="275" applyNumberFormat="0" applyFont="0" applyFill="0" applyBorder="0" applyProtection="0">
      <alignment horizontal="left" vertical="center" indent="5"/>
    </xf>
    <xf numFmtId="0" fontId="37" fillId="32" borderId="274">
      <alignment horizontal="right" vertical="center"/>
    </xf>
    <xf numFmtId="0" fontId="12" fillId="19" borderId="0" applyNumberFormat="0" applyBorder="0" applyAlignment="0" applyProtection="0"/>
    <xf numFmtId="0" fontId="12" fillId="25" borderId="0" applyNumberFormat="0" applyBorder="0" applyAlignment="0" applyProtection="0"/>
    <xf numFmtId="0" fontId="37" fillId="32" borderId="268">
      <alignment horizontal="right" vertical="center"/>
    </xf>
    <xf numFmtId="4" fontId="33" fillId="34" borderId="270">
      <alignment horizontal="right" vertical="center"/>
    </xf>
    <xf numFmtId="0" fontId="35" fillId="34" borderId="271">
      <alignment horizontal="left" vertical="center" wrapText="1" indent="2"/>
    </xf>
    <xf numFmtId="0" fontId="59" fillId="43" borderId="265" applyNumberFormat="0" applyAlignment="0" applyProtection="0"/>
    <xf numFmtId="0" fontId="59" fillId="43" borderId="265" applyNumberFormat="0" applyAlignment="0" applyProtection="0"/>
    <xf numFmtId="0" fontId="27" fillId="14" borderId="0" applyNumberFormat="0" applyBorder="0" applyAlignment="0" applyProtection="0"/>
    <xf numFmtId="0" fontId="41" fillId="59" borderId="267" applyNumberFormat="0" applyFont="0" applyAlignment="0" applyProtection="0"/>
    <xf numFmtId="0" fontId="1" fillId="0" borderId="0" applyNumberFormat="0" applyFill="0" applyBorder="0" applyAlignment="0" applyProtection="0"/>
    <xf numFmtId="173" fontId="35" fillId="60" borderId="268" applyNumberFormat="0" applyFont="0" applyBorder="0" applyAlignment="0" applyProtection="0">
      <alignment horizontal="right" vertical="center"/>
    </xf>
    <xf numFmtId="0" fontId="41" fillId="59" borderId="267" applyNumberFormat="0" applyFont="0" applyAlignment="0" applyProtection="0"/>
    <xf numFmtId="0" fontId="35" fillId="0" borderId="268" applyNumberFormat="0" applyFill="0" applyAlignment="0" applyProtection="0"/>
    <xf numFmtId="0" fontId="35" fillId="33" borderId="268"/>
    <xf numFmtId="4" fontId="33" fillId="34" borderId="268">
      <alignment horizontal="right" vertical="center"/>
    </xf>
    <xf numFmtId="0" fontId="35" fillId="33" borderId="268"/>
    <xf numFmtId="0" fontId="59" fillId="43" borderId="265" applyNumberFormat="0" applyAlignment="0" applyProtection="0"/>
    <xf numFmtId="0" fontId="51" fillId="0" borderId="280" applyNumberFormat="0" applyFill="0" applyAlignment="0" applyProtection="0"/>
    <xf numFmtId="0" fontId="37" fillId="32" borderId="268">
      <alignment horizontal="right" vertical="center"/>
    </xf>
    <xf numFmtId="0" fontId="35" fillId="0" borderId="271">
      <alignment horizontal="left" vertical="center" wrapText="1" indent="2"/>
    </xf>
    <xf numFmtId="0" fontId="47" fillId="56" borderId="265" applyNumberFormat="0" applyAlignment="0" applyProtection="0"/>
    <xf numFmtId="0" fontId="63" fillId="56" borderId="272" applyNumberFormat="0" applyAlignment="0" applyProtection="0"/>
    <xf numFmtId="0" fontId="27" fillId="30" borderId="0" applyNumberFormat="0" applyBorder="0" applyAlignment="0" applyProtection="0"/>
    <xf numFmtId="0" fontId="33" fillId="34" borderId="274">
      <alignment horizontal="right" vertical="center"/>
    </xf>
    <xf numFmtId="0" fontId="27" fillId="14" borderId="0" applyNumberFormat="0" applyBorder="0" applyAlignment="0" applyProtection="0"/>
    <xf numFmtId="0" fontId="12" fillId="31" borderId="0" applyNumberFormat="0" applyBorder="0" applyAlignment="0" applyProtection="0"/>
    <xf numFmtId="0" fontId="44" fillId="56" borderId="278" applyNumberFormat="0" applyAlignment="0" applyProtection="0"/>
    <xf numFmtId="0" fontId="27" fillId="15" borderId="0" applyNumberFormat="0" applyBorder="0" applyAlignment="0" applyProtection="0"/>
    <xf numFmtId="0" fontId="41" fillId="59" borderId="281" applyNumberFormat="0" applyFont="0" applyAlignment="0" applyProtection="0"/>
    <xf numFmtId="0" fontId="59" fillId="43" borderId="287" applyNumberFormat="0" applyAlignment="0" applyProtection="0"/>
    <xf numFmtId="0" fontId="35" fillId="0" borderId="277">
      <alignment horizontal="left" vertical="center" wrapText="1" indent="2"/>
    </xf>
    <xf numFmtId="4" fontId="35" fillId="0" borderId="292">
      <alignment horizontal="right" vertical="center"/>
    </xf>
    <xf numFmtId="0" fontId="59" fillId="43" borderId="265" applyNumberFormat="0" applyAlignment="0" applyProtection="0"/>
    <xf numFmtId="0" fontId="37" fillId="32" borderId="268">
      <alignment horizontal="right" vertical="center"/>
    </xf>
    <xf numFmtId="0" fontId="27" fillId="18" borderId="0" applyNumberFormat="0" applyBorder="0" applyAlignment="0" applyProtection="0"/>
    <xf numFmtId="49" fontId="35" fillId="0" borderId="282" applyNumberFormat="0" applyFont="0" applyFill="0" applyBorder="0" applyProtection="0">
      <alignment horizontal="left" vertical="center" indent="2"/>
    </xf>
    <xf numFmtId="0" fontId="35" fillId="0" borderId="277">
      <alignment horizontal="left" vertical="center" wrapText="1" indent="2"/>
    </xf>
    <xf numFmtId="0" fontId="27" fillId="14" borderId="0" applyNumberFormat="0" applyBorder="0" applyAlignment="0" applyProtection="0"/>
    <xf numFmtId="0" fontId="59" fillId="43" borderId="287" applyNumberFormat="0" applyAlignment="0" applyProtection="0"/>
    <xf numFmtId="0" fontId="47" fillId="56" borderId="287" applyNumberFormat="0" applyAlignment="0" applyProtection="0"/>
    <xf numFmtId="4" fontId="35" fillId="0" borderId="292" applyFill="0" applyBorder="0" applyProtection="0">
      <alignment horizontal="right" vertical="center"/>
    </xf>
    <xf numFmtId="0" fontId="47" fillId="56" borderId="289" applyNumberFormat="0" applyAlignment="0" applyProtection="0"/>
    <xf numFmtId="4" fontId="35" fillId="0" borderId="292">
      <alignment horizontal="right" vertical="center"/>
    </xf>
    <xf numFmtId="0" fontId="33" fillId="34" borderId="292">
      <alignment horizontal="right" vertical="center"/>
    </xf>
    <xf numFmtId="0" fontId="66" fillId="0" borderId="266" applyNumberFormat="0" applyFill="0" applyAlignment="0" applyProtection="0"/>
    <xf numFmtId="4" fontId="35" fillId="0" borderId="268" applyFill="0" applyBorder="0" applyProtection="0">
      <alignment horizontal="right" vertical="center"/>
    </xf>
    <xf numFmtId="0" fontId="35" fillId="34" borderId="271">
      <alignment horizontal="left" vertical="center" wrapText="1" indent="2"/>
    </xf>
    <xf numFmtId="0" fontId="41" fillId="59" borderId="267" applyNumberFormat="0" applyFont="0" applyAlignment="0" applyProtection="0"/>
    <xf numFmtId="0" fontId="50" fillId="43" borderId="265" applyNumberFormat="0" applyAlignment="0" applyProtection="0"/>
    <xf numFmtId="4" fontId="35" fillId="33" borderId="268"/>
    <xf numFmtId="0" fontId="5" fillId="59" borderId="267" applyNumberFormat="0" applyFont="0" applyAlignment="0" applyProtection="0"/>
    <xf numFmtId="0" fontId="35" fillId="32" borderId="269">
      <alignment horizontal="left" vertical="center"/>
    </xf>
    <xf numFmtId="0" fontId="66" fillId="0" borderId="280" applyNumberFormat="0" applyFill="0" applyAlignment="0" applyProtection="0"/>
    <xf numFmtId="0" fontId="35" fillId="0" borderId="274" applyNumberFormat="0" applyFill="0" applyAlignment="0" applyProtection="0"/>
    <xf numFmtId="0" fontId="66" fillId="0" borderId="266" applyNumberFormat="0" applyFill="0" applyAlignment="0" applyProtection="0"/>
    <xf numFmtId="0" fontId="5" fillId="59" borderId="273" applyNumberFormat="0" applyFont="0" applyAlignment="0" applyProtection="0"/>
    <xf numFmtId="0" fontId="59" fillId="43" borderId="265" applyNumberFormat="0" applyAlignment="0" applyProtection="0"/>
    <xf numFmtId="0" fontId="59" fillId="43" borderId="287" applyNumberFormat="0" applyAlignment="0" applyProtection="0"/>
    <xf numFmtId="4" fontId="37" fillId="32" borderId="274">
      <alignment horizontal="right" vertical="center"/>
    </xf>
    <xf numFmtId="0" fontId="33" fillId="34" borderId="274">
      <alignment horizontal="right" vertical="center"/>
    </xf>
    <xf numFmtId="49" fontId="35" fillId="0" borderId="275" applyNumberFormat="0" applyFont="0" applyFill="0" applyBorder="0" applyProtection="0">
      <alignment horizontal="left" vertical="center" indent="5"/>
    </xf>
    <xf numFmtId="0" fontId="51" fillId="0" borderId="266" applyNumberFormat="0" applyFill="0" applyAlignment="0" applyProtection="0"/>
    <xf numFmtId="0" fontId="33" fillId="32" borderId="268">
      <alignment horizontal="right" vertical="center"/>
    </xf>
    <xf numFmtId="4" fontId="33" fillId="32" borderId="274">
      <alignment horizontal="right" vertical="center"/>
    </xf>
    <xf numFmtId="0" fontId="41" fillId="59" borderId="267" applyNumberFormat="0" applyFont="0" applyAlignment="0" applyProtection="0"/>
    <xf numFmtId="0" fontId="50" fillId="43" borderId="265" applyNumberFormat="0" applyAlignment="0" applyProtection="0"/>
    <xf numFmtId="0" fontId="35" fillId="0" borderId="271">
      <alignment horizontal="left" vertical="center" wrapText="1" indent="2"/>
    </xf>
    <xf numFmtId="4" fontId="33" fillId="34" borderId="268">
      <alignment horizontal="right" vertical="center"/>
    </xf>
    <xf numFmtId="0" fontId="41" fillId="59" borderId="267" applyNumberFormat="0" applyFont="0" applyAlignment="0" applyProtection="0"/>
    <xf numFmtId="0" fontId="33" fillId="34" borderId="282">
      <alignment horizontal="right" vertical="center"/>
    </xf>
    <xf numFmtId="0" fontId="5" fillId="59" borderId="281" applyNumberFormat="0" applyFont="0" applyAlignment="0" applyProtection="0"/>
    <xf numFmtId="0" fontId="46" fillId="56" borderId="279" applyNumberFormat="0" applyAlignment="0" applyProtection="0"/>
    <xf numFmtId="0" fontId="12" fillId="22" borderId="0" applyNumberFormat="0" applyBorder="0" applyAlignment="0" applyProtection="0"/>
    <xf numFmtId="49" fontId="35" fillId="0" borderId="274" applyNumberFormat="0" applyFont="0" applyFill="0" applyBorder="0" applyProtection="0">
      <alignment horizontal="left" vertical="center" indent="2"/>
    </xf>
    <xf numFmtId="0" fontId="59" fillId="43" borderId="279" applyNumberFormat="0" applyAlignment="0" applyProtection="0"/>
    <xf numFmtId="0" fontId="33" fillId="32" borderId="274">
      <alignment horizontal="right" vertical="center"/>
    </xf>
    <xf numFmtId="0" fontId="44" fillId="56" borderId="272" applyNumberFormat="0" applyAlignment="0" applyProtection="0"/>
    <xf numFmtId="0" fontId="44" fillId="56" borderId="278" applyNumberFormat="0" applyAlignment="0" applyProtection="0"/>
    <xf numFmtId="0" fontId="66" fillId="0" borderId="288" applyNumberFormat="0" applyFill="0" applyAlignment="0" applyProtection="0"/>
    <xf numFmtId="4" fontId="37" fillId="32" borderId="274">
      <alignment horizontal="right" vertical="center"/>
    </xf>
    <xf numFmtId="173" fontId="35" fillId="60" borderId="292" applyNumberFormat="0" applyFont="0" applyBorder="0" applyAlignment="0" applyProtection="0">
      <alignment horizontal="right" vertical="center"/>
    </xf>
    <xf numFmtId="0" fontId="33" fillId="34" borderId="292">
      <alignment horizontal="right" vertical="center"/>
    </xf>
    <xf numFmtId="0" fontId="35" fillId="34" borderId="271">
      <alignment horizontal="left" vertical="center" wrapText="1" indent="2"/>
    </xf>
    <xf numFmtId="173" fontId="35" fillId="60" borderId="274" applyNumberFormat="0" applyFont="0" applyBorder="0" applyAlignment="0" applyProtection="0">
      <alignment horizontal="right" vertical="center"/>
    </xf>
    <xf numFmtId="0" fontId="59" fillId="43" borderId="265" applyNumberFormat="0" applyAlignment="0" applyProtection="0"/>
    <xf numFmtId="4" fontId="35" fillId="0" borderId="268">
      <alignment horizontal="right" vertical="center"/>
    </xf>
    <xf numFmtId="4" fontId="37" fillId="32" borderId="268">
      <alignment horizontal="right" vertical="center"/>
    </xf>
    <xf numFmtId="0" fontId="27" fillId="26" borderId="0" applyNumberFormat="0" applyBorder="0" applyAlignment="0" applyProtection="0"/>
    <xf numFmtId="0" fontId="66" fillId="0" borderId="280" applyNumberFormat="0" applyFill="0" applyAlignment="0" applyProtection="0"/>
    <xf numFmtId="0" fontId="33" fillId="34" borderId="282">
      <alignment horizontal="right" vertical="center"/>
    </xf>
    <xf numFmtId="0" fontId="47" fillId="56" borderId="265" applyNumberFormat="0" applyAlignment="0" applyProtection="0"/>
    <xf numFmtId="0" fontId="5" fillId="59" borderId="273" applyNumberFormat="0" applyFont="0" applyAlignment="0" applyProtection="0"/>
    <xf numFmtId="0" fontId="2" fillId="0" borderId="15" applyNumberFormat="0" applyFill="0" applyAlignment="0" applyProtection="0"/>
    <xf numFmtId="0" fontId="12" fillId="16" borderId="0" applyNumberFormat="0" applyBorder="0" applyAlignment="0" applyProtection="0"/>
    <xf numFmtId="0" fontId="27" fillId="17" borderId="0" applyNumberFormat="0" applyBorder="0" applyAlignment="0" applyProtection="0"/>
    <xf numFmtId="0" fontId="12" fillId="31" borderId="0" applyNumberFormat="0" applyBorder="0" applyAlignment="0" applyProtection="0"/>
    <xf numFmtId="0" fontId="46" fillId="56" borderId="265" applyNumberFormat="0" applyAlignment="0" applyProtection="0"/>
    <xf numFmtId="0" fontId="27" fillId="26" borderId="0" applyNumberFormat="0" applyBorder="0" applyAlignment="0" applyProtection="0"/>
    <xf numFmtId="0" fontId="27" fillId="14" borderId="0" applyNumberFormat="0" applyBorder="0" applyAlignment="0" applyProtection="0"/>
    <xf numFmtId="4" fontId="33" fillId="32" borderId="268">
      <alignment horizontal="right" vertical="center"/>
    </xf>
    <xf numFmtId="0" fontId="66" fillId="0" borderId="288" applyNumberFormat="0" applyFill="0" applyAlignment="0" applyProtection="0"/>
    <xf numFmtId="0" fontId="35" fillId="33" borderId="268"/>
    <xf numFmtId="0" fontId="63" fillId="56" borderId="272" applyNumberFormat="0" applyAlignment="0" applyProtection="0"/>
    <xf numFmtId="4" fontId="35" fillId="0" borderId="268" applyFill="0" applyBorder="0" applyProtection="0">
      <alignment horizontal="right" vertical="center"/>
    </xf>
    <xf numFmtId="0" fontId="35" fillId="0" borderId="285">
      <alignment horizontal="left" vertical="center" wrapText="1" indent="2"/>
    </xf>
    <xf numFmtId="49" fontId="35" fillId="0" borderId="274" applyNumberFormat="0" applyFont="0" applyFill="0" applyBorder="0" applyProtection="0">
      <alignment horizontal="left" vertical="center" indent="2"/>
    </xf>
    <xf numFmtId="0" fontId="27" fillId="21" borderId="0" applyNumberFormat="0" applyBorder="0" applyAlignment="0" applyProtection="0"/>
    <xf numFmtId="0" fontId="51" fillId="0" borderId="280" applyNumberFormat="0" applyFill="0" applyAlignment="0" applyProtection="0"/>
    <xf numFmtId="0" fontId="63" fillId="56" borderId="272" applyNumberFormat="0" applyAlignment="0" applyProtection="0"/>
    <xf numFmtId="4" fontId="35" fillId="33" borderId="282"/>
    <xf numFmtId="0" fontId="27" fillId="26" borderId="0" applyNumberFormat="0" applyBorder="0" applyAlignment="0" applyProtection="0"/>
    <xf numFmtId="0" fontId="66" fillId="0" borderId="266" applyNumberFormat="0" applyFill="0" applyAlignment="0" applyProtection="0"/>
    <xf numFmtId="4" fontId="37" fillId="32" borderId="268">
      <alignment horizontal="right" vertical="center"/>
    </xf>
    <xf numFmtId="0" fontId="59" fillId="43" borderId="265" applyNumberFormat="0" applyAlignment="0" applyProtection="0"/>
    <xf numFmtId="0" fontId="33" fillId="34" borderId="268">
      <alignment horizontal="right" vertical="center"/>
    </xf>
    <xf numFmtId="0" fontId="35" fillId="33" borderId="268"/>
    <xf numFmtId="0" fontId="63" fillId="56" borderId="272" applyNumberFormat="0" applyAlignment="0" applyProtection="0"/>
    <xf numFmtId="0" fontId="47" fillId="56" borderId="265" applyNumberFormat="0" applyAlignment="0" applyProtection="0"/>
    <xf numFmtId="0" fontId="46" fillId="56" borderId="265" applyNumberFormat="0" applyAlignment="0" applyProtection="0"/>
    <xf numFmtId="0" fontId="50" fillId="43" borderId="265" applyNumberFormat="0" applyAlignment="0" applyProtection="0"/>
    <xf numFmtId="0" fontId="51" fillId="0" borderId="266" applyNumberFormat="0" applyFill="0" applyAlignment="0" applyProtection="0"/>
    <xf numFmtId="4" fontId="35" fillId="0" borderId="268" applyFill="0" applyBorder="0" applyProtection="0">
      <alignment horizontal="right" vertical="center"/>
    </xf>
    <xf numFmtId="4" fontId="33" fillId="34" borderId="268">
      <alignment horizontal="right" vertical="center"/>
    </xf>
    <xf numFmtId="0" fontId="59" fillId="43" borderId="265" applyNumberFormat="0" applyAlignment="0" applyProtection="0"/>
    <xf numFmtId="4" fontId="33" fillId="32" borderId="268">
      <alignment horizontal="right" vertical="center"/>
    </xf>
    <xf numFmtId="0" fontId="33" fillId="34" borderId="268">
      <alignment horizontal="right" vertical="center"/>
    </xf>
    <xf numFmtId="0" fontId="47" fillId="56" borderId="265" applyNumberFormat="0" applyAlignment="0" applyProtection="0"/>
    <xf numFmtId="0" fontId="12" fillId="28" borderId="0" applyNumberFormat="0" applyBorder="0" applyAlignment="0" applyProtection="0"/>
    <xf numFmtId="0" fontId="47" fillId="56" borderId="289" applyNumberFormat="0" applyAlignment="0" applyProtection="0"/>
    <xf numFmtId="0" fontId="27" fillId="30" borderId="0" applyNumberFormat="0" applyBorder="0" applyAlignment="0" applyProtection="0"/>
    <xf numFmtId="4" fontId="33" fillId="32" borderId="292">
      <alignment horizontal="right" vertical="center"/>
    </xf>
    <xf numFmtId="0" fontId="27" fillId="26" borderId="0" applyNumberFormat="0" applyBorder="0" applyAlignment="0" applyProtection="0"/>
    <xf numFmtId="0" fontId="46" fillId="56" borderId="289" applyNumberFormat="0" applyAlignment="0" applyProtection="0"/>
    <xf numFmtId="0" fontId="35" fillId="34" borderId="271">
      <alignment horizontal="left" vertical="center" wrapText="1" indent="2"/>
    </xf>
    <xf numFmtId="0" fontId="2" fillId="0" borderId="15" applyNumberFormat="0" applyFill="0" applyAlignment="0" applyProtection="0"/>
    <xf numFmtId="173" fontId="35" fillId="60" borderId="274" applyNumberFormat="0" applyFont="0" applyBorder="0" applyAlignment="0" applyProtection="0">
      <alignment horizontal="right" vertical="center"/>
    </xf>
    <xf numFmtId="0" fontId="12" fillId="19" borderId="0" applyNumberFormat="0" applyBorder="0" applyAlignment="0" applyProtection="0"/>
    <xf numFmtId="0" fontId="27" fillId="27" borderId="0" applyNumberFormat="0" applyBorder="0" applyAlignment="0" applyProtection="0"/>
    <xf numFmtId="0" fontId="27" fillId="30" borderId="0" applyNumberFormat="0" applyBorder="0" applyAlignment="0" applyProtection="0"/>
    <xf numFmtId="0" fontId="35" fillId="34" borderId="295">
      <alignment horizontal="left" vertical="center" wrapText="1" indent="2"/>
    </xf>
    <xf numFmtId="0" fontId="35" fillId="0" borderId="277">
      <alignment horizontal="left" vertical="center" wrapText="1" indent="2"/>
    </xf>
    <xf numFmtId="0" fontId="59" fillId="43" borderId="287" applyNumberFormat="0" applyAlignment="0" applyProtection="0"/>
    <xf numFmtId="0" fontId="59" fillId="43" borderId="265" applyNumberFormat="0" applyAlignment="0" applyProtection="0"/>
    <xf numFmtId="4" fontId="35" fillId="0" borderId="274">
      <alignment horizontal="right" vertical="center"/>
    </xf>
    <xf numFmtId="0" fontId="33" fillId="32" borderId="268">
      <alignment horizontal="right" vertical="center"/>
    </xf>
    <xf numFmtId="0" fontId="33" fillId="34" borderId="282">
      <alignment horizontal="right" vertical="center"/>
    </xf>
    <xf numFmtId="4" fontId="33" fillId="34" borderId="282">
      <alignment horizontal="right" vertical="center"/>
    </xf>
    <xf numFmtId="0" fontId="35" fillId="0" borderId="268" applyNumberFormat="0" applyFill="0" applyAlignment="0" applyProtection="0"/>
    <xf numFmtId="49" fontId="34" fillId="0" borderId="268" applyNumberFormat="0" applyFill="0" applyBorder="0" applyProtection="0">
      <alignment horizontal="left" vertical="center"/>
    </xf>
    <xf numFmtId="0" fontId="35" fillId="0" borderId="268">
      <alignment horizontal="right" vertical="center"/>
    </xf>
    <xf numFmtId="0" fontId="59" fillId="43" borderId="265" applyNumberFormat="0" applyAlignment="0" applyProtection="0"/>
    <xf numFmtId="0" fontId="29" fillId="13" borderId="14" applyNumberFormat="0" applyAlignment="0" applyProtection="0"/>
    <xf numFmtId="0" fontId="44" fillId="56" borderId="286" applyNumberFormat="0" applyAlignment="0" applyProtection="0"/>
    <xf numFmtId="0" fontId="35" fillId="0" borderId="268" applyNumberFormat="0" applyFill="0" applyAlignment="0" applyProtection="0"/>
    <xf numFmtId="0" fontId="35" fillId="0" borderId="271">
      <alignment horizontal="left" vertical="center" wrapText="1" indent="2"/>
    </xf>
    <xf numFmtId="49" fontId="35" fillId="0" borderId="269" applyNumberFormat="0" applyFont="0" applyFill="0" applyBorder="0" applyProtection="0">
      <alignment horizontal="left" vertical="center" indent="5"/>
    </xf>
    <xf numFmtId="0" fontId="33" fillId="34" borderId="270">
      <alignment horizontal="right" vertical="center"/>
    </xf>
    <xf numFmtId="4" fontId="33" fillId="32" borderId="268">
      <alignment horizontal="right" vertical="center"/>
    </xf>
    <xf numFmtId="0" fontId="66" fillId="0" borderId="266" applyNumberFormat="0" applyFill="0" applyAlignment="0" applyProtection="0"/>
    <xf numFmtId="0" fontId="46" fillId="56" borderId="265" applyNumberFormat="0" applyAlignment="0" applyProtection="0"/>
    <xf numFmtId="49" fontId="34" fillId="0" borderId="274" applyNumberFormat="0" applyFill="0" applyBorder="0" applyProtection="0">
      <alignment horizontal="left" vertical="center"/>
    </xf>
    <xf numFmtId="0" fontId="47" fillId="56" borderId="289" applyNumberFormat="0" applyAlignment="0" applyProtection="0"/>
    <xf numFmtId="4" fontId="35" fillId="0" borderId="292">
      <alignment horizontal="right" vertical="center"/>
    </xf>
    <xf numFmtId="49" fontId="35" fillId="0" borderId="269" applyNumberFormat="0" applyFont="0" applyFill="0" applyBorder="0" applyProtection="0">
      <alignment horizontal="left" vertical="center" indent="5"/>
    </xf>
    <xf numFmtId="0" fontId="41" fillId="59" borderId="267" applyNumberFormat="0" applyFont="0" applyAlignment="0" applyProtection="0"/>
    <xf numFmtId="4" fontId="33" fillId="32" borderId="282">
      <alignment horizontal="right" vertical="center"/>
    </xf>
    <xf numFmtId="0" fontId="35" fillId="33" borderId="274"/>
    <xf numFmtId="0" fontId="5" fillId="59" borderId="273" applyNumberFormat="0" applyFont="0" applyAlignment="0" applyProtection="0"/>
    <xf numFmtId="0" fontId="27" fillId="24" borderId="0" applyNumberFormat="0" applyBorder="0" applyAlignment="0" applyProtection="0"/>
    <xf numFmtId="0" fontId="27" fillId="15" borderId="0" applyNumberFormat="0" applyBorder="0" applyAlignment="0" applyProtection="0"/>
    <xf numFmtId="4" fontId="33" fillId="34" borderId="268">
      <alignment horizontal="right" vertical="center"/>
    </xf>
    <xf numFmtId="4" fontId="37" fillId="32" borderId="268">
      <alignment horizontal="right" vertical="center"/>
    </xf>
    <xf numFmtId="0" fontId="35" fillId="33" borderId="268"/>
    <xf numFmtId="0" fontId="51" fillId="0" borderId="266" applyNumberFormat="0" applyFill="0" applyAlignment="0" applyProtection="0"/>
    <xf numFmtId="4" fontId="35" fillId="0" borderId="268" applyFill="0" applyBorder="0" applyProtection="0">
      <alignment horizontal="right" vertical="center"/>
    </xf>
    <xf numFmtId="0" fontId="51" fillId="0" borderId="266" applyNumberFormat="0" applyFill="0" applyAlignment="0" applyProtection="0"/>
    <xf numFmtId="0" fontId="35" fillId="0" borderId="268" applyNumberFormat="0" applyFill="0" applyAlignment="0" applyProtection="0"/>
    <xf numFmtId="0" fontId="12" fillId="16" borderId="0" applyNumberFormat="0" applyBorder="0" applyAlignment="0" applyProtection="0"/>
    <xf numFmtId="0" fontId="35" fillId="0" borderId="268" applyNumberFormat="0" applyFill="0" applyAlignment="0" applyProtection="0"/>
    <xf numFmtId="0" fontId="51" fillId="0" borderId="280" applyNumberFormat="0" applyFill="0" applyAlignment="0" applyProtection="0"/>
    <xf numFmtId="0" fontId="35" fillId="0" borderId="274">
      <alignment horizontal="right" vertical="center"/>
    </xf>
    <xf numFmtId="4" fontId="33" fillId="34" borderId="270">
      <alignment horizontal="right" vertical="center"/>
    </xf>
    <xf numFmtId="0" fontId="27" fillId="29" borderId="0" applyNumberFormat="0" applyBorder="0" applyAlignment="0" applyProtection="0"/>
    <xf numFmtId="0" fontId="41" fillId="59" borderId="291" applyNumberFormat="0" applyFont="0" applyAlignment="0" applyProtection="0"/>
    <xf numFmtId="0" fontId="27" fillId="17" borderId="0" applyNumberFormat="0" applyBorder="0" applyAlignment="0" applyProtection="0"/>
    <xf numFmtId="0" fontId="47" fillId="56" borderId="279" applyNumberFormat="0" applyAlignment="0" applyProtection="0"/>
    <xf numFmtId="0" fontId="50" fillId="43" borderId="265" applyNumberFormat="0" applyAlignment="0" applyProtection="0"/>
    <xf numFmtId="0" fontId="47" fillId="56" borderId="265" applyNumberFormat="0" applyAlignment="0" applyProtection="0"/>
    <xf numFmtId="4" fontId="35" fillId="0" borderId="268">
      <alignment horizontal="right" vertical="center"/>
    </xf>
    <xf numFmtId="0" fontId="35" fillId="34" borderId="271">
      <alignment horizontal="left" vertical="center" wrapText="1" indent="2"/>
    </xf>
    <xf numFmtId="0" fontId="35" fillId="0" borderId="271">
      <alignment horizontal="left" vertical="center" wrapText="1" indent="2"/>
    </xf>
    <xf numFmtId="0" fontId="63" fillId="56" borderId="272" applyNumberFormat="0" applyAlignment="0" applyProtection="0"/>
    <xf numFmtId="0" fontId="59" fillId="43" borderId="265" applyNumberFormat="0" applyAlignment="0" applyProtection="0"/>
    <xf numFmtId="0" fontId="46" fillId="56" borderId="265" applyNumberFormat="0" applyAlignment="0" applyProtection="0"/>
    <xf numFmtId="0" fontId="44" fillId="56" borderId="272" applyNumberFormat="0" applyAlignment="0" applyProtection="0"/>
    <xf numFmtId="0" fontId="33" fillId="34" borderId="270">
      <alignment horizontal="right" vertical="center"/>
    </xf>
    <xf numFmtId="0" fontId="37" fillId="32" borderId="268">
      <alignment horizontal="right" vertical="center"/>
    </xf>
    <xf numFmtId="4" fontId="33" fillId="32" borderId="268">
      <alignment horizontal="right" vertical="center"/>
    </xf>
    <xf numFmtId="4" fontId="33" fillId="34" borderId="268">
      <alignment horizontal="right" vertical="center"/>
    </xf>
    <xf numFmtId="49" fontId="35" fillId="0" borderId="269" applyNumberFormat="0" applyFont="0" applyFill="0" applyBorder="0" applyProtection="0">
      <alignment horizontal="left" vertical="center" indent="5"/>
    </xf>
    <xf numFmtId="4" fontId="35" fillId="0" borderId="268" applyFill="0" applyBorder="0" applyProtection="0">
      <alignment horizontal="right" vertical="center"/>
    </xf>
    <xf numFmtId="4" fontId="33" fillId="32" borderId="268">
      <alignment horizontal="right" vertical="center"/>
    </xf>
    <xf numFmtId="0" fontId="59" fillId="43" borderId="265" applyNumberFormat="0" applyAlignment="0" applyProtection="0"/>
    <xf numFmtId="0" fontId="50" fillId="43" borderId="265" applyNumberFormat="0" applyAlignment="0" applyProtection="0"/>
    <xf numFmtId="0" fontId="46" fillId="56" borderId="265" applyNumberFormat="0" applyAlignment="0" applyProtection="0"/>
    <xf numFmtId="0" fontId="35" fillId="34" borderId="271">
      <alignment horizontal="left" vertical="center" wrapText="1" indent="2"/>
    </xf>
    <xf numFmtId="0" fontId="35" fillId="0" borderId="271">
      <alignment horizontal="left" vertical="center" wrapText="1" indent="2"/>
    </xf>
    <xf numFmtId="0" fontId="35" fillId="34" borderId="271">
      <alignment horizontal="left" vertical="center" wrapText="1" indent="2"/>
    </xf>
    <xf numFmtId="0" fontId="27" fillId="17" borderId="0" applyNumberFormat="0" applyBorder="0" applyAlignment="0" applyProtection="0"/>
    <xf numFmtId="0" fontId="29" fillId="13" borderId="14" applyNumberFormat="0" applyAlignment="0" applyProtection="0"/>
    <xf numFmtId="0" fontId="46" fillId="56" borderId="279" applyNumberFormat="0" applyAlignment="0" applyProtection="0"/>
    <xf numFmtId="4" fontId="33" fillId="34" borderId="275">
      <alignment horizontal="right" vertical="center"/>
    </xf>
    <xf numFmtId="0" fontId="35" fillId="32" borderId="275">
      <alignment horizontal="left" vertical="center"/>
    </xf>
    <xf numFmtId="4" fontId="33" fillId="32" borderId="274">
      <alignment horizontal="right" vertical="center"/>
    </xf>
    <xf numFmtId="0" fontId="63" fillId="56" borderId="278" applyNumberFormat="0" applyAlignment="0" applyProtection="0"/>
    <xf numFmtId="0" fontId="37" fillId="32" borderId="274">
      <alignment horizontal="right" vertical="center"/>
    </xf>
    <xf numFmtId="0" fontId="41" fillId="59" borderId="273" applyNumberFormat="0" applyFont="0" applyAlignment="0" applyProtection="0"/>
    <xf numFmtId="0" fontId="50" fillId="43" borderId="287" applyNumberFormat="0" applyAlignment="0" applyProtection="0"/>
    <xf numFmtId="4" fontId="35" fillId="0" borderId="274" applyFill="0" applyBorder="0" applyProtection="0">
      <alignment horizontal="right" vertical="center"/>
    </xf>
    <xf numFmtId="0" fontId="35" fillId="0" borderId="274" applyNumberFormat="0" applyFill="0" applyAlignment="0" applyProtection="0"/>
    <xf numFmtId="0" fontId="46" fillId="56" borderId="279" applyNumberFormat="0" applyAlignment="0" applyProtection="0"/>
    <xf numFmtId="0" fontId="35" fillId="0" borderId="282" applyNumberFormat="0" applyFill="0" applyAlignment="0" applyProtection="0"/>
    <xf numFmtId="0" fontId="66" fillId="0" borderId="280" applyNumberFormat="0" applyFill="0" applyAlignment="0" applyProtection="0"/>
    <xf numFmtId="0" fontId="66" fillId="0" borderId="280" applyNumberFormat="0" applyFill="0" applyAlignment="0" applyProtection="0"/>
    <xf numFmtId="0" fontId="35" fillId="34" borderId="277">
      <alignment horizontal="left" vertical="center" wrapText="1" indent="2"/>
    </xf>
    <xf numFmtId="0" fontId="46" fillId="56" borderId="279" applyNumberFormat="0" applyAlignment="0" applyProtection="0"/>
    <xf numFmtId="0" fontId="50" fillId="43" borderId="279" applyNumberFormat="0" applyAlignment="0" applyProtection="0"/>
    <xf numFmtId="0" fontId="37" fillId="32" borderId="274">
      <alignment horizontal="right" vertical="center"/>
    </xf>
    <xf numFmtId="0" fontId="50" fillId="43" borderId="287" applyNumberFormat="0" applyAlignment="0" applyProtection="0"/>
    <xf numFmtId="173" fontId="35" fillId="60" borderId="274" applyNumberFormat="0" applyFont="0" applyBorder="0" applyAlignment="0" applyProtection="0">
      <alignment horizontal="right" vertical="center"/>
    </xf>
    <xf numFmtId="0" fontId="66" fillId="0" borderId="288" applyNumberFormat="0" applyFill="0" applyAlignment="0" applyProtection="0"/>
    <xf numFmtId="0" fontId="47" fillId="56" borderId="287" applyNumberFormat="0" applyAlignment="0" applyProtection="0"/>
    <xf numFmtId="4" fontId="33" fillId="34" borderId="274">
      <alignment horizontal="right" vertical="center"/>
    </xf>
    <xf numFmtId="4" fontId="37" fillId="32" borderId="282">
      <alignment horizontal="right" vertical="center"/>
    </xf>
    <xf numFmtId="0" fontId="35" fillId="0" borderId="277">
      <alignment horizontal="left" vertical="center" wrapText="1" indent="2"/>
    </xf>
    <xf numFmtId="0" fontId="35" fillId="0" borderId="277">
      <alignment horizontal="left" vertical="center" wrapText="1" indent="2"/>
    </xf>
    <xf numFmtId="173" fontId="35" fillId="60" borderId="282" applyNumberFormat="0" applyFont="0" applyBorder="0" applyAlignment="0" applyProtection="0">
      <alignment horizontal="right" vertical="center"/>
    </xf>
    <xf numFmtId="0" fontId="35" fillId="34" borderId="295">
      <alignment horizontal="left" vertical="center" wrapText="1" indent="2"/>
    </xf>
    <xf numFmtId="0" fontId="27" fillId="17" borderId="0" applyNumberFormat="0" applyBorder="0" applyAlignment="0" applyProtection="0"/>
    <xf numFmtId="0" fontId="27" fillId="27" borderId="0" applyNumberFormat="0" applyBorder="0" applyAlignment="0" applyProtection="0"/>
    <xf numFmtId="0" fontId="41" fillId="59" borderId="273" applyNumberFormat="0" applyFont="0" applyAlignment="0" applyProtection="0"/>
    <xf numFmtId="0" fontId="35" fillId="0" borderId="274" applyNumberFormat="0" applyFill="0" applyAlignment="0" applyProtection="0"/>
    <xf numFmtId="0" fontId="33" fillId="34" borderId="275">
      <alignment horizontal="right" vertical="center"/>
    </xf>
    <xf numFmtId="0" fontId="33" fillId="32" borderId="282">
      <alignment horizontal="right" vertical="center"/>
    </xf>
    <xf numFmtId="0" fontId="30" fillId="13" borderId="13" applyNumberFormat="0" applyAlignment="0" applyProtection="0"/>
    <xf numFmtId="0" fontId="41" fillId="59" borderId="291" applyNumberFormat="0" applyFont="0" applyAlignment="0" applyProtection="0"/>
    <xf numFmtId="0" fontId="47" fillId="56" borderId="287" applyNumberFormat="0" applyAlignment="0" applyProtection="0"/>
    <xf numFmtId="49" fontId="34" fillId="0" borderId="282" applyNumberFormat="0" applyFill="0" applyBorder="0" applyProtection="0">
      <alignment horizontal="left" vertical="center"/>
    </xf>
    <xf numFmtId="4" fontId="35" fillId="33" borderId="274"/>
    <xf numFmtId="4" fontId="33" fillId="34" borderId="294">
      <alignment horizontal="right" vertical="center"/>
    </xf>
    <xf numFmtId="0" fontId="47" fillId="56" borderId="289" applyNumberFormat="0" applyAlignment="0" applyProtection="0"/>
    <xf numFmtId="0" fontId="66" fillId="0" borderId="280" applyNumberFormat="0" applyFill="0" applyAlignment="0" applyProtection="0"/>
    <xf numFmtId="0" fontId="51" fillId="0" borderId="288" applyNumberFormat="0" applyFill="0" applyAlignment="0" applyProtection="0"/>
    <xf numFmtId="0" fontId="33" fillId="34" borderId="284">
      <alignment horizontal="right" vertical="center"/>
    </xf>
    <xf numFmtId="4" fontId="37" fillId="32" borderId="292">
      <alignment horizontal="right" vertical="center"/>
    </xf>
    <xf numFmtId="0" fontId="35" fillId="34" borderId="285">
      <alignment horizontal="left" vertical="center" wrapText="1" indent="2"/>
    </xf>
    <xf numFmtId="0" fontId="29" fillId="13" borderId="14" applyNumberFormat="0" applyAlignment="0" applyProtection="0"/>
    <xf numFmtId="0" fontId="33" fillId="34" borderId="276">
      <alignment horizontal="right" vertical="center"/>
    </xf>
    <xf numFmtId="0" fontId="46" fillId="56" borderId="287" applyNumberFormat="0" applyAlignment="0" applyProtection="0"/>
    <xf numFmtId="0" fontId="47" fillId="56" borderId="279" applyNumberFormat="0" applyAlignment="0" applyProtection="0"/>
    <xf numFmtId="4" fontId="37" fillId="32" borderId="292">
      <alignment horizontal="right" vertical="center"/>
    </xf>
    <xf numFmtId="4" fontId="35" fillId="0" borderId="274">
      <alignment horizontal="right" vertical="center"/>
    </xf>
    <xf numFmtId="0" fontId="33" fillId="34" borderId="283">
      <alignment horizontal="right" vertical="center"/>
    </xf>
    <xf numFmtId="0" fontId="41" fillId="59" borderId="281" applyNumberFormat="0" applyFont="0" applyAlignment="0" applyProtection="0"/>
    <xf numFmtId="0" fontId="31" fillId="0" borderId="0" applyNumberFormat="0" applyFill="0" applyBorder="0" applyAlignment="0" applyProtection="0"/>
    <xf numFmtId="0" fontId="33" fillId="32" borderId="282">
      <alignment horizontal="right" vertical="center"/>
    </xf>
    <xf numFmtId="0" fontId="33" fillId="34" borderId="275">
      <alignment horizontal="right" vertical="center"/>
    </xf>
    <xf numFmtId="0" fontId="50" fillId="43" borderId="289" applyNumberFormat="0" applyAlignment="0" applyProtection="0"/>
    <xf numFmtId="0" fontId="47" fillId="56" borderId="289" applyNumberFormat="0" applyAlignment="0" applyProtection="0"/>
    <xf numFmtId="173" fontId="35" fillId="60" borderId="274" applyNumberFormat="0" applyFont="0" applyBorder="0" applyAlignment="0" applyProtection="0">
      <alignment horizontal="right" vertical="center"/>
    </xf>
    <xf numFmtId="0" fontId="63" fillId="56" borderId="278" applyNumberFormat="0" applyAlignment="0" applyProtection="0"/>
    <xf numFmtId="0" fontId="27" fillId="18" borderId="0" applyNumberFormat="0" applyBorder="0" applyAlignment="0" applyProtection="0"/>
    <xf numFmtId="0" fontId="33" fillId="34" borderId="274">
      <alignment horizontal="right" vertical="center"/>
    </xf>
    <xf numFmtId="4" fontId="35" fillId="0" borderId="274" applyFill="0" applyBorder="0" applyProtection="0">
      <alignment horizontal="right" vertical="center"/>
    </xf>
    <xf numFmtId="0" fontId="35" fillId="34" borderId="277">
      <alignment horizontal="left" vertical="center" wrapText="1" indent="2"/>
    </xf>
    <xf numFmtId="0" fontId="59" fillId="43" borderId="279" applyNumberFormat="0" applyAlignment="0" applyProtection="0"/>
    <xf numFmtId="0" fontId="47" fillId="56" borderId="279" applyNumberFormat="0" applyAlignment="0" applyProtection="0"/>
    <xf numFmtId="4" fontId="33" fillId="32" borderId="274">
      <alignment horizontal="right" vertical="center"/>
    </xf>
    <xf numFmtId="0" fontId="51" fillId="0" borderId="290" applyNumberFormat="0" applyFill="0" applyAlignment="0" applyProtection="0"/>
    <xf numFmtId="0" fontId="63" fillId="56" borderId="278" applyNumberFormat="0" applyAlignment="0" applyProtection="0"/>
    <xf numFmtId="0" fontId="35" fillId="0" borderId="274">
      <alignment horizontal="right" vertical="center"/>
    </xf>
    <xf numFmtId="0" fontId="59" fillId="43" borderId="279" applyNumberFormat="0" applyAlignment="0" applyProtection="0"/>
    <xf numFmtId="0" fontId="59" fillId="43" borderId="279" applyNumberFormat="0" applyAlignment="0" applyProtection="0"/>
    <xf numFmtId="0" fontId="27" fillId="21" borderId="0" applyNumberFormat="0" applyBorder="0" applyAlignment="0" applyProtection="0"/>
    <xf numFmtId="49" fontId="35" fillId="0" borderId="275" applyNumberFormat="0" applyFont="0" applyFill="0" applyBorder="0" applyProtection="0">
      <alignment horizontal="left" vertical="center" indent="5"/>
    </xf>
    <xf numFmtId="0" fontId="35" fillId="0" borderId="274">
      <alignment horizontal="right" vertical="center"/>
    </xf>
    <xf numFmtId="0" fontId="47" fillId="56" borderId="279" applyNumberFormat="0" applyAlignment="0" applyProtection="0"/>
    <xf numFmtId="0" fontId="33" fillId="34" borderId="274">
      <alignment horizontal="right" vertical="center"/>
    </xf>
    <xf numFmtId="4" fontId="35" fillId="33" borderId="274"/>
    <xf numFmtId="0" fontId="37" fillId="32" borderId="282">
      <alignment horizontal="right" vertical="center"/>
    </xf>
    <xf numFmtId="4" fontId="33" fillId="34" borderId="282">
      <alignment horizontal="right" vertical="center"/>
    </xf>
    <xf numFmtId="4" fontId="33" fillId="34" borderId="276">
      <alignment horizontal="right" vertical="center"/>
    </xf>
    <xf numFmtId="4" fontId="33" fillId="34" borderId="274">
      <alignment horizontal="right" vertical="center"/>
    </xf>
    <xf numFmtId="4" fontId="33" fillId="34" borderId="293">
      <alignment horizontal="right" vertical="center"/>
    </xf>
    <xf numFmtId="4" fontId="33" fillId="34" borderId="282">
      <alignment horizontal="right" vertical="center"/>
    </xf>
    <xf numFmtId="0" fontId="33" fillId="32" borderId="274">
      <alignment horizontal="right" vertical="center"/>
    </xf>
    <xf numFmtId="4" fontId="33" fillId="34" borderId="282">
      <alignment horizontal="right" vertical="center"/>
    </xf>
    <xf numFmtId="49" fontId="35" fillId="0" borderId="274" applyNumberFormat="0" applyFont="0" applyFill="0" applyBorder="0" applyProtection="0">
      <alignment horizontal="left" vertical="center" indent="2"/>
    </xf>
    <xf numFmtId="0" fontId="29" fillId="13" borderId="14" applyNumberFormat="0" applyAlignment="0" applyProtection="0"/>
    <xf numFmtId="0" fontId="27" fillId="26" borderId="0" applyNumberFormat="0" applyBorder="0" applyAlignment="0" applyProtection="0"/>
    <xf numFmtId="0" fontId="12" fillId="19" borderId="0" applyNumberFormat="0" applyBorder="0" applyAlignment="0" applyProtection="0"/>
    <xf numFmtId="0" fontId="47" fillId="56" borderId="289" applyNumberFormat="0" applyAlignment="0" applyProtection="0"/>
    <xf numFmtId="0" fontId="35" fillId="34" borderId="277">
      <alignment horizontal="left" vertical="center" wrapText="1" indent="2"/>
    </xf>
    <xf numFmtId="0" fontId="12" fillId="19" borderId="0" applyNumberFormat="0" applyBorder="0" applyAlignment="0" applyProtection="0"/>
    <xf numFmtId="0" fontId="35" fillId="33" borderId="274"/>
    <xf numFmtId="0" fontId="66" fillId="0" borderId="280" applyNumberFormat="0" applyFill="0" applyAlignment="0" applyProtection="0"/>
    <xf numFmtId="0" fontId="63" fillId="56" borderId="278" applyNumberFormat="0" applyAlignment="0" applyProtection="0"/>
    <xf numFmtId="4" fontId="35" fillId="33" borderId="292"/>
    <xf numFmtId="0" fontId="44" fillId="56" borderId="278" applyNumberFormat="0" applyAlignment="0" applyProtection="0"/>
    <xf numFmtId="0" fontId="44" fillId="56" borderId="286" applyNumberFormat="0" applyAlignment="0" applyProtection="0"/>
    <xf numFmtId="173" fontId="35" fillId="60" borderId="274" applyNumberFormat="0" applyFont="0" applyBorder="0" applyAlignment="0" applyProtection="0">
      <alignment horizontal="right" vertical="center"/>
    </xf>
    <xf numFmtId="0" fontId="27" fillId="27" borderId="0" applyNumberFormat="0" applyBorder="0" applyAlignment="0" applyProtection="0"/>
    <xf numFmtId="4" fontId="33" fillId="34" borderId="282">
      <alignment horizontal="right" vertical="center"/>
    </xf>
    <xf numFmtId="0" fontId="12" fillId="16" borderId="0" applyNumberFormat="0" applyBorder="0" applyAlignment="0" applyProtection="0"/>
    <xf numFmtId="0" fontId="59" fillId="43" borderId="279" applyNumberFormat="0" applyAlignment="0" applyProtection="0"/>
    <xf numFmtId="0" fontId="27" fillId="14" borderId="0" applyNumberFormat="0" applyBorder="0" applyAlignment="0" applyProtection="0"/>
    <xf numFmtId="0" fontId="66" fillId="0" borderId="290" applyNumberFormat="0" applyFill="0" applyAlignment="0" applyProtection="0"/>
    <xf numFmtId="0" fontId="33" fillId="32" borderId="282">
      <alignment horizontal="right" vertical="center"/>
    </xf>
    <xf numFmtId="4" fontId="33" fillId="34" borderId="284">
      <alignment horizontal="right" vertical="center"/>
    </xf>
    <xf numFmtId="0" fontId="66" fillId="0" borderId="280" applyNumberFormat="0" applyFill="0" applyAlignment="0" applyProtection="0"/>
    <xf numFmtId="0" fontId="35" fillId="0" borderId="274">
      <alignment horizontal="right" vertical="center"/>
    </xf>
    <xf numFmtId="49" fontId="34" fillId="0" borderId="292" applyNumberFormat="0" applyFill="0" applyBorder="0" applyProtection="0">
      <alignment horizontal="left" vertical="center"/>
    </xf>
    <xf numFmtId="0" fontId="35" fillId="0" borderId="292">
      <alignment horizontal="right" vertical="center"/>
    </xf>
    <xf numFmtId="0" fontId="35" fillId="0" borderId="277">
      <alignment horizontal="left" vertical="center" wrapText="1" indent="2"/>
    </xf>
    <xf numFmtId="0" fontId="12" fillId="22" borderId="0" applyNumberFormat="0" applyBorder="0" applyAlignment="0" applyProtection="0"/>
    <xf numFmtId="0" fontId="33" fillId="34" borderId="294">
      <alignment horizontal="right" vertical="center"/>
    </xf>
    <xf numFmtId="4" fontId="33" fillId="34" borderId="282">
      <alignment horizontal="right" vertical="center"/>
    </xf>
    <xf numFmtId="0" fontId="27" fillId="29" borderId="0" applyNumberFormat="0" applyBorder="0" applyAlignment="0" applyProtection="0"/>
    <xf numFmtId="0" fontId="33" fillId="34" borderId="283">
      <alignment horizontal="right" vertical="center"/>
    </xf>
    <xf numFmtId="0" fontId="63" fillId="56" borderId="278" applyNumberFormat="0" applyAlignment="0" applyProtection="0"/>
    <xf numFmtId="0" fontId="27" fillId="30" borderId="0" applyNumberFormat="0" applyBorder="0" applyAlignment="0" applyProtection="0"/>
    <xf numFmtId="0" fontId="63" fillId="56" borderId="278" applyNumberFormat="0" applyAlignment="0" applyProtection="0"/>
    <xf numFmtId="0" fontId="47" fillId="56" borderId="279" applyNumberFormat="0" applyAlignment="0" applyProtection="0"/>
    <xf numFmtId="0" fontId="51" fillId="0" borderId="290" applyNumberFormat="0" applyFill="0" applyAlignment="0" applyProtection="0"/>
    <xf numFmtId="4" fontId="33" fillId="34" borderId="274">
      <alignment horizontal="right" vertical="center"/>
    </xf>
    <xf numFmtId="0" fontId="59" fillId="43" borderId="279" applyNumberFormat="0" applyAlignment="0" applyProtection="0"/>
    <xf numFmtId="0" fontId="59" fillId="43" borderId="279" applyNumberFormat="0" applyAlignment="0" applyProtection="0"/>
    <xf numFmtId="0" fontId="5" fillId="59" borderId="273" applyNumberFormat="0" applyFont="0" applyAlignment="0" applyProtection="0"/>
    <xf numFmtId="0" fontId="33" fillId="34" borderId="293">
      <alignment horizontal="right" vertical="center"/>
    </xf>
    <xf numFmtId="0" fontId="47" fillId="56" borderId="287" applyNumberFormat="0" applyAlignment="0" applyProtection="0"/>
    <xf numFmtId="0" fontId="12" fillId="25" borderId="0" applyNumberFormat="0" applyBorder="0" applyAlignment="0" applyProtection="0"/>
    <xf numFmtId="49" fontId="35" fillId="0" borderId="292" applyNumberFormat="0" applyFont="0" applyFill="0" applyBorder="0" applyProtection="0">
      <alignment horizontal="left" vertical="center" indent="2"/>
    </xf>
    <xf numFmtId="0" fontId="33" fillId="32" borderId="274">
      <alignment horizontal="right" vertical="center"/>
    </xf>
    <xf numFmtId="4" fontId="35" fillId="0" borderId="282">
      <alignment horizontal="right" vertical="center"/>
    </xf>
    <xf numFmtId="4" fontId="35" fillId="33" borderId="282"/>
    <xf numFmtId="0" fontId="50" fillId="43" borderId="279" applyNumberFormat="0" applyAlignment="0" applyProtection="0"/>
    <xf numFmtId="0" fontId="66" fillId="0" borderId="288" applyNumberFormat="0" applyFill="0" applyAlignment="0" applyProtection="0"/>
    <xf numFmtId="0" fontId="59" fillId="43" borderId="289" applyNumberFormat="0" applyAlignment="0" applyProtection="0"/>
    <xf numFmtId="0" fontId="41" fillId="59" borderId="273" applyNumberFormat="0" applyFont="0" applyAlignment="0" applyProtection="0"/>
    <xf numFmtId="0" fontId="35" fillId="0" borderId="274" applyNumberFormat="0" applyFill="0" applyAlignment="0" applyProtection="0"/>
    <xf numFmtId="0" fontId="27" fillId="26" borderId="0" applyNumberFormat="0" applyBorder="0" applyAlignment="0" applyProtection="0"/>
    <xf numFmtId="4" fontId="35" fillId="0" borderId="274" applyFill="0" applyBorder="0" applyProtection="0">
      <alignment horizontal="right" vertical="center"/>
    </xf>
    <xf numFmtId="0" fontId="35" fillId="0" borderId="277">
      <alignment horizontal="left" vertical="center" wrapText="1" indent="2"/>
    </xf>
    <xf numFmtId="4" fontId="33" fillId="34" borderId="275">
      <alignment horizontal="right" vertical="center"/>
    </xf>
    <xf numFmtId="0" fontId="35" fillId="33" borderId="274"/>
    <xf numFmtId="0" fontId="12" fillId="31" borderId="0" applyNumberFormat="0" applyBorder="0" applyAlignment="0" applyProtection="0"/>
    <xf numFmtId="0" fontId="37" fillId="32" borderId="274">
      <alignment horizontal="right" vertical="center"/>
    </xf>
    <xf numFmtId="0" fontId="66" fillId="0" borderId="290" applyNumberFormat="0" applyFill="0" applyAlignment="0" applyProtection="0"/>
    <xf numFmtId="0" fontId="44" fillId="56" borderId="278" applyNumberFormat="0" applyAlignment="0" applyProtection="0"/>
    <xf numFmtId="49" fontId="35" fillId="0" borderId="274" applyNumberFormat="0" applyFont="0" applyFill="0" applyBorder="0" applyProtection="0">
      <alignment horizontal="left" vertical="center" indent="2"/>
    </xf>
    <xf numFmtId="0" fontId="44" fillId="56" borderId="286" applyNumberFormat="0" applyAlignment="0" applyProtection="0"/>
    <xf numFmtId="0" fontId="27" fillId="26" borderId="0" applyNumberFormat="0" applyBorder="0" applyAlignment="0" applyProtection="0"/>
    <xf numFmtId="0" fontId="27" fillId="26" borderId="0" applyNumberFormat="0" applyBorder="0" applyAlignment="0" applyProtection="0"/>
    <xf numFmtId="0" fontId="1" fillId="0" borderId="0" applyNumberFormat="0" applyFill="0" applyBorder="0" applyAlignment="0" applyProtection="0"/>
    <xf numFmtId="0" fontId="33" fillId="34" borderId="283">
      <alignment horizontal="right" vertical="center"/>
    </xf>
    <xf numFmtId="4" fontId="33" fillId="34" borderId="276">
      <alignment horizontal="right" vertical="center"/>
    </xf>
    <xf numFmtId="0" fontId="46" fillId="56" borderId="289" applyNumberFormat="0" applyAlignment="0" applyProtection="0"/>
    <xf numFmtId="4" fontId="33" fillId="34" borderId="282">
      <alignment horizontal="right" vertical="center"/>
    </xf>
    <xf numFmtId="0" fontId="35" fillId="0" borderId="285">
      <alignment horizontal="left" vertical="center" wrapText="1" indent="2"/>
    </xf>
    <xf numFmtId="4" fontId="35" fillId="0" borderId="282">
      <alignment horizontal="right" vertical="center"/>
    </xf>
    <xf numFmtId="0" fontId="27" fillId="20" borderId="0" applyNumberFormat="0" applyBorder="0" applyAlignment="0" applyProtection="0"/>
    <xf numFmtId="0" fontId="35" fillId="0" borderId="282">
      <alignment horizontal="right" vertical="center"/>
    </xf>
    <xf numFmtId="0" fontId="46" fillId="56" borderId="279" applyNumberFormat="0" applyAlignment="0" applyProtection="0"/>
    <xf numFmtId="4" fontId="35" fillId="0" borderId="274">
      <alignment horizontal="right" vertical="center"/>
    </xf>
    <xf numFmtId="0" fontId="66" fillId="0" borderId="288" applyNumberFormat="0" applyFill="0" applyAlignment="0" applyProtection="0"/>
    <xf numFmtId="49" fontId="35" fillId="0" borderId="283" applyNumberFormat="0" applyFont="0" applyFill="0" applyBorder="0" applyProtection="0">
      <alignment horizontal="left" vertical="center" indent="5"/>
    </xf>
    <xf numFmtId="0" fontId="33" fillId="34" borderId="274">
      <alignment horizontal="right" vertical="center"/>
    </xf>
    <xf numFmtId="4" fontId="37" fillId="32" borderId="274">
      <alignment horizontal="right" vertical="center"/>
    </xf>
    <xf numFmtId="0" fontId="50" fillId="43" borderId="279" applyNumberFormat="0" applyAlignment="0" applyProtection="0"/>
    <xf numFmtId="0" fontId="33" fillId="32" borderId="282">
      <alignment horizontal="right" vertical="center"/>
    </xf>
    <xf numFmtId="0" fontId="35" fillId="32" borderId="275">
      <alignment horizontal="left" vertical="center"/>
    </xf>
    <xf numFmtId="0" fontId="27" fillId="14" borderId="0" applyNumberFormat="0" applyBorder="0" applyAlignment="0" applyProtection="0"/>
    <xf numFmtId="0" fontId="27" fillId="27" borderId="0" applyNumberFormat="0" applyBorder="0" applyAlignment="0" applyProtection="0"/>
    <xf numFmtId="4" fontId="35" fillId="0" borderId="274" applyFill="0" applyBorder="0" applyProtection="0">
      <alignment horizontal="right" vertical="center"/>
    </xf>
    <xf numFmtId="0" fontId="33" fillId="32" borderId="274">
      <alignment horizontal="right" vertical="center"/>
    </xf>
    <xf numFmtId="0" fontId="35" fillId="33" borderId="282"/>
    <xf numFmtId="0" fontId="46" fillId="56" borderId="279" applyNumberFormat="0" applyAlignment="0" applyProtection="0"/>
    <xf numFmtId="0" fontId="33" fillId="32" borderId="274">
      <alignment horizontal="right" vertical="center"/>
    </xf>
    <xf numFmtId="0" fontId="12" fillId="25" borderId="0" applyNumberFormat="0" applyBorder="0" applyAlignment="0" applyProtection="0"/>
    <xf numFmtId="0" fontId="51" fillId="0" borderId="290" applyNumberFormat="0" applyFill="0" applyAlignment="0" applyProtection="0"/>
    <xf numFmtId="0" fontId="12" fillId="16" borderId="0" applyNumberFormat="0" applyBorder="0" applyAlignment="0" applyProtection="0"/>
    <xf numFmtId="0" fontId="33" fillId="34" borderId="274">
      <alignment horizontal="right" vertical="center"/>
    </xf>
    <xf numFmtId="0" fontId="27" fillId="18" borderId="0" applyNumberFormat="0" applyBorder="0" applyAlignment="0" applyProtection="0"/>
    <xf numFmtId="0" fontId="1" fillId="0" borderId="0" applyNumberFormat="0" applyFill="0" applyBorder="0" applyAlignment="0" applyProtection="0"/>
    <xf numFmtId="0" fontId="27" fillId="17" borderId="0" applyNumberFormat="0" applyBorder="0" applyAlignment="0" applyProtection="0"/>
    <xf numFmtId="4" fontId="33" fillId="34" borderId="274">
      <alignment horizontal="right" vertical="center"/>
    </xf>
    <xf numFmtId="0" fontId="27" fillId="14" borderId="0" applyNumberFormat="0" applyBorder="0" applyAlignment="0" applyProtection="0"/>
    <xf numFmtId="4" fontId="35" fillId="33" borderId="292"/>
    <xf numFmtId="0" fontId="27" fillId="20" borderId="0" applyNumberFormat="0" applyBorder="0" applyAlignment="0" applyProtection="0"/>
    <xf numFmtId="0" fontId="33" fillId="34" borderId="276">
      <alignment horizontal="right" vertical="center"/>
    </xf>
    <xf numFmtId="0" fontId="2" fillId="0" borderId="15" applyNumberFormat="0" applyFill="0" applyAlignment="0" applyProtection="0"/>
    <xf numFmtId="0" fontId="51" fillId="0" borderId="280" applyNumberFormat="0" applyFill="0" applyAlignment="0" applyProtection="0"/>
    <xf numFmtId="0" fontId="35" fillId="32" borderId="275">
      <alignment horizontal="left" vertical="center"/>
    </xf>
    <xf numFmtId="0" fontId="5" fillId="59" borderId="273" applyNumberFormat="0" applyFont="0" applyAlignment="0" applyProtection="0"/>
    <xf numFmtId="0" fontId="33" fillId="32" borderId="274">
      <alignment horizontal="right" vertical="center"/>
    </xf>
    <xf numFmtId="4" fontId="37" fillId="32" borderId="274">
      <alignment horizontal="right" vertical="center"/>
    </xf>
    <xf numFmtId="0" fontId="51" fillId="0" borderId="280" applyNumberFormat="0" applyFill="0" applyAlignment="0" applyProtection="0"/>
    <xf numFmtId="0" fontId="63" fillId="56" borderId="286" applyNumberFormat="0" applyAlignment="0" applyProtection="0"/>
    <xf numFmtId="0" fontId="33" fillId="34" borderId="294">
      <alignment horizontal="right" vertical="center"/>
    </xf>
    <xf numFmtId="0" fontId="47" fillId="56" borderId="279" applyNumberFormat="0" applyAlignment="0" applyProtection="0"/>
    <xf numFmtId="49" fontId="34" fillId="0" borderId="274" applyNumberFormat="0" applyFill="0" applyBorder="0" applyProtection="0">
      <alignment horizontal="left" vertical="center"/>
    </xf>
    <xf numFmtId="0" fontId="12" fillId="28" borderId="0" applyNumberFormat="0" applyBorder="0" applyAlignment="0" applyProtection="0"/>
    <xf numFmtId="0" fontId="27" fillId="23" borderId="0" applyNumberFormat="0" applyBorder="0" applyAlignment="0" applyProtection="0"/>
    <xf numFmtId="0" fontId="12" fillId="31" borderId="0" applyNumberFormat="0" applyBorder="0" applyAlignment="0" applyProtection="0"/>
    <xf numFmtId="0" fontId="50" fillId="43" borderId="279" applyNumberFormat="0" applyAlignment="0" applyProtection="0"/>
    <xf numFmtId="0" fontId="12" fillId="28" borderId="0" applyNumberFormat="0" applyBorder="0" applyAlignment="0" applyProtection="0"/>
    <xf numFmtId="0" fontId="33" fillId="34" borderId="275">
      <alignment horizontal="right" vertical="center"/>
    </xf>
    <xf numFmtId="0" fontId="12" fillId="19" borderId="0" applyNumberFormat="0" applyBorder="0" applyAlignment="0" applyProtection="0"/>
    <xf numFmtId="4" fontId="37" fillId="32" borderId="274">
      <alignment horizontal="right" vertical="center"/>
    </xf>
    <xf numFmtId="0" fontId="27" fillId="23" borderId="0" applyNumberFormat="0" applyBorder="0" applyAlignment="0" applyProtection="0"/>
    <xf numFmtId="4" fontId="33" fillId="34" borderId="283">
      <alignment horizontal="right" vertical="center"/>
    </xf>
    <xf numFmtId="0" fontId="37" fillId="32" borderId="292">
      <alignment horizontal="right" vertical="center"/>
    </xf>
    <xf numFmtId="0" fontId="1" fillId="0" borderId="0" applyNumberFormat="0" applyFill="0" applyBorder="0" applyAlignment="0" applyProtection="0"/>
    <xf numFmtId="4" fontId="37" fillId="32" borderId="274">
      <alignment horizontal="right" vertical="center"/>
    </xf>
    <xf numFmtId="0" fontId="12" fillId="19" borderId="0" applyNumberFormat="0" applyBorder="0" applyAlignment="0" applyProtection="0"/>
    <xf numFmtId="0" fontId="47" fillId="56" borderId="279" applyNumberFormat="0" applyAlignment="0" applyProtection="0"/>
    <xf numFmtId="0" fontId="30" fillId="13" borderId="13" applyNumberFormat="0" applyAlignment="0" applyProtection="0"/>
    <xf numFmtId="0" fontId="51" fillId="0" borderId="290" applyNumberFormat="0" applyFill="0" applyAlignment="0" applyProtection="0"/>
    <xf numFmtId="4" fontId="33" fillId="34" borderId="284">
      <alignment horizontal="right" vertical="center"/>
    </xf>
    <xf numFmtId="0" fontId="27" fillId="15" borderId="0" applyNumberFormat="0" applyBorder="0" applyAlignment="0" applyProtection="0"/>
    <xf numFmtId="0" fontId="59" fillId="43" borderId="279" applyNumberFormat="0" applyAlignment="0" applyProtection="0"/>
    <xf numFmtId="0" fontId="33" fillId="32" borderId="282">
      <alignment horizontal="right" vertical="center"/>
    </xf>
    <xf numFmtId="0" fontId="30" fillId="13" borderId="13" applyNumberFormat="0" applyAlignment="0" applyProtection="0"/>
    <xf numFmtId="0" fontId="59" fillId="43" borderId="279" applyNumberFormat="0" applyAlignment="0" applyProtection="0"/>
    <xf numFmtId="0" fontId="12" fillId="22" borderId="0" applyNumberFormat="0" applyBorder="0" applyAlignment="0" applyProtection="0"/>
    <xf numFmtId="0" fontId="27" fillId="24" borderId="0" applyNumberFormat="0" applyBorder="0" applyAlignment="0" applyProtection="0"/>
    <xf numFmtId="0" fontId="46" fillId="56" borderId="279" applyNumberFormat="0" applyAlignment="0" applyProtection="0"/>
    <xf numFmtId="4" fontId="35" fillId="0" borderId="282" applyFill="0" applyBorder="0" applyProtection="0">
      <alignment horizontal="right" vertical="center"/>
    </xf>
    <xf numFmtId="0" fontId="59" fillId="43" borderId="287" applyNumberFormat="0" applyAlignment="0" applyProtection="0"/>
    <xf numFmtId="4" fontId="33" fillId="34" borderId="275">
      <alignment horizontal="right" vertical="center"/>
    </xf>
    <xf numFmtId="0" fontId="27" fillId="20" borderId="0" applyNumberFormat="0" applyBorder="0" applyAlignment="0" applyProtection="0"/>
    <xf numFmtId="4" fontId="35" fillId="0" borderId="292">
      <alignment horizontal="right" vertical="center"/>
    </xf>
    <xf numFmtId="0" fontId="41" fillId="59" borderId="273" applyNumberFormat="0" applyFont="0" applyAlignment="0" applyProtection="0"/>
    <xf numFmtId="0" fontId="63" fillId="56" borderId="278" applyNumberFormat="0" applyAlignment="0" applyProtection="0"/>
    <xf numFmtId="0" fontId="66" fillId="0" borderId="288" applyNumberFormat="0" applyFill="0" applyAlignment="0" applyProtection="0"/>
    <xf numFmtId="0" fontId="44" fillId="56" borderId="278" applyNumberFormat="0" applyAlignment="0" applyProtection="0"/>
    <xf numFmtId="0" fontId="35" fillId="0" borderId="282">
      <alignment horizontal="right" vertical="center"/>
    </xf>
    <xf numFmtId="0" fontId="46" fillId="56" borderId="279" applyNumberFormat="0" applyAlignment="0" applyProtection="0"/>
    <xf numFmtId="0" fontId="27" fillId="15" borderId="0" applyNumberFormat="0" applyBorder="0" applyAlignment="0" applyProtection="0"/>
    <xf numFmtId="0" fontId="35" fillId="0" borderId="277">
      <alignment horizontal="left" vertical="center" wrapText="1" indent="2"/>
    </xf>
    <xf numFmtId="0" fontId="33" fillId="34" borderId="282">
      <alignment horizontal="right" vertical="center"/>
    </xf>
    <xf numFmtId="0" fontId="50" fillId="43" borderId="279" applyNumberFormat="0" applyAlignment="0" applyProtection="0"/>
    <xf numFmtId="4" fontId="33" fillId="34" borderId="284">
      <alignment horizontal="right" vertical="center"/>
    </xf>
    <xf numFmtId="0" fontId="12" fillId="31" borderId="0" applyNumberFormat="0" applyBorder="0" applyAlignment="0" applyProtection="0"/>
    <xf numFmtId="0" fontId="41" fillId="59" borderId="281" applyNumberFormat="0" applyFont="0" applyAlignment="0" applyProtection="0"/>
    <xf numFmtId="0" fontId="27" fillId="27" borderId="0" applyNumberFormat="0" applyBorder="0" applyAlignment="0" applyProtection="0"/>
    <xf numFmtId="0" fontId="2" fillId="0" borderId="15" applyNumberFormat="0" applyFill="0" applyAlignment="0" applyProtection="0"/>
    <xf numFmtId="49" fontId="34" fillId="0" borderId="274" applyNumberFormat="0" applyFill="0" applyBorder="0" applyProtection="0">
      <alignment horizontal="left" vertical="center"/>
    </xf>
    <xf numFmtId="0" fontId="35" fillId="33" borderId="274"/>
    <xf numFmtId="0" fontId="33" fillId="34" borderId="274">
      <alignment horizontal="right" vertical="center"/>
    </xf>
    <xf numFmtId="4" fontId="35" fillId="33" borderId="282"/>
    <xf numFmtId="0" fontId="33" fillId="34" borderId="274">
      <alignment horizontal="right" vertical="center"/>
    </xf>
    <xf numFmtId="0" fontId="35" fillId="33" borderId="292"/>
    <xf numFmtId="0" fontId="33" fillId="34" borderId="292">
      <alignment horizontal="right" vertical="center"/>
    </xf>
    <xf numFmtId="0" fontId="63" fillId="56" borderId="286" applyNumberFormat="0" applyAlignment="0" applyProtection="0"/>
    <xf numFmtId="0" fontId="37" fillId="32" borderId="274">
      <alignment horizontal="right" vertical="center"/>
    </xf>
    <xf numFmtId="0" fontId="41" fillId="59" borderId="273" applyNumberFormat="0" applyFont="0" applyAlignment="0" applyProtection="0"/>
    <xf numFmtId="0" fontId="33" fillId="34" borderId="294">
      <alignment horizontal="right" vertical="center"/>
    </xf>
    <xf numFmtId="0" fontId="33" fillId="34" borderId="284">
      <alignment horizontal="right" vertical="center"/>
    </xf>
    <xf numFmtId="0" fontId="30" fillId="13" borderId="13" applyNumberFormat="0" applyAlignment="0" applyProtection="0"/>
    <xf numFmtId="4" fontId="33" fillId="34" borderId="282">
      <alignment horizontal="right" vertical="center"/>
    </xf>
    <xf numFmtId="0" fontId="50" fillId="43" borderId="279" applyNumberFormat="0" applyAlignment="0" applyProtection="0"/>
    <xf numFmtId="0" fontId="44" fillId="56" borderId="278" applyNumberFormat="0" applyAlignment="0" applyProtection="0"/>
    <xf numFmtId="4" fontId="35" fillId="0" borderId="274">
      <alignment horizontal="right" vertical="center"/>
    </xf>
    <xf numFmtId="0" fontId="27" fillId="30" borderId="0" applyNumberFormat="0" applyBorder="0" applyAlignment="0" applyProtection="0"/>
    <xf numFmtId="0" fontId="47" fillId="56" borderId="279" applyNumberFormat="0" applyAlignment="0" applyProtection="0"/>
    <xf numFmtId="0" fontId="35" fillId="0" borderId="295">
      <alignment horizontal="left" vertical="center" wrapText="1" indent="2"/>
    </xf>
    <xf numFmtId="0" fontId="33" fillId="32" borderId="274">
      <alignment horizontal="right" vertical="center"/>
    </xf>
    <xf numFmtId="4" fontId="35" fillId="0" borderId="274" applyFill="0" applyBorder="0" applyProtection="0">
      <alignment horizontal="right" vertical="center"/>
    </xf>
    <xf numFmtId="0" fontId="5" fillId="59" borderId="281" applyNumberFormat="0" applyFont="0" applyAlignment="0" applyProtection="0"/>
    <xf numFmtId="0" fontId="51" fillId="0" borderId="288" applyNumberFormat="0" applyFill="0" applyAlignment="0" applyProtection="0"/>
    <xf numFmtId="0" fontId="27" fillId="30" borderId="0" applyNumberFormat="0" applyBorder="0" applyAlignment="0" applyProtection="0"/>
    <xf numFmtId="0" fontId="35" fillId="33" borderId="274"/>
    <xf numFmtId="0" fontId="33" fillId="34" borderId="292">
      <alignment horizontal="right" vertical="center"/>
    </xf>
    <xf numFmtId="0" fontId="35" fillId="34" borderId="285">
      <alignment horizontal="left" vertical="center" wrapText="1" indent="2"/>
    </xf>
    <xf numFmtId="0" fontId="27" fillId="24" borderId="0" applyNumberFormat="0" applyBorder="0" applyAlignment="0" applyProtection="0"/>
    <xf numFmtId="0" fontId="46" fillId="56" borderId="289" applyNumberFormat="0" applyAlignment="0" applyProtection="0"/>
    <xf numFmtId="4" fontId="33" fillId="34" borderId="292">
      <alignment horizontal="right" vertical="center"/>
    </xf>
    <xf numFmtId="0" fontId="35" fillId="0" borderId="277">
      <alignment horizontal="left" vertical="center" wrapText="1" indent="2"/>
    </xf>
    <xf numFmtId="0" fontId="44" fillId="56" borderId="278" applyNumberFormat="0" applyAlignment="0" applyProtection="0"/>
    <xf numFmtId="0" fontId="30" fillId="13" borderId="13" applyNumberFormat="0" applyAlignment="0" applyProtection="0"/>
    <xf numFmtId="0" fontId="59" fillId="43" borderId="287" applyNumberFormat="0" applyAlignment="0" applyProtection="0"/>
    <xf numFmtId="0" fontId="46" fillId="56" borderId="289" applyNumberFormat="0" applyAlignment="0" applyProtection="0"/>
    <xf numFmtId="0" fontId="66" fillId="0" borderId="280" applyNumberFormat="0" applyFill="0" applyAlignment="0" applyProtection="0"/>
    <xf numFmtId="4" fontId="35" fillId="33" borderId="274"/>
    <xf numFmtId="0" fontId="35" fillId="0" borderId="277">
      <alignment horizontal="left" vertical="center" wrapText="1" indent="2"/>
    </xf>
    <xf numFmtId="0" fontId="33" fillId="34" borderId="276">
      <alignment horizontal="right" vertical="center"/>
    </xf>
    <xf numFmtId="0" fontId="35" fillId="32" borderId="275">
      <alignment horizontal="left" vertical="center"/>
    </xf>
    <xf numFmtId="0" fontId="35" fillId="33" borderId="274"/>
    <xf numFmtId="0" fontId="59" fillId="43" borderId="279" applyNumberFormat="0" applyAlignment="0" applyProtection="0"/>
    <xf numFmtId="0" fontId="33" fillId="34" borderId="274">
      <alignment horizontal="right" vertical="center"/>
    </xf>
    <xf numFmtId="0" fontId="35" fillId="0" borderId="295">
      <alignment horizontal="left" vertical="center" wrapText="1" indent="2"/>
    </xf>
    <xf numFmtId="4" fontId="33" fillId="34" borderId="275">
      <alignment horizontal="right" vertical="center"/>
    </xf>
    <xf numFmtId="0" fontId="50" fillId="43" borderId="279" applyNumberFormat="0" applyAlignment="0" applyProtection="0"/>
    <xf numFmtId="0" fontId="29" fillId="13" borderId="14" applyNumberFormat="0" applyAlignment="0" applyProtection="0"/>
    <xf numFmtId="0" fontId="35" fillId="0" borderId="282" applyNumberFormat="0" applyFill="0" applyAlignment="0" applyProtection="0"/>
    <xf numFmtId="4" fontId="33" fillId="32" borderId="282">
      <alignment horizontal="right" vertical="center"/>
    </xf>
    <xf numFmtId="49" fontId="35" fillId="0" borderId="283" applyNumberFormat="0" applyFont="0" applyFill="0" applyBorder="0" applyProtection="0">
      <alignment horizontal="left" vertical="center" indent="5"/>
    </xf>
    <xf numFmtId="0" fontId="66" fillId="0" borderId="288" applyNumberFormat="0" applyFill="0" applyAlignment="0" applyProtection="0"/>
    <xf numFmtId="0" fontId="12" fillId="16" borderId="0" applyNumberFormat="0" applyBorder="0" applyAlignment="0" applyProtection="0"/>
    <xf numFmtId="4" fontId="33" fillId="32" borderId="274">
      <alignment horizontal="right" vertical="center"/>
    </xf>
    <xf numFmtId="0" fontId="35" fillId="34" borderId="277">
      <alignment horizontal="left" vertical="center" wrapText="1" indent="2"/>
    </xf>
    <xf numFmtId="0" fontId="12" fillId="31" borderId="0" applyNumberFormat="0" applyBorder="0" applyAlignment="0" applyProtection="0"/>
    <xf numFmtId="0" fontId="66" fillId="0" borderId="288" applyNumberFormat="0" applyFill="0" applyAlignment="0" applyProtection="0"/>
    <xf numFmtId="0" fontId="5" fillId="59" borderId="291" applyNumberFormat="0" applyFont="0" applyAlignment="0" applyProtection="0"/>
    <xf numFmtId="0" fontId="27" fillId="21" borderId="0" applyNumberFormat="0" applyBorder="0" applyAlignment="0" applyProtection="0"/>
    <xf numFmtId="0" fontId="66" fillId="0" borderId="280" applyNumberFormat="0" applyFill="0" applyAlignment="0" applyProtection="0"/>
    <xf numFmtId="0" fontId="63" fillId="56" borderId="296" applyNumberFormat="0" applyAlignment="0" applyProtection="0"/>
    <xf numFmtId="0" fontId="33" fillId="34" borderId="276">
      <alignment horizontal="right" vertical="center"/>
    </xf>
    <xf numFmtId="0" fontId="27" fillId="21" borderId="0" applyNumberFormat="0" applyBorder="0" applyAlignment="0" applyProtection="0"/>
    <xf numFmtId="49" fontId="35" fillId="0" borderId="274" applyNumberFormat="0" applyFont="0" applyFill="0" applyBorder="0" applyProtection="0">
      <alignment horizontal="left" vertical="center" indent="2"/>
    </xf>
    <xf numFmtId="0" fontId="27" fillId="24" borderId="0" applyNumberFormat="0" applyBorder="0" applyAlignment="0" applyProtection="0"/>
    <xf numFmtId="173" fontId="35" fillId="60" borderId="282" applyNumberFormat="0" applyFont="0" applyBorder="0" applyAlignment="0" applyProtection="0">
      <alignment horizontal="right" vertical="center"/>
    </xf>
    <xf numFmtId="49" fontId="34" fillId="0" borderId="282" applyNumberFormat="0" applyFill="0" applyBorder="0" applyProtection="0">
      <alignment horizontal="left" vertical="center"/>
    </xf>
    <xf numFmtId="0" fontId="33" fillId="34" borderId="274">
      <alignment horizontal="right" vertical="center"/>
    </xf>
    <xf numFmtId="0" fontId="66" fillId="0" borderId="280" applyNumberFormat="0" applyFill="0" applyAlignment="0" applyProtection="0"/>
    <xf numFmtId="0" fontId="47" fillId="56" borderId="287" applyNumberFormat="0" applyAlignment="0" applyProtection="0"/>
    <xf numFmtId="0" fontId="59" fillId="43" borderId="279" applyNumberFormat="0" applyAlignment="0" applyProtection="0"/>
    <xf numFmtId="0" fontId="27" fillId="23" borderId="0" applyNumberFormat="0" applyBorder="0" applyAlignment="0" applyProtection="0"/>
    <xf numFmtId="0" fontId="51" fillId="0" borderId="290" applyNumberFormat="0" applyFill="0" applyAlignment="0" applyProtection="0"/>
    <xf numFmtId="4" fontId="35" fillId="33" borderId="274"/>
    <xf numFmtId="0" fontId="63" fillId="56" borderId="286" applyNumberFormat="0" applyAlignment="0" applyProtection="0"/>
    <xf numFmtId="49" fontId="35" fillId="0" borderId="283" applyNumberFormat="0" applyFont="0" applyFill="0" applyBorder="0" applyProtection="0">
      <alignment horizontal="left" vertical="center" indent="5"/>
    </xf>
    <xf numFmtId="0" fontId="44" fillId="56" borderId="286" applyNumberFormat="0" applyAlignment="0" applyProtection="0"/>
    <xf numFmtId="49" fontId="34" fillId="0" borderId="274" applyNumberFormat="0" applyFill="0" applyBorder="0" applyProtection="0">
      <alignment horizontal="left" vertical="center"/>
    </xf>
    <xf numFmtId="0" fontId="31" fillId="0" borderId="0" applyNumberFormat="0" applyFill="0" applyBorder="0" applyAlignment="0" applyProtection="0"/>
    <xf numFmtId="0" fontId="12" fillId="25" borderId="0" applyNumberFormat="0" applyBorder="0" applyAlignment="0" applyProtection="0"/>
    <xf numFmtId="0" fontId="37" fillId="32" borderId="274">
      <alignment horizontal="right" vertical="center"/>
    </xf>
    <xf numFmtId="0" fontId="35" fillId="0" borderId="274" applyNumberFormat="0" applyFill="0" applyAlignment="0" applyProtection="0"/>
    <xf numFmtId="0" fontId="44" fillId="56" borderId="278" applyNumberFormat="0" applyAlignment="0" applyProtection="0"/>
    <xf numFmtId="4" fontId="35" fillId="0" borderId="282" applyFill="0" applyBorder="0" applyProtection="0">
      <alignment horizontal="right" vertical="center"/>
    </xf>
    <xf numFmtId="0" fontId="44" fillId="56" borderId="278" applyNumberFormat="0" applyAlignment="0" applyProtection="0"/>
    <xf numFmtId="4" fontId="37" fillId="32" borderId="274">
      <alignment horizontal="right" vertical="center"/>
    </xf>
    <xf numFmtId="0" fontId="41" fillId="59" borderId="273" applyNumberFormat="0" applyFont="0" applyAlignment="0" applyProtection="0"/>
    <xf numFmtId="4" fontId="35" fillId="0" borderId="274">
      <alignment horizontal="right" vertical="center"/>
    </xf>
    <xf numFmtId="4" fontId="35" fillId="0" borderId="274">
      <alignment horizontal="right" vertical="center"/>
    </xf>
    <xf numFmtId="0" fontId="2" fillId="0" borderId="15" applyNumberFormat="0" applyFill="0" applyAlignment="0" applyProtection="0"/>
    <xf numFmtId="4" fontId="37" fillId="32" borderId="282">
      <alignment horizontal="right" vertical="center"/>
    </xf>
    <xf numFmtId="0" fontId="2" fillId="0" borderId="15" applyNumberFormat="0" applyFill="0" applyAlignment="0" applyProtection="0"/>
    <xf numFmtId="0" fontId="12" fillId="31" borderId="0" applyNumberFormat="0" applyBorder="0" applyAlignment="0" applyProtection="0"/>
    <xf numFmtId="0" fontId="27" fillId="30" borderId="0" applyNumberFormat="0" applyBorder="0" applyAlignment="0" applyProtection="0"/>
    <xf numFmtId="0" fontId="2" fillId="0" borderId="15" applyNumberFormat="0" applyFill="0" applyAlignment="0" applyProtection="0"/>
    <xf numFmtId="49" fontId="35" fillId="0" borderId="283" applyNumberFormat="0" applyFont="0" applyFill="0" applyBorder="0" applyProtection="0">
      <alignment horizontal="left" vertical="center" indent="5"/>
    </xf>
    <xf numFmtId="173" fontId="35" fillId="60" borderId="292" applyNumberFormat="0" applyFont="0" applyBorder="0" applyAlignment="0" applyProtection="0">
      <alignment horizontal="right" vertical="center"/>
    </xf>
    <xf numFmtId="0" fontId="59" fillId="43" borderId="287" applyNumberFormat="0" applyAlignment="0" applyProtection="0"/>
    <xf numFmtId="4" fontId="33" fillId="34" borderId="284">
      <alignment horizontal="right" vertical="center"/>
    </xf>
    <xf numFmtId="173" fontId="35" fillId="60" borderId="274" applyNumberFormat="0" applyFont="0" applyBorder="0" applyAlignment="0" applyProtection="0">
      <alignment horizontal="right" vertical="center"/>
    </xf>
    <xf numFmtId="0" fontId="33" fillId="34" borderId="274">
      <alignment horizontal="right" vertical="center"/>
    </xf>
    <xf numFmtId="0" fontId="33" fillId="34" borderId="292">
      <alignment horizontal="right" vertical="center"/>
    </xf>
    <xf numFmtId="0" fontId="41" fillId="59" borderId="273" applyNumberFormat="0" applyFont="0" applyAlignment="0" applyProtection="0"/>
    <xf numFmtId="4" fontId="35" fillId="0" borderId="274" applyFill="0" applyBorder="0" applyProtection="0">
      <alignment horizontal="right" vertical="center"/>
    </xf>
    <xf numFmtId="0" fontId="33" fillId="34" borderId="284">
      <alignment horizontal="right" vertical="center"/>
    </xf>
    <xf numFmtId="4" fontId="33" fillId="34" borderId="282">
      <alignment horizontal="right" vertical="center"/>
    </xf>
    <xf numFmtId="0" fontId="35" fillId="34" borderId="277">
      <alignment horizontal="left" vertical="center" wrapText="1" indent="2"/>
    </xf>
    <xf numFmtId="0" fontId="63" fillId="56" borderId="278" applyNumberFormat="0" applyAlignment="0" applyProtection="0"/>
    <xf numFmtId="0" fontId="63" fillId="56" borderId="278" applyNumberFormat="0" applyAlignment="0" applyProtection="0"/>
    <xf numFmtId="0" fontId="59" fillId="43" borderId="279" applyNumberFormat="0" applyAlignment="0" applyProtection="0"/>
    <xf numFmtId="0" fontId="51" fillId="0" borderId="280" applyNumberFormat="0" applyFill="0" applyAlignment="0" applyProtection="0"/>
    <xf numFmtId="0" fontId="12" fillId="19" borderId="0" applyNumberFormat="0" applyBorder="0" applyAlignment="0" applyProtection="0"/>
    <xf numFmtId="0" fontId="35" fillId="0" borderId="285">
      <alignment horizontal="left" vertical="center" wrapText="1" indent="2"/>
    </xf>
    <xf numFmtId="0" fontId="41" fillId="59" borderId="281" applyNumberFormat="0" applyFont="0" applyAlignment="0" applyProtection="0"/>
    <xf numFmtId="0" fontId="41" fillId="59" borderId="281" applyNumberFormat="0" applyFont="0" applyAlignment="0" applyProtection="0"/>
    <xf numFmtId="49" fontId="35" fillId="0" borderId="275" applyNumberFormat="0" applyFont="0" applyFill="0" applyBorder="0" applyProtection="0">
      <alignment horizontal="left" vertical="center" indent="5"/>
    </xf>
    <xf numFmtId="0" fontId="41" fillId="59" borderId="273" applyNumberFormat="0" applyFont="0" applyAlignment="0" applyProtection="0"/>
    <xf numFmtId="0" fontId="66" fillId="0" borderId="280" applyNumberFormat="0" applyFill="0" applyAlignment="0" applyProtection="0"/>
    <xf numFmtId="0" fontId="29" fillId="13" borderId="14" applyNumberFormat="0" applyAlignment="0" applyProtection="0"/>
    <xf numFmtId="0" fontId="66" fillId="0" borderId="288" applyNumberFormat="0" applyFill="0" applyAlignment="0" applyProtection="0"/>
    <xf numFmtId="0" fontId="2" fillId="0" borderId="15" applyNumberFormat="0" applyFill="0" applyAlignment="0" applyProtection="0"/>
    <xf numFmtId="0" fontId="35" fillId="32" borderId="275">
      <alignment horizontal="left" vertical="center"/>
    </xf>
    <xf numFmtId="0" fontId="59" fillId="43" borderId="289" applyNumberFormat="0" applyAlignment="0" applyProtection="0"/>
    <xf numFmtId="0" fontId="27" fillId="24" borderId="0" applyNumberFormat="0" applyBorder="0" applyAlignment="0" applyProtection="0"/>
    <xf numFmtId="0" fontId="51" fillId="0" borderId="280" applyNumberFormat="0" applyFill="0" applyAlignment="0" applyProtection="0"/>
    <xf numFmtId="0" fontId="41" fillId="59" borderId="281" applyNumberFormat="0" applyFont="0" applyAlignment="0" applyProtection="0"/>
    <xf numFmtId="0" fontId="27" fillId="30" borderId="0" applyNumberFormat="0" applyBorder="0" applyAlignment="0" applyProtection="0"/>
    <xf numFmtId="0" fontId="37" fillId="32" borderId="274">
      <alignment horizontal="right" vertical="center"/>
    </xf>
    <xf numFmtId="0" fontId="47" fillId="56" borderId="279" applyNumberFormat="0" applyAlignment="0" applyProtection="0"/>
    <xf numFmtId="0" fontId="47" fillId="56" borderId="279" applyNumberFormat="0" applyAlignment="0" applyProtection="0"/>
    <xf numFmtId="0" fontId="27" fillId="18" borderId="0" applyNumberFormat="0" applyBorder="0" applyAlignment="0" applyProtection="0"/>
    <xf numFmtId="0" fontId="50" fillId="43" borderId="279" applyNumberFormat="0" applyAlignment="0" applyProtection="0"/>
    <xf numFmtId="49" fontId="35" fillId="0" borderId="275" applyNumberFormat="0" applyFont="0" applyFill="0" applyBorder="0" applyProtection="0">
      <alignment horizontal="left" vertical="center" indent="5"/>
    </xf>
    <xf numFmtId="0" fontId="1" fillId="0" borderId="0" applyNumberFormat="0" applyFill="0" applyBorder="0" applyAlignment="0" applyProtection="0"/>
    <xf numFmtId="0" fontId="47" fillId="56" borderId="287" applyNumberFormat="0" applyAlignment="0" applyProtection="0"/>
    <xf numFmtId="4" fontId="33" fillId="34" borderId="274">
      <alignment horizontal="right" vertical="center"/>
    </xf>
    <xf numFmtId="0" fontId="35" fillId="0" borderId="285">
      <alignment horizontal="left" vertical="center" wrapText="1" indent="2"/>
    </xf>
    <xf numFmtId="4" fontId="35" fillId="0" borderId="274">
      <alignment horizontal="right" vertical="center"/>
    </xf>
    <xf numFmtId="4" fontId="35" fillId="0" borderId="274">
      <alignment horizontal="right" vertical="center"/>
    </xf>
    <xf numFmtId="49" fontId="35" fillId="0" borderId="282" applyNumberFormat="0" applyFont="0" applyFill="0" applyBorder="0" applyProtection="0">
      <alignment horizontal="left" vertical="center" indent="2"/>
    </xf>
    <xf numFmtId="0" fontId="59" fillId="43" borderId="279" applyNumberFormat="0" applyAlignment="0" applyProtection="0"/>
    <xf numFmtId="4" fontId="37" fillId="32" borderId="282">
      <alignment horizontal="right" vertical="center"/>
    </xf>
    <xf numFmtId="0" fontId="27" fillId="18" borderId="0" applyNumberFormat="0" applyBorder="0" applyAlignment="0" applyProtection="0"/>
    <xf numFmtId="4" fontId="33" fillId="34" borderId="293">
      <alignment horizontal="right" vertical="center"/>
    </xf>
    <xf numFmtId="0" fontId="27" fillId="23" borderId="0" applyNumberFormat="0" applyBorder="0" applyAlignment="0" applyProtection="0"/>
    <xf numFmtId="0" fontId="46" fillId="56" borderId="279" applyNumberFormat="0" applyAlignment="0" applyProtection="0"/>
    <xf numFmtId="173" fontId="35" fillId="60" borderId="274" applyNumberFormat="0" applyFont="0" applyBorder="0" applyAlignment="0" applyProtection="0">
      <alignment horizontal="right" vertical="center"/>
    </xf>
    <xf numFmtId="49" fontId="34" fillId="0" borderId="282" applyNumberFormat="0" applyFill="0" applyBorder="0" applyProtection="0">
      <alignment horizontal="left" vertical="center"/>
    </xf>
    <xf numFmtId="0" fontId="44" fillId="56" borderId="296" applyNumberFormat="0" applyAlignment="0" applyProtection="0"/>
    <xf numFmtId="0" fontId="27" fillId="23" borderId="0" applyNumberFormat="0" applyBorder="0" applyAlignment="0" applyProtection="0"/>
    <xf numFmtId="0" fontId="1" fillId="0" borderId="0" applyNumberFormat="0" applyFill="0" applyBorder="0" applyAlignment="0" applyProtection="0"/>
    <xf numFmtId="0" fontId="12" fillId="16" borderId="0" applyNumberFormat="0" applyBorder="0" applyAlignment="0" applyProtection="0"/>
    <xf numFmtId="0" fontId="47" fillId="56" borderId="279" applyNumberFormat="0" applyAlignment="0" applyProtection="0"/>
    <xf numFmtId="0" fontId="12" fillId="22" borderId="0" applyNumberFormat="0" applyBorder="0" applyAlignment="0" applyProtection="0"/>
    <xf numFmtId="0" fontId="33" fillId="34" borderId="276">
      <alignment horizontal="right" vertical="center"/>
    </xf>
    <xf numFmtId="0" fontId="31" fillId="0" borderId="0" applyNumberFormat="0" applyFill="0" applyBorder="0" applyAlignment="0" applyProtection="0"/>
    <xf numFmtId="0" fontId="35" fillId="0" borderId="274">
      <alignment horizontal="right" vertical="center"/>
    </xf>
    <xf numFmtId="0" fontId="66" fillId="0" borderId="290" applyNumberFormat="0" applyFill="0" applyAlignment="0" applyProtection="0"/>
    <xf numFmtId="0" fontId="31" fillId="0" borderId="0" applyNumberFormat="0" applyFill="0" applyBorder="0" applyAlignment="0" applyProtection="0"/>
    <xf numFmtId="0" fontId="51" fillId="0" borderId="288" applyNumberFormat="0" applyFill="0" applyAlignment="0" applyProtection="0"/>
    <xf numFmtId="0" fontId="33" fillId="34" borderId="292">
      <alignment horizontal="right" vertical="center"/>
    </xf>
    <xf numFmtId="0" fontId="35" fillId="0" borderId="285">
      <alignment horizontal="left" vertical="center" wrapText="1" indent="2"/>
    </xf>
    <xf numFmtId="4" fontId="33" fillId="34" borderId="283">
      <alignment horizontal="right" vertical="center"/>
    </xf>
    <xf numFmtId="0" fontId="27" fillId="30" borderId="0" applyNumberFormat="0" applyBorder="0" applyAlignment="0" applyProtection="0"/>
    <xf numFmtId="0" fontId="27" fillId="24" borderId="0" applyNumberFormat="0" applyBorder="0" applyAlignment="0" applyProtection="0"/>
    <xf numFmtId="0" fontId="47" fillId="56" borderId="287" applyNumberFormat="0" applyAlignment="0" applyProtection="0"/>
    <xf numFmtId="0" fontId="35" fillId="0" borderId="277">
      <alignment horizontal="left" vertical="center" wrapText="1" indent="2"/>
    </xf>
    <xf numFmtId="0" fontId="33" fillId="34" borderId="282">
      <alignment horizontal="right" vertical="center"/>
    </xf>
    <xf numFmtId="4" fontId="33" fillId="34" borderId="292">
      <alignment horizontal="right" vertical="center"/>
    </xf>
    <xf numFmtId="0" fontId="12" fillId="28" borderId="0" applyNumberFormat="0" applyBorder="0" applyAlignment="0" applyProtection="0"/>
    <xf numFmtId="0" fontId="33" fillId="34" borderId="282">
      <alignment horizontal="right" vertical="center"/>
    </xf>
    <xf numFmtId="0" fontId="63" fillId="56" borderId="286" applyNumberFormat="0" applyAlignment="0" applyProtection="0"/>
    <xf numFmtId="0" fontId="27" fillId="29" borderId="0" applyNumberFormat="0" applyBorder="0" applyAlignment="0" applyProtection="0"/>
    <xf numFmtId="0" fontId="35" fillId="0" borderId="282" applyNumberFormat="0" applyFill="0" applyAlignment="0" applyProtection="0"/>
    <xf numFmtId="0" fontId="33" fillId="34" borderId="274">
      <alignment horizontal="right" vertical="center"/>
    </xf>
    <xf numFmtId="0" fontId="41" fillId="59" borderId="281" applyNumberFormat="0" applyFont="0" applyAlignment="0" applyProtection="0"/>
    <xf numFmtId="0" fontId="59" fillId="43" borderId="289" applyNumberFormat="0" applyAlignment="0" applyProtection="0"/>
    <xf numFmtId="0" fontId="33" fillId="34" borderId="292">
      <alignment horizontal="right" vertical="center"/>
    </xf>
    <xf numFmtId="49" fontId="35" fillId="0" borderId="282" applyNumberFormat="0" applyFont="0" applyFill="0" applyBorder="0" applyProtection="0">
      <alignment horizontal="left" vertical="center" indent="2"/>
    </xf>
    <xf numFmtId="0" fontId="35" fillId="32" borderId="293">
      <alignment horizontal="left" vertical="center"/>
    </xf>
    <xf numFmtId="4" fontId="33" fillId="34" borderId="282">
      <alignment horizontal="right" vertical="center"/>
    </xf>
    <xf numFmtId="0" fontId="35" fillId="0" borderId="285">
      <alignment horizontal="left" vertical="center" wrapText="1" indent="2"/>
    </xf>
    <xf numFmtId="0" fontId="27" fillId="24" borderId="0" applyNumberFormat="0" applyBorder="0" applyAlignment="0" applyProtection="0"/>
    <xf numFmtId="0" fontId="12" fillId="25" borderId="0" applyNumberFormat="0" applyBorder="0" applyAlignment="0" applyProtection="0"/>
    <xf numFmtId="4" fontId="33" fillId="34" borderId="274">
      <alignment horizontal="right" vertical="center"/>
    </xf>
    <xf numFmtId="4" fontId="37" fillId="32" borderId="274">
      <alignment horizontal="right" vertical="center"/>
    </xf>
    <xf numFmtId="0" fontId="35" fillId="33" borderId="274"/>
    <xf numFmtId="0" fontId="51" fillId="0" borderId="280" applyNumberFormat="0" applyFill="0" applyAlignment="0" applyProtection="0"/>
    <xf numFmtId="4" fontId="35" fillId="0" borderId="274" applyFill="0" applyBorder="0" applyProtection="0">
      <alignment horizontal="right" vertical="center"/>
    </xf>
    <xf numFmtId="0" fontId="51" fillId="0" borderId="280" applyNumberFormat="0" applyFill="0" applyAlignment="0" applyProtection="0"/>
    <xf numFmtId="0" fontId="35" fillId="0" borderId="274" applyNumberFormat="0" applyFill="0" applyAlignment="0" applyProtection="0"/>
    <xf numFmtId="0" fontId="47" fillId="56" borderId="287" applyNumberFormat="0" applyAlignment="0" applyProtection="0"/>
    <xf numFmtId="0" fontId="35" fillId="0" borderId="274" applyNumberFormat="0" applyFill="0" applyAlignment="0" applyProtection="0"/>
    <xf numFmtId="0" fontId="29" fillId="13" borderId="14" applyNumberFormat="0" applyAlignment="0" applyProtection="0"/>
    <xf numFmtId="0" fontId="63" fillId="56" borderId="286" applyNumberFormat="0" applyAlignment="0" applyProtection="0"/>
    <xf numFmtId="4" fontId="33" fillId="34" borderId="276">
      <alignment horizontal="right" vertical="center"/>
    </xf>
    <xf numFmtId="0" fontId="12" fillId="16" borderId="0" applyNumberFormat="0" applyBorder="0" applyAlignment="0" applyProtection="0"/>
    <xf numFmtId="0" fontId="27" fillId="20" borderId="0" applyNumberFormat="0" applyBorder="0" applyAlignment="0" applyProtection="0"/>
    <xf numFmtId="4" fontId="37" fillId="32" borderId="292">
      <alignment horizontal="right" vertical="center"/>
    </xf>
    <xf numFmtId="0" fontId="50" fillId="43" borderId="279" applyNumberFormat="0" applyAlignment="0" applyProtection="0"/>
    <xf numFmtId="0" fontId="47" fillId="56" borderId="279" applyNumberFormat="0" applyAlignment="0" applyProtection="0"/>
    <xf numFmtId="4" fontId="35" fillId="0" borderId="274">
      <alignment horizontal="right" vertical="center"/>
    </xf>
    <xf numFmtId="0" fontId="35" fillId="34" borderId="277">
      <alignment horizontal="left" vertical="center" wrapText="1" indent="2"/>
    </xf>
    <xf numFmtId="0" fontId="35" fillId="0" borderId="277">
      <alignment horizontal="left" vertical="center" wrapText="1" indent="2"/>
    </xf>
    <xf numFmtId="0" fontId="63" fillId="56" borderId="278" applyNumberFormat="0" applyAlignment="0" applyProtection="0"/>
    <xf numFmtId="0" fontId="59" fillId="43" borderId="279" applyNumberFormat="0" applyAlignment="0" applyProtection="0"/>
    <xf numFmtId="0" fontId="46" fillId="56" borderId="279" applyNumberFormat="0" applyAlignment="0" applyProtection="0"/>
    <xf numFmtId="0" fontId="44" fillId="56" borderId="278" applyNumberFormat="0" applyAlignment="0" applyProtection="0"/>
    <xf numFmtId="0" fontId="33" fillId="34" borderId="276">
      <alignment horizontal="right" vertical="center"/>
    </xf>
    <xf numFmtId="0" fontId="37" fillId="32" borderId="274">
      <alignment horizontal="right" vertical="center"/>
    </xf>
    <xf numFmtId="4" fontId="33" fillId="32" borderId="274">
      <alignment horizontal="right" vertical="center"/>
    </xf>
    <xf numFmtId="4" fontId="33" fillId="34" borderId="274">
      <alignment horizontal="right" vertical="center"/>
    </xf>
    <xf numFmtId="49" fontId="35" fillId="0" borderId="275" applyNumberFormat="0" applyFont="0" applyFill="0" applyBorder="0" applyProtection="0">
      <alignment horizontal="left" vertical="center" indent="5"/>
    </xf>
    <xf numFmtId="4" fontId="35" fillId="0" borderId="274" applyFill="0" applyBorder="0" applyProtection="0">
      <alignment horizontal="right" vertical="center"/>
    </xf>
    <xf numFmtId="4" fontId="33" fillId="32" borderId="274">
      <alignment horizontal="right" vertical="center"/>
    </xf>
    <xf numFmtId="0" fontId="59" fillId="43" borderId="279" applyNumberFormat="0" applyAlignment="0" applyProtection="0"/>
    <xf numFmtId="0" fontId="50" fillId="43" borderId="279" applyNumberFormat="0" applyAlignment="0" applyProtection="0"/>
    <xf numFmtId="0" fontId="46" fillId="56" borderId="279" applyNumberFormat="0" applyAlignment="0" applyProtection="0"/>
    <xf numFmtId="0" fontId="35" fillId="34" borderId="277">
      <alignment horizontal="left" vertical="center" wrapText="1" indent="2"/>
    </xf>
    <xf numFmtId="0" fontId="35" fillId="0" borderId="277">
      <alignment horizontal="left" vertical="center" wrapText="1" indent="2"/>
    </xf>
    <xf numFmtId="0" fontId="35" fillId="34" borderId="277">
      <alignment horizontal="left" vertical="center" wrapText="1" indent="2"/>
    </xf>
    <xf numFmtId="4" fontId="35" fillId="33" borderId="282"/>
    <xf numFmtId="0" fontId="35" fillId="0" borderId="285">
      <alignment horizontal="left" vertical="center" wrapText="1" indent="2"/>
    </xf>
    <xf numFmtId="0" fontId="35" fillId="0" borderId="292">
      <alignment horizontal="right" vertical="center"/>
    </xf>
    <xf numFmtId="49" fontId="35" fillId="0" borderId="293" applyNumberFormat="0" applyFont="0" applyFill="0" applyBorder="0" applyProtection="0">
      <alignment horizontal="left" vertical="center" indent="5"/>
    </xf>
    <xf numFmtId="0" fontId="35" fillId="0" borderId="292">
      <alignment horizontal="right" vertical="center"/>
    </xf>
    <xf numFmtId="0" fontId="33" fillId="34" borderId="282">
      <alignment horizontal="right" vertical="center"/>
    </xf>
    <xf numFmtId="0" fontId="41" fillId="59" borderId="291" applyNumberFormat="0" applyFont="0" applyAlignment="0" applyProtection="0"/>
    <xf numFmtId="0" fontId="33" fillId="34" borderId="283">
      <alignment horizontal="right" vertical="center"/>
    </xf>
    <xf numFmtId="49" fontId="34" fillId="0" borderId="282" applyNumberFormat="0" applyFill="0" applyBorder="0" applyProtection="0">
      <alignment horizontal="left" vertical="center"/>
    </xf>
    <xf numFmtId="0" fontId="27" fillId="14" borderId="0" applyNumberFormat="0" applyBorder="0" applyAlignment="0" applyProtection="0"/>
    <xf numFmtId="0" fontId="27" fillId="29" borderId="0" applyNumberFormat="0" applyBorder="0" applyAlignment="0" applyProtection="0"/>
    <xf numFmtId="0" fontId="47" fillId="56" borderId="287" applyNumberFormat="0" applyAlignment="0" applyProtection="0"/>
    <xf numFmtId="0" fontId="35" fillId="0" borderId="282" applyNumberFormat="0" applyFill="0" applyAlignment="0" applyProtection="0"/>
    <xf numFmtId="0" fontId="27" fillId="27" borderId="0" applyNumberFormat="0" applyBorder="0" applyAlignment="0" applyProtection="0"/>
    <xf numFmtId="0" fontId="27" fillId="18" borderId="0" applyNumberFormat="0" applyBorder="0" applyAlignment="0" applyProtection="0"/>
    <xf numFmtId="0" fontId="37" fillId="32" borderId="282">
      <alignment horizontal="right" vertical="center"/>
    </xf>
    <xf numFmtId="4" fontId="33" fillId="34" borderId="293">
      <alignment horizontal="right" vertical="center"/>
    </xf>
    <xf numFmtId="0" fontId="1" fillId="0" borderId="0" applyNumberFormat="0" applyFill="0" applyBorder="0" applyAlignment="0" applyProtection="0"/>
    <xf numFmtId="4" fontId="33" fillId="34" borderId="292">
      <alignment horizontal="right" vertical="center"/>
    </xf>
    <xf numFmtId="0" fontId="37" fillId="32" borderId="282">
      <alignment horizontal="right" vertical="center"/>
    </xf>
    <xf numFmtId="4" fontId="37" fillId="32" borderId="282">
      <alignment horizontal="right" vertical="center"/>
    </xf>
    <xf numFmtId="0" fontId="12" fillId="28" borderId="0" applyNumberFormat="0" applyBorder="0" applyAlignment="0" applyProtection="0"/>
    <xf numFmtId="0" fontId="41" fillId="59" borderId="291" applyNumberFormat="0" applyFont="0" applyAlignment="0" applyProtection="0"/>
    <xf numFmtId="0" fontId="50" fillId="43" borderId="287" applyNumberFormat="0" applyAlignment="0" applyProtection="0"/>
    <xf numFmtId="0" fontId="59" fillId="43" borderId="287" applyNumberFormat="0" applyAlignment="0" applyProtection="0"/>
    <xf numFmtId="0" fontId="63" fillId="56" borderId="296" applyNumberFormat="0" applyAlignment="0" applyProtection="0"/>
    <xf numFmtId="0" fontId="5" fillId="59" borderId="281" applyNumberFormat="0" applyFont="0" applyAlignment="0" applyProtection="0"/>
    <xf numFmtId="0" fontId="27" fillId="18" borderId="0" applyNumberFormat="0" applyBorder="0" applyAlignment="0" applyProtection="0"/>
    <xf numFmtId="0" fontId="66" fillId="0" borderId="290" applyNumberFormat="0" applyFill="0" applyAlignment="0" applyProtection="0"/>
    <xf numFmtId="0" fontId="37" fillId="32" borderId="282">
      <alignment horizontal="right" vertical="center"/>
    </xf>
    <xf numFmtId="0" fontId="59" fillId="43" borderId="287" applyNumberFormat="0" applyAlignment="0" applyProtection="0"/>
    <xf numFmtId="0" fontId="27" fillId="27" borderId="0" applyNumberFormat="0" applyBorder="0" applyAlignment="0" applyProtection="0"/>
    <xf numFmtId="0" fontId="33" fillId="34" borderId="284">
      <alignment horizontal="right" vertical="center"/>
    </xf>
    <xf numFmtId="0" fontId="33" fillId="34" borderId="282">
      <alignment horizontal="right" vertical="center"/>
    </xf>
    <xf numFmtId="4" fontId="35" fillId="33" borderId="282"/>
    <xf numFmtId="4" fontId="33" fillId="34" borderId="282">
      <alignment horizontal="right" vertical="center"/>
    </xf>
    <xf numFmtId="0" fontId="47" fillId="56" borderId="287" applyNumberFormat="0" applyAlignment="0" applyProtection="0"/>
    <xf numFmtId="0" fontId="12" fillId="22" borderId="0" applyNumberFormat="0" applyBorder="0" applyAlignment="0" applyProtection="0"/>
    <xf numFmtId="4" fontId="33" fillId="34" borderId="283">
      <alignment horizontal="right" vertical="center"/>
    </xf>
    <xf numFmtId="0" fontId="31" fillId="0" borderId="0" applyNumberFormat="0" applyFill="0" applyBorder="0" applyAlignment="0" applyProtection="0"/>
    <xf numFmtId="0" fontId="44" fillId="56" borderId="296" applyNumberFormat="0" applyAlignment="0" applyProtection="0"/>
    <xf numFmtId="0" fontId="35" fillId="34" borderId="285">
      <alignment horizontal="left" vertical="center" wrapText="1" indent="2"/>
    </xf>
    <xf numFmtId="0" fontId="33" fillId="34" borderId="292">
      <alignment horizontal="right" vertical="center"/>
    </xf>
    <xf numFmtId="0" fontId="5" fillId="59" borderId="291" applyNumberFormat="0" applyFont="0" applyAlignment="0" applyProtection="0"/>
    <xf numFmtId="0" fontId="35" fillId="33" borderId="292"/>
    <xf numFmtId="0" fontId="27" fillId="30" borderId="0" applyNumberFormat="0" applyBorder="0" applyAlignment="0" applyProtection="0"/>
    <xf numFmtId="0" fontId="12" fillId="19" borderId="0" applyNumberFormat="0" applyBorder="0" applyAlignment="0" applyProtection="0"/>
    <xf numFmtId="0" fontId="50" fillId="43" borderId="287" applyNumberFormat="0" applyAlignment="0" applyProtection="0"/>
    <xf numFmtId="4" fontId="35" fillId="33" borderId="292"/>
    <xf numFmtId="0" fontId="35" fillId="33" borderId="292"/>
    <xf numFmtId="0" fontId="27" fillId="26" borderId="0" applyNumberFormat="0" applyBorder="0" applyAlignment="0" applyProtection="0"/>
    <xf numFmtId="0" fontId="59" fillId="43" borderId="287" applyNumberFormat="0" applyAlignment="0" applyProtection="0"/>
    <xf numFmtId="0" fontId="37" fillId="32" borderId="292">
      <alignment horizontal="right" vertical="center"/>
    </xf>
    <xf numFmtId="0" fontId="35" fillId="0" borderId="292">
      <alignment horizontal="right" vertical="center"/>
    </xf>
    <xf numFmtId="0" fontId="33" fillId="32" borderId="282">
      <alignment horizontal="right" vertical="center"/>
    </xf>
    <xf numFmtId="0" fontId="35" fillId="32" borderId="283">
      <alignment horizontal="left" vertical="center"/>
    </xf>
    <xf numFmtId="0" fontId="37" fillId="32" borderId="282">
      <alignment horizontal="right" vertical="center"/>
    </xf>
    <xf numFmtId="49" fontId="35" fillId="0" borderId="282" applyNumberFormat="0" applyFont="0" applyFill="0" applyBorder="0" applyProtection="0">
      <alignment horizontal="left" vertical="center" indent="2"/>
    </xf>
    <xf numFmtId="4" fontId="37" fillId="32" borderId="292">
      <alignment horizontal="right" vertical="center"/>
    </xf>
    <xf numFmtId="0" fontId="27" fillId="26" borderId="0" applyNumberFormat="0" applyBorder="0" applyAlignment="0" applyProtection="0"/>
    <xf numFmtId="49" fontId="35" fillId="0" borderId="282" applyNumberFormat="0" applyFont="0" applyFill="0" applyBorder="0" applyProtection="0">
      <alignment horizontal="left" vertical="center" indent="2"/>
    </xf>
    <xf numFmtId="0" fontId="33" fillId="32" borderId="282">
      <alignment horizontal="right" vertical="center"/>
    </xf>
    <xf numFmtId="0" fontId="59" fillId="43" borderId="289" applyNumberFormat="0" applyAlignment="0" applyProtection="0"/>
    <xf numFmtId="0" fontId="33" fillId="34" borderId="282">
      <alignment horizontal="right" vertical="center"/>
    </xf>
    <xf numFmtId="0" fontId="63" fillId="56" borderId="286" applyNumberFormat="0" applyAlignment="0" applyProtection="0"/>
    <xf numFmtId="0" fontId="35" fillId="34" borderId="285">
      <alignment horizontal="left" vertical="center" wrapText="1" indent="2"/>
    </xf>
    <xf numFmtId="4" fontId="35" fillId="0" borderId="282" applyFill="0" applyBorder="0" applyProtection="0">
      <alignment horizontal="right" vertical="center"/>
    </xf>
    <xf numFmtId="0" fontId="31" fillId="0" borderId="0" applyNumberFormat="0" applyFill="0" applyBorder="0" applyAlignment="0" applyProtection="0"/>
    <xf numFmtId="0" fontId="30" fillId="13" borderId="13" applyNumberFormat="0" applyAlignment="0" applyProtection="0"/>
    <xf numFmtId="0" fontId="66" fillId="0" borderId="290" applyNumberFormat="0" applyFill="0" applyAlignment="0" applyProtection="0"/>
    <xf numFmtId="0" fontId="33" fillId="34" borderId="284">
      <alignment horizontal="right" vertical="center"/>
    </xf>
    <xf numFmtId="0" fontId="33" fillId="34" borderId="282">
      <alignment horizontal="right" vertical="center"/>
    </xf>
    <xf numFmtId="0" fontId="33" fillId="34" borderId="292">
      <alignment horizontal="right" vertical="center"/>
    </xf>
    <xf numFmtId="0" fontId="59" fillId="43" borderId="287" applyNumberFormat="0" applyAlignment="0" applyProtection="0"/>
    <xf numFmtId="0" fontId="44" fillId="56" borderId="296" applyNumberFormat="0" applyAlignment="0" applyProtection="0"/>
    <xf numFmtId="0" fontId="66" fillId="0" borderId="288" applyNumberFormat="0" applyFill="0" applyAlignment="0" applyProtection="0"/>
    <xf numFmtId="49" fontId="34" fillId="0" borderId="292" applyNumberFormat="0" applyFill="0" applyBorder="0" applyProtection="0">
      <alignment horizontal="left" vertical="center"/>
    </xf>
    <xf numFmtId="0" fontId="27" fillId="26" borderId="0" applyNumberFormat="0" applyBorder="0" applyAlignment="0" applyProtection="0"/>
    <xf numFmtId="4" fontId="33" fillId="32" borderId="292">
      <alignment horizontal="right" vertical="center"/>
    </xf>
    <xf numFmtId="0" fontId="33" fillId="34" borderId="293">
      <alignment horizontal="right" vertical="center"/>
    </xf>
    <xf numFmtId="0" fontId="63" fillId="56" borderId="286" applyNumberFormat="0" applyAlignment="0" applyProtection="0"/>
    <xf numFmtId="4" fontId="35" fillId="0" borderId="292">
      <alignment horizontal="right" vertical="center"/>
    </xf>
    <xf numFmtId="0" fontId="63" fillId="56" borderId="296" applyNumberFormat="0" applyAlignment="0" applyProtection="0"/>
    <xf numFmtId="4" fontId="33" fillId="34" borderId="282">
      <alignment horizontal="right" vertical="center"/>
    </xf>
    <xf numFmtId="0" fontId="51" fillId="0" borderId="288" applyNumberFormat="0" applyFill="0" applyAlignment="0" applyProtection="0"/>
    <xf numFmtId="0" fontId="50" fillId="43" borderId="287" applyNumberFormat="0" applyAlignment="0" applyProtection="0"/>
    <xf numFmtId="4" fontId="33" fillId="32" borderId="282">
      <alignment horizontal="right" vertical="center"/>
    </xf>
    <xf numFmtId="0" fontId="27" fillId="18" borderId="0" applyNumberFormat="0" applyBorder="0" applyAlignment="0" applyProtection="0"/>
    <xf numFmtId="0" fontId="27" fillId="15" borderId="0" applyNumberFormat="0" applyBorder="0" applyAlignment="0" applyProtection="0"/>
    <xf numFmtId="173" fontId="35" fillId="60" borderId="282" applyNumberFormat="0" applyFont="0" applyBorder="0" applyAlignment="0" applyProtection="0">
      <alignment horizontal="right" vertical="center"/>
    </xf>
    <xf numFmtId="0" fontId="27" fillId="30" borderId="0" applyNumberFormat="0" applyBorder="0" applyAlignment="0" applyProtection="0"/>
    <xf numFmtId="0" fontId="35" fillId="0" borderId="282" applyNumberFormat="0" applyFill="0" applyAlignment="0" applyProtection="0"/>
    <xf numFmtId="0" fontId="44" fillId="56" borderId="286" applyNumberFormat="0" applyAlignment="0" applyProtection="0"/>
    <xf numFmtId="4" fontId="33" fillId="34" borderId="283">
      <alignment horizontal="right" vertical="center"/>
    </xf>
    <xf numFmtId="0" fontId="59" fillId="43" borderId="289" applyNumberFormat="0" applyAlignment="0" applyProtection="0"/>
    <xf numFmtId="0" fontId="12" fillId="22" borderId="0" applyNumberFormat="0" applyBorder="0" applyAlignment="0" applyProtection="0"/>
    <xf numFmtId="0" fontId="37" fillId="32" borderId="292">
      <alignment horizontal="right" vertical="center"/>
    </xf>
    <xf numFmtId="0" fontId="35" fillId="0" borderId="292" applyNumberFormat="0" applyFill="0" applyAlignment="0" applyProtection="0"/>
    <xf numFmtId="0" fontId="27" fillId="29" borderId="0" applyNumberFormat="0" applyBorder="0" applyAlignment="0" applyProtection="0"/>
    <xf numFmtId="0" fontId="12" fillId="16" borderId="0" applyNumberFormat="0" applyBorder="0" applyAlignment="0" applyProtection="0"/>
    <xf numFmtId="0" fontId="50" fillId="43" borderId="287" applyNumberFormat="0" applyAlignment="0" applyProtection="0"/>
    <xf numFmtId="0" fontId="12" fillId="31" borderId="0" applyNumberFormat="0" applyBorder="0" applyAlignment="0" applyProtection="0"/>
    <xf numFmtId="49" fontId="35" fillId="0" borderId="283" applyNumberFormat="0" applyFont="0" applyFill="0" applyBorder="0" applyProtection="0">
      <alignment horizontal="left" vertical="center" indent="5"/>
    </xf>
    <xf numFmtId="4" fontId="33" fillId="34" borderId="294">
      <alignment horizontal="right" vertical="center"/>
    </xf>
    <xf numFmtId="4" fontId="35" fillId="0" borderId="292" applyFill="0" applyBorder="0" applyProtection="0">
      <alignment horizontal="right" vertical="center"/>
    </xf>
    <xf numFmtId="0" fontId="5" fillId="59" borderId="281" applyNumberFormat="0" applyFont="0" applyAlignment="0" applyProtection="0"/>
    <xf numFmtId="0" fontId="35" fillId="0" borderId="295">
      <alignment horizontal="left" vertical="center" wrapText="1" indent="2"/>
    </xf>
    <xf numFmtId="4" fontId="33" fillId="34" borderId="294">
      <alignment horizontal="right" vertical="center"/>
    </xf>
    <xf numFmtId="0" fontId="5" fillId="59" borderId="281" applyNumberFormat="0" applyFont="0" applyAlignment="0" applyProtection="0"/>
    <xf numFmtId="0" fontId="63" fillId="56" borderId="286" applyNumberFormat="0" applyAlignment="0" applyProtection="0"/>
    <xf numFmtId="0" fontId="27" fillId="15" borderId="0" applyNumberFormat="0" applyBorder="0" applyAlignment="0" applyProtection="0"/>
    <xf numFmtId="0" fontId="66" fillId="0" borderId="288" applyNumberFormat="0" applyFill="0" applyAlignment="0" applyProtection="0"/>
    <xf numFmtId="0" fontId="37" fillId="32" borderId="292">
      <alignment horizontal="right" vertical="center"/>
    </xf>
    <xf numFmtId="0" fontId="27" fillId="29" borderId="0" applyNumberFormat="0" applyBorder="0" applyAlignment="0" applyProtection="0"/>
    <xf numFmtId="0" fontId="37" fillId="32" borderId="282">
      <alignment horizontal="right" vertical="center"/>
    </xf>
    <xf numFmtId="0" fontId="33" fillId="34" borderId="284">
      <alignment horizontal="right" vertical="center"/>
    </xf>
    <xf numFmtId="0" fontId="33" fillId="32" borderId="292">
      <alignment horizontal="right" vertical="center"/>
    </xf>
    <xf numFmtId="0" fontId="63" fillId="56" borderId="286" applyNumberFormat="0" applyAlignment="0" applyProtection="0"/>
    <xf numFmtId="0" fontId="27" fillId="17" borderId="0" applyNumberFormat="0" applyBorder="0" applyAlignment="0" applyProtection="0"/>
    <xf numFmtId="173" fontId="35" fillId="60" borderId="292" applyNumberFormat="0" applyFont="0" applyBorder="0" applyAlignment="0" applyProtection="0">
      <alignment horizontal="right" vertical="center"/>
    </xf>
    <xf numFmtId="0" fontId="66" fillId="0" borderId="288" applyNumberFormat="0" applyFill="0" applyAlignment="0" applyProtection="0"/>
    <xf numFmtId="0" fontId="47" fillId="56" borderId="289" applyNumberFormat="0" applyAlignment="0" applyProtection="0"/>
    <xf numFmtId="0" fontId="27" fillId="15" borderId="0" applyNumberFormat="0" applyBorder="0" applyAlignment="0" applyProtection="0"/>
    <xf numFmtId="0" fontId="27" fillId="15" borderId="0" applyNumberFormat="0" applyBorder="0" applyAlignment="0" applyProtection="0"/>
    <xf numFmtId="0" fontId="12" fillId="31" borderId="0" applyNumberFormat="0" applyBorder="0" applyAlignment="0" applyProtection="0"/>
    <xf numFmtId="0" fontId="33" fillId="32" borderId="282">
      <alignment horizontal="right" vertical="center"/>
    </xf>
    <xf numFmtId="0" fontId="66" fillId="0" borderId="288" applyNumberFormat="0" applyFill="0" applyAlignment="0" applyProtection="0"/>
    <xf numFmtId="0" fontId="46" fillId="56" borderId="287" applyNumberFormat="0" applyAlignment="0" applyProtection="0"/>
    <xf numFmtId="0" fontId="47" fillId="56" borderId="289" applyNumberFormat="0" applyAlignment="0" applyProtection="0"/>
    <xf numFmtId="0" fontId="31" fillId="0" borderId="0" applyNumberFormat="0" applyFill="0" applyBorder="0" applyAlignment="0" applyProtection="0"/>
    <xf numFmtId="4" fontId="33" fillId="34" borderId="282">
      <alignment horizontal="right" vertical="center"/>
    </xf>
    <xf numFmtId="0" fontId="1" fillId="0" borderId="0" applyNumberFormat="0" applyFill="0" applyBorder="0" applyAlignment="0" applyProtection="0"/>
    <xf numFmtId="4" fontId="33" fillId="34" borderId="292">
      <alignment horizontal="right" vertical="center"/>
    </xf>
    <xf numFmtId="0" fontId="27" fillId="14" borderId="0" applyNumberFormat="0" applyBorder="0" applyAlignment="0" applyProtection="0"/>
    <xf numFmtId="0" fontId="30" fillId="13" borderId="13" applyNumberFormat="0" applyAlignment="0" applyProtection="0"/>
    <xf numFmtId="0" fontId="41" fillId="59" borderId="281" applyNumberFormat="0" applyFont="0" applyAlignment="0" applyProtection="0"/>
    <xf numFmtId="0" fontId="30" fillId="13" borderId="13" applyNumberFormat="0" applyAlignment="0" applyProtection="0"/>
    <xf numFmtId="0" fontId="33" fillId="34" borderId="294">
      <alignment horizontal="right" vertical="center"/>
    </xf>
    <xf numFmtId="0" fontId="27" fillId="20" borderId="0" applyNumberFormat="0" applyBorder="0" applyAlignment="0" applyProtection="0"/>
    <xf numFmtId="0" fontId="35" fillId="0" borderId="285">
      <alignment horizontal="left" vertical="center" wrapText="1" indent="2"/>
    </xf>
    <xf numFmtId="0" fontId="33" fillId="34" borderId="282">
      <alignment horizontal="right" vertical="center"/>
    </xf>
    <xf numFmtId="0" fontId="33" fillId="34" borderId="282">
      <alignment horizontal="right" vertical="center"/>
    </xf>
    <xf numFmtId="0" fontId="29" fillId="13" borderId="14" applyNumberFormat="0" applyAlignment="0" applyProtection="0"/>
    <xf numFmtId="0" fontId="27" fillId="21" borderId="0" applyNumberFormat="0" applyBorder="0" applyAlignment="0" applyProtection="0"/>
    <xf numFmtId="0" fontId="12" fillId="28" borderId="0" applyNumberFormat="0" applyBorder="0" applyAlignment="0" applyProtection="0"/>
    <xf numFmtId="4" fontId="35" fillId="0" borderId="282">
      <alignment horizontal="right" vertical="center"/>
    </xf>
    <xf numFmtId="0" fontId="12" fillId="19" borderId="0" applyNumberFormat="0" applyBorder="0" applyAlignment="0" applyProtection="0"/>
    <xf numFmtId="0" fontId="44" fillId="56" borderId="286" applyNumberFormat="0" applyAlignment="0" applyProtection="0"/>
    <xf numFmtId="0" fontId="46" fillId="56" borderId="287" applyNumberFormat="0" applyAlignment="0" applyProtection="0"/>
    <xf numFmtId="0" fontId="47" fillId="56" borderId="287" applyNumberFormat="0" applyAlignment="0" applyProtection="0"/>
    <xf numFmtId="0" fontId="12" fillId="25" borderId="0" applyNumberFormat="0" applyBorder="0" applyAlignment="0" applyProtection="0"/>
    <xf numFmtId="0" fontId="27" fillId="23" borderId="0" applyNumberFormat="0" applyBorder="0" applyAlignment="0" applyProtection="0"/>
    <xf numFmtId="0" fontId="27" fillId="21" borderId="0" applyNumberFormat="0" applyBorder="0" applyAlignment="0" applyProtection="0"/>
    <xf numFmtId="0" fontId="47" fillId="56" borderId="287" applyNumberFormat="0" applyAlignment="0" applyProtection="0"/>
    <xf numFmtId="0" fontId="35" fillId="0" borderId="295">
      <alignment horizontal="left" vertical="center" wrapText="1" indent="2"/>
    </xf>
    <xf numFmtId="0" fontId="46" fillId="56" borderId="289" applyNumberFormat="0" applyAlignment="0" applyProtection="0"/>
    <xf numFmtId="0" fontId="63" fillId="56" borderId="286" applyNumberFormat="0" applyAlignment="0" applyProtection="0"/>
    <xf numFmtId="0" fontId="27" fillId="15" borderId="0" applyNumberFormat="0" applyBorder="0" applyAlignment="0" applyProtection="0"/>
    <xf numFmtId="0" fontId="35" fillId="0" borderId="282" applyNumberFormat="0" applyFill="0" applyAlignment="0" applyProtection="0"/>
    <xf numFmtId="0" fontId="37" fillId="32" borderId="282">
      <alignment horizontal="right" vertical="center"/>
    </xf>
    <xf numFmtId="0" fontId="51" fillId="0" borderId="288" applyNumberFormat="0" applyFill="0" applyAlignment="0" applyProtection="0"/>
    <xf numFmtId="0" fontId="12" fillId="25" borderId="0" applyNumberFormat="0" applyBorder="0" applyAlignment="0" applyProtection="0"/>
    <xf numFmtId="4" fontId="35" fillId="0" borderId="282" applyFill="0" applyBorder="0" applyProtection="0">
      <alignment horizontal="right" vertical="center"/>
    </xf>
    <xf numFmtId="0" fontId="35" fillId="33" borderId="282"/>
    <xf numFmtId="0" fontId="33" fillId="34" borderId="293">
      <alignment horizontal="right" vertical="center"/>
    </xf>
    <xf numFmtId="4" fontId="35" fillId="33" borderId="282"/>
    <xf numFmtId="0" fontId="33" fillId="34" borderId="292">
      <alignment horizontal="right" vertical="center"/>
    </xf>
    <xf numFmtId="0" fontId="37" fillId="32" borderId="292">
      <alignment horizontal="right" vertical="center"/>
    </xf>
    <xf numFmtId="0" fontId="12" fillId="28" borderId="0" applyNumberFormat="0" applyBorder="0" applyAlignment="0" applyProtection="0"/>
    <xf numFmtId="0" fontId="27" fillId="23" borderId="0" applyNumberFormat="0" applyBorder="0" applyAlignment="0" applyProtection="0"/>
    <xf numFmtId="0" fontId="33" fillId="32" borderId="292">
      <alignment horizontal="right" vertical="center"/>
    </xf>
    <xf numFmtId="0" fontId="63" fillId="56" borderId="296" applyNumberFormat="0" applyAlignment="0" applyProtection="0"/>
    <xf numFmtId="0" fontId="12" fillId="19" borderId="0" applyNumberFormat="0" applyBorder="0" applyAlignment="0" applyProtection="0"/>
    <xf numFmtId="0" fontId="63" fillId="56" borderId="286" applyNumberFormat="0" applyAlignment="0" applyProtection="0"/>
    <xf numFmtId="0" fontId="33" fillId="34" borderId="293">
      <alignment horizontal="right" vertical="center"/>
    </xf>
    <xf numFmtId="4" fontId="33" fillId="34" borderId="293">
      <alignment horizontal="right" vertical="center"/>
    </xf>
    <xf numFmtId="0" fontId="50" fillId="43" borderId="287" applyNumberFormat="0" applyAlignment="0" applyProtection="0"/>
    <xf numFmtId="0" fontId="35" fillId="0" borderId="285">
      <alignment horizontal="left" vertical="center" wrapText="1" indent="2"/>
    </xf>
    <xf numFmtId="0" fontId="46" fillId="56" borderId="287" applyNumberFormat="0" applyAlignment="0" applyProtection="0"/>
    <xf numFmtId="0" fontId="50" fillId="43" borderId="289" applyNumberFormat="0" applyAlignment="0" applyProtection="0"/>
    <xf numFmtId="4" fontId="35" fillId="33" borderId="292"/>
    <xf numFmtId="0" fontId="35" fillId="32" borderId="283">
      <alignment horizontal="left" vertical="center"/>
    </xf>
    <xf numFmtId="0" fontId="12" fillId="16" borderId="0" applyNumberFormat="0" applyBorder="0" applyAlignment="0" applyProtection="0"/>
    <xf numFmtId="0" fontId="2" fillId="0" borderId="15" applyNumberFormat="0" applyFill="0" applyAlignment="0" applyProtection="0"/>
    <xf numFmtId="0" fontId="59" fillId="43" borderId="289" applyNumberFormat="0" applyAlignment="0" applyProtection="0"/>
    <xf numFmtId="0" fontId="59" fillId="43" borderId="287" applyNumberFormat="0" applyAlignment="0" applyProtection="0"/>
    <xf numFmtId="0" fontId="12" fillId="25" borderId="0" applyNumberFormat="0" applyBorder="0" applyAlignment="0" applyProtection="0"/>
    <xf numFmtId="4" fontId="35" fillId="33" borderId="292"/>
    <xf numFmtId="0" fontId="27" fillId="20" borderId="0" applyNumberFormat="0" applyBorder="0" applyAlignment="0" applyProtection="0"/>
    <xf numFmtId="0" fontId="47" fillId="56" borderId="287" applyNumberFormat="0" applyAlignment="0" applyProtection="0"/>
    <xf numFmtId="0" fontId="41" fillId="59" borderId="281" applyNumberFormat="0" applyFont="0" applyAlignment="0" applyProtection="0"/>
    <xf numFmtId="4" fontId="33" fillId="34" borderId="292">
      <alignment horizontal="right" vertical="center"/>
    </xf>
    <xf numFmtId="4" fontId="33" fillId="34" borderId="292">
      <alignment horizontal="right" vertical="center"/>
    </xf>
    <xf numFmtId="0" fontId="27" fillId="15" borderId="0" applyNumberFormat="0" applyBorder="0" applyAlignment="0" applyProtection="0"/>
    <xf numFmtId="0" fontId="66" fillId="0" borderId="288" applyNumberFormat="0" applyFill="0" applyAlignment="0" applyProtection="0"/>
    <xf numFmtId="0" fontId="63" fillId="56" borderId="286" applyNumberFormat="0" applyAlignment="0" applyProtection="0"/>
    <xf numFmtId="4" fontId="35" fillId="0" borderId="282">
      <alignment horizontal="right" vertical="center"/>
    </xf>
    <xf numFmtId="4" fontId="33" fillId="34" borderId="284">
      <alignment horizontal="right" vertical="center"/>
    </xf>
    <xf numFmtId="0" fontId="33" fillId="34" borderId="283">
      <alignment horizontal="right" vertical="center"/>
    </xf>
    <xf numFmtId="49" fontId="35" fillId="0" borderId="292" applyNumberFormat="0" applyFont="0" applyFill="0" applyBorder="0" applyProtection="0">
      <alignment horizontal="left" vertical="center" indent="2"/>
    </xf>
    <xf numFmtId="0" fontId="51" fillId="0" borderId="290" applyNumberFormat="0" applyFill="0" applyAlignment="0" applyProtection="0"/>
    <xf numFmtId="0" fontId="35" fillId="34" borderId="295">
      <alignment horizontal="left" vertical="center" wrapText="1" indent="2"/>
    </xf>
    <xf numFmtId="0" fontId="35" fillId="0" borderId="282">
      <alignment horizontal="right" vertical="center"/>
    </xf>
    <xf numFmtId="0" fontId="59" fillId="43" borderId="287" applyNumberFormat="0" applyAlignment="0" applyProtection="0"/>
    <xf numFmtId="0" fontId="66" fillId="0" borderId="288" applyNumberFormat="0" applyFill="0" applyAlignment="0" applyProtection="0"/>
    <xf numFmtId="49" fontId="34" fillId="0" borderId="282" applyNumberFormat="0" applyFill="0" applyBorder="0" applyProtection="0">
      <alignment horizontal="left" vertical="center"/>
    </xf>
    <xf numFmtId="0" fontId="59" fillId="43" borderId="287" applyNumberFormat="0" applyAlignment="0" applyProtection="0"/>
    <xf numFmtId="0" fontId="50" fillId="43" borderId="287" applyNumberFormat="0" applyAlignment="0" applyProtection="0"/>
    <xf numFmtId="4" fontId="35" fillId="0" borderId="282">
      <alignment horizontal="right" vertical="center"/>
    </xf>
    <xf numFmtId="0" fontId="33" fillId="34" borderId="294">
      <alignment horizontal="right" vertical="center"/>
    </xf>
    <xf numFmtId="4" fontId="37" fillId="32" borderId="282">
      <alignment horizontal="right" vertical="center"/>
    </xf>
    <xf numFmtId="0" fontId="66" fillId="0" borderId="290" applyNumberFormat="0" applyFill="0" applyAlignment="0" applyProtection="0"/>
    <xf numFmtId="0" fontId="12" fillId="28" borderId="0" applyNumberFormat="0" applyBorder="0" applyAlignment="0" applyProtection="0"/>
    <xf numFmtId="49" fontId="35" fillId="0" borderId="282" applyNumberFormat="0" applyFont="0" applyFill="0" applyBorder="0" applyProtection="0">
      <alignment horizontal="left" vertical="center" indent="2"/>
    </xf>
    <xf numFmtId="4" fontId="37" fillId="32" borderId="292">
      <alignment horizontal="right" vertical="center"/>
    </xf>
    <xf numFmtId="173" fontId="35" fillId="60" borderId="292" applyNumberFormat="0" applyFont="0" applyBorder="0" applyAlignment="0" applyProtection="0">
      <alignment horizontal="right" vertical="center"/>
    </xf>
    <xf numFmtId="0" fontId="46" fillId="56" borderId="289" applyNumberFormat="0" applyAlignment="0" applyProtection="0"/>
    <xf numFmtId="0" fontId="35" fillId="32" borderId="293">
      <alignment horizontal="left" vertical="center"/>
    </xf>
    <xf numFmtId="0" fontId="50" fillId="43" borderId="287" applyNumberFormat="0" applyAlignment="0" applyProtection="0"/>
    <xf numFmtId="4" fontId="33" fillId="32" borderId="282">
      <alignment horizontal="right" vertical="center"/>
    </xf>
    <xf numFmtId="0" fontId="41" fillId="59" borderId="281" applyNumberFormat="0" applyFont="0" applyAlignment="0" applyProtection="0"/>
    <xf numFmtId="0" fontId="35" fillId="34" borderId="285">
      <alignment horizontal="left" vertical="center" wrapText="1" indent="2"/>
    </xf>
    <xf numFmtId="4" fontId="35" fillId="33" borderId="282"/>
    <xf numFmtId="0" fontId="33" fillId="34" borderId="292">
      <alignment horizontal="right" vertical="center"/>
    </xf>
    <xf numFmtId="0" fontId="51" fillId="0" borderId="290" applyNumberFormat="0" applyFill="0" applyAlignment="0" applyProtection="0"/>
    <xf numFmtId="0" fontId="33" fillId="34" borderId="283">
      <alignment horizontal="right" vertical="center"/>
    </xf>
    <xf numFmtId="0" fontId="35" fillId="33" borderId="282"/>
    <xf numFmtId="0" fontId="41" fillId="59" borderId="291" applyNumberFormat="0" applyFont="0" applyAlignment="0" applyProtection="0"/>
    <xf numFmtId="0" fontId="47" fillId="56" borderId="287" applyNumberFormat="0" applyAlignment="0" applyProtection="0"/>
    <xf numFmtId="0" fontId="66" fillId="0" borderId="288" applyNumberFormat="0" applyFill="0" applyAlignment="0" applyProtection="0"/>
    <xf numFmtId="0" fontId="35" fillId="33" borderId="282"/>
    <xf numFmtId="0" fontId="12" fillId="31" borderId="0" applyNumberFormat="0" applyBorder="0" applyAlignment="0" applyProtection="0"/>
    <xf numFmtId="0" fontId="33" fillId="34" borderId="282">
      <alignment horizontal="right" vertical="center"/>
    </xf>
    <xf numFmtId="4" fontId="37" fillId="32" borderId="292">
      <alignment horizontal="right" vertical="center"/>
    </xf>
    <xf numFmtId="0" fontId="35" fillId="34" borderId="285">
      <alignment horizontal="left" vertical="center" wrapText="1" indent="2"/>
    </xf>
    <xf numFmtId="0" fontId="46" fillId="56" borderId="287" applyNumberFormat="0" applyAlignment="0" applyProtection="0"/>
    <xf numFmtId="0" fontId="35" fillId="0" borderId="282">
      <alignment horizontal="right" vertical="center"/>
    </xf>
    <xf numFmtId="0" fontId="27" fillId="21" borderId="0" applyNumberFormat="0" applyBorder="0" applyAlignment="0" applyProtection="0"/>
    <xf numFmtId="0" fontId="35" fillId="33" borderId="292"/>
    <xf numFmtId="0" fontId="51" fillId="0" borderId="288" applyNumberFormat="0" applyFill="0" applyAlignment="0" applyProtection="0"/>
    <xf numFmtId="0" fontId="51" fillId="0" borderId="288" applyNumberFormat="0" applyFill="0" applyAlignment="0" applyProtection="0"/>
    <xf numFmtId="0" fontId="59" fillId="43" borderId="287" applyNumberFormat="0" applyAlignment="0" applyProtection="0"/>
    <xf numFmtId="0" fontId="35" fillId="0" borderId="285">
      <alignment horizontal="left" vertical="center" wrapText="1" indent="2"/>
    </xf>
    <xf numFmtId="0" fontId="12" fillId="16" borderId="0" applyNumberFormat="0" applyBorder="0" applyAlignment="0" applyProtection="0"/>
    <xf numFmtId="0" fontId="35" fillId="33" borderId="282"/>
    <xf numFmtId="0" fontId="33" fillId="34" borderId="284">
      <alignment horizontal="right" vertical="center"/>
    </xf>
    <xf numFmtId="0" fontId="35" fillId="34" borderId="295">
      <alignment horizontal="left" vertical="center" wrapText="1" indent="2"/>
    </xf>
    <xf numFmtId="0" fontId="33" fillId="32" borderId="282">
      <alignment horizontal="right" vertical="center"/>
    </xf>
    <xf numFmtId="0" fontId="35" fillId="0" borderId="282">
      <alignment horizontal="right" vertical="center"/>
    </xf>
    <xf numFmtId="4" fontId="35" fillId="33" borderId="282"/>
    <xf numFmtId="0" fontId="41" fillId="59" borderId="281" applyNumberFormat="0" applyFont="0" applyAlignment="0" applyProtection="0"/>
    <xf numFmtId="0" fontId="12" fillId="22" borderId="0" applyNumberFormat="0" applyBorder="0" applyAlignment="0" applyProtection="0"/>
    <xf numFmtId="0" fontId="27" fillId="21" borderId="0" applyNumberFormat="0" applyBorder="0" applyAlignment="0" applyProtection="0"/>
    <xf numFmtId="0" fontId="27" fillId="18" borderId="0" applyNumberFormat="0" applyBorder="0" applyAlignment="0" applyProtection="0"/>
    <xf numFmtId="0" fontId="12" fillId="25" borderId="0" applyNumberFormat="0" applyBorder="0" applyAlignment="0" applyProtection="0"/>
    <xf numFmtId="0" fontId="47" fillId="56" borderId="287" applyNumberFormat="0" applyAlignment="0" applyProtection="0"/>
    <xf numFmtId="4" fontId="33" fillId="34" borderId="284">
      <alignment horizontal="right" vertical="center"/>
    </xf>
    <xf numFmtId="0" fontId="27" fillId="23" borderId="0" applyNumberFormat="0" applyBorder="0" applyAlignment="0" applyProtection="0"/>
    <xf numFmtId="0" fontId="59" fillId="43" borderId="289" applyNumberFormat="0" applyAlignment="0" applyProtection="0"/>
    <xf numFmtId="0" fontId="27" fillId="23" borderId="0" applyNumberFormat="0" applyBorder="0" applyAlignment="0" applyProtection="0"/>
    <xf numFmtId="49" fontId="35" fillId="0" borderId="282" applyNumberFormat="0" applyFont="0" applyFill="0" applyBorder="0" applyProtection="0">
      <alignment horizontal="left" vertical="center" indent="2"/>
    </xf>
    <xf numFmtId="4" fontId="33" fillId="34" borderId="284">
      <alignment horizontal="right" vertical="center"/>
    </xf>
    <xf numFmtId="0" fontId="59" fillId="43" borderId="289" applyNumberFormat="0" applyAlignment="0" applyProtection="0"/>
    <xf numFmtId="0" fontId="63" fillId="56" borderId="296" applyNumberFormat="0" applyAlignment="0" applyProtection="0"/>
    <xf numFmtId="0" fontId="12" fillId="22" borderId="0" applyNumberFormat="0" applyBorder="0" applyAlignment="0" applyProtection="0"/>
    <xf numFmtId="0" fontId="35" fillId="34" borderId="285">
      <alignment horizontal="left" vertical="center" wrapText="1" indent="2"/>
    </xf>
    <xf numFmtId="0" fontId="46" fillId="56" borderId="287" applyNumberFormat="0" applyAlignment="0" applyProtection="0"/>
    <xf numFmtId="4" fontId="33" fillId="34" borderId="282">
      <alignment horizontal="right" vertical="center"/>
    </xf>
    <xf numFmtId="0" fontId="5" fillId="59" borderId="291" applyNumberFormat="0" applyFont="0" applyAlignment="0" applyProtection="0"/>
    <xf numFmtId="0" fontId="1" fillId="0" borderId="0" applyNumberFormat="0" applyFill="0" applyBorder="0" applyAlignment="0" applyProtection="0"/>
    <xf numFmtId="0" fontId="33" fillId="34" borderId="294">
      <alignment horizontal="right" vertical="center"/>
    </xf>
    <xf numFmtId="0" fontId="59" fillId="43" borderId="287" applyNumberFormat="0" applyAlignment="0" applyProtection="0"/>
    <xf numFmtId="0" fontId="5" fillId="59" borderId="281" applyNumberFormat="0" applyFont="0" applyAlignment="0" applyProtection="0"/>
    <xf numFmtId="4" fontId="33" fillId="32" borderId="282">
      <alignment horizontal="right" vertical="center"/>
    </xf>
    <xf numFmtId="0" fontId="66" fillId="0" borderId="288" applyNumberFormat="0" applyFill="0" applyAlignment="0" applyProtection="0"/>
    <xf numFmtId="0" fontId="2" fillId="0" borderId="15" applyNumberFormat="0" applyFill="0" applyAlignment="0" applyProtection="0"/>
    <xf numFmtId="4" fontId="33" fillId="34" borderId="283">
      <alignment horizontal="right" vertical="center"/>
    </xf>
    <xf numFmtId="0" fontId="27" fillId="24" borderId="0" applyNumberFormat="0" applyBorder="0" applyAlignment="0" applyProtection="0"/>
    <xf numFmtId="0" fontId="27" fillId="30" borderId="0" applyNumberFormat="0" applyBorder="0" applyAlignment="0" applyProtection="0"/>
    <xf numFmtId="4" fontId="35" fillId="0" borderId="282">
      <alignment horizontal="right" vertical="center"/>
    </xf>
    <xf numFmtId="0" fontId="27" fillId="17" borderId="0" applyNumberFormat="0" applyBorder="0" applyAlignment="0" applyProtection="0"/>
    <xf numFmtId="0" fontId="33" fillId="34" borderId="282">
      <alignment horizontal="right" vertical="center"/>
    </xf>
    <xf numFmtId="0" fontId="66" fillId="0" borderId="288" applyNumberFormat="0" applyFill="0" applyAlignment="0" applyProtection="0"/>
    <xf numFmtId="0" fontId="35" fillId="34" borderId="285">
      <alignment horizontal="left" vertical="center" wrapText="1" indent="2"/>
    </xf>
    <xf numFmtId="0" fontId="46" fillId="56" borderId="287" applyNumberFormat="0" applyAlignment="0" applyProtection="0"/>
    <xf numFmtId="0" fontId="35" fillId="33" borderId="282"/>
    <xf numFmtId="0" fontId="33" fillId="32" borderId="292">
      <alignment horizontal="right" vertical="center"/>
    </xf>
    <xf numFmtId="0" fontId="35" fillId="32" borderId="283">
      <alignment horizontal="left" vertical="center"/>
    </xf>
    <xf numFmtId="0" fontId="5" fillId="59" borderId="291" applyNumberFormat="0" applyFont="0" applyAlignment="0" applyProtection="0"/>
    <xf numFmtId="0" fontId="46" fillId="56" borderId="287" applyNumberFormat="0" applyAlignment="0" applyProtection="0"/>
    <xf numFmtId="173" fontId="35" fillId="60" borderId="282" applyNumberFormat="0" applyFont="0" applyBorder="0" applyAlignment="0" applyProtection="0">
      <alignment horizontal="right" vertical="center"/>
    </xf>
    <xf numFmtId="4" fontId="35" fillId="0" borderId="282" applyFill="0" applyBorder="0" applyProtection="0">
      <alignment horizontal="right" vertical="center"/>
    </xf>
    <xf numFmtId="49" fontId="34" fillId="0" borderId="292" applyNumberFormat="0" applyFill="0" applyBorder="0" applyProtection="0">
      <alignment horizontal="left" vertical="center"/>
    </xf>
    <xf numFmtId="0" fontId="35" fillId="34" borderId="295">
      <alignment horizontal="left" vertical="center" wrapText="1" indent="2"/>
    </xf>
    <xf numFmtId="4" fontId="33" fillId="34" borderId="294">
      <alignment horizontal="right" vertical="center"/>
    </xf>
    <xf numFmtId="0" fontId="46" fillId="56" borderId="289" applyNumberFormat="0" applyAlignment="0" applyProtection="0"/>
    <xf numFmtId="0" fontId="37" fillId="32" borderId="292">
      <alignment horizontal="right" vertical="center"/>
    </xf>
    <xf numFmtId="0" fontId="35" fillId="32" borderId="283">
      <alignment horizontal="left" vertical="center"/>
    </xf>
    <xf numFmtId="0" fontId="33" fillId="34" borderId="282">
      <alignment horizontal="right" vertical="center"/>
    </xf>
    <xf numFmtId="4" fontId="33" fillId="32" borderId="282">
      <alignment horizontal="right" vertical="center"/>
    </xf>
    <xf numFmtId="4" fontId="33" fillId="34" borderId="283">
      <alignment horizontal="right" vertical="center"/>
    </xf>
    <xf numFmtId="173" fontId="35" fillId="60" borderId="292" applyNumberFormat="0" applyFont="0" applyBorder="0" applyAlignment="0" applyProtection="0">
      <alignment horizontal="right" vertical="center"/>
    </xf>
    <xf numFmtId="0" fontId="35" fillId="32" borderId="283">
      <alignment horizontal="left" vertical="center"/>
    </xf>
    <xf numFmtId="49" fontId="35" fillId="0" borderId="292" applyNumberFormat="0" applyFont="0" applyFill="0" applyBorder="0" applyProtection="0">
      <alignment horizontal="left" vertical="center" indent="2"/>
    </xf>
    <xf numFmtId="0" fontId="5" fillId="59" borderId="291" applyNumberFormat="0" applyFont="0" applyAlignment="0" applyProtection="0"/>
    <xf numFmtId="0" fontId="27" fillId="24" borderId="0" applyNumberFormat="0" applyBorder="0" applyAlignment="0" applyProtection="0"/>
    <xf numFmtId="0" fontId="50" fillId="43" borderId="289" applyNumberFormat="0" applyAlignment="0" applyProtection="0"/>
    <xf numFmtId="4" fontId="33" fillId="34" borderId="292">
      <alignment horizontal="right" vertical="center"/>
    </xf>
    <xf numFmtId="4" fontId="33" fillId="34" borderId="293">
      <alignment horizontal="right" vertical="center"/>
    </xf>
    <xf numFmtId="0" fontId="66" fillId="0" borderId="288" applyNumberFormat="0" applyFill="0" applyAlignment="0" applyProtection="0"/>
    <xf numFmtId="173" fontId="35" fillId="60" borderId="282" applyNumberFormat="0" applyFont="0" applyBorder="0" applyAlignment="0" applyProtection="0">
      <alignment horizontal="right" vertical="center"/>
    </xf>
    <xf numFmtId="4" fontId="35" fillId="0" borderId="282">
      <alignment horizontal="right" vertical="center"/>
    </xf>
    <xf numFmtId="0" fontId="46" fillId="56" borderId="289" applyNumberFormat="0" applyAlignment="0" applyProtection="0"/>
    <xf numFmtId="0" fontId="46" fillId="56" borderId="287" applyNumberFormat="0" applyAlignment="0" applyProtection="0"/>
    <xf numFmtId="0" fontId="33" fillId="34" borderId="292">
      <alignment horizontal="right" vertical="center"/>
    </xf>
    <xf numFmtId="0" fontId="47" fillId="56" borderId="287" applyNumberFormat="0" applyAlignment="0" applyProtection="0"/>
    <xf numFmtId="0" fontId="35" fillId="0" borderId="285">
      <alignment horizontal="left" vertical="center" wrapText="1" indent="2"/>
    </xf>
    <xf numFmtId="4" fontId="35" fillId="0" borderId="292">
      <alignment horizontal="right" vertical="center"/>
    </xf>
    <xf numFmtId="4" fontId="37" fillId="32" borderId="282">
      <alignment horizontal="right" vertical="center"/>
    </xf>
    <xf numFmtId="0" fontId="33" fillId="34" borderId="282">
      <alignment horizontal="right" vertical="center"/>
    </xf>
    <xf numFmtId="0" fontId="47" fillId="56" borderId="289" applyNumberFormat="0" applyAlignment="0" applyProtection="0"/>
    <xf numFmtId="0" fontId="35" fillId="33" borderId="282"/>
    <xf numFmtId="0" fontId="66" fillId="0" borderId="290" applyNumberFormat="0" applyFill="0" applyAlignment="0" applyProtection="0"/>
    <xf numFmtId="0" fontId="46" fillId="56" borderId="287" applyNumberFormat="0" applyAlignment="0" applyProtection="0"/>
    <xf numFmtId="0" fontId="27" fillId="24" borderId="0" applyNumberFormat="0" applyBorder="0" applyAlignment="0" applyProtection="0"/>
    <xf numFmtId="0" fontId="37" fillId="32" borderId="282">
      <alignment horizontal="right" vertical="center"/>
    </xf>
    <xf numFmtId="0" fontId="27" fillId="14" borderId="0" applyNumberFormat="0" applyBorder="0" applyAlignment="0" applyProtection="0"/>
    <xf numFmtId="49" fontId="34" fillId="0" borderId="282" applyNumberFormat="0" applyFill="0" applyBorder="0" applyProtection="0">
      <alignment horizontal="left" vertical="center"/>
    </xf>
    <xf numFmtId="0" fontId="35" fillId="33" borderId="292"/>
    <xf numFmtId="0" fontId="47" fillId="56" borderId="287" applyNumberFormat="0" applyAlignment="0" applyProtection="0"/>
    <xf numFmtId="0" fontId="35" fillId="0" borderId="282">
      <alignment horizontal="right" vertical="center"/>
    </xf>
    <xf numFmtId="0" fontId="46" fillId="56" borderId="287" applyNumberFormat="0" applyAlignment="0" applyProtection="0"/>
    <xf numFmtId="4" fontId="33" fillId="34" borderId="283">
      <alignment horizontal="right" vertical="center"/>
    </xf>
    <xf numFmtId="0" fontId="33" fillId="34" borderId="283">
      <alignment horizontal="right" vertical="center"/>
    </xf>
    <xf numFmtId="0" fontId="33" fillId="34" borderId="282">
      <alignment horizontal="right" vertical="center"/>
    </xf>
    <xf numFmtId="0" fontId="41" fillId="59" borderId="281" applyNumberFormat="0" applyFont="0" applyAlignment="0" applyProtection="0"/>
    <xf numFmtId="0" fontId="66" fillId="0" borderId="290" applyNumberFormat="0" applyFill="0" applyAlignment="0" applyProtection="0"/>
    <xf numFmtId="49" fontId="35" fillId="0" borderId="282" applyNumberFormat="0" applyFont="0" applyFill="0" applyBorder="0" applyProtection="0">
      <alignment horizontal="left" vertical="center" indent="2"/>
    </xf>
    <xf numFmtId="0" fontId="33" fillId="32" borderId="292">
      <alignment horizontal="right" vertical="center"/>
    </xf>
    <xf numFmtId="4" fontId="37" fillId="32" borderId="282">
      <alignment horizontal="right" vertical="center"/>
    </xf>
    <xf numFmtId="4" fontId="37" fillId="32" borderId="292">
      <alignment horizontal="right" vertical="center"/>
    </xf>
    <xf numFmtId="0" fontId="35" fillId="33" borderId="282"/>
    <xf numFmtId="0" fontId="59" fillId="43" borderId="287" applyNumberFormat="0" applyAlignment="0" applyProtection="0"/>
    <xf numFmtId="0" fontId="27" fillId="17" borderId="0" applyNumberFormat="0" applyBorder="0" applyAlignment="0" applyProtection="0"/>
    <xf numFmtId="0" fontId="33" fillId="34" borderId="292">
      <alignment horizontal="right" vertical="center"/>
    </xf>
    <xf numFmtId="49" fontId="35" fillId="0" borderId="292" applyNumberFormat="0" applyFont="0" applyFill="0" applyBorder="0" applyProtection="0">
      <alignment horizontal="left" vertical="center" indent="2"/>
    </xf>
    <xf numFmtId="0" fontId="12" fillId="31" borderId="0" applyNumberFormat="0" applyBorder="0" applyAlignment="0" applyProtection="0"/>
    <xf numFmtId="0" fontId="27" fillId="30" borderId="0" applyNumberFormat="0" applyBorder="0" applyAlignment="0" applyProtection="0"/>
    <xf numFmtId="0" fontId="46" fillId="56" borderId="287" applyNumberFormat="0" applyAlignment="0" applyProtection="0"/>
    <xf numFmtId="0" fontId="30" fillId="13" borderId="13" applyNumberFormat="0" applyAlignment="0" applyProtection="0"/>
    <xf numFmtId="49" fontId="34" fillId="0" borderId="282" applyNumberFormat="0" applyFill="0" applyBorder="0" applyProtection="0">
      <alignment horizontal="left" vertical="center"/>
    </xf>
    <xf numFmtId="0" fontId="59" fillId="43" borderId="289" applyNumberFormat="0" applyAlignment="0" applyProtection="0"/>
    <xf numFmtId="0" fontId="44" fillId="56" borderId="296" applyNumberFormat="0" applyAlignment="0" applyProtection="0"/>
    <xf numFmtId="4" fontId="33" fillId="34" borderId="294">
      <alignment horizontal="right" vertical="center"/>
    </xf>
    <xf numFmtId="0" fontId="50" fillId="43" borderId="289" applyNumberFormat="0" applyAlignment="0" applyProtection="0"/>
    <xf numFmtId="0" fontId="33" fillId="32" borderId="282">
      <alignment horizontal="right" vertical="center"/>
    </xf>
    <xf numFmtId="0" fontId="51" fillId="0" borderId="288" applyNumberFormat="0" applyFill="0" applyAlignment="0" applyProtection="0"/>
    <xf numFmtId="0" fontId="35" fillId="0" borderId="282" applyNumberFormat="0" applyFill="0" applyAlignment="0" applyProtection="0"/>
    <xf numFmtId="0" fontId="51" fillId="0" borderId="288" applyNumberFormat="0" applyFill="0" applyAlignment="0" applyProtection="0"/>
    <xf numFmtId="4" fontId="35" fillId="0" borderId="282" applyFill="0" applyBorder="0" applyProtection="0">
      <alignment horizontal="right" vertical="center"/>
    </xf>
    <xf numFmtId="49" fontId="35" fillId="0" borderId="283" applyNumberFormat="0" applyFont="0" applyFill="0" applyBorder="0" applyProtection="0">
      <alignment horizontal="left" vertical="center" indent="5"/>
    </xf>
    <xf numFmtId="0" fontId="35" fillId="0" borderId="282" applyNumberFormat="0" applyFill="0" applyAlignment="0" applyProtection="0"/>
    <xf numFmtId="0" fontId="35" fillId="0" borderId="282" applyNumberFormat="0" applyFill="0" applyAlignment="0" applyProtection="0"/>
    <xf numFmtId="0" fontId="5" fillId="59" borderId="291" applyNumberFormat="0" applyFont="0" applyAlignment="0" applyProtection="0"/>
    <xf numFmtId="4" fontId="33" fillId="34" borderId="282">
      <alignment horizontal="right" vertical="center"/>
    </xf>
    <xf numFmtId="0" fontId="44" fillId="56" borderId="296" applyNumberFormat="0" applyAlignment="0" applyProtection="0"/>
    <xf numFmtId="0" fontId="27" fillId="21" borderId="0" applyNumberFormat="0" applyBorder="0" applyAlignment="0" applyProtection="0"/>
    <xf numFmtId="0" fontId="35" fillId="0" borderId="292">
      <alignment horizontal="right" vertical="center"/>
    </xf>
    <xf numFmtId="0" fontId="50" fillId="43" borderId="287" applyNumberFormat="0" applyAlignment="0" applyProtection="0"/>
    <xf numFmtId="0" fontId="47" fillId="56" borderId="287" applyNumberFormat="0" applyAlignment="0" applyProtection="0"/>
    <xf numFmtId="4" fontId="35" fillId="0" borderId="282">
      <alignment horizontal="right" vertical="center"/>
    </xf>
    <xf numFmtId="0" fontId="35" fillId="34" borderId="285">
      <alignment horizontal="left" vertical="center" wrapText="1" indent="2"/>
    </xf>
    <xf numFmtId="0" fontId="35" fillId="0" borderId="285">
      <alignment horizontal="left" vertical="center" wrapText="1" indent="2"/>
    </xf>
    <xf numFmtId="0" fontId="63" fillId="56" borderId="286" applyNumberFormat="0" applyAlignment="0" applyProtection="0"/>
    <xf numFmtId="0" fontId="59" fillId="43" borderId="287" applyNumberFormat="0" applyAlignment="0" applyProtection="0"/>
    <xf numFmtId="0" fontId="46" fillId="56" borderId="287" applyNumberFormat="0" applyAlignment="0" applyProtection="0"/>
    <xf numFmtId="0" fontId="44" fillId="56" borderId="286" applyNumberFormat="0" applyAlignment="0" applyProtection="0"/>
    <xf numFmtId="0" fontId="33" fillId="34" borderId="284">
      <alignment horizontal="right" vertical="center"/>
    </xf>
    <xf numFmtId="0" fontId="37" fillId="32" borderId="282">
      <alignment horizontal="right" vertical="center"/>
    </xf>
    <xf numFmtId="4" fontId="33" fillId="32" borderId="282">
      <alignment horizontal="right" vertical="center"/>
    </xf>
    <xf numFmtId="4" fontId="33" fillId="34" borderId="282">
      <alignment horizontal="right" vertical="center"/>
    </xf>
    <xf numFmtId="49" fontId="35" fillId="0" borderId="283" applyNumberFormat="0" applyFont="0" applyFill="0" applyBorder="0" applyProtection="0">
      <alignment horizontal="left" vertical="center" indent="5"/>
    </xf>
    <xf numFmtId="4" fontId="35" fillId="0" borderId="282" applyFill="0" applyBorder="0" applyProtection="0">
      <alignment horizontal="right" vertical="center"/>
    </xf>
    <xf numFmtId="4" fontId="33" fillId="32" borderId="282">
      <alignment horizontal="right" vertical="center"/>
    </xf>
    <xf numFmtId="0" fontId="59" fillId="43" borderId="287" applyNumberFormat="0" applyAlignment="0" applyProtection="0"/>
    <xf numFmtId="0" fontId="50" fillId="43" borderId="287" applyNumberFormat="0" applyAlignment="0" applyProtection="0"/>
    <xf numFmtId="0" fontId="46" fillId="56" borderId="287" applyNumberFormat="0" applyAlignment="0" applyProtection="0"/>
    <xf numFmtId="0" fontId="35" fillId="34" borderId="285">
      <alignment horizontal="left" vertical="center" wrapText="1" indent="2"/>
    </xf>
    <xf numFmtId="0" fontId="35" fillId="0" borderId="285">
      <alignment horizontal="left" vertical="center" wrapText="1" indent="2"/>
    </xf>
    <xf numFmtId="0" fontId="35" fillId="34" borderId="285">
      <alignment horizontal="left" vertical="center" wrapText="1" indent="2"/>
    </xf>
    <xf numFmtId="0" fontId="35" fillId="32" borderId="293">
      <alignment horizontal="left" vertical="center"/>
    </xf>
    <xf numFmtId="0" fontId="41" fillId="59" borderId="291" applyNumberFormat="0" applyFont="0" applyAlignment="0" applyProtection="0"/>
    <xf numFmtId="0" fontId="47" fillId="56" borderId="289" applyNumberFormat="0" applyAlignment="0" applyProtection="0"/>
    <xf numFmtId="0" fontId="29" fillId="13" borderId="14" applyNumberFormat="0" applyAlignment="0" applyProtection="0"/>
    <xf numFmtId="0" fontId="41" fillId="59" borderId="291" applyNumberFormat="0" applyFont="0" applyAlignment="0" applyProtection="0"/>
    <xf numFmtId="0" fontId="59" fillId="43" borderId="289" applyNumberFormat="0" applyAlignment="0" applyProtection="0"/>
    <xf numFmtId="0" fontId="35" fillId="34" borderId="295">
      <alignment horizontal="left" vertical="center" wrapText="1" indent="2"/>
    </xf>
    <xf numFmtId="4" fontId="37" fillId="32" borderId="292">
      <alignment horizontal="right" vertical="center"/>
    </xf>
    <xf numFmtId="0" fontId="27" fillId="15" borderId="0" applyNumberFormat="0" applyBorder="0" applyAlignment="0" applyProtection="0"/>
    <xf numFmtId="4" fontId="37" fillId="32" borderId="292">
      <alignment horizontal="right" vertical="center"/>
    </xf>
    <xf numFmtId="4" fontId="33" fillId="32" borderId="292">
      <alignment horizontal="right" vertical="center"/>
    </xf>
    <xf numFmtId="0" fontId="35" fillId="0" borderId="295">
      <alignment horizontal="left" vertical="center" wrapText="1" indent="2"/>
    </xf>
    <xf numFmtId="0" fontId="63" fillId="56" borderId="296" applyNumberFormat="0" applyAlignment="0" applyProtection="0"/>
    <xf numFmtId="0" fontId="35" fillId="0" borderId="292">
      <alignment horizontal="right" vertical="center"/>
    </xf>
    <xf numFmtId="0" fontId="66" fillId="0" borderId="290" applyNumberFormat="0" applyFill="0" applyAlignment="0" applyProtection="0"/>
    <xf numFmtId="49" fontId="34" fillId="0" borderId="292" applyNumberFormat="0" applyFill="0" applyBorder="0" applyProtection="0">
      <alignment horizontal="left" vertical="center"/>
    </xf>
    <xf numFmtId="4" fontId="35" fillId="33" borderId="292"/>
    <xf numFmtId="0" fontId="59" fillId="43" borderId="289" applyNumberFormat="0" applyAlignment="0" applyProtection="0"/>
    <xf numFmtId="173" fontId="35" fillId="60" borderId="292" applyNumberFormat="0" applyFont="0" applyBorder="0" applyAlignment="0" applyProtection="0">
      <alignment horizontal="right" vertical="center"/>
    </xf>
    <xf numFmtId="0" fontId="47" fillId="56" borderId="289" applyNumberFormat="0" applyAlignment="0" applyProtection="0"/>
    <xf numFmtId="0" fontId="59" fillId="43" borderId="289" applyNumberFormat="0" applyAlignment="0" applyProtection="0"/>
    <xf numFmtId="0" fontId="44" fillId="56" borderId="296" applyNumberFormat="0" applyAlignment="0" applyProtection="0"/>
    <xf numFmtId="49" fontId="34" fillId="0" borderId="292" applyNumberFormat="0" applyFill="0" applyBorder="0" applyProtection="0">
      <alignment horizontal="left" vertical="center"/>
    </xf>
    <xf numFmtId="0" fontId="66" fillId="0" borderId="290" applyNumberFormat="0" applyFill="0" applyAlignment="0" applyProtection="0"/>
    <xf numFmtId="0" fontId="35" fillId="0" borderId="292">
      <alignment horizontal="right" vertical="center"/>
    </xf>
    <xf numFmtId="0" fontId="33" fillId="34" borderId="293">
      <alignment horizontal="right" vertical="center"/>
    </xf>
    <xf numFmtId="0" fontId="66" fillId="0" borderId="290" applyNumberFormat="0" applyFill="0" applyAlignment="0" applyProtection="0"/>
    <xf numFmtId="0" fontId="27" fillId="17" borderId="0" applyNumberFormat="0" applyBorder="0" applyAlignment="0" applyProtection="0"/>
    <xf numFmtId="0" fontId="47" fillId="56" borderId="289" applyNumberFormat="0" applyAlignment="0" applyProtection="0"/>
    <xf numFmtId="4" fontId="35" fillId="0" borderId="292" applyFill="0" applyBorder="0" applyProtection="0">
      <alignment horizontal="right" vertical="center"/>
    </xf>
    <xf numFmtId="0" fontId="27" fillId="29" borderId="0" applyNumberFormat="0" applyBorder="0" applyAlignment="0" applyProtection="0"/>
    <xf numFmtId="0" fontId="35" fillId="0" borderId="295">
      <alignment horizontal="left" vertical="center" wrapText="1" indent="2"/>
    </xf>
    <xf numFmtId="0" fontId="66" fillId="0" borderId="290" applyNumberFormat="0" applyFill="0" applyAlignment="0" applyProtection="0"/>
    <xf numFmtId="0" fontId="44" fillId="56" borderId="296" applyNumberFormat="0" applyAlignment="0" applyProtection="0"/>
    <xf numFmtId="0" fontId="33" fillId="34" borderId="292">
      <alignment horizontal="right" vertical="center"/>
    </xf>
    <xf numFmtId="0" fontId="46" fillId="56" borderId="289" applyNumberFormat="0" applyAlignment="0" applyProtection="0"/>
    <xf numFmtId="0" fontId="35" fillId="32" borderId="293">
      <alignment horizontal="left" vertical="center"/>
    </xf>
    <xf numFmtId="0" fontId="33" fillId="32" borderId="292">
      <alignment horizontal="right" vertical="center"/>
    </xf>
    <xf numFmtId="0" fontId="51" fillId="0" borderId="290" applyNumberFormat="0" applyFill="0" applyAlignment="0" applyProtection="0"/>
    <xf numFmtId="0" fontId="35" fillId="0" borderId="292">
      <alignment horizontal="right" vertical="center"/>
    </xf>
    <xf numFmtId="0" fontId="5" fillId="59" borderId="291" applyNumberFormat="0" applyFont="0" applyAlignment="0" applyProtection="0"/>
    <xf numFmtId="0" fontId="12" fillId="25" borderId="0" applyNumberFormat="0" applyBorder="0" applyAlignment="0" applyProtection="0"/>
    <xf numFmtId="0" fontId="59" fillId="43" borderId="289" applyNumberFormat="0" applyAlignment="0" applyProtection="0"/>
    <xf numFmtId="49" fontId="35" fillId="0" borderId="293" applyNumberFormat="0" applyFont="0" applyFill="0" applyBorder="0" applyProtection="0">
      <alignment horizontal="left" vertical="center" indent="5"/>
    </xf>
    <xf numFmtId="0" fontId="35" fillId="0" borderId="292" applyNumberFormat="0" applyFill="0" applyAlignment="0" applyProtection="0"/>
    <xf numFmtId="0" fontId="51" fillId="0" borderId="290" applyNumberFormat="0" applyFill="0" applyAlignment="0" applyProtection="0"/>
    <xf numFmtId="0" fontId="63" fillId="56" borderId="296" applyNumberFormat="0" applyAlignment="0" applyProtection="0"/>
    <xf numFmtId="4" fontId="33" fillId="34" borderId="292">
      <alignment horizontal="right" vertical="center"/>
    </xf>
    <xf numFmtId="4" fontId="35" fillId="33" borderId="292"/>
    <xf numFmtId="0" fontId="66" fillId="0" borderId="290" applyNumberFormat="0" applyFill="0" applyAlignment="0" applyProtection="0"/>
    <xf numFmtId="0" fontId="44" fillId="56" borderId="296" applyNumberFormat="0" applyAlignment="0" applyProtection="0"/>
    <xf numFmtId="0" fontId="46" fillId="56" borderId="289" applyNumberFormat="0" applyAlignment="0" applyProtection="0"/>
    <xf numFmtId="0" fontId="47" fillId="56" borderId="289" applyNumberFormat="0" applyAlignment="0" applyProtection="0"/>
    <xf numFmtId="0" fontId="63" fillId="56" borderId="296" applyNumberFormat="0" applyAlignment="0" applyProtection="0"/>
    <xf numFmtId="0" fontId="33" fillId="34" borderId="294">
      <alignment horizontal="right" vertical="center"/>
    </xf>
    <xf numFmtId="0" fontId="35" fillId="0" borderId="292" applyNumberFormat="0" applyFill="0" applyAlignment="0" applyProtection="0"/>
    <xf numFmtId="49" fontId="35" fillId="0" borderId="293" applyNumberFormat="0" applyFont="0" applyFill="0" applyBorder="0" applyProtection="0">
      <alignment horizontal="left" vertical="center" indent="5"/>
    </xf>
    <xf numFmtId="0" fontId="66" fillId="0" borderId="290" applyNumberFormat="0" applyFill="0" applyAlignment="0" applyProtection="0"/>
    <xf numFmtId="0" fontId="35" fillId="0" borderId="292" applyNumberFormat="0" applyFill="0" applyAlignment="0" applyProtection="0"/>
    <xf numFmtId="0" fontId="12" fillId="22" borderId="0" applyNumberFormat="0" applyBorder="0" applyAlignment="0" applyProtection="0"/>
    <xf numFmtId="0" fontId="41" fillId="59" borderId="291" applyNumberFormat="0" applyFont="0" applyAlignment="0" applyProtection="0"/>
    <xf numFmtId="0" fontId="35" fillId="0" borderId="295">
      <alignment horizontal="left" vertical="center" wrapText="1" indent="2"/>
    </xf>
    <xf numFmtId="4" fontId="33" fillId="32" borderId="292">
      <alignment horizontal="right" vertical="center"/>
    </xf>
    <xf numFmtId="0" fontId="63" fillId="56" borderId="296" applyNumberFormat="0" applyAlignment="0" applyProtection="0"/>
    <xf numFmtId="49" fontId="35" fillId="0" borderId="293" applyNumberFormat="0" applyFont="0" applyFill="0" applyBorder="0" applyProtection="0">
      <alignment horizontal="left" vertical="center" indent="5"/>
    </xf>
    <xf numFmtId="4" fontId="35" fillId="0" borderId="292">
      <alignment horizontal="right" vertical="center"/>
    </xf>
    <xf numFmtId="0" fontId="27" fillId="23" borderId="0" applyNumberFormat="0" applyBorder="0" applyAlignment="0" applyProtection="0"/>
    <xf numFmtId="0" fontId="51" fillId="0" borderId="290" applyNumberFormat="0" applyFill="0" applyAlignment="0" applyProtection="0"/>
    <xf numFmtId="4" fontId="33" fillId="34" borderId="294">
      <alignment horizontal="right" vertical="center"/>
    </xf>
    <xf numFmtId="4" fontId="33" fillId="34" borderId="292">
      <alignment horizontal="right" vertical="center"/>
    </xf>
    <xf numFmtId="4" fontId="33" fillId="34" borderId="292">
      <alignment horizontal="right" vertical="center"/>
    </xf>
    <xf numFmtId="0" fontId="66" fillId="0" borderId="290" applyNumberFormat="0" applyFill="0" applyAlignment="0" applyProtection="0"/>
    <xf numFmtId="0" fontId="47" fillId="56" borderId="289" applyNumberFormat="0" applyAlignment="0" applyProtection="0"/>
    <xf numFmtId="0" fontId="50" fillId="43" borderId="289" applyNumberFormat="0" applyAlignment="0" applyProtection="0"/>
    <xf numFmtId="49" fontId="34" fillId="0" borderId="292" applyNumberFormat="0" applyFill="0" applyBorder="0" applyProtection="0">
      <alignment horizontal="left" vertical="center"/>
    </xf>
    <xf numFmtId="0" fontId="5" fillId="59" borderId="291" applyNumberFormat="0" applyFont="0" applyAlignment="0" applyProtection="0"/>
    <xf numFmtId="4" fontId="33" fillId="34" borderId="292">
      <alignment horizontal="right" vertical="center"/>
    </xf>
    <xf numFmtId="0" fontId="27" fillId="24" borderId="0" applyNumberFormat="0" applyBorder="0" applyAlignment="0" applyProtection="0"/>
    <xf numFmtId="0" fontId="1" fillId="0" borderId="0" applyNumberFormat="0" applyFill="0" applyBorder="0" applyAlignment="0" applyProtection="0"/>
    <xf numFmtId="0" fontId="12" fillId="28" borderId="0" applyNumberFormat="0" applyBorder="0" applyAlignment="0" applyProtection="0"/>
    <xf numFmtId="49" fontId="35" fillId="0" borderId="292" applyNumberFormat="0" applyFont="0" applyFill="0" applyBorder="0" applyProtection="0">
      <alignment horizontal="left" vertical="center" indent="2"/>
    </xf>
    <xf numFmtId="0" fontId="66" fillId="0" borderId="290" applyNumberFormat="0" applyFill="0" applyAlignment="0" applyProtection="0"/>
    <xf numFmtId="4" fontId="35" fillId="0" borderId="292" applyFill="0" applyBorder="0" applyProtection="0">
      <alignment horizontal="right" vertical="center"/>
    </xf>
    <xf numFmtId="0" fontId="59" fillId="43" borderId="289" applyNumberFormat="0" applyAlignment="0" applyProtection="0"/>
    <xf numFmtId="49" fontId="34" fillId="0" borderId="292" applyNumberFormat="0" applyFill="0" applyBorder="0" applyProtection="0">
      <alignment horizontal="left" vertical="center"/>
    </xf>
    <xf numFmtId="49" fontId="35" fillId="0" borderId="292" applyNumberFormat="0" applyFont="0" applyFill="0" applyBorder="0" applyProtection="0">
      <alignment horizontal="left" vertical="center" indent="2"/>
    </xf>
    <xf numFmtId="4" fontId="35" fillId="0" borderId="292" applyFill="0" applyBorder="0" applyProtection="0">
      <alignment horizontal="right" vertical="center"/>
    </xf>
    <xf numFmtId="173" fontId="35" fillId="60" borderId="292" applyNumberFormat="0" applyFont="0" applyBorder="0" applyAlignment="0" applyProtection="0">
      <alignment horizontal="right" vertical="center"/>
    </xf>
    <xf numFmtId="0" fontId="37" fillId="32" borderId="292">
      <alignment horizontal="right" vertical="center"/>
    </xf>
    <xf numFmtId="0" fontId="50" fillId="43" borderId="289" applyNumberFormat="0" applyAlignment="0" applyProtection="0"/>
    <xf numFmtId="4" fontId="33" fillId="34" borderId="292">
      <alignment horizontal="right" vertical="center"/>
    </xf>
    <xf numFmtId="0" fontId="35" fillId="32" borderId="293">
      <alignment horizontal="left" vertical="center"/>
    </xf>
    <xf numFmtId="0" fontId="27" fillId="20" borderId="0" applyNumberFormat="0" applyBorder="0" applyAlignment="0" applyProtection="0"/>
    <xf numFmtId="0" fontId="12" fillId="31" borderId="0" applyNumberFormat="0" applyBorder="0" applyAlignment="0" applyProtection="0"/>
    <xf numFmtId="0" fontId="27" fillId="26" borderId="0" applyNumberFormat="0" applyBorder="0" applyAlignment="0" applyProtection="0"/>
    <xf numFmtId="0" fontId="12" fillId="22" borderId="0" applyNumberFormat="0" applyBorder="0" applyAlignment="0" applyProtection="0"/>
    <xf numFmtId="0" fontId="33" fillId="34" borderId="292">
      <alignment horizontal="right" vertical="center"/>
    </xf>
    <xf numFmtId="0" fontId="35" fillId="34" borderId="295">
      <alignment horizontal="left" vertical="center" wrapText="1" indent="2"/>
    </xf>
    <xf numFmtId="173" fontId="35" fillId="60" borderId="292" applyNumberFormat="0" applyFont="0" applyBorder="0" applyAlignment="0" applyProtection="0">
      <alignment horizontal="right" vertical="center"/>
    </xf>
    <xf numFmtId="0" fontId="41" fillId="59" borderId="291" applyNumberFormat="0" applyFont="0" applyAlignment="0" applyProtection="0"/>
    <xf numFmtId="49" fontId="35" fillId="0" borderId="292" applyNumberFormat="0" applyFont="0" applyFill="0" applyBorder="0" applyProtection="0">
      <alignment horizontal="left" vertical="center" indent="2"/>
    </xf>
    <xf numFmtId="0" fontId="31" fillId="0" borderId="0" applyNumberFormat="0" applyFill="0" applyBorder="0" applyAlignment="0" applyProtection="0"/>
    <xf numFmtId="49" fontId="34" fillId="0" borderId="292" applyNumberFormat="0" applyFill="0" applyBorder="0" applyProtection="0">
      <alignment horizontal="left" vertical="center"/>
    </xf>
    <xf numFmtId="173" fontId="35" fillId="60" borderId="292" applyNumberFormat="0" applyFont="0" applyBorder="0" applyAlignment="0" applyProtection="0">
      <alignment horizontal="right" vertical="center"/>
    </xf>
    <xf numFmtId="0" fontId="63" fillId="56" borderId="296" applyNumberFormat="0" applyAlignment="0" applyProtection="0"/>
    <xf numFmtId="0" fontId="35" fillId="0" borderId="292">
      <alignment horizontal="right" vertical="center"/>
    </xf>
    <xf numFmtId="0" fontId="35" fillId="33" borderId="292"/>
    <xf numFmtId="4" fontId="33" fillId="34" borderId="292">
      <alignment horizontal="right" vertical="center"/>
    </xf>
    <xf numFmtId="0" fontId="35" fillId="33" borderId="292"/>
    <xf numFmtId="0" fontId="59" fillId="43" borderId="289" applyNumberFormat="0" applyAlignment="0" applyProtection="0"/>
    <xf numFmtId="0" fontId="37" fillId="32" borderId="292">
      <alignment horizontal="right" vertical="center"/>
    </xf>
    <xf numFmtId="0" fontId="35" fillId="0" borderId="295">
      <alignment horizontal="left" vertical="center" wrapText="1" indent="2"/>
    </xf>
    <xf numFmtId="0" fontId="33" fillId="32" borderId="292">
      <alignment horizontal="right" vertical="center"/>
    </xf>
    <xf numFmtId="0" fontId="50" fillId="43" borderId="289" applyNumberFormat="0" applyAlignment="0" applyProtection="0"/>
    <xf numFmtId="0" fontId="35" fillId="34" borderId="295">
      <alignment horizontal="left" vertical="center" wrapText="1" indent="2"/>
    </xf>
    <xf numFmtId="0" fontId="27" fillId="20" borderId="0" applyNumberFormat="0" applyBorder="0" applyAlignment="0" applyProtection="0"/>
    <xf numFmtId="0" fontId="27" fillId="18" borderId="0" applyNumberFormat="0" applyBorder="0" applyAlignment="0" applyProtection="0"/>
    <xf numFmtId="0" fontId="46" fillId="56" borderId="289" applyNumberFormat="0" applyAlignment="0" applyProtection="0"/>
    <xf numFmtId="0" fontId="37" fillId="32" borderId="292">
      <alignment horizontal="right" vertical="center"/>
    </xf>
    <xf numFmtId="0" fontId="30" fillId="13" borderId="13" applyNumberFormat="0" applyAlignment="0" applyProtection="0"/>
    <xf numFmtId="0" fontId="27" fillId="14" borderId="0" applyNumberFormat="0" applyBorder="0" applyAlignment="0" applyProtection="0"/>
    <xf numFmtId="0" fontId="33" fillId="34" borderId="292">
      <alignment horizontal="right" vertical="center"/>
    </xf>
    <xf numFmtId="4" fontId="35" fillId="0" borderId="292" applyFill="0" applyBorder="0" applyProtection="0">
      <alignment horizontal="right" vertical="center"/>
    </xf>
    <xf numFmtId="0" fontId="35" fillId="34" borderId="295">
      <alignment horizontal="left" vertical="center" wrapText="1" indent="2"/>
    </xf>
    <xf numFmtId="0" fontId="41" fillId="59" borderId="291" applyNumberFormat="0" applyFont="0" applyAlignment="0" applyProtection="0"/>
    <xf numFmtId="0" fontId="50" fillId="43" borderId="289" applyNumberFormat="0" applyAlignment="0" applyProtection="0"/>
    <xf numFmtId="4" fontId="35" fillId="33" borderId="292"/>
    <xf numFmtId="4" fontId="35" fillId="0" borderId="292" applyFill="0" applyBorder="0" applyProtection="0">
      <alignment horizontal="right" vertical="center"/>
    </xf>
    <xf numFmtId="0" fontId="66" fillId="0" borderId="290" applyNumberFormat="0" applyFill="0" applyAlignment="0" applyProtection="0"/>
    <xf numFmtId="0" fontId="35" fillId="32" borderId="293">
      <alignment horizontal="left" vertical="center"/>
    </xf>
    <xf numFmtId="0" fontId="35" fillId="0" borderId="295">
      <alignment horizontal="left" vertical="center" wrapText="1" indent="2"/>
    </xf>
    <xf numFmtId="0" fontId="59" fillId="43" borderId="289" applyNumberFormat="0" applyAlignment="0" applyProtection="0"/>
    <xf numFmtId="0" fontId="35" fillId="34" borderId="295">
      <alignment horizontal="left" vertical="center" wrapText="1" indent="2"/>
    </xf>
    <xf numFmtId="0" fontId="12" fillId="16" borderId="0" applyNumberFormat="0" applyBorder="0" applyAlignment="0" applyProtection="0"/>
    <xf numFmtId="0" fontId="41" fillId="59" borderId="291" applyNumberFormat="0" applyFont="0" applyAlignment="0" applyProtection="0"/>
    <xf numFmtId="0" fontId="59" fillId="43" borderId="289" applyNumberFormat="0" applyAlignment="0" applyProtection="0"/>
    <xf numFmtId="4" fontId="35" fillId="33" borderId="292"/>
    <xf numFmtId="0" fontId="47" fillId="56" borderId="289" applyNumberFormat="0" applyAlignment="0" applyProtection="0"/>
    <xf numFmtId="0" fontId="59" fillId="43" borderId="289" applyNumberFormat="0" applyAlignment="0" applyProtection="0"/>
    <xf numFmtId="4" fontId="33" fillId="34" borderId="292">
      <alignment horizontal="right" vertical="center"/>
    </xf>
    <xf numFmtId="0" fontId="51" fillId="0" borderId="290" applyNumberFormat="0" applyFill="0" applyAlignment="0" applyProtection="0"/>
    <xf numFmtId="0" fontId="50" fillId="43" borderId="289" applyNumberFormat="0" applyAlignment="0" applyProtection="0"/>
    <xf numFmtId="0" fontId="35" fillId="34" borderId="295">
      <alignment horizontal="left" vertical="center" wrapText="1" indent="2"/>
    </xf>
    <xf numFmtId="0" fontId="63" fillId="56" borderId="296" applyNumberFormat="0" applyAlignment="0" applyProtection="0"/>
    <xf numFmtId="0" fontId="59" fillId="43" borderId="289" applyNumberFormat="0" applyAlignment="0" applyProtection="0"/>
    <xf numFmtId="4" fontId="33" fillId="34" borderId="292">
      <alignment horizontal="right" vertical="center"/>
    </xf>
    <xf numFmtId="0" fontId="35" fillId="33" borderId="292"/>
    <xf numFmtId="0" fontId="35" fillId="0" borderId="295">
      <alignment horizontal="left" vertical="center" wrapText="1" indent="2"/>
    </xf>
    <xf numFmtId="0" fontId="12" fillId="19" borderId="0" applyNumberFormat="0" applyBorder="0" applyAlignment="0" applyProtection="0"/>
    <xf numFmtId="0" fontId="46" fillId="56" borderId="289" applyNumberFormat="0" applyAlignment="0" applyProtection="0"/>
    <xf numFmtId="4" fontId="33" fillId="32" borderId="292">
      <alignment horizontal="right" vertical="center"/>
    </xf>
    <xf numFmtId="0" fontId="33" fillId="32" borderId="292">
      <alignment horizontal="right" vertical="center"/>
    </xf>
    <xf numFmtId="0" fontId="33" fillId="34" borderId="292">
      <alignment horizontal="right" vertical="center"/>
    </xf>
    <xf numFmtId="0" fontId="27" fillId="24" borderId="0" applyNumberFormat="0" applyBorder="0" applyAlignment="0" applyProtection="0"/>
    <xf numFmtId="0" fontId="63" fillId="56" borderId="296" applyNumberFormat="0" applyAlignment="0" applyProtection="0"/>
    <xf numFmtId="49" fontId="35" fillId="0" borderId="292" applyNumberFormat="0" applyFont="0" applyFill="0" applyBorder="0" applyProtection="0">
      <alignment horizontal="left" vertical="center" indent="2"/>
    </xf>
    <xf numFmtId="0" fontId="41" fillId="59" borderId="291" applyNumberFormat="0" applyFont="0" applyAlignment="0" applyProtection="0"/>
    <xf numFmtId="173" fontId="35" fillId="60" borderId="292" applyNumberFormat="0" applyFont="0" applyBorder="0" applyAlignment="0" applyProtection="0">
      <alignment horizontal="right" vertical="center"/>
    </xf>
    <xf numFmtId="0" fontId="59" fillId="43" borderId="289" applyNumberFormat="0" applyAlignment="0" applyProtection="0"/>
    <xf numFmtId="0" fontId="33" fillId="34" borderId="292">
      <alignment horizontal="right" vertical="center"/>
    </xf>
    <xf numFmtId="0" fontId="35" fillId="33" borderId="292"/>
    <xf numFmtId="0" fontId="63" fillId="56" borderId="296" applyNumberFormat="0" applyAlignment="0" applyProtection="0"/>
    <xf numFmtId="0" fontId="47" fillId="56" borderId="289" applyNumberFormat="0" applyAlignment="0" applyProtection="0"/>
    <xf numFmtId="0" fontId="46" fillId="56" borderId="289" applyNumberFormat="0" applyAlignment="0" applyProtection="0"/>
    <xf numFmtId="0" fontId="50" fillId="43" borderId="289" applyNumberFormat="0" applyAlignment="0" applyProtection="0"/>
    <xf numFmtId="0" fontId="50" fillId="43" borderId="289" applyNumberFormat="0" applyAlignment="0" applyProtection="0"/>
    <xf numFmtId="0" fontId="35" fillId="0" borderId="295">
      <alignment horizontal="left" vertical="center" wrapText="1" indent="2"/>
    </xf>
    <xf numFmtId="4" fontId="33" fillId="34" borderId="293">
      <alignment horizontal="right" vertical="center"/>
    </xf>
    <xf numFmtId="4" fontId="35" fillId="0" borderId="292">
      <alignment horizontal="right" vertical="center"/>
    </xf>
    <xf numFmtId="49" fontId="34" fillId="0" borderId="292" applyNumberFormat="0" applyFill="0" applyBorder="0" applyProtection="0">
      <alignment horizontal="left" vertical="center"/>
    </xf>
    <xf numFmtId="4" fontId="35" fillId="0" borderId="292">
      <alignment horizontal="right" vertical="center"/>
    </xf>
    <xf numFmtId="0" fontId="63" fillId="56" borderId="296" applyNumberFormat="0" applyAlignment="0" applyProtection="0"/>
    <xf numFmtId="0" fontId="35" fillId="0" borderId="295">
      <alignment horizontal="left" vertical="center" wrapText="1" indent="2"/>
    </xf>
    <xf numFmtId="0" fontId="12" fillId="16" borderId="0" applyNumberFormat="0" applyBorder="0" applyAlignment="0" applyProtection="0"/>
    <xf numFmtId="0" fontId="41" fillId="59" borderId="291" applyNumberFormat="0" applyFont="0" applyAlignment="0" applyProtection="0"/>
    <xf numFmtId="0" fontId="33" fillId="32" borderId="292">
      <alignment horizontal="right" vertical="center"/>
    </xf>
    <xf numFmtId="0" fontId="2" fillId="0" borderId="15" applyNumberFormat="0" applyFill="0" applyAlignment="0" applyProtection="0"/>
    <xf numFmtId="0" fontId="35" fillId="0" borderId="292" applyNumberFormat="0" applyFill="0" applyAlignment="0" applyProtection="0"/>
    <xf numFmtId="49" fontId="34" fillId="0" borderId="292" applyNumberFormat="0" applyFill="0" applyBorder="0" applyProtection="0">
      <alignment horizontal="left" vertical="center"/>
    </xf>
    <xf numFmtId="0" fontId="35" fillId="0" borderId="292">
      <alignment horizontal="right" vertical="center"/>
    </xf>
    <xf numFmtId="4" fontId="33" fillId="32" borderId="292">
      <alignment horizontal="right" vertical="center"/>
    </xf>
    <xf numFmtId="0" fontId="47" fillId="56" borderId="289" applyNumberFormat="0" applyAlignment="0" applyProtection="0"/>
    <xf numFmtId="0" fontId="33" fillId="34" borderId="294">
      <alignment horizontal="right" vertical="center"/>
    </xf>
    <xf numFmtId="4" fontId="33" fillId="32" borderId="292">
      <alignment horizontal="right" vertical="center"/>
    </xf>
    <xf numFmtId="0" fontId="33" fillId="34" borderId="292">
      <alignment horizontal="right" vertical="center"/>
    </xf>
    <xf numFmtId="0" fontId="47" fillId="56" borderId="289" applyNumberFormat="0" applyAlignment="0" applyProtection="0"/>
    <xf numFmtId="4" fontId="35" fillId="0" borderId="292" applyFill="0" applyBorder="0" applyProtection="0">
      <alignment horizontal="right" vertical="center"/>
    </xf>
    <xf numFmtId="0" fontId="41" fillId="59" borderId="291" applyNumberFormat="0" applyFont="0" applyAlignment="0" applyProtection="0"/>
    <xf numFmtId="0" fontId="27" fillId="29" borderId="0" applyNumberFormat="0" applyBorder="0" applyAlignment="0" applyProtection="0"/>
    <xf numFmtId="0" fontId="27" fillId="27" borderId="0" applyNumberFormat="0" applyBorder="0" applyAlignment="0" applyProtection="0"/>
    <xf numFmtId="0" fontId="33" fillId="32" borderId="292">
      <alignment horizontal="right" vertical="center"/>
    </xf>
    <xf numFmtId="0" fontId="51" fillId="0" borderId="290" applyNumberFormat="0" applyFill="0" applyAlignment="0" applyProtection="0"/>
    <xf numFmtId="0" fontId="35" fillId="0" borderId="292" applyNumberFormat="0" applyFill="0" applyAlignment="0" applyProtection="0"/>
    <xf numFmtId="0" fontId="51" fillId="0" borderId="290" applyNumberFormat="0" applyFill="0" applyAlignment="0" applyProtection="0"/>
    <xf numFmtId="4" fontId="35" fillId="0" borderId="292" applyFill="0" applyBorder="0" applyProtection="0">
      <alignment horizontal="right" vertical="center"/>
    </xf>
    <xf numFmtId="49" fontId="35" fillId="0" borderId="293" applyNumberFormat="0" applyFont="0" applyFill="0" applyBorder="0" applyProtection="0">
      <alignment horizontal="left" vertical="center" indent="5"/>
    </xf>
    <xf numFmtId="0" fontId="35" fillId="0" borderId="292" applyNumberFormat="0" applyFill="0" applyAlignment="0" applyProtection="0"/>
    <xf numFmtId="0" fontId="59" fillId="43" borderId="289" applyNumberFormat="0" applyAlignment="0" applyProtection="0"/>
    <xf numFmtId="0" fontId="35" fillId="0" borderId="292" applyNumberFormat="0" applyFill="0" applyAlignment="0" applyProtection="0"/>
    <xf numFmtId="4" fontId="33" fillId="34" borderId="292">
      <alignment horizontal="right" vertical="center"/>
    </xf>
    <xf numFmtId="0" fontId="50" fillId="43" borderId="289" applyNumberFormat="0" applyAlignment="0" applyProtection="0"/>
    <xf numFmtId="0" fontId="47" fillId="56" borderId="289" applyNumberFormat="0" applyAlignment="0" applyProtection="0"/>
    <xf numFmtId="4" fontId="35" fillId="0" borderId="292">
      <alignment horizontal="right" vertical="center"/>
    </xf>
    <xf numFmtId="0" fontId="35" fillId="34" borderId="295">
      <alignment horizontal="left" vertical="center" wrapText="1" indent="2"/>
    </xf>
    <xf numFmtId="0" fontId="35" fillId="0" borderId="295">
      <alignment horizontal="left" vertical="center" wrapText="1" indent="2"/>
    </xf>
    <xf numFmtId="0" fontId="63" fillId="56" borderId="296" applyNumberFormat="0" applyAlignment="0" applyProtection="0"/>
    <xf numFmtId="0" fontId="59" fillId="43" borderId="289" applyNumberFormat="0" applyAlignment="0" applyProtection="0"/>
    <xf numFmtId="0" fontId="46" fillId="56" borderId="289" applyNumberFormat="0" applyAlignment="0" applyProtection="0"/>
    <xf numFmtId="0" fontId="44" fillId="56" borderId="296" applyNumberFormat="0" applyAlignment="0" applyProtection="0"/>
    <xf numFmtId="0" fontId="33" fillId="34" borderId="294">
      <alignment horizontal="right" vertical="center"/>
    </xf>
    <xf numFmtId="0" fontId="37" fillId="32" borderId="292">
      <alignment horizontal="right" vertical="center"/>
    </xf>
    <xf numFmtId="4" fontId="33" fillId="32" borderId="292">
      <alignment horizontal="right" vertical="center"/>
    </xf>
    <xf numFmtId="4" fontId="33" fillId="34" borderId="292">
      <alignment horizontal="right" vertical="center"/>
    </xf>
    <xf numFmtId="49" fontId="35" fillId="0" borderId="293" applyNumberFormat="0" applyFont="0" applyFill="0" applyBorder="0" applyProtection="0">
      <alignment horizontal="left" vertical="center" indent="5"/>
    </xf>
    <xf numFmtId="4" fontId="35" fillId="0" borderId="292" applyFill="0" applyBorder="0" applyProtection="0">
      <alignment horizontal="right" vertical="center"/>
    </xf>
    <xf numFmtId="4" fontId="33" fillId="32" borderId="292">
      <alignment horizontal="right" vertical="center"/>
    </xf>
    <xf numFmtId="0" fontId="59" fillId="43" borderId="289" applyNumberFormat="0" applyAlignment="0" applyProtection="0"/>
    <xf numFmtId="0" fontId="50" fillId="43" borderId="289" applyNumberFormat="0" applyAlignment="0" applyProtection="0"/>
    <xf numFmtId="0" fontId="46" fillId="56" borderId="289" applyNumberFormat="0" applyAlignment="0" applyProtection="0"/>
    <xf numFmtId="0" fontId="35" fillId="34" borderId="295">
      <alignment horizontal="left" vertical="center" wrapText="1" indent="2"/>
    </xf>
    <xf numFmtId="0" fontId="35" fillId="0" borderId="295">
      <alignment horizontal="left" vertical="center" wrapText="1" indent="2"/>
    </xf>
    <xf numFmtId="0" fontId="35" fillId="34" borderId="295">
      <alignment horizontal="left" vertical="center" wrapText="1" indent="2"/>
    </xf>
    <xf numFmtId="0" fontId="27" fillId="15" borderId="0" applyNumberFormat="0" applyBorder="0" applyAlignment="0" applyProtection="0"/>
    <xf numFmtId="0" fontId="27" fillId="29" borderId="0" applyNumberFormat="0" applyBorder="0" applyAlignment="0" applyProtection="0"/>
    <xf numFmtId="0" fontId="12" fillId="25" borderId="0" applyNumberFormat="0" applyBorder="0" applyAlignment="0" applyProtection="0"/>
    <xf numFmtId="0" fontId="27" fillId="23"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27" fillId="26" borderId="0" applyNumberFormat="0" applyBorder="0" applyAlignment="0" applyProtection="0"/>
    <xf numFmtId="0" fontId="12" fillId="22" borderId="0" applyNumberFormat="0" applyBorder="0" applyAlignment="0" applyProtection="0"/>
    <xf numFmtId="0" fontId="27" fillId="18" borderId="0" applyNumberFormat="0" applyBorder="0" applyAlignment="0" applyProtection="0"/>
    <xf numFmtId="0" fontId="27" fillId="14" borderId="0" applyNumberFormat="0" applyBorder="0" applyAlignment="0" applyProtection="0"/>
    <xf numFmtId="0" fontId="12" fillId="19" borderId="0" applyNumberFormat="0" applyBorder="0" applyAlignment="0" applyProtection="0"/>
    <xf numFmtId="0" fontId="27" fillId="24" borderId="0" applyNumberFormat="0" applyBorder="0" applyAlignment="0" applyProtection="0"/>
    <xf numFmtId="0" fontId="12" fillId="16" borderId="0" applyNumberFormat="0" applyBorder="0" applyAlignment="0" applyProtection="0"/>
    <xf numFmtId="0" fontId="2" fillId="0" borderId="15" applyNumberFormat="0" applyFill="0" applyAlignment="0" applyProtection="0"/>
    <xf numFmtId="0" fontId="27" fillId="27" borderId="0" applyNumberFormat="0" applyBorder="0" applyAlignment="0" applyProtection="0"/>
    <xf numFmtId="0" fontId="35" fillId="33" borderId="309"/>
    <xf numFmtId="0" fontId="2" fillId="0" borderId="15" applyNumberFormat="0" applyFill="0" applyAlignment="0" applyProtection="0"/>
    <xf numFmtId="0" fontId="35" fillId="0" borderId="312">
      <alignment horizontal="left" vertical="center" wrapText="1" indent="2"/>
    </xf>
    <xf numFmtId="4" fontId="33" fillId="34" borderId="310">
      <alignment horizontal="right" vertical="center"/>
    </xf>
    <xf numFmtId="4" fontId="35" fillId="0" borderId="333">
      <alignment horizontal="right" vertical="center"/>
    </xf>
    <xf numFmtId="4" fontId="37" fillId="32" borderId="324">
      <alignment horizontal="right" vertical="center"/>
    </xf>
    <xf numFmtId="0" fontId="27" fillId="26" borderId="0" applyNumberFormat="0" applyBorder="0" applyAlignment="0" applyProtection="0"/>
    <xf numFmtId="0" fontId="35" fillId="0" borderId="309" applyNumberFormat="0" applyFill="0" applyAlignment="0" applyProtection="0"/>
    <xf numFmtId="4" fontId="33" fillId="34" borderId="311">
      <alignment horizontal="right" vertical="center"/>
    </xf>
    <xf numFmtId="0" fontId="35" fillId="0" borderId="314">
      <alignment horizontal="right" vertical="center"/>
    </xf>
    <xf numFmtId="0" fontId="33" fillId="34" borderId="309">
      <alignment horizontal="right" vertical="center"/>
    </xf>
    <xf numFmtId="0" fontId="66" fillId="0" borderId="331" applyNumberFormat="0" applyFill="0" applyAlignment="0" applyProtection="0"/>
    <xf numFmtId="0" fontId="37" fillId="32" borderId="324">
      <alignment horizontal="right" vertical="center"/>
    </xf>
    <xf numFmtId="0" fontId="27" fillId="21" borderId="0" applyNumberFormat="0" applyBorder="0" applyAlignment="0" applyProtection="0"/>
    <xf numFmtId="0" fontId="66" fillId="0" borderId="320" applyNumberFormat="0" applyFill="0" applyAlignment="0" applyProtection="0"/>
    <xf numFmtId="0" fontId="33" fillId="32" borderId="324">
      <alignment horizontal="right" vertical="center"/>
    </xf>
    <xf numFmtId="0" fontId="35" fillId="0" borderId="324" applyNumberFormat="0" applyFill="0" applyAlignment="0" applyProtection="0"/>
    <xf numFmtId="0" fontId="44" fillId="56" borderId="305" applyNumberFormat="0" applyAlignment="0" applyProtection="0"/>
    <xf numFmtId="0" fontId="35" fillId="0" borderId="314">
      <alignment horizontal="right" vertical="center"/>
    </xf>
    <xf numFmtId="0" fontId="50" fillId="43" borderId="306" applyNumberFormat="0" applyAlignment="0" applyProtection="0"/>
    <xf numFmtId="173" fontId="35" fillId="60" borderId="324" applyNumberFormat="0" applyFont="0" applyBorder="0" applyAlignment="0" applyProtection="0">
      <alignment horizontal="right" vertical="center"/>
    </xf>
    <xf numFmtId="0" fontId="35" fillId="33" borderId="314"/>
    <xf numFmtId="4" fontId="35" fillId="33" borderId="309"/>
    <xf numFmtId="0" fontId="33" fillId="34" borderId="309">
      <alignment horizontal="right" vertical="center"/>
    </xf>
    <xf numFmtId="0" fontId="27" fillId="15" borderId="0" applyNumberFormat="0" applyBorder="0" applyAlignment="0" applyProtection="0"/>
    <xf numFmtId="49" fontId="35" fillId="0" borderId="309" applyNumberFormat="0" applyFont="0" applyFill="0" applyBorder="0" applyProtection="0">
      <alignment horizontal="left" vertical="center" indent="2"/>
    </xf>
    <xf numFmtId="0" fontId="33" fillId="32" borderId="309">
      <alignment horizontal="right" vertical="center"/>
    </xf>
    <xf numFmtId="0" fontId="5" fillId="59" borderId="308" applyNumberFormat="0" applyFont="0" applyAlignment="0" applyProtection="0"/>
    <xf numFmtId="0" fontId="46" fillId="56" borderId="319" applyNumberFormat="0" applyAlignment="0" applyProtection="0"/>
    <xf numFmtId="0" fontId="27" fillId="23" borderId="0" applyNumberFormat="0" applyBorder="0" applyAlignment="0" applyProtection="0"/>
    <xf numFmtId="4" fontId="37" fillId="32" borderId="309">
      <alignment horizontal="right" vertical="center"/>
    </xf>
    <xf numFmtId="4" fontId="35" fillId="0" borderId="333" applyFill="0" applyBorder="0" applyProtection="0">
      <alignment horizontal="right" vertical="center"/>
    </xf>
    <xf numFmtId="0" fontId="27" fillId="15" borderId="0" applyNumberFormat="0" applyBorder="0" applyAlignment="0" applyProtection="0"/>
    <xf numFmtId="0" fontId="31" fillId="0" borderId="0" applyNumberFormat="0" applyFill="0" applyBorder="0" applyAlignment="0" applyProtection="0"/>
    <xf numFmtId="0" fontId="33" fillId="34" borderId="341">
      <alignment horizontal="right" vertical="center"/>
    </xf>
    <xf numFmtId="0" fontId="41" fillId="59" borderId="313" applyNumberFormat="0" applyFont="0" applyAlignment="0" applyProtection="0"/>
    <xf numFmtId="0" fontId="35" fillId="0" borderId="324">
      <alignment horizontal="right" vertical="center"/>
    </xf>
    <xf numFmtId="0" fontId="12" fillId="16" borderId="0" applyNumberFormat="0" applyBorder="0" applyAlignment="0" applyProtection="0"/>
    <xf numFmtId="4" fontId="33" fillId="34" borderId="314">
      <alignment horizontal="right" vertical="center"/>
    </xf>
    <xf numFmtId="0" fontId="5" fillId="59" borderId="308" applyNumberFormat="0" applyFont="0" applyAlignment="0" applyProtection="0"/>
    <xf numFmtId="0" fontId="47" fillId="56" borderId="306" applyNumberFormat="0" applyAlignment="0" applyProtection="0"/>
    <xf numFmtId="0" fontId="63" fillId="56" borderId="305" applyNumberFormat="0" applyAlignment="0" applyProtection="0"/>
    <xf numFmtId="4" fontId="37" fillId="32" borderId="324">
      <alignment horizontal="right" vertical="center"/>
    </xf>
    <xf numFmtId="0" fontId="41" fillId="59" borderId="308" applyNumberFormat="0" applyFont="0" applyAlignment="0" applyProtection="0"/>
    <xf numFmtId="4" fontId="33" fillId="32" borderId="333">
      <alignment horizontal="right" vertical="center"/>
    </xf>
    <xf numFmtId="0" fontId="47" fillId="56" borderId="319" applyNumberFormat="0" applyAlignment="0" applyProtection="0"/>
    <xf numFmtId="0" fontId="47" fillId="56" borderId="319" applyNumberFormat="0" applyAlignment="0" applyProtection="0"/>
    <xf numFmtId="0" fontId="12" fillId="28" borderId="0" applyNumberFormat="0" applyBorder="0" applyAlignment="0" applyProtection="0"/>
    <xf numFmtId="4" fontId="35" fillId="33" borderId="309"/>
    <xf numFmtId="0" fontId="66" fillId="0" borderId="307" applyNumberFormat="0" applyFill="0" applyAlignment="0" applyProtection="0"/>
    <xf numFmtId="0" fontId="29" fillId="13" borderId="14" applyNumberFormat="0" applyAlignment="0" applyProtection="0"/>
    <xf numFmtId="0" fontId="30" fillId="13" borderId="13" applyNumberFormat="0" applyAlignment="0" applyProtection="0"/>
    <xf numFmtId="0" fontId="35" fillId="0" borderId="314">
      <alignment horizontal="right" vertical="center"/>
    </xf>
    <xf numFmtId="0" fontId="59" fillId="43" borderId="306" applyNumberFormat="0" applyAlignment="0" applyProtection="0"/>
    <xf numFmtId="0" fontId="1" fillId="0" borderId="0" applyNumberFormat="0" applyFill="0" applyBorder="0" applyAlignment="0" applyProtection="0"/>
    <xf numFmtId="4" fontId="33" fillId="34" borderId="309">
      <alignment horizontal="right" vertical="center"/>
    </xf>
    <xf numFmtId="0" fontId="31" fillId="0" borderId="0" applyNumberFormat="0" applyFill="0" applyBorder="0" applyAlignment="0" applyProtection="0"/>
    <xf numFmtId="0" fontId="2" fillId="0" borderId="15" applyNumberFormat="0" applyFill="0" applyAlignment="0" applyProtection="0"/>
    <xf numFmtId="0" fontId="35" fillId="34" borderId="327">
      <alignment horizontal="left" vertical="center" wrapText="1" indent="2"/>
    </xf>
    <xf numFmtId="0" fontId="27" fillId="14" borderId="0" applyNumberFormat="0" applyBorder="0" applyAlignment="0" applyProtection="0"/>
    <xf numFmtId="0" fontId="27" fillId="15" borderId="0" applyNumberFormat="0" applyBorder="0" applyAlignment="0" applyProtection="0"/>
    <xf numFmtId="0" fontId="12" fillId="16" borderId="0" applyNumberFormat="0" applyBorder="0" applyAlignment="0" applyProtection="0"/>
    <xf numFmtId="4" fontId="33" fillId="32" borderId="314">
      <alignment horizontal="right" vertical="center"/>
    </xf>
    <xf numFmtId="0" fontId="27" fillId="17" borderId="0" applyNumberFormat="0" applyBorder="0" applyAlignment="0" applyProtection="0"/>
    <xf numFmtId="0" fontId="27" fillId="18" borderId="0" applyNumberFormat="0" applyBorder="0" applyAlignment="0" applyProtection="0"/>
    <xf numFmtId="0" fontId="12" fillId="19" borderId="0" applyNumberFormat="0" applyBorder="0" applyAlignment="0" applyProtection="0"/>
    <xf numFmtId="0" fontId="33" fillId="34" borderId="324">
      <alignment horizontal="right" vertical="center"/>
    </xf>
    <xf numFmtId="0" fontId="27" fillId="20" borderId="0" applyNumberFormat="0" applyBorder="0" applyAlignment="0" applyProtection="0"/>
    <xf numFmtId="0" fontId="27" fillId="21" borderId="0" applyNumberFormat="0" applyBorder="0" applyAlignment="0" applyProtection="0"/>
    <xf numFmtId="0" fontId="12" fillId="22" borderId="0" applyNumberFormat="0" applyBorder="0" applyAlignment="0" applyProtection="0"/>
    <xf numFmtId="0" fontId="35" fillId="34" borderId="317">
      <alignment horizontal="left" vertical="center" wrapText="1" indent="2"/>
    </xf>
    <xf numFmtId="0" fontId="27" fillId="23" borderId="0" applyNumberFormat="0" applyBorder="0" applyAlignment="0" applyProtection="0"/>
    <xf numFmtId="0" fontId="27" fillId="24" borderId="0" applyNumberFormat="0" applyBorder="0" applyAlignment="0" applyProtection="0"/>
    <xf numFmtId="0" fontId="12" fillId="25" borderId="0" applyNumberFormat="0" applyBorder="0" applyAlignment="0" applyProtection="0"/>
    <xf numFmtId="0" fontId="35" fillId="33" borderId="324"/>
    <xf numFmtId="0" fontId="27" fillId="26" borderId="0" applyNumberFormat="0" applyBorder="0" applyAlignment="0" applyProtection="0"/>
    <xf numFmtId="0" fontId="27" fillId="27" borderId="0" applyNumberFormat="0" applyBorder="0" applyAlignment="0" applyProtection="0"/>
    <xf numFmtId="0" fontId="12" fillId="28" borderId="0" applyNumberFormat="0" applyBorder="0" applyAlignment="0" applyProtection="0"/>
    <xf numFmtId="0" fontId="2" fillId="0" borderId="15" applyNumberFormat="0" applyFill="0" applyAlignment="0" applyProtection="0"/>
    <xf numFmtId="0" fontId="27" fillId="29" borderId="0" applyNumberFormat="0" applyBorder="0" applyAlignment="0" applyProtection="0"/>
    <xf numFmtId="0" fontId="27" fillId="30" borderId="0" applyNumberFormat="0" applyBorder="0" applyAlignment="0" applyProtection="0"/>
    <xf numFmtId="0" fontId="12" fillId="31" borderId="0" applyNumberFormat="0" applyBorder="0" applyAlignment="0" applyProtection="0"/>
    <xf numFmtId="0" fontId="35" fillId="0" borderId="292" applyNumberFormat="0" applyFill="0" applyAlignment="0" applyProtection="0"/>
    <xf numFmtId="0" fontId="33" fillId="34" borderId="292">
      <alignment horizontal="right" vertical="center"/>
    </xf>
    <xf numFmtId="0" fontId="33" fillId="34" borderId="292">
      <alignment horizontal="right" vertical="center"/>
    </xf>
    <xf numFmtId="0" fontId="35" fillId="34" borderId="317">
      <alignment horizontal="left" vertical="center" wrapText="1" indent="2"/>
    </xf>
    <xf numFmtId="0" fontId="33" fillId="34" borderId="311">
      <alignment horizontal="right" vertical="center"/>
    </xf>
    <xf numFmtId="0" fontId="35" fillId="0" borderId="292">
      <alignment horizontal="right" vertical="center"/>
    </xf>
    <xf numFmtId="0" fontId="37" fillId="32" borderId="292">
      <alignment horizontal="right" vertical="center"/>
    </xf>
    <xf numFmtId="0" fontId="35" fillId="33" borderId="292"/>
    <xf numFmtId="0" fontId="33" fillId="32" borderId="292">
      <alignment horizontal="right" vertical="center"/>
    </xf>
    <xf numFmtId="0" fontId="37" fillId="32" borderId="346">
      <alignment horizontal="right" vertical="center"/>
    </xf>
    <xf numFmtId="0" fontId="37" fillId="32" borderId="309">
      <alignment horizontal="right" vertical="center"/>
    </xf>
    <xf numFmtId="0" fontId="35" fillId="0" borderId="309">
      <alignment horizontal="right" vertical="center"/>
    </xf>
    <xf numFmtId="0" fontId="47" fillId="56" borderId="306" applyNumberFormat="0" applyAlignment="0" applyProtection="0"/>
    <xf numFmtId="0" fontId="51" fillId="0" borderId="320" applyNumberFormat="0" applyFill="0" applyAlignment="0" applyProtection="0"/>
    <xf numFmtId="0" fontId="35" fillId="0" borderId="317">
      <alignment horizontal="left" vertical="center" wrapText="1" indent="2"/>
    </xf>
    <xf numFmtId="0" fontId="35" fillId="34" borderId="349">
      <alignment horizontal="left" vertical="center" wrapText="1" indent="2"/>
    </xf>
    <xf numFmtId="0" fontId="33" fillId="34" borderId="314">
      <alignment horizontal="right" vertical="center"/>
    </xf>
    <xf numFmtId="4" fontId="35" fillId="33" borderId="309"/>
    <xf numFmtId="0" fontId="66" fillId="0" borderId="307" applyNumberFormat="0" applyFill="0" applyAlignment="0" applyProtection="0"/>
    <xf numFmtId="0" fontId="46" fillId="56" borderId="306" applyNumberFormat="0" applyAlignment="0" applyProtection="0"/>
    <xf numFmtId="0" fontId="35" fillId="33" borderId="309"/>
    <xf numFmtId="0" fontId="27" fillId="27" borderId="0" applyNumberFormat="0" applyBorder="0" applyAlignment="0" applyProtection="0"/>
    <xf numFmtId="0" fontId="33" fillId="34" borderId="335">
      <alignment horizontal="right" vertical="center"/>
    </xf>
    <xf numFmtId="0" fontId="5" fillId="59" borderId="323" applyNumberFormat="0" applyFont="0" applyAlignment="0" applyProtection="0"/>
    <xf numFmtId="0" fontId="27" fillId="14" borderId="0" applyNumberFormat="0" applyBorder="0" applyAlignment="0" applyProtection="0"/>
    <xf numFmtId="0" fontId="47" fillId="56" borderId="319" applyNumberFormat="0" applyAlignment="0" applyProtection="0"/>
    <xf numFmtId="4" fontId="33" fillId="34" borderId="316">
      <alignment horizontal="right" vertical="center"/>
    </xf>
    <xf numFmtId="4" fontId="33" fillId="32" borderId="314">
      <alignment horizontal="right" vertical="center"/>
    </xf>
    <xf numFmtId="0" fontId="35" fillId="33" borderId="324"/>
    <xf numFmtId="0" fontId="35" fillId="0" borderId="324" applyNumberFormat="0" applyFill="0" applyAlignment="0" applyProtection="0"/>
    <xf numFmtId="0" fontId="35" fillId="0" borderId="341" applyNumberFormat="0" applyFill="0" applyAlignment="0" applyProtection="0"/>
    <xf numFmtId="0" fontId="63" fillId="56" borderId="305" applyNumberFormat="0" applyAlignment="0" applyProtection="0"/>
    <xf numFmtId="0" fontId="27" fillId="18" borderId="0" applyNumberFormat="0" applyBorder="0" applyAlignment="0" applyProtection="0"/>
    <xf numFmtId="0" fontId="46" fillId="56" borderId="338" applyNumberFormat="0" applyAlignment="0" applyProtection="0"/>
    <xf numFmtId="0" fontId="47" fillId="56" borderId="319" applyNumberFormat="0" applyAlignment="0" applyProtection="0"/>
    <xf numFmtId="0" fontId="35" fillId="33" borderId="314"/>
    <xf numFmtId="0" fontId="51" fillId="0" borderId="320" applyNumberFormat="0" applyFill="0" applyAlignment="0" applyProtection="0"/>
    <xf numFmtId="0" fontId="27" fillId="29" borderId="0" applyNumberFormat="0" applyBorder="0" applyAlignment="0" applyProtection="0"/>
    <xf numFmtId="0" fontId="44" fillId="56" borderId="318" applyNumberFormat="0" applyAlignment="0" applyProtection="0"/>
    <xf numFmtId="4" fontId="33" fillId="34" borderId="309">
      <alignment horizontal="right" vertical="center"/>
    </xf>
    <xf numFmtId="0" fontId="35" fillId="33" borderId="309"/>
    <xf numFmtId="4" fontId="33" fillId="34" borderId="341">
      <alignment horizontal="right" vertical="center"/>
    </xf>
    <xf numFmtId="0" fontId="33" fillId="34" borderId="314">
      <alignment horizontal="right" vertical="center"/>
    </xf>
    <xf numFmtId="0" fontId="12" fillId="22" borderId="0" applyNumberFormat="0" applyBorder="0" applyAlignment="0" applyProtection="0"/>
    <xf numFmtId="0" fontId="41" fillId="59" borderId="323" applyNumberFormat="0" applyFont="0" applyAlignment="0" applyProtection="0"/>
    <xf numFmtId="4" fontId="33" fillId="34" borderId="324">
      <alignment horizontal="right" vertical="center"/>
    </xf>
    <xf numFmtId="0" fontId="59" fillId="43" borderId="306" applyNumberFormat="0" applyAlignment="0" applyProtection="0"/>
    <xf numFmtId="0" fontId="33" fillId="34" borderId="346">
      <alignment horizontal="right" vertical="center"/>
    </xf>
    <xf numFmtId="0" fontId="33" fillId="32" borderId="314">
      <alignment horizontal="right" vertical="center"/>
    </xf>
    <xf numFmtId="0" fontId="1" fillId="0" borderId="0" applyNumberFormat="0" applyFill="0" applyBorder="0" applyAlignment="0" applyProtection="0"/>
    <xf numFmtId="0" fontId="33" fillId="34" borderId="314">
      <alignment horizontal="right" vertical="center"/>
    </xf>
    <xf numFmtId="0" fontId="35" fillId="0" borderId="314" applyNumberFormat="0" applyFill="0" applyAlignment="0" applyProtection="0"/>
    <xf numFmtId="0" fontId="35" fillId="34" borderId="312">
      <alignment horizontal="left" vertical="center" wrapText="1" indent="2"/>
    </xf>
    <xf numFmtId="0" fontId="33" fillId="34" borderId="311">
      <alignment horizontal="right" vertical="center"/>
    </xf>
    <xf numFmtId="0" fontId="66" fillId="0" borderId="320" applyNumberFormat="0" applyFill="0" applyAlignment="0" applyProtection="0"/>
    <xf numFmtId="0" fontId="47" fillId="56" borderId="306" applyNumberFormat="0" applyAlignment="0" applyProtection="0"/>
    <xf numFmtId="4" fontId="33" fillId="34" borderId="309">
      <alignment horizontal="right" vertical="center"/>
    </xf>
    <xf numFmtId="0" fontId="33" fillId="34" borderId="309">
      <alignment horizontal="right" vertical="center"/>
    </xf>
    <xf numFmtId="0" fontId="66" fillId="0" borderId="307" applyNumberFormat="0" applyFill="0" applyAlignment="0" applyProtection="0"/>
    <xf numFmtId="0" fontId="33" fillId="34" borderId="310">
      <alignment horizontal="right" vertical="center"/>
    </xf>
    <xf numFmtId="0" fontId="47" fillId="56" borderId="298" applyNumberFormat="0" applyAlignment="0" applyProtection="0"/>
    <xf numFmtId="0" fontId="51" fillId="0" borderId="307" applyNumberFormat="0" applyFill="0" applyAlignment="0" applyProtection="0"/>
    <xf numFmtId="43" fontId="38" fillId="0" borderId="0" applyFont="0" applyFill="0" applyBorder="0" applyAlignment="0" applyProtection="0"/>
    <xf numFmtId="4" fontId="33" fillId="34" borderId="309">
      <alignment horizontal="right" vertical="center"/>
    </xf>
    <xf numFmtId="43" fontId="38" fillId="0" borderId="0" applyFont="0" applyFill="0" applyBorder="0" applyAlignment="0" applyProtection="0"/>
    <xf numFmtId="0" fontId="35" fillId="34" borderId="312">
      <alignment horizontal="left" vertical="center" wrapText="1" indent="2"/>
    </xf>
    <xf numFmtId="0" fontId="33" fillId="34" borderId="325">
      <alignment horizontal="right" vertical="center"/>
    </xf>
    <xf numFmtId="0" fontId="27" fillId="21" borderId="0" applyNumberFormat="0" applyBorder="0" applyAlignment="0" applyProtection="0"/>
    <xf numFmtId="0" fontId="35" fillId="34" borderId="317">
      <alignment horizontal="left" vertical="center" wrapText="1" indent="2"/>
    </xf>
    <xf numFmtId="0" fontId="47" fillId="56" borderId="319" applyNumberFormat="0" applyAlignment="0" applyProtection="0"/>
    <xf numFmtId="0" fontId="66" fillId="0" borderId="307" applyNumberFormat="0" applyFill="0" applyAlignment="0" applyProtection="0"/>
    <xf numFmtId="0" fontId="63" fillId="56" borderId="305" applyNumberFormat="0" applyAlignment="0" applyProtection="0"/>
    <xf numFmtId="0" fontId="47" fillId="56" borderId="306" applyNumberFormat="0" applyAlignment="0" applyProtection="0"/>
    <xf numFmtId="0" fontId="66" fillId="0" borderId="307" applyNumberFormat="0" applyFill="0" applyAlignment="0" applyProtection="0"/>
    <xf numFmtId="0" fontId="59" fillId="43" borderId="298" applyNumberFormat="0" applyAlignment="0" applyProtection="0"/>
    <xf numFmtId="4" fontId="35" fillId="0" borderId="309">
      <alignment horizontal="right" vertical="center"/>
    </xf>
    <xf numFmtId="4" fontId="33" fillId="32" borderId="309">
      <alignment horizontal="right" vertical="center"/>
    </xf>
    <xf numFmtId="4" fontId="37" fillId="32" borderId="309">
      <alignment horizontal="right" vertical="center"/>
    </xf>
    <xf numFmtId="49" fontId="34" fillId="0" borderId="309" applyNumberFormat="0" applyFill="0" applyBorder="0" applyProtection="0">
      <alignment horizontal="left" vertical="center"/>
    </xf>
    <xf numFmtId="0" fontId="35" fillId="0" borderId="314">
      <alignment horizontal="right" vertical="center"/>
    </xf>
    <xf numFmtId="4" fontId="33" fillId="34" borderId="315">
      <alignment horizontal="right" vertical="center"/>
    </xf>
    <xf numFmtId="0" fontId="41" fillId="59" borderId="308" applyNumberFormat="0" applyFont="0" applyAlignment="0" applyProtection="0"/>
    <xf numFmtId="0" fontId="35" fillId="0" borderId="309">
      <alignment horizontal="right" vertical="center"/>
    </xf>
    <xf numFmtId="0" fontId="66" fillId="0" borderId="320" applyNumberFormat="0" applyFill="0" applyAlignment="0" applyProtection="0"/>
    <xf numFmtId="0" fontId="66" fillId="0" borderId="352" applyNumberFormat="0" applyFill="0" applyAlignment="0" applyProtection="0"/>
    <xf numFmtId="0" fontId="27" fillId="14" borderId="0" applyNumberFormat="0" applyBorder="0" applyAlignment="0" applyProtection="0"/>
    <xf numFmtId="0" fontId="33" fillId="34" borderId="316">
      <alignment horizontal="right" vertical="center"/>
    </xf>
    <xf numFmtId="0" fontId="51" fillId="0" borderId="352" applyNumberFormat="0" applyFill="0" applyAlignment="0" applyProtection="0"/>
    <xf numFmtId="0" fontId="46" fillId="56" borderId="319" applyNumberFormat="0" applyAlignment="0" applyProtection="0"/>
    <xf numFmtId="49" fontId="34" fillId="0" borderId="314" applyNumberFormat="0" applyFill="0" applyBorder="0" applyProtection="0">
      <alignment horizontal="left" vertical="center"/>
    </xf>
    <xf numFmtId="0" fontId="27" fillId="20" borderId="0" applyNumberFormat="0" applyBorder="0" applyAlignment="0" applyProtection="0"/>
    <xf numFmtId="0" fontId="29" fillId="13" borderId="14" applyNumberFormat="0" applyAlignment="0" applyProtection="0"/>
    <xf numFmtId="4" fontId="33" fillId="34" borderId="316">
      <alignment horizontal="right" vertical="center"/>
    </xf>
    <xf numFmtId="4" fontId="35" fillId="0" borderId="292" applyFill="0" applyBorder="0" applyProtection="0">
      <alignment horizontal="right" vertical="center"/>
    </xf>
    <xf numFmtId="0" fontId="59" fillId="43" borderId="306" applyNumberFormat="0" applyAlignment="0" applyProtection="0"/>
    <xf numFmtId="0" fontId="35" fillId="33" borderId="324"/>
    <xf numFmtId="0" fontId="37" fillId="32" borderId="309">
      <alignment horizontal="right" vertical="center"/>
    </xf>
    <xf numFmtId="0" fontId="41" fillId="59" borderId="345" applyNumberFormat="0" applyFont="0" applyAlignment="0" applyProtection="0"/>
    <xf numFmtId="0" fontId="12" fillId="16" borderId="0" applyNumberFormat="0" applyBorder="0" applyAlignment="0" applyProtection="0"/>
    <xf numFmtId="4" fontId="33" fillId="34" borderId="309">
      <alignment horizontal="right" vertical="center"/>
    </xf>
    <xf numFmtId="0" fontId="37" fillId="32" borderId="309">
      <alignment horizontal="right" vertical="center"/>
    </xf>
    <xf numFmtId="4" fontId="33" fillId="34" borderId="315">
      <alignment horizontal="right" vertical="center"/>
    </xf>
    <xf numFmtId="0" fontId="41" fillId="59" borderId="300" applyNumberFormat="0" applyFont="0" applyAlignment="0" applyProtection="0"/>
    <xf numFmtId="0" fontId="5" fillId="59" borderId="300" applyNumberFormat="0" applyFont="0" applyAlignment="0" applyProtection="0"/>
    <xf numFmtId="0" fontId="63" fillId="56" borderId="297" applyNumberFormat="0" applyAlignment="0" applyProtection="0"/>
    <xf numFmtId="4" fontId="35" fillId="0" borderId="324" applyFill="0" applyBorder="0" applyProtection="0">
      <alignment horizontal="right" vertical="center"/>
    </xf>
    <xf numFmtId="0" fontId="12" fillId="16" borderId="0" applyNumberFormat="0" applyBorder="0" applyAlignment="0" applyProtection="0"/>
    <xf numFmtId="49" fontId="35" fillId="0" borderId="325" applyNumberFormat="0" applyFont="0" applyFill="0" applyBorder="0" applyProtection="0">
      <alignment horizontal="left" vertical="center" indent="5"/>
    </xf>
    <xf numFmtId="0" fontId="35" fillId="33" borderId="309"/>
    <xf numFmtId="0" fontId="66" fillId="0" borderId="307" applyNumberFormat="0" applyFill="0" applyAlignment="0" applyProtection="0"/>
    <xf numFmtId="0" fontId="47" fillId="56" borderId="319" applyNumberFormat="0" applyAlignment="0" applyProtection="0"/>
    <xf numFmtId="0" fontId="66" fillId="0" borderId="299" applyNumberFormat="0" applyFill="0" applyAlignment="0" applyProtection="0"/>
    <xf numFmtId="0" fontId="35" fillId="32" borderId="310">
      <alignment horizontal="left" vertical="center"/>
    </xf>
    <xf numFmtId="0" fontId="46" fillId="56" borderId="306" applyNumberFormat="0" applyAlignment="0" applyProtection="0"/>
    <xf numFmtId="4" fontId="33" fillId="34" borderId="309">
      <alignment horizontal="right" vertical="center"/>
    </xf>
    <xf numFmtId="0" fontId="30" fillId="13" borderId="13" applyNumberFormat="0" applyAlignment="0" applyProtection="0"/>
    <xf numFmtId="4" fontId="33" fillId="34" borderId="314">
      <alignment horizontal="right" vertical="center"/>
    </xf>
    <xf numFmtId="0" fontId="27" fillId="15" borderId="0" applyNumberFormat="0" applyBorder="0" applyAlignment="0" applyProtection="0"/>
    <xf numFmtId="0" fontId="27" fillId="15" borderId="0" applyNumberFormat="0" applyBorder="0" applyAlignment="0" applyProtection="0"/>
    <xf numFmtId="0" fontId="50" fillId="43" borderId="306" applyNumberFormat="0" applyAlignment="0" applyProtection="0"/>
    <xf numFmtId="0" fontId="37" fillId="32" borderId="309">
      <alignment horizontal="right" vertical="center"/>
    </xf>
    <xf numFmtId="0" fontId="41" fillId="59" borderId="313" applyNumberFormat="0" applyFont="0" applyAlignment="0" applyProtection="0"/>
    <xf numFmtId="0" fontId="35" fillId="0" borderId="317">
      <alignment horizontal="left" vertical="center" wrapText="1" indent="2"/>
    </xf>
    <xf numFmtId="0" fontId="47" fillId="56" borderId="306" applyNumberFormat="0" applyAlignment="0" applyProtection="0"/>
    <xf numFmtId="4" fontId="33" fillId="34" borderId="311">
      <alignment horizontal="right" vertical="center"/>
    </xf>
    <xf numFmtId="0" fontId="33" fillId="34" borderId="309">
      <alignment horizontal="right" vertical="center"/>
    </xf>
    <xf numFmtId="0" fontId="27" fillId="18" borderId="0" applyNumberFormat="0" applyBorder="0" applyAlignment="0" applyProtection="0"/>
    <xf numFmtId="4" fontId="35" fillId="0" borderId="314">
      <alignment horizontal="right" vertical="center"/>
    </xf>
    <xf numFmtId="0" fontId="27" fillId="30" borderId="0" applyNumberFormat="0" applyBorder="0" applyAlignment="0" applyProtection="0"/>
    <xf numFmtId="0" fontId="47" fillId="56" borderId="306" applyNumberFormat="0" applyAlignment="0" applyProtection="0"/>
    <xf numFmtId="4" fontId="35" fillId="0" borderId="309">
      <alignment horizontal="right" vertical="center"/>
    </xf>
    <xf numFmtId="0" fontId="5" fillId="59" borderId="308" applyNumberFormat="0" applyFont="0" applyAlignment="0" applyProtection="0"/>
    <xf numFmtId="0" fontId="63" fillId="56" borderId="328" applyNumberFormat="0" applyAlignment="0" applyProtection="0"/>
    <xf numFmtId="0" fontId="30" fillId="13" borderId="13" applyNumberFormat="0" applyAlignment="0" applyProtection="0"/>
    <xf numFmtId="4" fontId="33" fillId="34" borderId="314">
      <alignment horizontal="right" vertical="center"/>
    </xf>
    <xf numFmtId="4" fontId="33" fillId="34" borderId="310">
      <alignment horizontal="right" vertical="center"/>
    </xf>
    <xf numFmtId="4" fontId="33" fillId="34" borderId="309">
      <alignment horizontal="right" vertical="center"/>
    </xf>
    <xf numFmtId="0" fontId="33" fillId="32" borderId="324">
      <alignment horizontal="right" vertical="center"/>
    </xf>
    <xf numFmtId="0" fontId="66" fillId="0" borderId="320" applyNumberFormat="0" applyFill="0" applyAlignment="0" applyProtection="0"/>
    <xf numFmtId="0" fontId="50" fillId="43" borderId="321" applyNumberFormat="0" applyAlignment="0" applyProtection="0"/>
    <xf numFmtId="0" fontId="59" fillId="43" borderId="319" applyNumberFormat="0" applyAlignment="0" applyProtection="0"/>
    <xf numFmtId="0" fontId="33" fillId="34" borderId="310">
      <alignment horizontal="right" vertical="center"/>
    </xf>
    <xf numFmtId="0" fontId="35" fillId="34" borderId="349">
      <alignment horizontal="left" vertical="center" wrapText="1" indent="2"/>
    </xf>
    <xf numFmtId="0" fontId="66" fillId="0" borderId="339" applyNumberFormat="0" applyFill="0" applyAlignment="0" applyProtection="0"/>
    <xf numFmtId="0" fontId="46" fillId="56" borderId="319" applyNumberFormat="0" applyAlignment="0" applyProtection="0"/>
    <xf numFmtId="0" fontId="27" fillId="27" borderId="0" applyNumberFormat="0" applyBorder="0" applyAlignment="0" applyProtection="0"/>
    <xf numFmtId="0" fontId="12" fillId="31" borderId="0" applyNumberFormat="0" applyBorder="0" applyAlignment="0" applyProtection="0"/>
    <xf numFmtId="0" fontId="50" fillId="43" borderId="351" applyNumberFormat="0" applyAlignment="0" applyProtection="0"/>
    <xf numFmtId="0" fontId="33" fillId="34" borderId="342">
      <alignment horizontal="right" vertical="center"/>
    </xf>
    <xf numFmtId="0" fontId="50" fillId="43" borderId="319" applyNumberFormat="0" applyAlignment="0" applyProtection="0"/>
    <xf numFmtId="0" fontId="27" fillId="23" borderId="0" applyNumberFormat="0" applyBorder="0" applyAlignment="0" applyProtection="0"/>
    <xf numFmtId="4" fontId="37" fillId="32" borderId="309">
      <alignment horizontal="right" vertical="center"/>
    </xf>
    <xf numFmtId="173" fontId="35" fillId="60" borderId="333" applyNumberFormat="0" applyFont="0" applyBorder="0" applyAlignment="0" applyProtection="0">
      <alignment horizontal="right" vertical="center"/>
    </xf>
    <xf numFmtId="0" fontId="59" fillId="43" borderId="306" applyNumberFormat="0" applyAlignment="0" applyProtection="0"/>
    <xf numFmtId="0" fontId="33" fillId="34" borderId="309">
      <alignment horizontal="right" vertical="center"/>
    </xf>
    <xf numFmtId="0" fontId="47" fillId="56" borderId="298" applyNumberFormat="0" applyAlignment="0" applyProtection="0"/>
    <xf numFmtId="4" fontId="33" fillId="34" borderId="310">
      <alignment horizontal="right" vertical="center"/>
    </xf>
    <xf numFmtId="0" fontId="47" fillId="56" borderId="319" applyNumberFormat="0" applyAlignment="0" applyProtection="0"/>
    <xf numFmtId="0" fontId="44" fillId="56" borderId="305" applyNumberFormat="0" applyAlignment="0" applyProtection="0"/>
    <xf numFmtId="0" fontId="33" fillId="34" borderId="309">
      <alignment horizontal="right" vertical="center"/>
    </xf>
    <xf numFmtId="0" fontId="35" fillId="0" borderId="309">
      <alignment horizontal="right" vertical="center"/>
    </xf>
    <xf numFmtId="0" fontId="33" fillId="34" borderId="309">
      <alignment horizontal="right" vertical="center"/>
    </xf>
    <xf numFmtId="0" fontId="59" fillId="43" borderId="306" applyNumberFormat="0" applyAlignment="0" applyProtection="0"/>
    <xf numFmtId="0" fontId="59" fillId="43" borderId="298" applyNumberFormat="0" applyAlignment="0" applyProtection="0"/>
    <xf numFmtId="0" fontId="35" fillId="0" borderId="324">
      <alignment horizontal="right" vertical="center"/>
    </xf>
    <xf numFmtId="173" fontId="35" fillId="60" borderId="314" applyNumberFormat="0" applyFont="0" applyBorder="0" applyAlignment="0" applyProtection="0">
      <alignment horizontal="right" vertical="center"/>
    </xf>
    <xf numFmtId="0" fontId="30" fillId="13" borderId="13" applyNumberFormat="0" applyAlignment="0" applyProtection="0"/>
    <xf numFmtId="0" fontId="41" fillId="59" borderId="300" applyNumberFormat="0" applyFont="0" applyAlignment="0" applyProtection="0"/>
    <xf numFmtId="0" fontId="63" fillId="56" borderId="297" applyNumberFormat="0" applyAlignment="0" applyProtection="0"/>
    <xf numFmtId="0" fontId="51" fillId="0" borderId="307" applyNumberFormat="0" applyFill="0" applyAlignment="0" applyProtection="0"/>
    <xf numFmtId="0" fontId="66" fillId="0" borderId="299" applyNumberFormat="0" applyFill="0" applyAlignment="0" applyProtection="0"/>
    <xf numFmtId="0" fontId="27" fillId="15" borderId="0" applyNumberFormat="0" applyBorder="0" applyAlignment="0" applyProtection="0"/>
    <xf numFmtId="4" fontId="33" fillId="34" borderId="311">
      <alignment horizontal="right" vertical="center"/>
    </xf>
    <xf numFmtId="49" fontId="35" fillId="0" borderId="346" applyNumberFormat="0" applyFont="0" applyFill="0" applyBorder="0" applyProtection="0">
      <alignment horizontal="left" vertical="center" indent="2"/>
    </xf>
    <xf numFmtId="0" fontId="59" fillId="43" borderId="306" applyNumberFormat="0" applyAlignment="0" applyProtection="0"/>
    <xf numFmtId="0" fontId="47" fillId="56" borderId="306" applyNumberFormat="0" applyAlignment="0" applyProtection="0"/>
    <xf numFmtId="49" fontId="35" fillId="0" borderId="309" applyNumberFormat="0" applyFont="0" applyFill="0" applyBorder="0" applyProtection="0">
      <alignment horizontal="left" vertical="center" indent="2"/>
    </xf>
    <xf numFmtId="49" fontId="35" fillId="0" borderId="310" applyNumberFormat="0" applyFont="0" applyFill="0" applyBorder="0" applyProtection="0">
      <alignment horizontal="left" vertical="center" indent="5"/>
    </xf>
    <xf numFmtId="0" fontId="66" fillId="0" borderId="307" applyNumberFormat="0" applyFill="0" applyAlignment="0" applyProtection="0"/>
    <xf numFmtId="0" fontId="35" fillId="34" borderId="312">
      <alignment horizontal="left" vertical="center" wrapText="1" indent="2"/>
    </xf>
    <xf numFmtId="0" fontId="33" fillId="34" borderId="309">
      <alignment horizontal="right" vertical="center"/>
    </xf>
    <xf numFmtId="0" fontId="33" fillId="34" borderId="311">
      <alignment horizontal="right" vertical="center"/>
    </xf>
    <xf numFmtId="0" fontId="35" fillId="0" borderId="312">
      <alignment horizontal="left" vertical="center" wrapText="1" indent="2"/>
    </xf>
    <xf numFmtId="0" fontId="33" fillId="34" borderId="311">
      <alignment horizontal="right" vertical="center"/>
    </xf>
    <xf numFmtId="0" fontId="46" fillId="56" borderId="306" applyNumberFormat="0" applyAlignment="0" applyProtection="0"/>
    <xf numFmtId="0" fontId="66" fillId="0" borderId="307" applyNumberFormat="0" applyFill="0" applyAlignment="0" applyProtection="0"/>
    <xf numFmtId="0" fontId="44" fillId="56" borderId="305" applyNumberFormat="0" applyAlignment="0" applyProtection="0"/>
    <xf numFmtId="0" fontId="33" fillId="34" borderId="310">
      <alignment horizontal="right" vertical="center"/>
    </xf>
    <xf numFmtId="173" fontId="35" fillId="60" borderId="309" applyNumberFormat="0" applyFont="0" applyBorder="0" applyAlignment="0" applyProtection="0">
      <alignment horizontal="right" vertical="center"/>
    </xf>
    <xf numFmtId="0" fontId="47" fillId="56" borderId="319" applyNumberFormat="0" applyAlignment="0" applyProtection="0"/>
    <xf numFmtId="49" fontId="34" fillId="0" borderId="309" applyNumberFormat="0" applyFill="0" applyBorder="0" applyProtection="0">
      <alignment horizontal="left" vertical="center"/>
    </xf>
    <xf numFmtId="0" fontId="33" fillId="32" borderId="301">
      <alignment horizontal="right" vertical="center"/>
    </xf>
    <xf numFmtId="4" fontId="33" fillId="32" borderId="301">
      <alignment horizontal="right" vertical="center"/>
    </xf>
    <xf numFmtId="0" fontId="37" fillId="32" borderId="301">
      <alignment horizontal="right" vertical="center"/>
    </xf>
    <xf numFmtId="4" fontId="37" fillId="32" borderId="301">
      <alignment horizontal="right" vertical="center"/>
    </xf>
    <xf numFmtId="0" fontId="33" fillId="34" borderId="301">
      <alignment horizontal="right" vertical="center"/>
    </xf>
    <xf numFmtId="4" fontId="33" fillId="34" borderId="301">
      <alignment horizontal="right" vertical="center"/>
    </xf>
    <xf numFmtId="0" fontId="33" fillId="34" borderId="301">
      <alignment horizontal="right" vertical="center"/>
    </xf>
    <xf numFmtId="4" fontId="33" fillId="34" borderId="301">
      <alignment horizontal="right" vertical="center"/>
    </xf>
    <xf numFmtId="0" fontId="33" fillId="34" borderId="302">
      <alignment horizontal="right" vertical="center"/>
    </xf>
    <xf numFmtId="4" fontId="33" fillId="34" borderId="302">
      <alignment horizontal="right" vertical="center"/>
    </xf>
    <xf numFmtId="0" fontId="33" fillId="34" borderId="303">
      <alignment horizontal="right" vertical="center"/>
    </xf>
    <xf numFmtId="4" fontId="33" fillId="34" borderId="303">
      <alignment horizontal="right" vertical="center"/>
    </xf>
    <xf numFmtId="0" fontId="47" fillId="56" borderId="298" applyNumberFormat="0" applyAlignment="0" applyProtection="0"/>
    <xf numFmtId="0" fontId="35" fillId="34" borderId="304">
      <alignment horizontal="left" vertical="center" wrapText="1" indent="2"/>
    </xf>
    <xf numFmtId="0" fontId="35" fillId="0" borderId="304">
      <alignment horizontal="left" vertical="center" wrapText="1" indent="2"/>
    </xf>
    <xf numFmtId="0" fontId="35" fillId="32" borderId="302">
      <alignment horizontal="left" vertical="center"/>
    </xf>
    <xf numFmtId="0" fontId="63" fillId="56" borderId="337" applyNumberFormat="0" applyAlignment="0" applyProtection="0"/>
    <xf numFmtId="0" fontId="59" fillId="43" borderId="298" applyNumberFormat="0" applyAlignment="0" applyProtection="0"/>
    <xf numFmtId="0" fontId="35" fillId="0" borderId="301">
      <alignment horizontal="right" vertical="center"/>
    </xf>
    <xf numFmtId="4" fontId="35" fillId="0" borderId="301">
      <alignment horizontal="right" vertical="center"/>
    </xf>
    <xf numFmtId="0" fontId="12" fillId="22" borderId="0" applyNumberFormat="0" applyBorder="0" applyAlignment="0" applyProtection="0"/>
    <xf numFmtId="0" fontId="35" fillId="0" borderId="301" applyNumberFormat="0" applyFill="0" applyAlignment="0" applyProtection="0"/>
    <xf numFmtId="0" fontId="63" fillId="56" borderId="297" applyNumberFormat="0" applyAlignment="0" applyProtection="0"/>
    <xf numFmtId="173" fontId="35" fillId="60" borderId="301" applyNumberFormat="0" applyFont="0" applyBorder="0" applyAlignment="0" applyProtection="0">
      <alignment horizontal="right" vertical="center"/>
    </xf>
    <xf numFmtId="0" fontId="35" fillId="33" borderId="301"/>
    <xf numFmtId="4" fontId="35" fillId="33" borderId="301"/>
    <xf numFmtId="0" fontId="66" fillId="0" borderId="299" applyNumberFormat="0" applyFill="0" applyAlignment="0" applyProtection="0"/>
    <xf numFmtId="4" fontId="35" fillId="0" borderId="324" applyFill="0" applyBorder="0" applyProtection="0">
      <alignment horizontal="right" vertical="center"/>
    </xf>
    <xf numFmtId="0" fontId="33" fillId="34" borderId="324">
      <alignment horizontal="right" vertical="center"/>
    </xf>
    <xf numFmtId="0" fontId="27" fillId="18" borderId="0" applyNumberFormat="0" applyBorder="0" applyAlignment="0" applyProtection="0"/>
    <xf numFmtId="4" fontId="33" fillId="34" borderId="311">
      <alignment horizontal="right" vertical="center"/>
    </xf>
    <xf numFmtId="0" fontId="35" fillId="33" borderId="309"/>
    <xf numFmtId="49" fontId="35" fillId="0" borderId="309" applyNumberFormat="0" applyFont="0" applyFill="0" applyBorder="0" applyProtection="0">
      <alignment horizontal="left" vertical="center" indent="2"/>
    </xf>
    <xf numFmtId="0" fontId="50" fillId="43" borderId="338" applyNumberFormat="0" applyAlignment="0" applyProtection="0"/>
    <xf numFmtId="0" fontId="66" fillId="0" borderId="307" applyNumberFormat="0" applyFill="0" applyAlignment="0" applyProtection="0"/>
    <xf numFmtId="0" fontId="27" fillId="21" borderId="0" applyNumberFormat="0" applyBorder="0" applyAlignment="0" applyProtection="0"/>
    <xf numFmtId="0" fontId="35" fillId="32" borderId="342">
      <alignment horizontal="left" vertical="center"/>
    </xf>
    <xf numFmtId="4" fontId="37" fillId="32" borderId="309">
      <alignment horizontal="right" vertical="center"/>
    </xf>
    <xf numFmtId="4" fontId="35" fillId="33" borderId="324"/>
    <xf numFmtId="0" fontId="47" fillId="56" borderId="306" applyNumberFormat="0" applyAlignment="0" applyProtection="0"/>
    <xf numFmtId="0" fontId="63" fillId="56" borderId="337" applyNumberFormat="0" applyAlignment="0" applyProtection="0"/>
    <xf numFmtId="0" fontId="27" fillId="30" borderId="0" applyNumberFormat="0" applyBorder="0" applyAlignment="0" applyProtection="0"/>
    <xf numFmtId="0" fontId="30" fillId="13" borderId="13" applyNumberFormat="0" applyAlignment="0" applyProtection="0"/>
    <xf numFmtId="0" fontId="66" fillId="0" borderId="320" applyNumberFormat="0" applyFill="0" applyAlignment="0" applyProtection="0"/>
    <xf numFmtId="0" fontId="51" fillId="0" borderId="307" applyNumberFormat="0" applyFill="0" applyAlignment="0" applyProtection="0"/>
    <xf numFmtId="0" fontId="35" fillId="33" borderId="309"/>
    <xf numFmtId="0" fontId="46" fillId="56" borderId="306" applyNumberFormat="0" applyAlignment="0" applyProtection="0"/>
    <xf numFmtId="49" fontId="34" fillId="0" borderId="309" applyNumberFormat="0" applyFill="0" applyBorder="0" applyProtection="0">
      <alignment horizontal="left" vertical="center"/>
    </xf>
    <xf numFmtId="0" fontId="35" fillId="0" borderId="309" applyNumberFormat="0" applyFill="0" applyAlignment="0" applyProtection="0"/>
    <xf numFmtId="0" fontId="5" fillId="59" borderId="308" applyNumberFormat="0" applyFont="0" applyAlignment="0" applyProtection="0"/>
    <xf numFmtId="0" fontId="27" fillId="15" borderId="0" applyNumberFormat="0" applyBorder="0" applyAlignment="0" applyProtection="0"/>
    <xf numFmtId="0" fontId="12" fillId="28" borderId="0" applyNumberFormat="0" applyBorder="0" applyAlignment="0" applyProtection="0"/>
    <xf numFmtId="4" fontId="35" fillId="0" borderId="309">
      <alignment horizontal="right" vertical="center"/>
    </xf>
    <xf numFmtId="0" fontId="27" fillId="20" borderId="0" applyNumberFormat="0" applyBorder="0" applyAlignment="0" applyProtection="0"/>
    <xf numFmtId="0" fontId="46" fillId="56" borderId="306" applyNumberFormat="0" applyAlignment="0" applyProtection="0"/>
    <xf numFmtId="0" fontId="27" fillId="17" borderId="0" applyNumberFormat="0" applyBorder="0" applyAlignment="0" applyProtection="0"/>
    <xf numFmtId="0" fontId="1" fillId="0" borderId="0" applyNumberFormat="0" applyFill="0" applyBorder="0" applyAlignment="0" applyProtection="0"/>
    <xf numFmtId="0" fontId="27" fillId="14" borderId="0" applyNumberFormat="0" applyBorder="0" applyAlignment="0" applyProtection="0"/>
    <xf numFmtId="4" fontId="35" fillId="33" borderId="314"/>
    <xf numFmtId="0" fontId="27" fillId="18" borderId="0" applyNumberFormat="0" applyBorder="0" applyAlignment="0" applyProtection="0"/>
    <xf numFmtId="0" fontId="66" fillId="0" borderId="320" applyNumberFormat="0" applyFill="0" applyAlignment="0" applyProtection="0"/>
    <xf numFmtId="49" fontId="35" fillId="0" borderId="310" applyNumberFormat="0" applyFont="0" applyFill="0" applyBorder="0" applyProtection="0">
      <alignment horizontal="left" vertical="center" indent="5"/>
    </xf>
    <xf numFmtId="0" fontId="66" fillId="0" borderId="307" applyNumberFormat="0" applyFill="0" applyAlignment="0" applyProtection="0"/>
    <xf numFmtId="0" fontId="41" fillId="59" borderId="308" applyNumberFormat="0" applyFont="0" applyAlignment="0" applyProtection="0"/>
    <xf numFmtId="0" fontId="33" fillId="34" borderId="310">
      <alignment horizontal="right" vertical="center"/>
    </xf>
    <xf numFmtId="0" fontId="44" fillId="56" borderId="305" applyNumberFormat="0" applyAlignment="0" applyProtection="0"/>
    <xf numFmtId="4" fontId="33" fillId="34" borderId="311">
      <alignment horizontal="right" vertical="center"/>
    </xf>
    <xf numFmtId="4" fontId="37" fillId="32" borderId="309">
      <alignment horizontal="right" vertical="center"/>
    </xf>
    <xf numFmtId="0" fontId="59" fillId="43" borderId="306" applyNumberFormat="0" applyAlignment="0" applyProtection="0"/>
    <xf numFmtId="0" fontId="47" fillId="56" borderId="306" applyNumberFormat="0" applyAlignment="0" applyProtection="0"/>
    <xf numFmtId="0" fontId="37" fillId="32" borderId="309">
      <alignment horizontal="right" vertical="center"/>
    </xf>
    <xf numFmtId="0" fontId="66" fillId="0" borderId="307" applyNumberFormat="0" applyFill="0" applyAlignment="0" applyProtection="0"/>
    <xf numFmtId="0" fontId="47" fillId="56" borderId="306" applyNumberFormat="0" applyAlignment="0" applyProtection="0"/>
    <xf numFmtId="0" fontId="31" fillId="0" borderId="0" applyNumberFormat="0" applyFill="0" applyBorder="0" applyAlignment="0" applyProtection="0"/>
    <xf numFmtId="0" fontId="12" fillId="25" borderId="0" applyNumberFormat="0" applyBorder="0" applyAlignment="0" applyProtection="0"/>
    <xf numFmtId="0" fontId="27" fillId="30" borderId="0" applyNumberFormat="0" applyBorder="0" applyAlignment="0" applyProtection="0"/>
    <xf numFmtId="0" fontId="5" fillId="59" borderId="308" applyNumberFormat="0" applyFont="0" applyAlignment="0" applyProtection="0"/>
    <xf numFmtId="0" fontId="27" fillId="27" borderId="0" applyNumberFormat="0" applyBorder="0" applyAlignment="0" applyProtection="0"/>
    <xf numFmtId="0" fontId="27" fillId="17" borderId="0" applyNumberFormat="0" applyBorder="0" applyAlignment="0" applyProtection="0"/>
    <xf numFmtId="173" fontId="35" fillId="60" borderId="324" applyNumberFormat="0" applyFont="0" applyBorder="0" applyAlignment="0" applyProtection="0">
      <alignment horizontal="right" vertical="center"/>
    </xf>
    <xf numFmtId="0" fontId="27" fillId="14" borderId="0" applyNumberFormat="0" applyBorder="0" applyAlignment="0" applyProtection="0"/>
    <xf numFmtId="0" fontId="63" fillId="56" borderId="305" applyNumberFormat="0" applyAlignment="0" applyProtection="0"/>
    <xf numFmtId="0" fontId="51" fillId="0" borderId="322" applyNumberFormat="0" applyFill="0" applyAlignment="0" applyProtection="0"/>
    <xf numFmtId="0" fontId="27" fillId="18" borderId="0" applyNumberFormat="0" applyBorder="0" applyAlignment="0" applyProtection="0"/>
    <xf numFmtId="4" fontId="37" fillId="32" borderId="309">
      <alignment horizontal="right" vertical="center"/>
    </xf>
    <xf numFmtId="0" fontId="1" fillId="0" borderId="0" applyNumberFormat="0" applyFill="0" applyBorder="0" applyAlignment="0" applyProtection="0"/>
    <xf numFmtId="49" fontId="35" fillId="0" borderId="301" applyNumberFormat="0" applyFont="0" applyFill="0" applyBorder="0" applyProtection="0">
      <alignment horizontal="left" vertical="center" indent="2"/>
    </xf>
    <xf numFmtId="49" fontId="35" fillId="0" borderId="302" applyNumberFormat="0" applyFont="0" applyFill="0" applyBorder="0" applyProtection="0">
      <alignment horizontal="left" vertical="center" indent="5"/>
    </xf>
    <xf numFmtId="4" fontId="35" fillId="0" borderId="324">
      <alignment horizontal="right" vertical="center"/>
    </xf>
    <xf numFmtId="0" fontId="33" fillId="34" borderId="316">
      <alignment horizontal="right" vertical="center"/>
    </xf>
    <xf numFmtId="0" fontId="59" fillId="43" borderId="338" applyNumberFormat="0" applyAlignment="0" applyProtection="0"/>
    <xf numFmtId="0" fontId="33" fillId="34" borderId="311">
      <alignment horizontal="right" vertical="center"/>
    </xf>
    <xf numFmtId="0" fontId="63" fillId="56" borderId="350" applyNumberFormat="0" applyAlignment="0" applyProtection="0"/>
    <xf numFmtId="0" fontId="33" fillId="32" borderId="309">
      <alignment horizontal="right" vertical="center"/>
    </xf>
    <xf numFmtId="0" fontId="51" fillId="0" borderId="307" applyNumberFormat="0" applyFill="0" applyAlignment="0" applyProtection="0"/>
    <xf numFmtId="0" fontId="27" fillId="27" borderId="0" applyNumberFormat="0" applyBorder="0" applyAlignment="0" applyProtection="0"/>
    <xf numFmtId="4" fontId="33" fillId="34" borderId="343">
      <alignment horizontal="right" vertical="center"/>
    </xf>
    <xf numFmtId="0" fontId="35" fillId="0" borderId="312">
      <alignment horizontal="left" vertical="center" wrapText="1" indent="2"/>
    </xf>
    <xf numFmtId="4" fontId="35" fillId="0" borderId="301" applyFill="0" applyBorder="0" applyProtection="0">
      <alignment horizontal="right" vertical="center"/>
    </xf>
    <xf numFmtId="49" fontId="34" fillId="0" borderId="301" applyNumberFormat="0" applyFill="0" applyBorder="0" applyProtection="0">
      <alignment horizontal="left" vertical="center"/>
    </xf>
    <xf numFmtId="49" fontId="35" fillId="0" borderId="324" applyNumberFormat="0" applyFont="0" applyFill="0" applyBorder="0" applyProtection="0">
      <alignment horizontal="left" vertical="center" indent="2"/>
    </xf>
    <xf numFmtId="4" fontId="33" fillId="34" borderId="311">
      <alignment horizontal="right" vertical="center"/>
    </xf>
    <xf numFmtId="4" fontId="35" fillId="0" borderId="309" applyFill="0" applyBorder="0" applyProtection="0">
      <alignment horizontal="right" vertical="center"/>
    </xf>
    <xf numFmtId="0" fontId="46" fillId="56" borderId="306" applyNumberFormat="0" applyAlignment="0" applyProtection="0"/>
    <xf numFmtId="0" fontId="50" fillId="43" borderId="306" applyNumberFormat="0" applyAlignment="0" applyProtection="0"/>
    <xf numFmtId="0" fontId="35" fillId="34" borderId="312">
      <alignment horizontal="left" vertical="center" wrapText="1" indent="2"/>
    </xf>
    <xf numFmtId="0" fontId="35" fillId="32" borderId="342">
      <alignment horizontal="left" vertical="center"/>
    </xf>
    <xf numFmtId="4" fontId="37" fillId="32" borderId="309">
      <alignment horizontal="right" vertical="center"/>
    </xf>
    <xf numFmtId="0" fontId="46" fillId="56" borderId="306" applyNumberFormat="0" applyAlignment="0" applyProtection="0"/>
    <xf numFmtId="0" fontId="59" fillId="43" borderId="319" applyNumberFormat="0" applyAlignment="0" applyProtection="0"/>
    <xf numFmtId="0" fontId="47" fillId="56" borderId="321" applyNumberFormat="0" applyAlignment="0" applyProtection="0"/>
    <xf numFmtId="0" fontId="12" fillId="25" borderId="0" applyNumberFormat="0" applyBorder="0" applyAlignment="0" applyProtection="0"/>
    <xf numFmtId="0" fontId="33" fillId="32" borderId="309">
      <alignment horizontal="right" vertical="center"/>
    </xf>
    <xf numFmtId="173" fontId="35" fillId="60" borderId="309" applyNumberFormat="0" applyFont="0" applyBorder="0" applyAlignment="0" applyProtection="0">
      <alignment horizontal="right" vertical="center"/>
    </xf>
    <xf numFmtId="0" fontId="33" fillId="34" borderId="309">
      <alignment horizontal="right" vertical="center"/>
    </xf>
    <xf numFmtId="0" fontId="44" fillId="56" borderId="305" applyNumberFormat="0" applyAlignment="0" applyProtection="0"/>
    <xf numFmtId="0" fontId="66" fillId="0" borderId="307" applyNumberFormat="0" applyFill="0" applyAlignment="0" applyProtection="0"/>
    <xf numFmtId="0" fontId="41" fillId="59" borderId="308" applyNumberFormat="0" applyFont="0" applyAlignment="0" applyProtection="0"/>
    <xf numFmtId="0" fontId="33" fillId="34" borderId="309">
      <alignment horizontal="right" vertical="center"/>
    </xf>
    <xf numFmtId="0" fontId="33" fillId="34" borderId="310">
      <alignment horizontal="right" vertical="center"/>
    </xf>
    <xf numFmtId="0" fontId="47" fillId="56" borderId="306" applyNumberFormat="0" applyAlignment="0" applyProtection="0"/>
    <xf numFmtId="0" fontId="33" fillId="34" borderId="311">
      <alignment horizontal="right" vertical="center"/>
    </xf>
    <xf numFmtId="0" fontId="33" fillId="34" borderId="309">
      <alignment horizontal="right" vertical="center"/>
    </xf>
    <xf numFmtId="0" fontId="50" fillId="43" borderId="306" applyNumberFormat="0" applyAlignment="0" applyProtection="0"/>
    <xf numFmtId="4" fontId="35" fillId="0" borderId="309">
      <alignment horizontal="right" vertical="center"/>
    </xf>
    <xf numFmtId="0" fontId="47" fillId="56" borderId="306" applyNumberFormat="0" applyAlignment="0" applyProtection="0"/>
    <xf numFmtId="0" fontId="35" fillId="32" borderId="310">
      <alignment horizontal="left" vertical="center"/>
    </xf>
    <xf numFmtId="0" fontId="30" fillId="13" borderId="13" applyNumberFormat="0" applyAlignment="0" applyProtection="0"/>
    <xf numFmtId="173" fontId="35" fillId="60" borderId="309" applyNumberFormat="0" applyFont="0" applyBorder="0" applyAlignment="0" applyProtection="0">
      <alignment horizontal="right" vertical="center"/>
    </xf>
    <xf numFmtId="0" fontId="44" fillId="56" borderId="297" applyNumberFormat="0" applyAlignment="0" applyProtection="0"/>
    <xf numFmtId="0" fontId="46" fillId="56" borderId="298" applyNumberFormat="0" applyAlignment="0" applyProtection="0"/>
    <xf numFmtId="0" fontId="51" fillId="0" borderId="299" applyNumberFormat="0" applyFill="0" applyAlignment="0" applyProtection="0"/>
    <xf numFmtId="0" fontId="35" fillId="0" borderId="324">
      <alignment horizontal="right" vertical="center"/>
    </xf>
    <xf numFmtId="4" fontId="37" fillId="32" borderId="309">
      <alignment horizontal="right" vertical="center"/>
    </xf>
    <xf numFmtId="0" fontId="44" fillId="56" borderId="305" applyNumberFormat="0" applyAlignment="0" applyProtection="0"/>
    <xf numFmtId="4" fontId="37" fillId="32" borderId="314">
      <alignment horizontal="right" vertical="center"/>
    </xf>
    <xf numFmtId="0" fontId="59" fillId="43" borderId="321" applyNumberFormat="0" applyAlignment="0" applyProtection="0"/>
    <xf numFmtId="0" fontId="66" fillId="0" borderId="322" applyNumberFormat="0" applyFill="0" applyAlignment="0" applyProtection="0"/>
    <xf numFmtId="0" fontId="47" fillId="56" borderId="306" applyNumberFormat="0" applyAlignment="0" applyProtection="0"/>
    <xf numFmtId="0" fontId="47" fillId="56" borderId="319" applyNumberFormat="0" applyAlignment="0" applyProtection="0"/>
    <xf numFmtId="0" fontId="12" fillId="28" borderId="0" applyNumberFormat="0" applyBorder="0" applyAlignment="0" applyProtection="0"/>
    <xf numFmtId="0" fontId="35" fillId="0" borderId="327">
      <alignment horizontal="left" vertical="center" wrapText="1" indent="2"/>
    </xf>
    <xf numFmtId="0" fontId="33" fillId="34" borderId="314">
      <alignment horizontal="right" vertical="center"/>
    </xf>
    <xf numFmtId="0" fontId="47" fillId="56" borderId="306" applyNumberFormat="0" applyAlignment="0" applyProtection="0"/>
    <xf numFmtId="0" fontId="1" fillId="0" borderId="0" applyNumberFormat="0" applyFill="0" applyBorder="0" applyAlignment="0" applyProtection="0"/>
    <xf numFmtId="0" fontId="27" fillId="23" borderId="0" applyNumberFormat="0" applyBorder="0" applyAlignment="0" applyProtection="0"/>
    <xf numFmtId="0" fontId="41" fillId="59" borderId="313" applyNumberFormat="0" applyFont="0" applyAlignment="0" applyProtection="0"/>
    <xf numFmtId="0" fontId="51" fillId="0" borderId="320" applyNumberFormat="0" applyFill="0" applyAlignment="0" applyProtection="0"/>
    <xf numFmtId="4" fontId="35" fillId="0" borderId="314" applyFill="0" applyBorder="0" applyProtection="0">
      <alignment horizontal="right" vertical="center"/>
    </xf>
    <xf numFmtId="0" fontId="35" fillId="32" borderId="310">
      <alignment horizontal="left" vertical="center"/>
    </xf>
    <xf numFmtId="4" fontId="35" fillId="0" borderId="309">
      <alignment horizontal="right" vertical="center"/>
    </xf>
    <xf numFmtId="4" fontId="33" fillId="34" borderId="309">
      <alignment horizontal="right" vertical="center"/>
    </xf>
    <xf numFmtId="0" fontId="63" fillId="56" borderId="305" applyNumberFormat="0" applyAlignment="0" applyProtection="0"/>
    <xf numFmtId="0" fontId="51" fillId="0" borderId="307" applyNumberFormat="0" applyFill="0" applyAlignment="0" applyProtection="0"/>
    <xf numFmtId="0" fontId="50" fillId="43" borderId="298" applyNumberFormat="0" applyAlignment="0" applyProtection="0"/>
    <xf numFmtId="49" fontId="35" fillId="0" borderId="309" applyNumberFormat="0" applyFont="0" applyFill="0" applyBorder="0" applyProtection="0">
      <alignment horizontal="left" vertical="center" indent="2"/>
    </xf>
    <xf numFmtId="173" fontId="35" fillId="60" borderId="309" applyNumberFormat="0" applyFont="0" applyBorder="0" applyAlignment="0" applyProtection="0">
      <alignment horizontal="right" vertical="center"/>
    </xf>
    <xf numFmtId="173" fontId="35" fillId="60" borderId="314" applyNumberFormat="0" applyFont="0" applyBorder="0" applyAlignment="0" applyProtection="0">
      <alignment horizontal="right" vertical="center"/>
    </xf>
    <xf numFmtId="0" fontId="33" fillId="34" borderId="315">
      <alignment horizontal="right" vertical="center"/>
    </xf>
    <xf numFmtId="4" fontId="33" fillId="34" borderId="316">
      <alignment horizontal="right" vertical="center"/>
    </xf>
    <xf numFmtId="0" fontId="27" fillId="14" borderId="0" applyNumberFormat="0" applyBorder="0" applyAlignment="0" applyProtection="0"/>
    <xf numFmtId="4" fontId="33" fillId="34" borderId="311">
      <alignment horizontal="right" vertical="center"/>
    </xf>
    <xf numFmtId="0" fontId="27" fillId="23" borderId="0" applyNumberFormat="0" applyBorder="0" applyAlignment="0" applyProtection="0"/>
    <xf numFmtId="4" fontId="35" fillId="0" borderId="341" applyFill="0" applyBorder="0" applyProtection="0">
      <alignment horizontal="right" vertical="center"/>
    </xf>
    <xf numFmtId="0" fontId="29" fillId="13" borderId="14" applyNumberFormat="0" applyAlignment="0" applyProtection="0"/>
    <xf numFmtId="4" fontId="33" fillId="34" borderId="315">
      <alignment horizontal="right" vertical="center"/>
    </xf>
    <xf numFmtId="4" fontId="35" fillId="33" borderId="314"/>
    <xf numFmtId="4" fontId="35" fillId="33" borderId="341"/>
    <xf numFmtId="0" fontId="59" fillId="43" borderId="306" applyNumberFormat="0" applyAlignment="0" applyProtection="0"/>
    <xf numFmtId="0" fontId="35" fillId="34" borderId="312">
      <alignment horizontal="left" vertical="center" wrapText="1" indent="2"/>
    </xf>
    <xf numFmtId="0" fontId="51" fillId="0" borderId="307" applyNumberFormat="0" applyFill="0" applyAlignment="0" applyProtection="0"/>
    <xf numFmtId="4" fontId="35" fillId="33" borderId="309"/>
    <xf numFmtId="0" fontId="59" fillId="43" borderId="338" applyNumberFormat="0" applyAlignment="0" applyProtection="0"/>
    <xf numFmtId="0" fontId="35" fillId="34" borderId="304">
      <alignment horizontal="left" vertical="center" wrapText="1" indent="2"/>
    </xf>
    <xf numFmtId="0" fontId="35" fillId="0" borderId="304">
      <alignment horizontal="left" vertical="center" wrapText="1" indent="2"/>
    </xf>
    <xf numFmtId="4" fontId="33" fillId="34" borderId="314">
      <alignment horizontal="right" vertical="center"/>
    </xf>
    <xf numFmtId="0" fontId="47" fillId="56" borderId="319" applyNumberFormat="0" applyAlignment="0" applyProtection="0"/>
    <xf numFmtId="0" fontId="27" fillId="27" borderId="0" applyNumberFormat="0" applyBorder="0" applyAlignment="0" applyProtection="0"/>
    <xf numFmtId="0" fontId="27" fillId="18" borderId="0" applyNumberFormat="0" applyBorder="0" applyAlignment="0" applyProtection="0"/>
    <xf numFmtId="0" fontId="47" fillId="56" borderId="319" applyNumberFormat="0" applyAlignment="0" applyProtection="0"/>
    <xf numFmtId="0" fontId="35" fillId="34" borderId="327">
      <alignment horizontal="left" vertical="center" wrapText="1" indent="2"/>
    </xf>
    <xf numFmtId="0" fontId="59" fillId="43" borderId="306" applyNumberFormat="0" applyAlignment="0" applyProtection="0"/>
    <xf numFmtId="0" fontId="41" fillId="59" borderId="313" applyNumberFormat="0" applyFont="0" applyAlignment="0" applyProtection="0"/>
    <xf numFmtId="0" fontId="35" fillId="34" borderId="327">
      <alignment horizontal="left" vertical="center" wrapText="1" indent="2"/>
    </xf>
    <xf numFmtId="0" fontId="50" fillId="43" borderId="321" applyNumberFormat="0" applyAlignment="0" applyProtection="0"/>
    <xf numFmtId="4" fontId="33" fillId="34" borderId="324">
      <alignment horizontal="right" vertical="center"/>
    </xf>
    <xf numFmtId="0" fontId="27" fillId="23" borderId="0" applyNumberFormat="0" applyBorder="0" applyAlignment="0" applyProtection="0"/>
    <xf numFmtId="0" fontId="44" fillId="56" borderId="328" applyNumberFormat="0" applyAlignment="0" applyProtection="0"/>
    <xf numFmtId="0" fontId="66" fillId="0" borderId="320" applyNumberFormat="0" applyFill="0" applyAlignment="0" applyProtection="0"/>
    <xf numFmtId="0" fontId="59" fillId="43" borderId="330" applyNumberFormat="0" applyAlignment="0" applyProtection="0"/>
    <xf numFmtId="173" fontId="35" fillId="60" borderId="314" applyNumberFormat="0" applyFont="0" applyBorder="0" applyAlignment="0" applyProtection="0">
      <alignment horizontal="right" vertical="center"/>
    </xf>
    <xf numFmtId="0" fontId="33" fillId="34" borderId="316">
      <alignment horizontal="right" vertical="center"/>
    </xf>
    <xf numFmtId="0" fontId="33" fillId="34" borderId="314">
      <alignment horizontal="right" vertical="center"/>
    </xf>
    <xf numFmtId="0" fontId="35" fillId="34" borderId="317">
      <alignment horizontal="left" vertical="center" wrapText="1" indent="2"/>
    </xf>
    <xf numFmtId="0" fontId="35" fillId="0" borderId="309">
      <alignment horizontal="right" vertical="center"/>
    </xf>
    <xf numFmtId="0" fontId="33" fillId="34" borderId="316">
      <alignment horizontal="right" vertical="center"/>
    </xf>
    <xf numFmtId="0" fontId="44" fillId="56" borderId="305" applyNumberFormat="0" applyAlignment="0" applyProtection="0"/>
    <xf numFmtId="4" fontId="33" fillId="32" borderId="309">
      <alignment horizontal="right" vertical="center"/>
    </xf>
    <xf numFmtId="0" fontId="51" fillId="0" borderId="307" applyNumberFormat="0" applyFill="0" applyAlignment="0" applyProtection="0"/>
    <xf numFmtId="0" fontId="47" fillId="56" borderId="306" applyNumberFormat="0" applyAlignment="0" applyProtection="0"/>
    <xf numFmtId="4" fontId="33" fillId="34" borderId="310">
      <alignment horizontal="right" vertical="center"/>
    </xf>
    <xf numFmtId="4" fontId="33" fillId="34" borderId="316">
      <alignment horizontal="right" vertical="center"/>
    </xf>
    <xf numFmtId="0" fontId="46" fillId="56" borderId="306" applyNumberFormat="0" applyAlignment="0" applyProtection="0"/>
    <xf numFmtId="0" fontId="35" fillId="0" borderId="312">
      <alignment horizontal="left" vertical="center" wrapText="1" indent="2"/>
    </xf>
    <xf numFmtId="49" fontId="35" fillId="0" borderId="309" applyNumberFormat="0" applyFont="0" applyFill="0" applyBorder="0" applyProtection="0">
      <alignment horizontal="left" vertical="center" indent="2"/>
    </xf>
    <xf numFmtId="0" fontId="59" fillId="43" borderId="306" applyNumberFormat="0" applyAlignment="0" applyProtection="0"/>
    <xf numFmtId="0" fontId="41" fillId="59" borderId="308" applyNumberFormat="0" applyFont="0" applyAlignment="0" applyProtection="0"/>
    <xf numFmtId="4" fontId="33" fillId="34" borderId="310">
      <alignment horizontal="right" vertical="center"/>
    </xf>
    <xf numFmtId="0" fontId="35" fillId="34" borderId="312">
      <alignment horizontal="left" vertical="center" wrapText="1" indent="2"/>
    </xf>
    <xf numFmtId="0" fontId="51" fillId="0" borderId="307" applyNumberFormat="0" applyFill="0" applyAlignment="0" applyProtection="0"/>
    <xf numFmtId="0" fontId="63" fillId="56" borderId="305" applyNumberFormat="0" applyAlignment="0" applyProtection="0"/>
    <xf numFmtId="0" fontId="41" fillId="59" borderId="308" applyNumberFormat="0" applyFont="0" applyAlignment="0" applyProtection="0"/>
    <xf numFmtId="0" fontId="59" fillId="43" borderId="306" applyNumberFormat="0" applyAlignment="0" applyProtection="0"/>
    <xf numFmtId="0" fontId="35" fillId="0" borderId="309" applyNumberFormat="0" applyFill="0" applyAlignment="0" applyProtection="0"/>
    <xf numFmtId="0" fontId="33" fillId="32" borderId="309">
      <alignment horizontal="right" vertical="center"/>
    </xf>
    <xf numFmtId="0" fontId="33" fillId="34" borderId="309">
      <alignment horizontal="right" vertical="center"/>
    </xf>
    <xf numFmtId="0" fontId="41" fillId="59" borderId="308" applyNumberFormat="0" applyFont="0" applyAlignment="0" applyProtection="0"/>
    <xf numFmtId="0" fontId="51" fillId="0" borderId="307" applyNumberFormat="0" applyFill="0" applyAlignment="0" applyProtection="0"/>
    <xf numFmtId="0" fontId="33" fillId="32" borderId="309">
      <alignment horizontal="right" vertical="center"/>
    </xf>
    <xf numFmtId="4" fontId="35" fillId="0" borderId="309" applyFill="0" applyBorder="0" applyProtection="0">
      <alignment horizontal="right" vertical="center"/>
    </xf>
    <xf numFmtId="0" fontId="44" fillId="56" borderId="328" applyNumberFormat="0" applyAlignment="0" applyProtection="0"/>
    <xf numFmtId="49" fontId="35" fillId="0" borderId="309" applyNumberFormat="0" applyFont="0" applyFill="0" applyBorder="0" applyProtection="0">
      <alignment horizontal="left" vertical="center" indent="2"/>
    </xf>
    <xf numFmtId="0" fontId="50" fillId="43" borderId="306" applyNumberFormat="0" applyAlignment="0" applyProtection="0"/>
    <xf numFmtId="0" fontId="66" fillId="0" borderId="322" applyNumberFormat="0" applyFill="0" applyAlignment="0" applyProtection="0"/>
    <xf numFmtId="0" fontId="12" fillId="22" borderId="0" applyNumberFormat="0" applyBorder="0" applyAlignment="0" applyProtection="0"/>
    <xf numFmtId="0" fontId="12" fillId="31" borderId="0" applyNumberFormat="0" applyBorder="0" applyAlignment="0" applyProtection="0"/>
    <xf numFmtId="0" fontId="35" fillId="0" borderId="324" applyNumberFormat="0" applyFill="0" applyAlignment="0" applyProtection="0"/>
    <xf numFmtId="0" fontId="27" fillId="29" borderId="0" applyNumberFormat="0" applyBorder="0" applyAlignment="0" applyProtection="0"/>
    <xf numFmtId="0" fontId="41" fillId="59" borderId="323" applyNumberFormat="0" applyFont="0" applyAlignment="0" applyProtection="0"/>
    <xf numFmtId="0" fontId="27" fillId="26" borderId="0" applyNumberFormat="0" applyBorder="0" applyAlignment="0" applyProtection="0"/>
    <xf numFmtId="0" fontId="27" fillId="24" borderId="0" applyNumberFormat="0" applyBorder="0" applyAlignment="0" applyProtection="0"/>
    <xf numFmtId="0" fontId="35" fillId="34" borderId="344">
      <alignment horizontal="left" vertical="center" wrapText="1" indent="2"/>
    </xf>
    <xf numFmtId="0" fontId="12" fillId="16" borderId="0" applyNumberFormat="0" applyBorder="0" applyAlignment="0" applyProtection="0"/>
    <xf numFmtId="0" fontId="27" fillId="18" borderId="0" applyNumberFormat="0" applyBorder="0" applyAlignment="0" applyProtection="0"/>
    <xf numFmtId="0" fontId="12" fillId="19" borderId="0" applyNumberFormat="0" applyBorder="0" applyAlignment="0" applyProtection="0"/>
    <xf numFmtId="4" fontId="33" fillId="34" borderId="316">
      <alignment horizontal="right" vertical="center"/>
    </xf>
    <xf numFmtId="0" fontId="2" fillId="0" borderId="15" applyNumberFormat="0" applyFill="0" applyAlignment="0" applyProtection="0"/>
    <xf numFmtId="0" fontId="27" fillId="30" borderId="0" applyNumberFormat="0" applyBorder="0" applyAlignment="0" applyProtection="0"/>
    <xf numFmtId="4" fontId="37" fillId="32" borderId="314">
      <alignment horizontal="right" vertical="center"/>
    </xf>
    <xf numFmtId="4" fontId="37" fillId="32" borderId="314">
      <alignment horizontal="right" vertical="center"/>
    </xf>
    <xf numFmtId="0" fontId="41" fillId="59" borderId="323" applyNumberFormat="0" applyFont="0" applyAlignment="0" applyProtection="0"/>
    <xf numFmtId="4" fontId="35" fillId="0" borderId="324">
      <alignment horizontal="right" vertical="center"/>
    </xf>
    <xf numFmtId="0" fontId="50" fillId="43" borderId="306" applyNumberFormat="0" applyAlignment="0" applyProtection="0"/>
    <xf numFmtId="4" fontId="35" fillId="33" borderId="309"/>
    <xf numFmtId="0" fontId="27" fillId="17" borderId="0" applyNumberFormat="0" applyBorder="0" applyAlignment="0" applyProtection="0"/>
    <xf numFmtId="4" fontId="33" fillId="34" borderId="301">
      <alignment horizontal="right" vertical="center"/>
    </xf>
    <xf numFmtId="0" fontId="35" fillId="33" borderId="301"/>
    <xf numFmtId="0" fontId="46" fillId="56" borderId="298" applyNumberFormat="0" applyAlignment="0" applyProtection="0"/>
    <xf numFmtId="0" fontId="33" fillId="32" borderId="301">
      <alignment horizontal="right" vertical="center"/>
    </xf>
    <xf numFmtId="0" fontId="35" fillId="0" borderId="301">
      <alignment horizontal="right" vertical="center"/>
    </xf>
    <xf numFmtId="0" fontId="66" fillId="0" borderId="299" applyNumberFormat="0" applyFill="0" applyAlignment="0" applyProtection="0"/>
    <xf numFmtId="0" fontId="35" fillId="32" borderId="302">
      <alignment horizontal="left" vertical="center"/>
    </xf>
    <xf numFmtId="0" fontId="59" fillId="43" borderId="298" applyNumberFormat="0" applyAlignment="0" applyProtection="0"/>
    <xf numFmtId="173" fontId="35" fillId="60" borderId="301" applyNumberFormat="0" applyFont="0" applyBorder="0" applyAlignment="0" applyProtection="0">
      <alignment horizontal="right" vertical="center"/>
    </xf>
    <xf numFmtId="0" fontId="41" fillId="59" borderId="300" applyNumberFormat="0" applyFont="0" applyAlignment="0" applyProtection="0"/>
    <xf numFmtId="0" fontId="35" fillId="0" borderId="304">
      <alignment horizontal="left" vertical="center" wrapText="1" indent="2"/>
    </xf>
    <xf numFmtId="4" fontId="35" fillId="33" borderId="301"/>
    <xf numFmtId="49" fontId="34" fillId="0" borderId="301" applyNumberFormat="0" applyFill="0" applyBorder="0" applyProtection="0">
      <alignment horizontal="left" vertical="center"/>
    </xf>
    <xf numFmtId="0" fontId="35" fillId="0" borderId="301">
      <alignment horizontal="right" vertical="center"/>
    </xf>
    <xf numFmtId="4" fontId="33" fillId="34" borderId="303">
      <alignment horizontal="right" vertical="center"/>
    </xf>
    <xf numFmtId="4" fontId="33" fillId="34" borderId="301">
      <alignment horizontal="right" vertical="center"/>
    </xf>
    <xf numFmtId="4" fontId="33" fillId="34" borderId="301">
      <alignment horizontal="right" vertical="center"/>
    </xf>
    <xf numFmtId="0" fontId="37" fillId="32" borderId="301">
      <alignment horizontal="right" vertical="center"/>
    </xf>
    <xf numFmtId="0" fontId="33" fillId="32" borderId="301">
      <alignment horizontal="right" vertical="center"/>
    </xf>
    <xf numFmtId="49" fontId="35" fillId="0" borderId="301" applyNumberFormat="0" applyFont="0" applyFill="0" applyBorder="0" applyProtection="0">
      <alignment horizontal="left" vertical="center" indent="2"/>
    </xf>
    <xf numFmtId="0" fontId="59" fillId="43" borderId="298" applyNumberFormat="0" applyAlignment="0" applyProtection="0"/>
    <xf numFmtId="0" fontId="44" fillId="56" borderId="297" applyNumberFormat="0" applyAlignment="0" applyProtection="0"/>
    <xf numFmtId="49" fontId="35" fillId="0" borderId="301" applyNumberFormat="0" applyFont="0" applyFill="0" applyBorder="0" applyProtection="0">
      <alignment horizontal="left" vertical="center" indent="2"/>
    </xf>
    <xf numFmtId="0" fontId="50" fillId="43" borderId="298" applyNumberFormat="0" applyAlignment="0" applyProtection="0"/>
    <xf numFmtId="4" fontId="35" fillId="0" borderId="301" applyFill="0" applyBorder="0" applyProtection="0">
      <alignment horizontal="right" vertical="center"/>
    </xf>
    <xf numFmtId="0" fontId="47" fillId="56" borderId="298" applyNumberFormat="0" applyAlignment="0" applyProtection="0"/>
    <xf numFmtId="0" fontId="66" fillId="0" borderId="299" applyNumberFormat="0" applyFill="0" applyAlignment="0" applyProtection="0"/>
    <xf numFmtId="0" fontId="63" fillId="56" borderId="297" applyNumberFormat="0" applyAlignment="0" applyProtection="0"/>
    <xf numFmtId="0" fontId="35" fillId="0" borderId="301" applyNumberFormat="0" applyFill="0" applyAlignment="0" applyProtection="0"/>
    <xf numFmtId="4" fontId="35" fillId="0" borderId="301">
      <alignment horizontal="right" vertical="center"/>
    </xf>
    <xf numFmtId="0" fontId="35" fillId="0" borderId="301">
      <alignment horizontal="right" vertical="center"/>
    </xf>
    <xf numFmtId="0" fontId="59" fillId="43" borderId="298" applyNumberFormat="0" applyAlignment="0" applyProtection="0"/>
    <xf numFmtId="0" fontId="44" fillId="56" borderId="297" applyNumberFormat="0" applyAlignment="0" applyProtection="0"/>
    <xf numFmtId="0" fontId="46" fillId="56" borderId="298" applyNumberFormat="0" applyAlignment="0" applyProtection="0"/>
    <xf numFmtId="0" fontId="35" fillId="34" borderId="304">
      <alignment horizontal="left" vertical="center" wrapText="1" indent="2"/>
    </xf>
    <xf numFmtId="0" fontId="47" fillId="56" borderId="298" applyNumberFormat="0" applyAlignment="0" applyProtection="0"/>
    <xf numFmtId="0" fontId="47" fillId="56" borderId="298" applyNumberFormat="0" applyAlignment="0" applyProtection="0"/>
    <xf numFmtId="4" fontId="33" fillId="34" borderId="302">
      <alignment horizontal="right" vertical="center"/>
    </xf>
    <xf numFmtId="0" fontId="33" fillId="34" borderId="302">
      <alignment horizontal="right" vertical="center"/>
    </xf>
    <xf numFmtId="0" fontId="33" fillId="34" borderId="301">
      <alignment horizontal="right" vertical="center"/>
    </xf>
    <xf numFmtId="4" fontId="37" fillId="32" borderId="301">
      <alignment horizontal="right" vertical="center"/>
    </xf>
    <xf numFmtId="0" fontId="50" fillId="43" borderId="298" applyNumberFormat="0" applyAlignment="0" applyProtection="0"/>
    <xf numFmtId="0" fontId="51" fillId="0" borderId="299" applyNumberFormat="0" applyFill="0" applyAlignment="0" applyProtection="0"/>
    <xf numFmtId="0" fontId="66" fillId="0" borderId="299" applyNumberFormat="0" applyFill="0" applyAlignment="0" applyProtection="0"/>
    <xf numFmtId="0" fontId="41" fillId="59" borderId="300" applyNumberFormat="0" applyFont="0" applyAlignment="0" applyProtection="0"/>
    <xf numFmtId="0" fontId="59" fillId="43" borderId="298" applyNumberFormat="0" applyAlignment="0" applyProtection="0"/>
    <xf numFmtId="49" fontId="34" fillId="0" borderId="301" applyNumberFormat="0" applyFill="0" applyBorder="0" applyProtection="0">
      <alignment horizontal="left" vertical="center"/>
    </xf>
    <xf numFmtId="0" fontId="35" fillId="34" borderId="304">
      <alignment horizontal="left" vertical="center" wrapText="1" indent="2"/>
    </xf>
    <xf numFmtId="0" fontId="47" fillId="56" borderId="298" applyNumberFormat="0" applyAlignment="0" applyProtection="0"/>
    <xf numFmtId="0" fontId="35" fillId="0" borderId="304">
      <alignment horizontal="left" vertical="center" wrapText="1" indent="2"/>
    </xf>
    <xf numFmtId="0" fontId="41" fillId="59" borderId="300" applyNumberFormat="0" applyFont="0" applyAlignment="0" applyProtection="0"/>
    <xf numFmtId="0" fontId="5" fillId="59" borderId="300" applyNumberFormat="0" applyFont="0" applyAlignment="0" applyProtection="0"/>
    <xf numFmtId="0" fontId="63" fillId="56" borderId="297" applyNumberFormat="0" applyAlignment="0" applyProtection="0"/>
    <xf numFmtId="0" fontId="66" fillId="0" borderId="299" applyNumberFormat="0" applyFill="0" applyAlignment="0" applyProtection="0"/>
    <xf numFmtId="4" fontId="35" fillId="33" borderId="301"/>
    <xf numFmtId="0" fontId="33" fillId="34" borderId="301">
      <alignment horizontal="right" vertical="center"/>
    </xf>
    <xf numFmtId="0" fontId="66" fillId="0" borderId="299" applyNumberFormat="0" applyFill="0" applyAlignment="0" applyProtection="0"/>
    <xf numFmtId="4" fontId="33" fillId="34" borderId="303">
      <alignment horizontal="right" vertical="center"/>
    </xf>
    <xf numFmtId="0" fontId="46" fillId="56" borderId="298" applyNumberFormat="0" applyAlignment="0" applyProtection="0"/>
    <xf numFmtId="0" fontId="33" fillId="34" borderId="302">
      <alignment horizontal="right" vertical="center"/>
    </xf>
    <xf numFmtId="0" fontId="47" fillId="56" borderId="298" applyNumberFormat="0" applyAlignment="0" applyProtection="0"/>
    <xf numFmtId="0" fontId="51" fillId="0" borderId="299" applyNumberFormat="0" applyFill="0" applyAlignment="0" applyProtection="0"/>
    <xf numFmtId="0" fontId="41" fillId="59" borderId="300" applyNumberFormat="0" applyFont="0" applyAlignment="0" applyProtection="0"/>
    <xf numFmtId="4" fontId="33" fillId="34" borderId="302">
      <alignment horizontal="right" vertical="center"/>
    </xf>
    <xf numFmtId="0" fontId="35" fillId="34" borderId="304">
      <alignment horizontal="left" vertical="center" wrapText="1" indent="2"/>
    </xf>
    <xf numFmtId="0" fontId="35" fillId="33" borderId="301"/>
    <xf numFmtId="173" fontId="35" fillId="60" borderId="301" applyNumberFormat="0" applyFont="0" applyBorder="0" applyAlignment="0" applyProtection="0">
      <alignment horizontal="right" vertical="center"/>
    </xf>
    <xf numFmtId="0" fontId="35" fillId="0" borderId="301" applyNumberFormat="0" applyFill="0" applyAlignment="0" applyProtection="0"/>
    <xf numFmtId="4" fontId="35" fillId="0" borderId="301" applyFill="0" applyBorder="0" applyProtection="0">
      <alignment horizontal="right" vertical="center"/>
    </xf>
    <xf numFmtId="4" fontId="33" fillId="32" borderId="301">
      <alignment horizontal="right" vertical="center"/>
    </xf>
    <xf numFmtId="0" fontId="51" fillId="0" borderId="299" applyNumberFormat="0" applyFill="0" applyAlignment="0" applyProtection="0"/>
    <xf numFmtId="49" fontId="34" fillId="0" borderId="301" applyNumberFormat="0" applyFill="0" applyBorder="0" applyProtection="0">
      <alignment horizontal="left" vertical="center"/>
    </xf>
    <xf numFmtId="49" fontId="35" fillId="0" borderId="302" applyNumberFormat="0" applyFont="0" applyFill="0" applyBorder="0" applyProtection="0">
      <alignment horizontal="left" vertical="center" indent="5"/>
    </xf>
    <xf numFmtId="0" fontId="35" fillId="32" borderId="302">
      <alignment horizontal="left" vertical="center"/>
    </xf>
    <xf numFmtId="0" fontId="47" fillId="56" borderId="298" applyNumberFormat="0" applyAlignment="0" applyProtection="0"/>
    <xf numFmtId="4" fontId="33" fillId="34" borderId="303">
      <alignment horizontal="right" vertical="center"/>
    </xf>
    <xf numFmtId="0" fontId="59" fillId="43" borderId="298" applyNumberFormat="0" applyAlignment="0" applyProtection="0"/>
    <xf numFmtId="0" fontId="59" fillId="43" borderId="298" applyNumberFormat="0" applyAlignment="0" applyProtection="0"/>
    <xf numFmtId="0" fontId="41" fillId="59" borderId="300" applyNumberFormat="0" applyFont="0" applyAlignment="0" applyProtection="0"/>
    <xf numFmtId="0" fontId="63" fillId="56" borderId="297" applyNumberFormat="0" applyAlignment="0" applyProtection="0"/>
    <xf numFmtId="0" fontId="66" fillId="0" borderId="299" applyNumberFormat="0" applyFill="0" applyAlignment="0" applyProtection="0"/>
    <xf numFmtId="0" fontId="33" fillId="34" borderId="301">
      <alignment horizontal="right" vertical="center"/>
    </xf>
    <xf numFmtId="0" fontId="5" fillId="59" borderId="300" applyNumberFormat="0" applyFont="0" applyAlignment="0" applyProtection="0"/>
    <xf numFmtId="4" fontId="35" fillId="0" borderId="301">
      <alignment horizontal="right" vertical="center"/>
    </xf>
    <xf numFmtId="0" fontId="66" fillId="0" borderId="299" applyNumberFormat="0" applyFill="0" applyAlignment="0" applyProtection="0"/>
    <xf numFmtId="0" fontId="33" fillId="34" borderId="301">
      <alignment horizontal="right" vertical="center"/>
    </xf>
    <xf numFmtId="0" fontId="33" fillId="34" borderId="301">
      <alignment horizontal="right" vertical="center"/>
    </xf>
    <xf numFmtId="4" fontId="37" fillId="32" borderId="301">
      <alignment horizontal="right" vertical="center"/>
    </xf>
    <xf numFmtId="0" fontId="33" fillId="32" borderId="301">
      <alignment horizontal="right" vertical="center"/>
    </xf>
    <xf numFmtId="4" fontId="33" fillId="32" borderId="301">
      <alignment horizontal="right" vertical="center"/>
    </xf>
    <xf numFmtId="0" fontId="37" fillId="32" borderId="301">
      <alignment horizontal="right" vertical="center"/>
    </xf>
    <xf numFmtId="4" fontId="37" fillId="32" borderId="301">
      <alignment horizontal="right" vertical="center"/>
    </xf>
    <xf numFmtId="0" fontId="33" fillId="34" borderId="301">
      <alignment horizontal="right" vertical="center"/>
    </xf>
    <xf numFmtId="4" fontId="33" fillId="34" borderId="301">
      <alignment horizontal="right" vertical="center"/>
    </xf>
    <xf numFmtId="0" fontId="33" fillId="34" borderId="301">
      <alignment horizontal="right" vertical="center"/>
    </xf>
    <xf numFmtId="4" fontId="33" fillId="34" borderId="301">
      <alignment horizontal="right" vertical="center"/>
    </xf>
    <xf numFmtId="0" fontId="33" fillId="34" borderId="302">
      <alignment horizontal="right" vertical="center"/>
    </xf>
    <xf numFmtId="4" fontId="33" fillId="34" borderId="302">
      <alignment horizontal="right" vertical="center"/>
    </xf>
    <xf numFmtId="0" fontId="33" fillId="34" borderId="303">
      <alignment horizontal="right" vertical="center"/>
    </xf>
    <xf numFmtId="4" fontId="33" fillId="34" borderId="303">
      <alignment horizontal="right" vertical="center"/>
    </xf>
    <xf numFmtId="0" fontId="47" fillId="56" borderId="298" applyNumberFormat="0" applyAlignment="0" applyProtection="0"/>
    <xf numFmtId="0" fontId="35" fillId="34" borderId="304">
      <alignment horizontal="left" vertical="center" wrapText="1" indent="2"/>
    </xf>
    <xf numFmtId="0" fontId="35" fillId="0" borderId="304">
      <alignment horizontal="left" vertical="center" wrapText="1" indent="2"/>
    </xf>
    <xf numFmtId="0" fontId="35" fillId="32" borderId="302">
      <alignment horizontal="left" vertical="center"/>
    </xf>
    <xf numFmtId="0" fontId="59" fillId="43" borderId="298" applyNumberFormat="0" applyAlignment="0" applyProtection="0"/>
    <xf numFmtId="0" fontId="35" fillId="0" borderId="301">
      <alignment horizontal="right" vertical="center"/>
    </xf>
    <xf numFmtId="4" fontId="35" fillId="0" borderId="301">
      <alignment horizontal="right" vertical="center"/>
    </xf>
    <xf numFmtId="0" fontId="35" fillId="0" borderId="301" applyNumberFormat="0" applyFill="0" applyAlignment="0" applyProtection="0"/>
    <xf numFmtId="0" fontId="63" fillId="56" borderId="297" applyNumberFormat="0" applyAlignment="0" applyProtection="0"/>
    <xf numFmtId="173" fontId="35" fillId="60" borderId="301" applyNumberFormat="0" applyFont="0" applyBorder="0" applyAlignment="0" applyProtection="0">
      <alignment horizontal="right" vertical="center"/>
    </xf>
    <xf numFmtId="0" fontId="35" fillId="33" borderId="301"/>
    <xf numFmtId="4" fontId="35" fillId="33" borderId="301"/>
    <xf numFmtId="0" fontId="66" fillId="0" borderId="299" applyNumberFormat="0" applyFill="0" applyAlignment="0" applyProtection="0"/>
    <xf numFmtId="0" fontId="5" fillId="59" borderId="300" applyNumberFormat="0" applyFont="0" applyAlignment="0" applyProtection="0"/>
    <xf numFmtId="0" fontId="41" fillId="59" borderId="300" applyNumberFormat="0" applyFont="0" applyAlignment="0" applyProtection="0"/>
    <xf numFmtId="0" fontId="35" fillId="0" borderId="301" applyNumberFormat="0" applyFill="0" applyAlignment="0" applyProtection="0"/>
    <xf numFmtId="0" fontId="51" fillId="0" borderId="299" applyNumberFormat="0" applyFill="0" applyAlignment="0" applyProtection="0"/>
    <xf numFmtId="0" fontId="66" fillId="0" borderId="299" applyNumberFormat="0" applyFill="0" applyAlignment="0" applyProtection="0"/>
    <xf numFmtId="0" fontId="50" fillId="43" borderId="298" applyNumberFormat="0" applyAlignment="0" applyProtection="0"/>
    <xf numFmtId="0" fontId="47" fillId="56" borderId="298" applyNumberFormat="0" applyAlignment="0" applyProtection="0"/>
    <xf numFmtId="4" fontId="37" fillId="32" borderId="301">
      <alignment horizontal="right" vertical="center"/>
    </xf>
    <xf numFmtId="0" fontId="33" fillId="32" borderId="301">
      <alignment horizontal="right" vertical="center"/>
    </xf>
    <xf numFmtId="173" fontId="35" fillId="60" borderId="301" applyNumberFormat="0" applyFont="0" applyBorder="0" applyAlignment="0" applyProtection="0">
      <alignment horizontal="right" vertical="center"/>
    </xf>
    <xf numFmtId="0" fontId="51" fillId="0" borderId="299" applyNumberFormat="0" applyFill="0" applyAlignment="0" applyProtection="0"/>
    <xf numFmtId="49" fontId="35" fillId="0" borderId="301" applyNumberFormat="0" applyFont="0" applyFill="0" applyBorder="0" applyProtection="0">
      <alignment horizontal="left" vertical="center" indent="2"/>
    </xf>
    <xf numFmtId="49" fontId="35" fillId="0" borderId="302" applyNumberFormat="0" applyFont="0" applyFill="0" applyBorder="0" applyProtection="0">
      <alignment horizontal="left" vertical="center" indent="5"/>
    </xf>
    <xf numFmtId="49" fontId="35" fillId="0" borderId="301" applyNumberFormat="0" applyFont="0" applyFill="0" applyBorder="0" applyProtection="0">
      <alignment horizontal="left" vertical="center" indent="2"/>
    </xf>
    <xf numFmtId="4" fontId="35" fillId="0" borderId="301" applyFill="0" applyBorder="0" applyProtection="0">
      <alignment horizontal="right" vertical="center"/>
    </xf>
    <xf numFmtId="49" fontId="34" fillId="0" borderId="301" applyNumberFormat="0" applyFill="0" applyBorder="0" applyProtection="0">
      <alignment horizontal="left" vertical="center"/>
    </xf>
    <xf numFmtId="0" fontId="35" fillId="0" borderId="304">
      <alignment horizontal="left" vertical="center" wrapText="1" indent="2"/>
    </xf>
    <xf numFmtId="0" fontId="63" fillId="56" borderId="297" applyNumberFormat="0" applyAlignment="0" applyProtection="0"/>
    <xf numFmtId="0" fontId="33" fillId="34" borderId="303">
      <alignment horizontal="right" vertical="center"/>
    </xf>
    <xf numFmtId="0" fontId="50" fillId="43" borderId="298" applyNumberFormat="0" applyAlignment="0" applyProtection="0"/>
    <xf numFmtId="0" fontId="33" fillId="34" borderId="303">
      <alignment horizontal="right" vertical="center"/>
    </xf>
    <xf numFmtId="4" fontId="33" fillId="34" borderId="301">
      <alignment horizontal="right" vertical="center"/>
    </xf>
    <xf numFmtId="0" fontId="33" fillId="34" borderId="301">
      <alignment horizontal="right" vertical="center"/>
    </xf>
    <xf numFmtId="0" fontId="44" fillId="56" borderId="297" applyNumberFormat="0" applyAlignment="0" applyProtection="0"/>
    <xf numFmtId="0" fontId="46" fillId="56" borderId="298" applyNumberFormat="0" applyAlignment="0" applyProtection="0"/>
    <xf numFmtId="0" fontId="51" fillId="0" borderId="299" applyNumberFormat="0" applyFill="0" applyAlignment="0" applyProtection="0"/>
    <xf numFmtId="0" fontId="35" fillId="33" borderId="301"/>
    <xf numFmtId="4" fontId="35" fillId="33" borderId="301"/>
    <xf numFmtId="4" fontId="33" fillId="34" borderId="301">
      <alignment horizontal="right" vertical="center"/>
    </xf>
    <xf numFmtId="0" fontId="37" fillId="32" borderId="301">
      <alignment horizontal="right" vertical="center"/>
    </xf>
    <xf numFmtId="0" fontId="50" fillId="43" borderId="298" applyNumberFormat="0" applyAlignment="0" applyProtection="0"/>
    <xf numFmtId="0" fontId="47" fillId="56" borderId="298" applyNumberFormat="0" applyAlignment="0" applyProtection="0"/>
    <xf numFmtId="4" fontId="35" fillId="0" borderId="301">
      <alignment horizontal="right" vertical="center"/>
    </xf>
    <xf numFmtId="0" fontId="35" fillId="34" borderId="304">
      <alignment horizontal="left" vertical="center" wrapText="1" indent="2"/>
    </xf>
    <xf numFmtId="0" fontId="35" fillId="0" borderId="304">
      <alignment horizontal="left" vertical="center" wrapText="1" indent="2"/>
    </xf>
    <xf numFmtId="0" fontId="63" fillId="56" borderId="297" applyNumberFormat="0" applyAlignment="0" applyProtection="0"/>
    <xf numFmtId="0" fontId="59" fillId="43" borderId="298" applyNumberFormat="0" applyAlignment="0" applyProtection="0"/>
    <xf numFmtId="0" fontId="46" fillId="56" borderId="298" applyNumberFormat="0" applyAlignment="0" applyProtection="0"/>
    <xf numFmtId="0" fontId="44" fillId="56" borderId="297" applyNumberFormat="0" applyAlignment="0" applyProtection="0"/>
    <xf numFmtId="0" fontId="33" fillId="34" borderId="303">
      <alignment horizontal="right" vertical="center"/>
    </xf>
    <xf numFmtId="0" fontId="37" fillId="32" borderId="301">
      <alignment horizontal="right" vertical="center"/>
    </xf>
    <xf numFmtId="4" fontId="33" fillId="32" borderId="301">
      <alignment horizontal="right" vertical="center"/>
    </xf>
    <xf numFmtId="4" fontId="33" fillId="34" borderId="301">
      <alignment horizontal="right" vertical="center"/>
    </xf>
    <xf numFmtId="49" fontId="35" fillId="0" borderId="302" applyNumberFormat="0" applyFont="0" applyFill="0" applyBorder="0" applyProtection="0">
      <alignment horizontal="left" vertical="center" indent="5"/>
    </xf>
    <xf numFmtId="4" fontId="35" fillId="0" borderId="301" applyFill="0" applyBorder="0" applyProtection="0">
      <alignment horizontal="right" vertical="center"/>
    </xf>
    <xf numFmtId="4" fontId="33" fillId="32" borderId="301">
      <alignment horizontal="right" vertical="center"/>
    </xf>
    <xf numFmtId="4" fontId="33" fillId="34" borderId="341">
      <alignment horizontal="right" vertical="center"/>
    </xf>
    <xf numFmtId="0" fontId="59" fillId="43" borderId="298" applyNumberFormat="0" applyAlignment="0" applyProtection="0"/>
    <xf numFmtId="0" fontId="50" fillId="43" borderId="298" applyNumberFormat="0" applyAlignment="0" applyProtection="0"/>
    <xf numFmtId="0" fontId="46" fillId="56" borderId="298" applyNumberFormat="0" applyAlignment="0" applyProtection="0"/>
    <xf numFmtId="0" fontId="35" fillId="34" borderId="304">
      <alignment horizontal="left" vertical="center" wrapText="1" indent="2"/>
    </xf>
    <xf numFmtId="0" fontId="35" fillId="0" borderId="304">
      <alignment horizontal="left" vertical="center" wrapText="1" indent="2"/>
    </xf>
    <xf numFmtId="0" fontId="35" fillId="34" borderId="304">
      <alignment horizontal="left" vertical="center" wrapText="1" indent="2"/>
    </xf>
    <xf numFmtId="0" fontId="35" fillId="0" borderId="304">
      <alignment horizontal="left" vertical="center" wrapText="1" indent="2"/>
    </xf>
    <xf numFmtId="0" fontId="44" fillId="56" borderId="297" applyNumberFormat="0" applyAlignment="0" applyProtection="0"/>
    <xf numFmtId="0" fontId="46" fillId="56" borderId="298" applyNumberFormat="0" applyAlignment="0" applyProtection="0"/>
    <xf numFmtId="0" fontId="47" fillId="56" borderId="298" applyNumberFormat="0" applyAlignment="0" applyProtection="0"/>
    <xf numFmtId="0" fontId="50" fillId="43" borderId="298" applyNumberFormat="0" applyAlignment="0" applyProtection="0"/>
    <xf numFmtId="0" fontId="51" fillId="0" borderId="299" applyNumberFormat="0" applyFill="0" applyAlignment="0" applyProtection="0"/>
    <xf numFmtId="0" fontId="59" fillId="43" borderId="298" applyNumberFormat="0" applyAlignment="0" applyProtection="0"/>
    <xf numFmtId="0" fontId="41" fillId="59" borderId="300" applyNumberFormat="0" applyFont="0" applyAlignment="0" applyProtection="0"/>
    <xf numFmtId="0" fontId="5" fillId="59" borderId="300" applyNumberFormat="0" applyFont="0" applyAlignment="0" applyProtection="0"/>
    <xf numFmtId="0" fontId="63" fillId="56" borderId="297" applyNumberFormat="0" applyAlignment="0" applyProtection="0"/>
    <xf numFmtId="0" fontId="66" fillId="0" borderId="299" applyNumberFormat="0" applyFill="0" applyAlignment="0" applyProtection="0"/>
    <xf numFmtId="0" fontId="47" fillId="56" borderId="298" applyNumberFormat="0" applyAlignment="0" applyProtection="0"/>
    <xf numFmtId="0" fontId="59" fillId="43" borderId="298" applyNumberFormat="0" applyAlignment="0" applyProtection="0"/>
    <xf numFmtId="0" fontId="41" fillId="59" borderId="300" applyNumberFormat="0" applyFont="0" applyAlignment="0" applyProtection="0"/>
    <xf numFmtId="0" fontId="63" fillId="56" borderId="297" applyNumberFormat="0" applyAlignment="0" applyProtection="0"/>
    <xf numFmtId="0" fontId="66" fillId="0" borderId="299" applyNumberFormat="0" applyFill="0" applyAlignment="0" applyProtection="0"/>
    <xf numFmtId="0" fontId="33" fillId="32" borderId="314">
      <alignment horizontal="right" vertical="center"/>
    </xf>
    <xf numFmtId="0" fontId="47" fillId="56" borderId="338" applyNumberFormat="0" applyAlignment="0" applyProtection="0"/>
    <xf numFmtId="4" fontId="33" fillId="34" borderId="311">
      <alignment horizontal="right" vertical="center"/>
    </xf>
    <xf numFmtId="0" fontId="33" fillId="34" borderId="309">
      <alignment horizontal="right" vertical="center"/>
    </xf>
    <xf numFmtId="0" fontId="47" fillId="56" borderId="298" applyNumberFormat="0" applyAlignment="0" applyProtection="0"/>
    <xf numFmtId="4" fontId="33" fillId="34" borderId="309">
      <alignment horizontal="right" vertical="center"/>
    </xf>
    <xf numFmtId="0" fontId="12" fillId="28" borderId="0" applyNumberFormat="0" applyBorder="0" applyAlignment="0" applyProtection="0"/>
    <xf numFmtId="0" fontId="27" fillId="27" borderId="0" applyNumberFormat="0" applyBorder="0" applyAlignment="0" applyProtection="0"/>
    <xf numFmtId="0" fontId="59" fillId="43" borderId="298" applyNumberFormat="0" applyAlignment="0" applyProtection="0"/>
    <xf numFmtId="0" fontId="63" fillId="56" borderId="297" applyNumberFormat="0" applyAlignment="0" applyProtection="0"/>
    <xf numFmtId="0" fontId="66" fillId="0" borderId="299" applyNumberFormat="0" applyFill="0" applyAlignment="0" applyProtection="0"/>
    <xf numFmtId="0" fontId="33" fillId="32" borderId="314">
      <alignment horizontal="right" vertical="center"/>
    </xf>
    <xf numFmtId="0" fontId="44" fillId="56" borderId="297" applyNumberFormat="0" applyAlignment="0" applyProtection="0"/>
    <xf numFmtId="0" fontId="46" fillId="56" borderId="298" applyNumberFormat="0" applyAlignment="0" applyProtection="0"/>
    <xf numFmtId="0" fontId="51" fillId="0" borderId="299" applyNumberFormat="0" applyFill="0" applyAlignment="0" applyProtection="0"/>
    <xf numFmtId="49" fontId="35" fillId="0" borderId="301" applyNumberFormat="0" applyFont="0" applyFill="0" applyBorder="0" applyProtection="0">
      <alignment horizontal="left" vertical="center" indent="2"/>
    </xf>
    <xf numFmtId="0" fontId="33" fillId="32" borderId="301">
      <alignment horizontal="right" vertical="center"/>
    </xf>
    <xf numFmtId="4" fontId="33" fillId="32" borderId="301">
      <alignment horizontal="right" vertical="center"/>
    </xf>
    <xf numFmtId="0" fontId="37" fillId="32" borderId="301">
      <alignment horizontal="right" vertical="center"/>
    </xf>
    <xf numFmtId="4" fontId="37" fillId="32" borderId="301">
      <alignment horizontal="right" vertical="center"/>
    </xf>
    <xf numFmtId="0" fontId="33" fillId="34" borderId="301">
      <alignment horizontal="right" vertical="center"/>
    </xf>
    <xf numFmtId="4" fontId="33" fillId="34" borderId="301">
      <alignment horizontal="right" vertical="center"/>
    </xf>
    <xf numFmtId="0" fontId="33" fillId="34" borderId="301">
      <alignment horizontal="right" vertical="center"/>
    </xf>
    <xf numFmtId="4" fontId="33" fillId="34" borderId="301">
      <alignment horizontal="right" vertical="center"/>
    </xf>
    <xf numFmtId="0" fontId="50" fillId="43" borderId="298" applyNumberFormat="0" applyAlignment="0" applyProtection="0"/>
    <xf numFmtId="0" fontId="35" fillId="0" borderId="301">
      <alignment horizontal="right" vertical="center"/>
    </xf>
    <xf numFmtId="4" fontId="35" fillId="0" borderId="301">
      <alignment horizontal="right" vertical="center"/>
    </xf>
    <xf numFmtId="4" fontId="35" fillId="0" borderId="301" applyFill="0" applyBorder="0" applyProtection="0">
      <alignment horizontal="right" vertical="center"/>
    </xf>
    <xf numFmtId="49" fontId="34" fillId="0" borderId="301" applyNumberFormat="0" applyFill="0" applyBorder="0" applyProtection="0">
      <alignment horizontal="left" vertical="center"/>
    </xf>
    <xf numFmtId="0" fontId="35" fillId="0" borderId="301" applyNumberFormat="0" applyFill="0" applyAlignment="0" applyProtection="0"/>
    <xf numFmtId="173" fontId="35" fillId="60" borderId="301" applyNumberFormat="0" applyFont="0" applyBorder="0" applyAlignment="0" applyProtection="0">
      <alignment horizontal="right" vertical="center"/>
    </xf>
    <xf numFmtId="0" fontId="35" fillId="33" borderId="301"/>
    <xf numFmtId="4" fontId="35" fillId="33" borderId="301"/>
    <xf numFmtId="4" fontId="33" fillId="34" borderId="301">
      <alignment horizontal="right" vertical="center"/>
    </xf>
    <xf numFmtId="0" fontId="35" fillId="33" borderId="301"/>
    <xf numFmtId="0" fontId="46" fillId="56" borderId="298" applyNumberFormat="0" applyAlignment="0" applyProtection="0"/>
    <xf numFmtId="0" fontId="33" fillId="32" borderId="301">
      <alignment horizontal="right" vertical="center"/>
    </xf>
    <xf numFmtId="0" fontId="35" fillId="0" borderId="301">
      <alignment horizontal="right" vertical="center"/>
    </xf>
    <xf numFmtId="0" fontId="66" fillId="0" borderId="299" applyNumberFormat="0" applyFill="0" applyAlignment="0" applyProtection="0"/>
    <xf numFmtId="0" fontId="35" fillId="32" borderId="302">
      <alignment horizontal="left" vertical="center"/>
    </xf>
    <xf numFmtId="0" fontId="59" fillId="43" borderId="298" applyNumberFormat="0" applyAlignment="0" applyProtection="0"/>
    <xf numFmtId="173" fontId="35" fillId="60" borderId="301" applyNumberFormat="0" applyFont="0" applyBorder="0" applyAlignment="0" applyProtection="0">
      <alignment horizontal="right" vertical="center"/>
    </xf>
    <xf numFmtId="0" fontId="41" fillId="59" borderId="300" applyNumberFormat="0" applyFont="0" applyAlignment="0" applyProtection="0"/>
    <xf numFmtId="0" fontId="35" fillId="0" borderId="304">
      <alignment horizontal="left" vertical="center" wrapText="1" indent="2"/>
    </xf>
    <xf numFmtId="4" fontId="35" fillId="33" borderId="301"/>
    <xf numFmtId="49" fontId="34" fillId="0" borderId="301" applyNumberFormat="0" applyFill="0" applyBorder="0" applyProtection="0">
      <alignment horizontal="left" vertical="center"/>
    </xf>
    <xf numFmtId="0" fontId="35" fillId="0" borderId="301">
      <alignment horizontal="right" vertical="center"/>
    </xf>
    <xf numFmtId="4" fontId="33" fillId="34" borderId="303">
      <alignment horizontal="right" vertical="center"/>
    </xf>
    <xf numFmtId="4" fontId="33" fillId="34" borderId="301">
      <alignment horizontal="right" vertical="center"/>
    </xf>
    <xf numFmtId="4" fontId="33" fillId="34" borderId="301">
      <alignment horizontal="right" vertical="center"/>
    </xf>
    <xf numFmtId="0" fontId="37" fillId="32" borderId="301">
      <alignment horizontal="right" vertical="center"/>
    </xf>
    <xf numFmtId="0" fontId="33" fillId="32" borderId="301">
      <alignment horizontal="right" vertical="center"/>
    </xf>
    <xf numFmtId="49" fontId="35" fillId="0" borderId="301" applyNumberFormat="0" applyFont="0" applyFill="0" applyBorder="0" applyProtection="0">
      <alignment horizontal="left" vertical="center" indent="2"/>
    </xf>
    <xf numFmtId="0" fontId="59" fillId="43" borderId="298" applyNumberFormat="0" applyAlignment="0" applyProtection="0"/>
    <xf numFmtId="0" fontId="44" fillId="56" borderId="297" applyNumberFormat="0" applyAlignment="0" applyProtection="0"/>
    <xf numFmtId="49" fontId="35" fillId="0" borderId="301" applyNumberFormat="0" applyFont="0" applyFill="0" applyBorder="0" applyProtection="0">
      <alignment horizontal="left" vertical="center" indent="2"/>
    </xf>
    <xf numFmtId="0" fontId="50" fillId="43" borderId="298" applyNumberFormat="0" applyAlignment="0" applyProtection="0"/>
    <xf numFmtId="4" fontId="35" fillId="0" borderId="301" applyFill="0" applyBorder="0" applyProtection="0">
      <alignment horizontal="right" vertical="center"/>
    </xf>
    <xf numFmtId="0" fontId="47" fillId="56" borderId="298" applyNumberFormat="0" applyAlignment="0" applyProtection="0"/>
    <xf numFmtId="0" fontId="66" fillId="0" borderId="299" applyNumberFormat="0" applyFill="0" applyAlignment="0" applyProtection="0"/>
    <xf numFmtId="0" fontId="63" fillId="56" borderId="297" applyNumberFormat="0" applyAlignment="0" applyProtection="0"/>
    <xf numFmtId="0" fontId="35" fillId="0" borderId="301" applyNumberFormat="0" applyFill="0" applyAlignment="0" applyProtection="0"/>
    <xf numFmtId="4" fontId="35" fillId="0" borderId="301">
      <alignment horizontal="right" vertical="center"/>
    </xf>
    <xf numFmtId="0" fontId="35" fillId="0" borderId="301">
      <alignment horizontal="right" vertical="center"/>
    </xf>
    <xf numFmtId="0" fontId="59" fillId="43" borderId="298" applyNumberFormat="0" applyAlignment="0" applyProtection="0"/>
    <xf numFmtId="0" fontId="44" fillId="56" borderId="297" applyNumberFormat="0" applyAlignment="0" applyProtection="0"/>
    <xf numFmtId="0" fontId="46" fillId="56" borderId="298" applyNumberFormat="0" applyAlignment="0" applyProtection="0"/>
    <xf numFmtId="0" fontId="35" fillId="34" borderId="304">
      <alignment horizontal="left" vertical="center" wrapText="1" indent="2"/>
    </xf>
    <xf numFmtId="0" fontId="47" fillId="56" borderId="298" applyNumberFormat="0" applyAlignment="0" applyProtection="0"/>
    <xf numFmtId="0" fontId="47" fillId="56" borderId="298" applyNumberFormat="0" applyAlignment="0" applyProtection="0"/>
    <xf numFmtId="4" fontId="33" fillId="34" borderId="302">
      <alignment horizontal="right" vertical="center"/>
    </xf>
    <xf numFmtId="0" fontId="33" fillId="34" borderId="302">
      <alignment horizontal="right" vertical="center"/>
    </xf>
    <xf numFmtId="0" fontId="33" fillId="34" borderId="301">
      <alignment horizontal="right" vertical="center"/>
    </xf>
    <xf numFmtId="4" fontId="37" fillId="32" borderId="301">
      <alignment horizontal="right" vertical="center"/>
    </xf>
    <xf numFmtId="0" fontId="50" fillId="43" borderId="298" applyNumberFormat="0" applyAlignment="0" applyProtection="0"/>
    <xf numFmtId="0" fontId="51" fillId="0" borderId="299" applyNumberFormat="0" applyFill="0" applyAlignment="0" applyProtection="0"/>
    <xf numFmtId="0" fontId="66" fillId="0" borderId="299" applyNumberFormat="0" applyFill="0" applyAlignment="0" applyProtection="0"/>
    <xf numFmtId="0" fontId="41" fillId="59" borderId="300" applyNumberFormat="0" applyFont="0" applyAlignment="0" applyProtection="0"/>
    <xf numFmtId="0" fontId="59" fillId="43" borderId="298" applyNumberFormat="0" applyAlignment="0" applyProtection="0"/>
    <xf numFmtId="49" fontId="34" fillId="0" borderId="301" applyNumberFormat="0" applyFill="0" applyBorder="0" applyProtection="0">
      <alignment horizontal="left" vertical="center"/>
    </xf>
    <xf numFmtId="0" fontId="35" fillId="34" borderId="304">
      <alignment horizontal="left" vertical="center" wrapText="1" indent="2"/>
    </xf>
    <xf numFmtId="0" fontId="47" fillId="56" borderId="298" applyNumberFormat="0" applyAlignment="0" applyProtection="0"/>
    <xf numFmtId="0" fontId="35" fillId="0" borderId="304">
      <alignment horizontal="left" vertical="center" wrapText="1" indent="2"/>
    </xf>
    <xf numFmtId="0" fontId="41" fillId="59" borderId="300" applyNumberFormat="0" applyFont="0" applyAlignment="0" applyProtection="0"/>
    <xf numFmtId="0" fontId="5" fillId="59" borderId="300" applyNumberFormat="0" applyFont="0" applyAlignment="0" applyProtection="0"/>
    <xf numFmtId="0" fontId="63" fillId="56" borderId="297" applyNumberFormat="0" applyAlignment="0" applyProtection="0"/>
    <xf numFmtId="0" fontId="66" fillId="0" borderId="299" applyNumberFormat="0" applyFill="0" applyAlignment="0" applyProtection="0"/>
    <xf numFmtId="4" fontId="35" fillId="33" borderId="301"/>
    <xf numFmtId="0" fontId="33" fillId="34" borderId="301">
      <alignment horizontal="right" vertical="center"/>
    </xf>
    <xf numFmtId="0" fontId="66" fillId="0" borderId="299" applyNumberFormat="0" applyFill="0" applyAlignment="0" applyProtection="0"/>
    <xf numFmtId="4" fontId="33" fillId="34" borderId="303">
      <alignment horizontal="right" vertical="center"/>
    </xf>
    <xf numFmtId="0" fontId="46" fillId="56" borderId="298" applyNumberFormat="0" applyAlignment="0" applyProtection="0"/>
    <xf numFmtId="0" fontId="33" fillId="34" borderId="302">
      <alignment horizontal="right" vertical="center"/>
    </xf>
    <xf numFmtId="0" fontId="47" fillId="56" borderId="298" applyNumberFormat="0" applyAlignment="0" applyProtection="0"/>
    <xf numFmtId="0" fontId="51" fillId="0" borderId="299" applyNumberFormat="0" applyFill="0" applyAlignment="0" applyProtection="0"/>
    <xf numFmtId="0" fontId="41" fillId="59" borderId="300" applyNumberFormat="0" applyFont="0" applyAlignment="0" applyProtection="0"/>
    <xf numFmtId="4" fontId="33" fillId="34" borderId="302">
      <alignment horizontal="right" vertical="center"/>
    </xf>
    <xf numFmtId="0" fontId="35" fillId="34" borderId="304">
      <alignment horizontal="left" vertical="center" wrapText="1" indent="2"/>
    </xf>
    <xf numFmtId="0" fontId="35" fillId="33" borderId="301"/>
    <xf numFmtId="173" fontId="35" fillId="60" borderId="301" applyNumberFormat="0" applyFont="0" applyBorder="0" applyAlignment="0" applyProtection="0">
      <alignment horizontal="right" vertical="center"/>
    </xf>
    <xf numFmtId="0" fontId="35" fillId="0" borderId="301" applyNumberFormat="0" applyFill="0" applyAlignment="0" applyProtection="0"/>
    <xf numFmtId="4" fontId="35" fillId="0" borderId="301" applyFill="0" applyBorder="0" applyProtection="0">
      <alignment horizontal="right" vertical="center"/>
    </xf>
    <xf numFmtId="4" fontId="33" fillId="32" borderId="301">
      <alignment horizontal="right" vertical="center"/>
    </xf>
    <xf numFmtId="0" fontId="51" fillId="0" borderId="299" applyNumberFormat="0" applyFill="0" applyAlignment="0" applyProtection="0"/>
    <xf numFmtId="49" fontId="34" fillId="0" borderId="301" applyNumberFormat="0" applyFill="0" applyBorder="0" applyProtection="0">
      <alignment horizontal="left" vertical="center"/>
    </xf>
    <xf numFmtId="49" fontId="35" fillId="0" borderId="302" applyNumberFormat="0" applyFont="0" applyFill="0" applyBorder="0" applyProtection="0">
      <alignment horizontal="left" vertical="center" indent="5"/>
    </xf>
    <xf numFmtId="0" fontId="35" fillId="32" borderId="302">
      <alignment horizontal="left" vertical="center"/>
    </xf>
    <xf numFmtId="0" fontId="47" fillId="56" borderId="298" applyNumberFormat="0" applyAlignment="0" applyProtection="0"/>
    <xf numFmtId="4" fontId="33" fillId="34" borderId="303">
      <alignment horizontal="right" vertical="center"/>
    </xf>
    <xf numFmtId="0" fontId="59" fillId="43" borderId="298" applyNumberFormat="0" applyAlignment="0" applyProtection="0"/>
    <xf numFmtId="0" fontId="59" fillId="43" borderId="298" applyNumberFormat="0" applyAlignment="0" applyProtection="0"/>
    <xf numFmtId="0" fontId="41" fillId="59" borderId="300" applyNumberFormat="0" applyFont="0" applyAlignment="0" applyProtection="0"/>
    <xf numFmtId="0" fontId="63" fillId="56" borderId="297" applyNumberFormat="0" applyAlignment="0" applyProtection="0"/>
    <xf numFmtId="0" fontId="66" fillId="0" borderId="299" applyNumberFormat="0" applyFill="0" applyAlignment="0" applyProtection="0"/>
    <xf numFmtId="0" fontId="33" fillId="34" borderId="301">
      <alignment horizontal="right" vertical="center"/>
    </xf>
    <xf numFmtId="0" fontId="5" fillId="59" borderId="300" applyNumberFormat="0" applyFont="0" applyAlignment="0" applyProtection="0"/>
    <xf numFmtId="4" fontId="35" fillId="0" borderId="301">
      <alignment horizontal="right" vertical="center"/>
    </xf>
    <xf numFmtId="0" fontId="66" fillId="0" borderId="299" applyNumberFormat="0" applyFill="0" applyAlignment="0" applyProtection="0"/>
    <xf numFmtId="0" fontId="33" fillId="34" borderId="301">
      <alignment horizontal="right" vertical="center"/>
    </xf>
    <xf numFmtId="0" fontId="33" fillId="34" borderId="301">
      <alignment horizontal="right" vertical="center"/>
    </xf>
    <xf numFmtId="4" fontId="37" fillId="32" borderId="301">
      <alignment horizontal="right" vertical="center"/>
    </xf>
    <xf numFmtId="0" fontId="33" fillId="32" borderId="301">
      <alignment horizontal="right" vertical="center"/>
    </xf>
    <xf numFmtId="4" fontId="33" fillId="32" borderId="301">
      <alignment horizontal="right" vertical="center"/>
    </xf>
    <xf numFmtId="0" fontId="37" fillId="32" borderId="301">
      <alignment horizontal="right" vertical="center"/>
    </xf>
    <xf numFmtId="4" fontId="37" fillId="32" borderId="301">
      <alignment horizontal="right" vertical="center"/>
    </xf>
    <xf numFmtId="0" fontId="33" fillId="34" borderId="301">
      <alignment horizontal="right" vertical="center"/>
    </xf>
    <xf numFmtId="4" fontId="33" fillId="34" borderId="301">
      <alignment horizontal="right" vertical="center"/>
    </xf>
    <xf numFmtId="0" fontId="33" fillId="34" borderId="301">
      <alignment horizontal="right" vertical="center"/>
    </xf>
    <xf numFmtId="4" fontId="33" fillId="34" borderId="301">
      <alignment horizontal="right" vertical="center"/>
    </xf>
    <xf numFmtId="0" fontId="33" fillId="34" borderId="302">
      <alignment horizontal="right" vertical="center"/>
    </xf>
    <xf numFmtId="4" fontId="33" fillId="34" borderId="302">
      <alignment horizontal="right" vertical="center"/>
    </xf>
    <xf numFmtId="0" fontId="33" fillId="34" borderId="303">
      <alignment horizontal="right" vertical="center"/>
    </xf>
    <xf numFmtId="4" fontId="33" fillId="34" borderId="303">
      <alignment horizontal="right" vertical="center"/>
    </xf>
    <xf numFmtId="0" fontId="47" fillId="56" borderId="298" applyNumberFormat="0" applyAlignment="0" applyProtection="0"/>
    <xf numFmtId="0" fontId="35" fillId="34" borderId="304">
      <alignment horizontal="left" vertical="center" wrapText="1" indent="2"/>
    </xf>
    <xf numFmtId="0" fontId="35" fillId="0" borderId="304">
      <alignment horizontal="left" vertical="center" wrapText="1" indent="2"/>
    </xf>
    <xf numFmtId="0" fontId="35" fillId="32" borderId="302">
      <alignment horizontal="left" vertical="center"/>
    </xf>
    <xf numFmtId="0" fontId="59" fillId="43" borderId="298" applyNumberFormat="0" applyAlignment="0" applyProtection="0"/>
    <xf numFmtId="0" fontId="35" fillId="0" borderId="301">
      <alignment horizontal="right" vertical="center"/>
    </xf>
    <xf numFmtId="4" fontId="35" fillId="0" borderId="301">
      <alignment horizontal="right" vertical="center"/>
    </xf>
    <xf numFmtId="0" fontId="35" fillId="0" borderId="301" applyNumberFormat="0" applyFill="0" applyAlignment="0" applyProtection="0"/>
    <xf numFmtId="0" fontId="63" fillId="56" borderId="297" applyNumberFormat="0" applyAlignment="0" applyProtection="0"/>
    <xf numFmtId="173" fontId="35" fillId="60" borderId="301" applyNumberFormat="0" applyFont="0" applyBorder="0" applyAlignment="0" applyProtection="0">
      <alignment horizontal="right" vertical="center"/>
    </xf>
    <xf numFmtId="0" fontId="35" fillId="33" borderId="301"/>
    <xf numFmtId="4" fontId="35" fillId="33" borderId="301"/>
    <xf numFmtId="0" fontId="66" fillId="0" borderId="299" applyNumberFormat="0" applyFill="0" applyAlignment="0" applyProtection="0"/>
    <xf numFmtId="0" fontId="5" fillId="59" borderId="300" applyNumberFormat="0" applyFont="0" applyAlignment="0" applyProtection="0"/>
    <xf numFmtId="0" fontId="41" fillId="59" borderId="300" applyNumberFormat="0" applyFont="0" applyAlignment="0" applyProtection="0"/>
    <xf numFmtId="0" fontId="35" fillId="0" borderId="301" applyNumberFormat="0" applyFill="0" applyAlignment="0" applyProtection="0"/>
    <xf numFmtId="0" fontId="51" fillId="0" borderId="299" applyNumberFormat="0" applyFill="0" applyAlignment="0" applyProtection="0"/>
    <xf numFmtId="0" fontId="66" fillId="0" borderId="299" applyNumberFormat="0" applyFill="0" applyAlignment="0" applyProtection="0"/>
    <xf numFmtId="0" fontId="50" fillId="43" borderId="298" applyNumberFormat="0" applyAlignment="0" applyProtection="0"/>
    <xf numFmtId="0" fontId="47" fillId="56" borderId="298" applyNumberFormat="0" applyAlignment="0" applyProtection="0"/>
    <xf numFmtId="4" fontId="37" fillId="32" borderId="301">
      <alignment horizontal="right" vertical="center"/>
    </xf>
    <xf numFmtId="0" fontId="33" fillId="32" borderId="301">
      <alignment horizontal="right" vertical="center"/>
    </xf>
    <xf numFmtId="173" fontId="35" fillId="60" borderId="301" applyNumberFormat="0" applyFont="0" applyBorder="0" applyAlignment="0" applyProtection="0">
      <alignment horizontal="right" vertical="center"/>
    </xf>
    <xf numFmtId="0" fontId="51" fillId="0" borderId="299" applyNumberFormat="0" applyFill="0" applyAlignment="0" applyProtection="0"/>
    <xf numFmtId="49" fontId="35" fillId="0" borderId="301" applyNumberFormat="0" applyFont="0" applyFill="0" applyBorder="0" applyProtection="0">
      <alignment horizontal="left" vertical="center" indent="2"/>
    </xf>
    <xf numFmtId="49" fontId="35" fillId="0" borderId="302" applyNumberFormat="0" applyFont="0" applyFill="0" applyBorder="0" applyProtection="0">
      <alignment horizontal="left" vertical="center" indent="5"/>
    </xf>
    <xf numFmtId="49" fontId="35" fillId="0" borderId="301" applyNumberFormat="0" applyFont="0" applyFill="0" applyBorder="0" applyProtection="0">
      <alignment horizontal="left" vertical="center" indent="2"/>
    </xf>
    <xf numFmtId="4" fontId="35" fillId="0" borderId="301" applyFill="0" applyBorder="0" applyProtection="0">
      <alignment horizontal="right" vertical="center"/>
    </xf>
    <xf numFmtId="49" fontId="34" fillId="0" borderId="301" applyNumberFormat="0" applyFill="0" applyBorder="0" applyProtection="0">
      <alignment horizontal="left" vertical="center"/>
    </xf>
    <xf numFmtId="0" fontId="35" fillId="0" borderId="304">
      <alignment horizontal="left" vertical="center" wrapText="1" indent="2"/>
    </xf>
    <xf numFmtId="0" fontId="63" fillId="56" borderId="297" applyNumberFormat="0" applyAlignment="0" applyProtection="0"/>
    <xf numFmtId="0" fontId="33" fillId="34" borderId="303">
      <alignment horizontal="right" vertical="center"/>
    </xf>
    <xf numFmtId="0" fontId="50" fillId="43" borderId="298" applyNumberFormat="0" applyAlignment="0" applyProtection="0"/>
    <xf numFmtId="0" fontId="33" fillId="34" borderId="303">
      <alignment horizontal="right" vertical="center"/>
    </xf>
    <xf numFmtId="4" fontId="33" fillId="34" borderId="301">
      <alignment horizontal="right" vertical="center"/>
    </xf>
    <xf numFmtId="0" fontId="33" fillId="34" borderId="301">
      <alignment horizontal="right" vertical="center"/>
    </xf>
    <xf numFmtId="0" fontId="44" fillId="56" borderId="297" applyNumberFormat="0" applyAlignment="0" applyProtection="0"/>
    <xf numFmtId="0" fontId="46" fillId="56" borderId="298" applyNumberFormat="0" applyAlignment="0" applyProtection="0"/>
    <xf numFmtId="0" fontId="51" fillId="0" borderId="299" applyNumberFormat="0" applyFill="0" applyAlignment="0" applyProtection="0"/>
    <xf numFmtId="0" fontId="35" fillId="33" borderId="301"/>
    <xf numFmtId="4" fontId="35" fillId="33" borderId="301"/>
    <xf numFmtId="4" fontId="33" fillId="34" borderId="301">
      <alignment horizontal="right" vertical="center"/>
    </xf>
    <xf numFmtId="0" fontId="37" fillId="32" borderId="301">
      <alignment horizontal="right" vertical="center"/>
    </xf>
    <xf numFmtId="0" fontId="50" fillId="43" borderId="298" applyNumberFormat="0" applyAlignment="0" applyProtection="0"/>
    <xf numFmtId="0" fontId="47" fillId="56" borderId="298" applyNumberFormat="0" applyAlignment="0" applyProtection="0"/>
    <xf numFmtId="4" fontId="35" fillId="0" borderId="301">
      <alignment horizontal="right" vertical="center"/>
    </xf>
    <xf numFmtId="0" fontId="35" fillId="34" borderId="304">
      <alignment horizontal="left" vertical="center" wrapText="1" indent="2"/>
    </xf>
    <xf numFmtId="0" fontId="35" fillId="0" borderId="304">
      <alignment horizontal="left" vertical="center" wrapText="1" indent="2"/>
    </xf>
    <xf numFmtId="0" fontId="63" fillId="56" borderId="297" applyNumberFormat="0" applyAlignment="0" applyProtection="0"/>
    <xf numFmtId="0" fontId="59" fillId="43" borderId="298" applyNumberFormat="0" applyAlignment="0" applyProtection="0"/>
    <xf numFmtId="0" fontId="46" fillId="56" borderId="298" applyNumberFormat="0" applyAlignment="0" applyProtection="0"/>
    <xf numFmtId="0" fontId="44" fillId="56" borderId="297" applyNumberFormat="0" applyAlignment="0" applyProtection="0"/>
    <xf numFmtId="0" fontId="33" fillId="34" borderId="303">
      <alignment horizontal="right" vertical="center"/>
    </xf>
    <xf numFmtId="0" fontId="37" fillId="32" borderId="301">
      <alignment horizontal="right" vertical="center"/>
    </xf>
    <xf numFmtId="4" fontId="33" fillId="32" borderId="301">
      <alignment horizontal="right" vertical="center"/>
    </xf>
    <xf numFmtId="4" fontId="33" fillId="34" borderId="301">
      <alignment horizontal="right" vertical="center"/>
    </xf>
    <xf numFmtId="49" fontId="35" fillId="0" borderId="302" applyNumberFormat="0" applyFont="0" applyFill="0" applyBorder="0" applyProtection="0">
      <alignment horizontal="left" vertical="center" indent="5"/>
    </xf>
    <xf numFmtId="4" fontId="35" fillId="0" borderId="301" applyFill="0" applyBorder="0" applyProtection="0">
      <alignment horizontal="right" vertical="center"/>
    </xf>
    <xf numFmtId="4" fontId="33" fillId="32" borderId="301">
      <alignment horizontal="right" vertical="center"/>
    </xf>
    <xf numFmtId="0" fontId="59" fillId="43" borderId="298" applyNumberFormat="0" applyAlignment="0" applyProtection="0"/>
    <xf numFmtId="0" fontId="50" fillId="43" borderId="298" applyNumberFormat="0" applyAlignment="0" applyProtection="0"/>
    <xf numFmtId="0" fontId="46" fillId="56" borderId="298" applyNumberFormat="0" applyAlignment="0" applyProtection="0"/>
    <xf numFmtId="0" fontId="35" fillId="34" borderId="304">
      <alignment horizontal="left" vertical="center" wrapText="1" indent="2"/>
    </xf>
    <xf numFmtId="0" fontId="35" fillId="0" borderId="304">
      <alignment horizontal="left" vertical="center" wrapText="1" indent="2"/>
    </xf>
    <xf numFmtId="0" fontId="35" fillId="34" borderId="304">
      <alignment horizontal="left" vertical="center" wrapText="1" indent="2"/>
    </xf>
    <xf numFmtId="0" fontId="35" fillId="0" borderId="304">
      <alignment horizontal="left" vertical="center" wrapText="1" indent="2"/>
    </xf>
    <xf numFmtId="0" fontId="12" fillId="16" borderId="0" applyNumberFormat="0" applyBorder="0" applyAlignment="0" applyProtection="0"/>
    <xf numFmtId="0" fontId="33" fillId="34" borderId="335">
      <alignment horizontal="right" vertical="center"/>
    </xf>
    <xf numFmtId="0" fontId="27" fillId="26" borderId="0" applyNumberFormat="0" applyBorder="0" applyAlignment="0" applyProtection="0"/>
    <xf numFmtId="0" fontId="33" fillId="34" borderId="315">
      <alignment horizontal="right" vertical="center"/>
    </xf>
    <xf numFmtId="0" fontId="63" fillId="56" borderId="318" applyNumberFormat="0" applyAlignment="0" applyProtection="0"/>
    <xf numFmtId="0" fontId="35" fillId="34" borderId="317">
      <alignment horizontal="left" vertical="center" wrapText="1" indent="2"/>
    </xf>
    <xf numFmtId="0" fontId="41" fillId="59" borderId="313" applyNumberFormat="0" applyFont="0" applyAlignment="0" applyProtection="0"/>
    <xf numFmtId="0" fontId="35" fillId="32" borderId="310">
      <alignment horizontal="left" vertical="center"/>
    </xf>
    <xf numFmtId="0" fontId="46" fillId="56" borderId="319" applyNumberFormat="0" applyAlignment="0" applyProtection="0"/>
    <xf numFmtId="0" fontId="41" fillId="59" borderId="308" applyNumberFormat="0" applyFont="0" applyAlignment="0" applyProtection="0"/>
    <xf numFmtId="4" fontId="35" fillId="33" borderId="346"/>
    <xf numFmtId="173" fontId="35" fillId="60" borderId="324" applyNumberFormat="0" applyFont="0" applyBorder="0" applyAlignment="0" applyProtection="0">
      <alignment horizontal="right" vertical="center"/>
    </xf>
    <xf numFmtId="0" fontId="41" fillId="59" borderId="313" applyNumberFormat="0" applyFont="0" applyAlignment="0" applyProtection="0"/>
    <xf numFmtId="0" fontId="41" fillId="59" borderId="345" applyNumberFormat="0" applyFont="0" applyAlignment="0" applyProtection="0"/>
    <xf numFmtId="49" fontId="35" fillId="0" borderId="325" applyNumberFormat="0" applyFont="0" applyFill="0" applyBorder="0" applyProtection="0">
      <alignment horizontal="left" vertical="center" indent="5"/>
    </xf>
    <xf numFmtId="0" fontId="27" fillId="26" borderId="0" applyNumberFormat="0" applyBorder="0" applyAlignment="0" applyProtection="0"/>
    <xf numFmtId="0" fontId="27" fillId="17" borderId="0" applyNumberFormat="0" applyBorder="0" applyAlignment="0" applyProtection="0"/>
    <xf numFmtId="0" fontId="47" fillId="56" borderId="321" applyNumberFormat="0" applyAlignment="0" applyProtection="0"/>
    <xf numFmtId="0" fontId="35" fillId="0" borderId="314" applyNumberFormat="0" applyFill="0" applyAlignment="0" applyProtection="0"/>
    <xf numFmtId="0" fontId="27" fillId="29" borderId="0" applyNumberFormat="0" applyBorder="0" applyAlignment="0" applyProtection="0"/>
    <xf numFmtId="0" fontId="30" fillId="13" borderId="13" applyNumberFormat="0" applyAlignment="0" applyProtection="0"/>
    <xf numFmtId="0" fontId="33" fillId="34" borderId="315">
      <alignment horizontal="right" vertical="center"/>
    </xf>
    <xf numFmtId="0" fontId="35" fillId="34" borderId="312">
      <alignment horizontal="left" vertical="center" wrapText="1" indent="2"/>
    </xf>
    <xf numFmtId="0" fontId="63" fillId="56" borderId="305" applyNumberFormat="0" applyAlignment="0" applyProtection="0"/>
    <xf numFmtId="4" fontId="35" fillId="33" borderId="309"/>
    <xf numFmtId="0" fontId="66" fillId="0" borderId="307" applyNumberFormat="0" applyFill="0" applyAlignment="0" applyProtection="0"/>
    <xf numFmtId="173" fontId="35" fillId="60" borderId="309" applyNumberFormat="0" applyFont="0" applyBorder="0" applyAlignment="0" applyProtection="0">
      <alignment horizontal="right" vertical="center"/>
    </xf>
    <xf numFmtId="0" fontId="35" fillId="0" borderId="309">
      <alignment horizontal="right" vertical="center"/>
    </xf>
    <xf numFmtId="4" fontId="35" fillId="0" borderId="309">
      <alignment horizontal="right" vertical="center"/>
    </xf>
    <xf numFmtId="0" fontId="63" fillId="56" borderId="318" applyNumberFormat="0" applyAlignment="0" applyProtection="0"/>
    <xf numFmtId="0" fontId="35" fillId="0" borderId="312">
      <alignment horizontal="left" vertical="center" wrapText="1" indent="2"/>
    </xf>
    <xf numFmtId="4" fontId="33" fillId="34" borderId="309">
      <alignment horizontal="right" vertical="center"/>
    </xf>
    <xf numFmtId="0" fontId="33" fillId="34" borderId="310">
      <alignment horizontal="right" vertical="center"/>
    </xf>
    <xf numFmtId="4" fontId="33" fillId="34" borderId="310">
      <alignment horizontal="right" vertical="center"/>
    </xf>
    <xf numFmtId="0" fontId="33" fillId="34" borderId="309">
      <alignment horizontal="right" vertical="center"/>
    </xf>
    <xf numFmtId="4" fontId="33" fillId="32" borderId="309">
      <alignment horizontal="right" vertical="center"/>
    </xf>
    <xf numFmtId="0" fontId="37" fillId="32" borderId="309">
      <alignment horizontal="right" vertical="center"/>
    </xf>
    <xf numFmtId="0" fontId="33" fillId="34" borderId="316">
      <alignment horizontal="right" vertical="center"/>
    </xf>
    <xf numFmtId="173" fontId="35" fillId="60" borderId="314" applyNumberFormat="0" applyFont="0" applyBorder="0" applyAlignment="0" applyProtection="0">
      <alignment horizontal="right" vertical="center"/>
    </xf>
    <xf numFmtId="0" fontId="33" fillId="34" borderId="314">
      <alignment horizontal="right" vertical="center"/>
    </xf>
    <xf numFmtId="4" fontId="37" fillId="32" borderId="314">
      <alignment horizontal="right" vertical="center"/>
    </xf>
    <xf numFmtId="4" fontId="33" fillId="34" borderId="324">
      <alignment horizontal="right" vertical="center"/>
    </xf>
    <xf numFmtId="0" fontId="35" fillId="0" borderId="344">
      <alignment horizontal="left" vertical="center" wrapText="1" indent="2"/>
    </xf>
    <xf numFmtId="4" fontId="33" fillId="34" borderId="348">
      <alignment horizontal="right" vertical="center"/>
    </xf>
    <xf numFmtId="0" fontId="66" fillId="0" borderId="307" applyNumberFormat="0" applyFill="0" applyAlignment="0" applyProtection="0"/>
    <xf numFmtId="0" fontId="27" fillId="15" borderId="0" applyNumberFormat="0" applyBorder="0" applyAlignment="0" applyProtection="0"/>
    <xf numFmtId="0" fontId="63" fillId="56" borderId="305" applyNumberFormat="0" applyAlignment="0" applyProtection="0"/>
    <xf numFmtId="0" fontId="27" fillId="17" borderId="0" applyNumberFormat="0" applyBorder="0" applyAlignment="0" applyProtection="0"/>
    <xf numFmtId="4" fontId="33" fillId="34" borderId="334">
      <alignment horizontal="right" vertical="center"/>
    </xf>
    <xf numFmtId="49" fontId="35" fillId="0" borderId="324" applyNumberFormat="0" applyFont="0" applyFill="0" applyBorder="0" applyProtection="0">
      <alignment horizontal="left" vertical="center" indent="2"/>
    </xf>
    <xf numFmtId="0" fontId="27" fillId="18" borderId="0" applyNumberFormat="0" applyBorder="0" applyAlignment="0" applyProtection="0"/>
    <xf numFmtId="0" fontId="63" fillId="56" borderId="328" applyNumberFormat="0" applyAlignment="0" applyProtection="0"/>
    <xf numFmtId="4" fontId="33" fillId="34" borderId="314">
      <alignment horizontal="right" vertical="center"/>
    </xf>
    <xf numFmtId="0" fontId="44" fillId="56" borderId="318" applyNumberFormat="0" applyAlignment="0" applyProtection="0"/>
    <xf numFmtId="0" fontId="35" fillId="32" borderId="315">
      <alignment horizontal="left" vertical="center"/>
    </xf>
    <xf numFmtId="4" fontId="33" fillId="34" borderId="334">
      <alignment horizontal="right" vertical="center"/>
    </xf>
    <xf numFmtId="0" fontId="44" fillId="56" borderId="329" applyNumberFormat="0" applyAlignment="0" applyProtection="0"/>
    <xf numFmtId="0" fontId="35" fillId="0" borderId="324" applyNumberFormat="0" applyFill="0" applyAlignment="0" applyProtection="0"/>
    <xf numFmtId="49" fontId="34" fillId="0" borderId="324" applyNumberFormat="0" applyFill="0" applyBorder="0" applyProtection="0">
      <alignment horizontal="left" vertical="center"/>
    </xf>
    <xf numFmtId="0" fontId="33" fillId="34" borderId="314">
      <alignment horizontal="right" vertical="center"/>
    </xf>
    <xf numFmtId="0" fontId="66" fillId="0" borderId="320" applyNumberFormat="0" applyFill="0" applyAlignment="0" applyProtection="0"/>
    <xf numFmtId="0" fontId="35" fillId="0" borderId="314">
      <alignment horizontal="right" vertical="center"/>
    </xf>
    <xf numFmtId="0" fontId="41" fillId="59" borderId="313" applyNumberFormat="0" applyFont="0" applyAlignment="0" applyProtection="0"/>
    <xf numFmtId="0" fontId="66" fillId="0" borderId="339" applyNumberFormat="0" applyFill="0" applyAlignment="0" applyProtection="0"/>
    <xf numFmtId="0" fontId="27" fillId="26" borderId="0" applyNumberFormat="0" applyBorder="0" applyAlignment="0" applyProtection="0"/>
    <xf numFmtId="0" fontId="12" fillId="22" borderId="0" applyNumberFormat="0" applyBorder="0" applyAlignment="0" applyProtection="0"/>
    <xf numFmtId="0" fontId="37" fillId="32" borderId="324">
      <alignment horizontal="right" vertical="center"/>
    </xf>
    <xf numFmtId="0" fontId="44" fillId="56" borderId="318" applyNumberFormat="0" applyAlignment="0" applyProtection="0"/>
    <xf numFmtId="4" fontId="35" fillId="33" borderId="314"/>
    <xf numFmtId="0" fontId="33" fillId="34" borderId="348">
      <alignment horizontal="right" vertical="center"/>
    </xf>
    <xf numFmtId="0" fontId="46" fillId="56" borderId="351" applyNumberFormat="0" applyAlignment="0" applyProtection="0"/>
    <xf numFmtId="0" fontId="51" fillId="0" borderId="320" applyNumberFormat="0" applyFill="0" applyAlignment="0" applyProtection="0"/>
    <xf numFmtId="0" fontId="35" fillId="32" borderId="315">
      <alignment horizontal="left" vertical="center"/>
    </xf>
    <xf numFmtId="0" fontId="59" fillId="43" borderId="338" applyNumberFormat="0" applyAlignment="0" applyProtection="0"/>
    <xf numFmtId="0" fontId="66" fillId="0" borderId="307" applyNumberFormat="0" applyFill="0" applyAlignment="0" applyProtection="0"/>
    <xf numFmtId="0" fontId="41" fillId="59" borderId="308" applyNumberFormat="0" applyFont="0" applyAlignment="0" applyProtection="0"/>
    <xf numFmtId="4" fontId="33" fillId="34" borderId="314">
      <alignment horizontal="right" vertical="center"/>
    </xf>
    <xf numFmtId="49" fontId="35" fillId="0" borderId="334" applyNumberFormat="0" applyFont="0" applyFill="0" applyBorder="0" applyProtection="0">
      <alignment horizontal="left" vertical="center" indent="5"/>
    </xf>
    <xf numFmtId="0" fontId="5" fillId="59" borderId="308" applyNumberFormat="0" applyFont="0" applyAlignment="0" applyProtection="0"/>
    <xf numFmtId="4" fontId="37" fillId="32" borderId="341">
      <alignment horizontal="right" vertical="center"/>
    </xf>
    <xf numFmtId="0" fontId="63" fillId="56" borderId="328" applyNumberFormat="0" applyAlignment="0" applyProtection="0"/>
    <xf numFmtId="0" fontId="2" fillId="0" borderId="15" applyNumberFormat="0" applyFill="0" applyAlignment="0" applyProtection="0"/>
    <xf numFmtId="0" fontId="51" fillId="0" borderId="320" applyNumberFormat="0" applyFill="0" applyAlignment="0" applyProtection="0"/>
    <xf numFmtId="4" fontId="35" fillId="0" borderId="314">
      <alignment horizontal="right" vertical="center"/>
    </xf>
    <xf numFmtId="0" fontId="44" fillId="56" borderId="318" applyNumberFormat="0" applyAlignment="0" applyProtection="0"/>
    <xf numFmtId="0" fontId="27" fillId="24" borderId="0" applyNumberFormat="0" applyBorder="0" applyAlignment="0" applyProtection="0"/>
    <xf numFmtId="0" fontId="59" fillId="43" borderId="306" applyNumberFormat="0" applyAlignment="0" applyProtection="0"/>
    <xf numFmtId="0" fontId="12" fillId="16" borderId="0" applyNumberFormat="0" applyBorder="0" applyAlignment="0" applyProtection="0"/>
    <xf numFmtId="0" fontId="35" fillId="34" borderId="312">
      <alignment horizontal="left" vertical="center" wrapText="1" indent="2"/>
    </xf>
    <xf numFmtId="4" fontId="37" fillId="32" borderId="309">
      <alignment horizontal="right" vertical="center"/>
    </xf>
    <xf numFmtId="49" fontId="35" fillId="0" borderId="314" applyNumberFormat="0" applyFont="0" applyFill="0" applyBorder="0" applyProtection="0">
      <alignment horizontal="left" vertical="center" indent="2"/>
    </xf>
    <xf numFmtId="0" fontId="63" fillId="56" borderId="328" applyNumberFormat="0" applyAlignment="0" applyProtection="0"/>
    <xf numFmtId="4" fontId="33" fillId="34" borderId="346">
      <alignment horizontal="right" vertical="center"/>
    </xf>
    <xf numFmtId="0" fontId="27" fillId="21" borderId="0" applyNumberFormat="0" applyBorder="0" applyAlignment="0" applyProtection="0"/>
    <xf numFmtId="4" fontId="33" fillId="34" borderId="347">
      <alignment horizontal="right" vertical="center"/>
    </xf>
    <xf numFmtId="0" fontId="35" fillId="0" borderId="317">
      <alignment horizontal="left" vertical="center" wrapText="1" indent="2"/>
    </xf>
    <xf numFmtId="0" fontId="2" fillId="0" borderId="15" applyNumberFormat="0" applyFill="0" applyAlignment="0" applyProtection="0"/>
    <xf numFmtId="0" fontId="12" fillId="31" borderId="0" applyNumberFormat="0" applyBorder="0" applyAlignment="0" applyProtection="0"/>
    <xf numFmtId="0" fontId="50" fillId="43" borderId="319" applyNumberFormat="0" applyAlignment="0" applyProtection="0"/>
    <xf numFmtId="4" fontId="37" fillId="32" borderId="309">
      <alignment horizontal="right" vertical="center"/>
    </xf>
    <xf numFmtId="4" fontId="33" fillId="32" borderId="309">
      <alignment horizontal="right" vertical="center"/>
    </xf>
    <xf numFmtId="0" fontId="35" fillId="0" borderId="312">
      <alignment horizontal="left" vertical="center" wrapText="1" indent="2"/>
    </xf>
    <xf numFmtId="0" fontId="63" fillId="56" borderId="305" applyNumberFormat="0" applyAlignment="0" applyProtection="0"/>
    <xf numFmtId="0" fontId="35" fillId="0" borderId="309">
      <alignment horizontal="right" vertical="center"/>
    </xf>
    <xf numFmtId="0" fontId="66" fillId="0" borderId="307" applyNumberFormat="0" applyFill="0" applyAlignment="0" applyProtection="0"/>
    <xf numFmtId="49" fontId="34" fillId="0" borderId="309" applyNumberFormat="0" applyFill="0" applyBorder="0" applyProtection="0">
      <alignment horizontal="left" vertical="center"/>
    </xf>
    <xf numFmtId="4" fontId="35" fillId="33" borderId="309"/>
    <xf numFmtId="0" fontId="59" fillId="43" borderId="306" applyNumberFormat="0" applyAlignment="0" applyProtection="0"/>
    <xf numFmtId="49" fontId="35" fillId="0" borderId="314" applyNumberFormat="0" applyFont="0" applyFill="0" applyBorder="0" applyProtection="0">
      <alignment horizontal="left" vertical="center" indent="2"/>
    </xf>
    <xf numFmtId="0" fontId="35" fillId="34" borderId="317">
      <alignment horizontal="left" vertical="center" wrapText="1" indent="2"/>
    </xf>
    <xf numFmtId="173" fontId="35" fillId="60" borderId="309" applyNumberFormat="0" applyFont="0" applyBorder="0" applyAlignment="0" applyProtection="0">
      <alignment horizontal="right" vertical="center"/>
    </xf>
    <xf numFmtId="0" fontId="41" fillId="59" borderId="323" applyNumberFormat="0" applyFont="0" applyAlignment="0" applyProtection="0"/>
    <xf numFmtId="0" fontId="47" fillId="56" borderId="306" applyNumberFormat="0" applyAlignment="0" applyProtection="0"/>
    <xf numFmtId="0" fontId="35" fillId="0" borderId="327">
      <alignment horizontal="left" vertical="center" wrapText="1" indent="2"/>
    </xf>
    <xf numFmtId="0" fontId="37" fillId="32" borderId="324">
      <alignment horizontal="right" vertical="center"/>
    </xf>
    <xf numFmtId="4" fontId="37" fillId="32" borderId="314">
      <alignment horizontal="right" vertical="center"/>
    </xf>
    <xf numFmtId="0" fontId="37" fillId="32" borderId="314">
      <alignment horizontal="right" vertical="center"/>
    </xf>
    <xf numFmtId="0" fontId="59" fillId="43" borderId="306" applyNumberFormat="0" applyAlignment="0" applyProtection="0"/>
    <xf numFmtId="0" fontId="44" fillId="56" borderId="305" applyNumberFormat="0" applyAlignment="0" applyProtection="0"/>
    <xf numFmtId="0" fontId="5" fillId="59" borderId="313" applyNumberFormat="0" applyFont="0" applyAlignment="0" applyProtection="0"/>
    <xf numFmtId="49" fontId="34" fillId="0" borderId="309" applyNumberFormat="0" applyFill="0" applyBorder="0" applyProtection="0">
      <alignment horizontal="left" vertical="center"/>
    </xf>
    <xf numFmtId="0" fontId="66" fillId="0" borderId="307" applyNumberFormat="0" applyFill="0" applyAlignment="0" applyProtection="0"/>
    <xf numFmtId="0" fontId="35" fillId="0" borderId="309">
      <alignment horizontal="right" vertical="center"/>
    </xf>
    <xf numFmtId="0" fontId="33" fillId="34" borderId="310">
      <alignment horizontal="right" vertical="center"/>
    </xf>
    <xf numFmtId="0" fontId="66" fillId="0" borderId="307" applyNumberFormat="0" applyFill="0" applyAlignment="0" applyProtection="0"/>
    <xf numFmtId="0" fontId="1" fillId="0" borderId="0" applyNumberFormat="0" applyFill="0" applyBorder="0" applyAlignment="0" applyProtection="0"/>
    <xf numFmtId="0" fontId="30" fillId="13" borderId="13" applyNumberFormat="0" applyAlignment="0" applyProtection="0"/>
    <xf numFmtId="0" fontId="35" fillId="0" borderId="314" applyNumberFormat="0" applyFill="0" applyAlignment="0" applyProtection="0"/>
    <xf numFmtId="4" fontId="33" fillId="34" borderId="325">
      <alignment horizontal="right" vertical="center"/>
    </xf>
    <xf numFmtId="4" fontId="35" fillId="0" borderId="314">
      <alignment horizontal="right" vertical="center"/>
    </xf>
    <xf numFmtId="0" fontId="29" fillId="13" borderId="14" applyNumberFormat="0" applyAlignment="0" applyProtection="0"/>
    <xf numFmtId="0" fontId="59" fillId="43" borderId="319" applyNumberFormat="0" applyAlignment="0" applyProtection="0"/>
    <xf numFmtId="4" fontId="35" fillId="0" borderId="309" applyFill="0" applyBorder="0" applyProtection="0">
      <alignment horizontal="right" vertical="center"/>
    </xf>
    <xf numFmtId="0" fontId="27" fillId="23" borderId="0" applyNumberFormat="0" applyBorder="0" applyAlignment="0" applyProtection="0"/>
    <xf numFmtId="0" fontId="33" fillId="34" borderId="316">
      <alignment horizontal="right" vertical="center"/>
    </xf>
    <xf numFmtId="0" fontId="27" fillId="23" borderId="0" applyNumberFormat="0" applyBorder="0" applyAlignment="0" applyProtection="0"/>
    <xf numFmtId="0" fontId="50" fillId="43" borderId="319" applyNumberFormat="0" applyAlignment="0" applyProtection="0"/>
    <xf numFmtId="0" fontId="35" fillId="33" borderId="314"/>
    <xf numFmtId="0" fontId="27" fillId="29" borderId="0" applyNumberFormat="0" applyBorder="0" applyAlignment="0" applyProtection="0"/>
    <xf numFmtId="0" fontId="35" fillId="0" borderId="312">
      <alignment horizontal="left" vertical="center" wrapText="1" indent="2"/>
    </xf>
    <xf numFmtId="0" fontId="33" fillId="34" borderId="346">
      <alignment horizontal="right" vertical="center"/>
    </xf>
    <xf numFmtId="0" fontId="66" fillId="0" borderId="307" applyNumberFormat="0" applyFill="0" applyAlignment="0" applyProtection="0"/>
    <xf numFmtId="0" fontId="44" fillId="56" borderId="305" applyNumberFormat="0" applyAlignment="0" applyProtection="0"/>
    <xf numFmtId="0" fontId="33" fillId="34" borderId="309">
      <alignment horizontal="right" vertical="center"/>
    </xf>
    <xf numFmtId="0" fontId="46" fillId="56" borderId="306" applyNumberFormat="0" applyAlignment="0" applyProtection="0"/>
    <xf numFmtId="0" fontId="35" fillId="32" borderId="315">
      <alignment horizontal="left" vertical="center"/>
    </xf>
    <xf numFmtId="0" fontId="35" fillId="32" borderId="315">
      <alignment horizontal="left" vertical="center"/>
    </xf>
    <xf numFmtId="0" fontId="35" fillId="32" borderId="310">
      <alignment horizontal="left" vertical="center"/>
    </xf>
    <xf numFmtId="0" fontId="35" fillId="0" borderId="317">
      <alignment horizontal="left" vertical="center" wrapText="1" indent="2"/>
    </xf>
    <xf numFmtId="4" fontId="35" fillId="33" borderId="314"/>
    <xf numFmtId="0" fontId="66" fillId="0" borderId="320" applyNumberFormat="0" applyFill="0" applyAlignment="0" applyProtection="0"/>
    <xf numFmtId="0" fontId="47" fillId="56" borderId="321" applyNumberFormat="0" applyAlignment="0" applyProtection="0"/>
    <xf numFmtId="0" fontId="33" fillId="32" borderId="309">
      <alignment horizontal="right" vertical="center"/>
    </xf>
    <xf numFmtId="4" fontId="33" fillId="34" borderId="314">
      <alignment horizontal="right" vertical="center"/>
    </xf>
    <xf numFmtId="0" fontId="33" fillId="34" borderId="314">
      <alignment horizontal="right" vertical="center"/>
    </xf>
    <xf numFmtId="0" fontId="51" fillId="0" borderId="307" applyNumberFormat="0" applyFill="0" applyAlignment="0" applyProtection="0"/>
    <xf numFmtId="0" fontId="47" fillId="56" borderId="321" applyNumberFormat="0" applyAlignment="0" applyProtection="0"/>
    <xf numFmtId="0" fontId="35" fillId="0" borderId="309">
      <alignment horizontal="right" vertical="center"/>
    </xf>
    <xf numFmtId="0" fontId="5" fillId="59" borderId="308" applyNumberFormat="0" applyFont="0" applyAlignment="0" applyProtection="0"/>
    <xf numFmtId="0" fontId="35" fillId="33" borderId="324"/>
    <xf numFmtId="0" fontId="12" fillId="16" borderId="0" applyNumberFormat="0" applyBorder="0" applyAlignment="0" applyProtection="0"/>
    <xf numFmtId="49" fontId="35" fillId="0" borderId="315" applyNumberFormat="0" applyFont="0" applyFill="0" applyBorder="0" applyProtection="0">
      <alignment horizontal="left" vertical="center" indent="5"/>
    </xf>
    <xf numFmtId="0" fontId="12" fillId="31" borderId="0" applyNumberFormat="0" applyBorder="0" applyAlignment="0" applyProtection="0"/>
    <xf numFmtId="4" fontId="33" fillId="34" borderId="348">
      <alignment horizontal="right" vertical="center"/>
    </xf>
    <xf numFmtId="0" fontId="59" fillId="43" borderId="306" applyNumberFormat="0" applyAlignment="0" applyProtection="0"/>
    <xf numFmtId="0" fontId="27" fillId="14" borderId="0" applyNumberFormat="0" applyBorder="0" applyAlignment="0" applyProtection="0"/>
    <xf numFmtId="49" fontId="35" fillId="0" borderId="310" applyNumberFormat="0" applyFont="0" applyFill="0" applyBorder="0" applyProtection="0">
      <alignment horizontal="left" vertical="center" indent="5"/>
    </xf>
    <xf numFmtId="0" fontId="27" fillId="21" borderId="0" applyNumberFormat="0" applyBorder="0" applyAlignment="0" applyProtection="0"/>
    <xf numFmtId="0" fontId="35" fillId="0" borderId="309" applyNumberFormat="0" applyFill="0" applyAlignment="0" applyProtection="0"/>
    <xf numFmtId="0" fontId="51" fillId="0" borderId="307" applyNumberFormat="0" applyFill="0" applyAlignment="0" applyProtection="0"/>
    <xf numFmtId="0" fontId="63" fillId="56" borderId="305" applyNumberFormat="0" applyAlignment="0" applyProtection="0"/>
    <xf numFmtId="4" fontId="33" fillId="34" borderId="309">
      <alignment horizontal="right" vertical="center"/>
    </xf>
    <xf numFmtId="4" fontId="35" fillId="33" borderId="309"/>
    <xf numFmtId="0" fontId="66" fillId="0" borderId="307" applyNumberFormat="0" applyFill="0" applyAlignment="0" applyProtection="0"/>
    <xf numFmtId="0" fontId="63" fillId="56" borderId="328" applyNumberFormat="0" applyAlignment="0" applyProtection="0"/>
    <xf numFmtId="0" fontId="44" fillId="56" borderId="305" applyNumberFormat="0" applyAlignment="0" applyProtection="0"/>
    <xf numFmtId="0" fontId="46" fillId="56" borderId="306" applyNumberFormat="0" applyAlignment="0" applyProtection="0"/>
    <xf numFmtId="0" fontId="47" fillId="56" borderId="306" applyNumberFormat="0" applyAlignment="0" applyProtection="0"/>
    <xf numFmtId="0" fontId="63" fillId="56" borderId="305" applyNumberFormat="0" applyAlignment="0" applyProtection="0"/>
    <xf numFmtId="0" fontId="33" fillId="34" borderId="311">
      <alignment horizontal="right" vertical="center"/>
    </xf>
    <xf numFmtId="0" fontId="35" fillId="0" borderId="309" applyNumberFormat="0" applyFill="0" applyAlignment="0" applyProtection="0"/>
    <xf numFmtId="49" fontId="35" fillId="0" borderId="310" applyNumberFormat="0" applyFont="0" applyFill="0" applyBorder="0" applyProtection="0">
      <alignment horizontal="left" vertical="center" indent="5"/>
    </xf>
    <xf numFmtId="0" fontId="66" fillId="0" borderId="307" applyNumberFormat="0" applyFill="0" applyAlignment="0" applyProtection="0"/>
    <xf numFmtId="0" fontId="35" fillId="0" borderId="309" applyNumberFormat="0" applyFill="0" applyAlignment="0" applyProtection="0"/>
    <xf numFmtId="0" fontId="37" fillId="32" borderId="314">
      <alignment horizontal="right" vertical="center"/>
    </xf>
    <xf numFmtId="4" fontId="33" fillId="34" borderId="316">
      <alignment horizontal="right" vertical="center"/>
    </xf>
    <xf numFmtId="0" fontId="27" fillId="23" borderId="0" applyNumberFormat="0" applyBorder="0" applyAlignment="0" applyProtection="0"/>
    <xf numFmtId="0" fontId="37" fillId="32" borderId="314">
      <alignment horizontal="right" vertical="center"/>
    </xf>
    <xf numFmtId="0" fontId="27" fillId="21" borderId="0" applyNumberFormat="0" applyBorder="0" applyAlignment="0" applyProtection="0"/>
    <xf numFmtId="4" fontId="37" fillId="32" borderId="333">
      <alignment horizontal="right" vertical="center"/>
    </xf>
    <xf numFmtId="0" fontId="37" fillId="32" borderId="324">
      <alignment horizontal="right" vertical="center"/>
    </xf>
    <xf numFmtId="0" fontId="41" fillId="59" borderId="308" applyNumberFormat="0" applyFont="0" applyAlignment="0" applyProtection="0"/>
    <xf numFmtId="0" fontId="30" fillId="13" borderId="13" applyNumberFormat="0" applyAlignment="0" applyProtection="0"/>
    <xf numFmtId="0" fontId="35" fillId="34" borderId="349">
      <alignment horizontal="left" vertical="center" wrapText="1" indent="2"/>
    </xf>
    <xf numFmtId="0" fontId="59" fillId="43" borderId="319" applyNumberFormat="0" applyAlignment="0" applyProtection="0"/>
    <xf numFmtId="0" fontId="59" fillId="43" borderId="321" applyNumberFormat="0" applyAlignment="0" applyProtection="0"/>
    <xf numFmtId="4" fontId="33" fillId="34" borderId="324">
      <alignment horizontal="right" vertical="center"/>
    </xf>
    <xf numFmtId="0" fontId="37" fillId="32" borderId="341">
      <alignment horizontal="right" vertical="center"/>
    </xf>
    <xf numFmtId="0" fontId="29" fillId="13" borderId="14" applyNumberFormat="0" applyAlignment="0" applyProtection="0"/>
    <xf numFmtId="4" fontId="33" fillId="34" borderId="315">
      <alignment horizontal="right" vertical="center"/>
    </xf>
    <xf numFmtId="0" fontId="5" fillId="59" borderId="313" applyNumberFormat="0" applyFont="0" applyAlignment="0" applyProtection="0"/>
    <xf numFmtId="0" fontId="35" fillId="0" borderId="312">
      <alignment horizontal="left" vertical="center" wrapText="1" indent="2"/>
    </xf>
    <xf numFmtId="4" fontId="33" fillId="34" borderId="333">
      <alignment horizontal="right" vertical="center"/>
    </xf>
    <xf numFmtId="4" fontId="33" fillId="32" borderId="309">
      <alignment horizontal="right" vertical="center"/>
    </xf>
    <xf numFmtId="4" fontId="33" fillId="34" borderId="314">
      <alignment horizontal="right" vertical="center"/>
    </xf>
    <xf numFmtId="49" fontId="35" fillId="0" borderId="314" applyNumberFormat="0" applyFont="0" applyFill="0" applyBorder="0" applyProtection="0">
      <alignment horizontal="left" vertical="center" indent="2"/>
    </xf>
    <xf numFmtId="0" fontId="63" fillId="56" borderId="305" applyNumberFormat="0" applyAlignment="0" applyProtection="0"/>
    <xf numFmtId="49" fontId="35" fillId="0" borderId="310" applyNumberFormat="0" applyFont="0" applyFill="0" applyBorder="0" applyProtection="0">
      <alignment horizontal="left" vertical="center" indent="5"/>
    </xf>
    <xf numFmtId="4" fontId="35" fillId="0" borderId="309">
      <alignment horizontal="right" vertical="center"/>
    </xf>
    <xf numFmtId="0" fontId="33" fillId="34" borderId="314">
      <alignment horizontal="right" vertical="center"/>
    </xf>
    <xf numFmtId="4" fontId="37" fillId="32" borderId="314">
      <alignment horizontal="right" vertical="center"/>
    </xf>
    <xf numFmtId="0" fontId="66" fillId="0" borderId="322" applyNumberFormat="0" applyFill="0" applyAlignment="0" applyProtection="0"/>
    <xf numFmtId="0" fontId="27" fillId="29" borderId="0" applyNumberFormat="0" applyBorder="0" applyAlignment="0" applyProtection="0"/>
    <xf numFmtId="0" fontId="51" fillId="0" borderId="307" applyNumberFormat="0" applyFill="0" applyAlignment="0" applyProtection="0"/>
    <xf numFmtId="4" fontId="33" fillId="34" borderId="341">
      <alignment horizontal="right" vertical="center"/>
    </xf>
    <xf numFmtId="4" fontId="33" fillId="34" borderId="311">
      <alignment horizontal="right" vertical="center"/>
    </xf>
    <xf numFmtId="4" fontId="33" fillId="34" borderId="309">
      <alignment horizontal="right" vertical="center"/>
    </xf>
    <xf numFmtId="4" fontId="33" fillId="34" borderId="309">
      <alignment horizontal="right" vertical="center"/>
    </xf>
    <xf numFmtId="0" fontId="66" fillId="0" borderId="307" applyNumberFormat="0" applyFill="0" applyAlignment="0" applyProtection="0"/>
    <xf numFmtId="0" fontId="47" fillId="56" borderId="306" applyNumberFormat="0" applyAlignment="0" applyProtection="0"/>
    <xf numFmtId="0" fontId="50" fillId="43" borderId="306" applyNumberFormat="0" applyAlignment="0" applyProtection="0"/>
    <xf numFmtId="0" fontId="41" fillId="59" borderId="332" applyNumberFormat="0" applyFont="0" applyAlignment="0" applyProtection="0"/>
    <xf numFmtId="0" fontId="30" fillId="13" borderId="13" applyNumberFormat="0" applyAlignment="0" applyProtection="0"/>
    <xf numFmtId="49" fontId="34" fillId="0" borderId="309" applyNumberFormat="0" applyFill="0" applyBorder="0" applyProtection="0">
      <alignment horizontal="left" vertical="center"/>
    </xf>
    <xf numFmtId="0" fontId="5" fillId="59" borderId="308" applyNumberFormat="0" applyFont="0" applyAlignment="0" applyProtection="0"/>
    <xf numFmtId="173" fontId="35" fillId="60" borderId="324" applyNumberFormat="0" applyFont="0" applyBorder="0" applyAlignment="0" applyProtection="0">
      <alignment horizontal="right" vertical="center"/>
    </xf>
    <xf numFmtId="4" fontId="33" fillId="34" borderId="309">
      <alignment horizontal="right" vertical="center"/>
    </xf>
    <xf numFmtId="0" fontId="27" fillId="23" borderId="0" applyNumberFormat="0" applyBorder="0" applyAlignment="0" applyProtection="0"/>
    <xf numFmtId="4" fontId="37" fillId="32" borderId="314">
      <alignment horizontal="right" vertical="center"/>
    </xf>
    <xf numFmtId="0" fontId="44" fillId="56" borderId="318" applyNumberFormat="0" applyAlignment="0" applyProtection="0"/>
    <xf numFmtId="0" fontId="33" fillId="34" borderId="314">
      <alignment horizontal="right" vertical="center"/>
    </xf>
    <xf numFmtId="173" fontId="35" fillId="60" borderId="314" applyNumberFormat="0" applyFont="0" applyBorder="0" applyAlignment="0" applyProtection="0">
      <alignment horizontal="right" vertical="center"/>
    </xf>
    <xf numFmtId="49" fontId="35" fillId="0" borderId="309" applyNumberFormat="0" applyFont="0" applyFill="0" applyBorder="0" applyProtection="0">
      <alignment horizontal="left" vertical="center" indent="2"/>
    </xf>
    <xf numFmtId="0" fontId="66" fillId="0" borderId="307" applyNumberFormat="0" applyFill="0" applyAlignment="0" applyProtection="0"/>
    <xf numFmtId="4" fontId="35" fillId="0" borderId="309" applyFill="0" applyBorder="0" applyProtection="0">
      <alignment horizontal="right" vertical="center"/>
    </xf>
    <xf numFmtId="0" fontId="59" fillId="43" borderId="306" applyNumberFormat="0" applyAlignment="0" applyProtection="0"/>
    <xf numFmtId="49" fontId="34" fillId="0" borderId="309" applyNumberFormat="0" applyFill="0" applyBorder="0" applyProtection="0">
      <alignment horizontal="left" vertical="center"/>
    </xf>
    <xf numFmtId="49" fontId="35" fillId="0" borderId="309" applyNumberFormat="0" applyFont="0" applyFill="0" applyBorder="0" applyProtection="0">
      <alignment horizontal="left" vertical="center" indent="2"/>
    </xf>
    <xf numFmtId="4" fontId="35" fillId="0" borderId="309" applyFill="0" applyBorder="0" applyProtection="0">
      <alignment horizontal="right" vertical="center"/>
    </xf>
    <xf numFmtId="0" fontId="63" fillId="56" borderId="318" applyNumberFormat="0" applyAlignment="0" applyProtection="0"/>
    <xf numFmtId="173" fontId="35" fillId="60" borderId="309" applyNumberFormat="0" applyFont="0" applyBorder="0" applyAlignment="0" applyProtection="0">
      <alignment horizontal="right" vertical="center"/>
    </xf>
    <xf numFmtId="4" fontId="33" fillId="34" borderId="315">
      <alignment horizontal="right" vertical="center"/>
    </xf>
    <xf numFmtId="0" fontId="27" fillId="23" borderId="0" applyNumberFormat="0" applyBorder="0" applyAlignment="0" applyProtection="0"/>
    <xf numFmtId="0" fontId="37" fillId="32" borderId="309">
      <alignment horizontal="right" vertical="center"/>
    </xf>
    <xf numFmtId="0" fontId="66" fillId="0" borderId="339" applyNumberFormat="0" applyFill="0" applyAlignment="0" applyProtection="0"/>
    <xf numFmtId="49" fontId="35" fillId="0" borderId="314" applyNumberFormat="0" applyFont="0" applyFill="0" applyBorder="0" applyProtection="0">
      <alignment horizontal="left" vertical="center" indent="2"/>
    </xf>
    <xf numFmtId="0" fontId="12" fillId="31" borderId="0" applyNumberFormat="0" applyBorder="0" applyAlignment="0" applyProtection="0"/>
    <xf numFmtId="0" fontId="47" fillId="56" borderId="319" applyNumberFormat="0" applyAlignment="0" applyProtection="0"/>
    <xf numFmtId="0" fontId="50" fillId="43" borderId="306" applyNumberFormat="0" applyAlignment="0" applyProtection="0"/>
    <xf numFmtId="4" fontId="33" fillId="34" borderId="309">
      <alignment horizontal="right" vertical="center"/>
    </xf>
    <xf numFmtId="0" fontId="35" fillId="32" borderId="310">
      <alignment horizontal="left" vertical="center"/>
    </xf>
    <xf numFmtId="0" fontId="66" fillId="0" borderId="322" applyNumberFormat="0" applyFill="0" applyAlignment="0" applyProtection="0"/>
    <xf numFmtId="4" fontId="35" fillId="33" borderId="314"/>
    <xf numFmtId="173" fontId="35" fillId="60" borderId="324" applyNumberFormat="0" applyFont="0" applyBorder="0" applyAlignment="0" applyProtection="0">
      <alignment horizontal="right" vertical="center"/>
    </xf>
    <xf numFmtId="4" fontId="35" fillId="0" borderId="314">
      <alignment horizontal="right" vertical="center"/>
    </xf>
    <xf numFmtId="4" fontId="35" fillId="33" borderId="314"/>
    <xf numFmtId="4" fontId="33" fillId="34" borderId="316">
      <alignment horizontal="right" vertical="center"/>
    </xf>
    <xf numFmtId="4" fontId="33" fillId="34" borderId="325">
      <alignment horizontal="right" vertical="center"/>
    </xf>
    <xf numFmtId="0" fontId="33" fillId="34" borderId="314">
      <alignment horizontal="right" vertical="center"/>
    </xf>
    <xf numFmtId="0" fontId="66" fillId="0" borderId="320" applyNumberFormat="0" applyFill="0" applyAlignment="0" applyProtection="0"/>
    <xf numFmtId="0" fontId="31" fillId="0" borderId="0" applyNumberFormat="0" applyFill="0" applyBorder="0" applyAlignment="0" applyProtection="0"/>
    <xf numFmtId="0" fontId="12" fillId="28" borderId="0" applyNumberFormat="0" applyBorder="0" applyAlignment="0" applyProtection="0"/>
    <xf numFmtId="0" fontId="5" fillId="59" borderId="313" applyNumberFormat="0" applyFont="0" applyAlignment="0" applyProtection="0"/>
    <xf numFmtId="0" fontId="33" fillId="34" borderId="309">
      <alignment horizontal="right" vertical="center"/>
    </xf>
    <xf numFmtId="0" fontId="35" fillId="34" borderId="312">
      <alignment horizontal="left" vertical="center" wrapText="1" indent="2"/>
    </xf>
    <xf numFmtId="173" fontId="35" fillId="60" borderId="309" applyNumberFormat="0" applyFont="0" applyBorder="0" applyAlignment="0" applyProtection="0">
      <alignment horizontal="right" vertical="center"/>
    </xf>
    <xf numFmtId="0" fontId="41" fillId="59" borderId="308" applyNumberFormat="0" applyFont="0" applyAlignment="0" applyProtection="0"/>
    <xf numFmtId="49" fontId="35" fillId="0" borderId="309" applyNumberFormat="0" applyFont="0" applyFill="0" applyBorder="0" applyProtection="0">
      <alignment horizontal="left" vertical="center" indent="2"/>
    </xf>
    <xf numFmtId="0" fontId="51" fillId="0" borderId="320" applyNumberFormat="0" applyFill="0" applyAlignment="0" applyProtection="0"/>
    <xf numFmtId="4" fontId="33" fillId="34" borderId="326">
      <alignment horizontal="right" vertical="center"/>
    </xf>
    <xf numFmtId="0" fontId="33" fillId="34" borderId="343">
      <alignment horizontal="right" vertical="center"/>
    </xf>
    <xf numFmtId="0" fontId="33" fillId="34" borderId="325">
      <alignment horizontal="right" vertical="center"/>
    </xf>
    <xf numFmtId="49" fontId="34" fillId="0" borderId="309" applyNumberFormat="0" applyFill="0" applyBorder="0" applyProtection="0">
      <alignment horizontal="left" vertical="center"/>
    </xf>
    <xf numFmtId="4" fontId="37" fillId="32" borderId="314">
      <alignment horizontal="right" vertical="center"/>
    </xf>
    <xf numFmtId="173" fontId="35" fillId="60" borderId="309" applyNumberFormat="0" applyFont="0" applyBorder="0" applyAlignment="0" applyProtection="0">
      <alignment horizontal="right" vertical="center"/>
    </xf>
    <xf numFmtId="0" fontId="63" fillId="56" borderId="305" applyNumberFormat="0" applyAlignment="0" applyProtection="0"/>
    <xf numFmtId="0" fontId="35" fillId="0" borderId="309">
      <alignment horizontal="right" vertical="center"/>
    </xf>
    <xf numFmtId="0" fontId="66" fillId="0" borderId="331" applyNumberFormat="0" applyFill="0" applyAlignment="0" applyProtection="0"/>
    <xf numFmtId="0" fontId="35" fillId="33" borderId="309"/>
    <xf numFmtId="4" fontId="33" fillId="34" borderId="309">
      <alignment horizontal="right" vertical="center"/>
    </xf>
    <xf numFmtId="0" fontId="35" fillId="33" borderId="309"/>
    <xf numFmtId="0" fontId="59" fillId="43" borderId="306" applyNumberFormat="0" applyAlignment="0" applyProtection="0"/>
    <xf numFmtId="0" fontId="51" fillId="0" borderId="320" applyNumberFormat="0" applyFill="0" applyAlignment="0" applyProtection="0"/>
    <xf numFmtId="0" fontId="37" fillId="32" borderId="309">
      <alignment horizontal="right" vertical="center"/>
    </xf>
    <xf numFmtId="0" fontId="35" fillId="0" borderId="312">
      <alignment horizontal="left" vertical="center" wrapText="1" indent="2"/>
    </xf>
    <xf numFmtId="0" fontId="33" fillId="32" borderId="309">
      <alignment horizontal="right" vertical="center"/>
    </xf>
    <xf numFmtId="0" fontId="50" fillId="43" borderId="306" applyNumberFormat="0" applyAlignment="0" applyProtection="0"/>
    <xf numFmtId="0" fontId="35" fillId="34" borderId="312">
      <alignment horizontal="left" vertical="center" wrapText="1" indent="2"/>
    </xf>
    <xf numFmtId="0" fontId="35" fillId="34" borderId="327">
      <alignment horizontal="left" vertical="center" wrapText="1" indent="2"/>
    </xf>
    <xf numFmtId="4" fontId="37" fillId="32" borderId="324">
      <alignment horizontal="right" vertical="center"/>
    </xf>
    <xf numFmtId="0" fontId="50" fillId="43" borderId="319" applyNumberFormat="0" applyAlignment="0" applyProtection="0"/>
    <xf numFmtId="0" fontId="50" fillId="43" borderId="319" applyNumberFormat="0" applyAlignment="0" applyProtection="0"/>
    <xf numFmtId="0" fontId="5" fillId="59" borderId="313" applyNumberFormat="0" applyFont="0" applyAlignment="0" applyProtection="0"/>
    <xf numFmtId="0" fontId="27" fillId="24" borderId="0" applyNumberFormat="0" applyBorder="0" applyAlignment="0" applyProtection="0"/>
    <xf numFmtId="173" fontId="35" fillId="60" borderId="324" applyNumberFormat="0" applyFont="0" applyBorder="0" applyAlignment="0" applyProtection="0">
      <alignment horizontal="right" vertical="center"/>
    </xf>
    <xf numFmtId="49" fontId="34" fillId="0" borderId="341" applyNumberFormat="0" applyFill="0" applyBorder="0" applyProtection="0">
      <alignment horizontal="left" vertical="center"/>
    </xf>
    <xf numFmtId="4" fontId="35" fillId="33" borderId="341"/>
    <xf numFmtId="0" fontId="35" fillId="33" borderId="314"/>
    <xf numFmtId="0" fontId="46" fillId="56" borderId="306" applyNumberFormat="0" applyAlignment="0" applyProtection="0"/>
    <xf numFmtId="0" fontId="37" fillId="32" borderId="309">
      <alignment horizontal="right" vertical="center"/>
    </xf>
    <xf numFmtId="0" fontId="35" fillId="33" borderId="314"/>
    <xf numFmtId="0" fontId="33" fillId="34" borderId="343">
      <alignment horizontal="right" vertical="center"/>
    </xf>
    <xf numFmtId="0" fontId="37" fillId="32" borderId="324">
      <alignment horizontal="right" vertical="center"/>
    </xf>
    <xf numFmtId="0" fontId="29" fillId="13" borderId="14" applyNumberFormat="0" applyAlignment="0" applyProtection="0"/>
    <xf numFmtId="0" fontId="27" fillId="20" borderId="0" applyNumberFormat="0" applyBorder="0" applyAlignment="0" applyProtection="0"/>
    <xf numFmtId="0" fontId="5" fillId="59" borderId="313" applyNumberFormat="0" applyFont="0" applyAlignment="0" applyProtection="0"/>
    <xf numFmtId="0" fontId="59" fillId="43" borderId="319" applyNumberFormat="0" applyAlignment="0" applyProtection="0"/>
    <xf numFmtId="0" fontId="31" fillId="0" borderId="0" applyNumberFormat="0" applyFill="0" applyBorder="0" applyAlignment="0" applyProtection="0"/>
    <xf numFmtId="0" fontId="44" fillId="56" borderId="318" applyNumberFormat="0" applyAlignment="0" applyProtection="0"/>
    <xf numFmtId="49" fontId="35" fillId="0" borderId="315" applyNumberFormat="0" applyFont="0" applyFill="0" applyBorder="0" applyProtection="0">
      <alignment horizontal="left" vertical="center" indent="5"/>
    </xf>
    <xf numFmtId="0" fontId="33" fillId="34" borderId="309">
      <alignment horizontal="right" vertical="center"/>
    </xf>
    <xf numFmtId="4" fontId="35" fillId="0" borderId="309" applyFill="0" applyBorder="0" applyProtection="0">
      <alignment horizontal="right" vertical="center"/>
    </xf>
    <xf numFmtId="0" fontId="35" fillId="34" borderId="312">
      <alignment horizontal="left" vertical="center" wrapText="1" indent="2"/>
    </xf>
    <xf numFmtId="0" fontId="41" fillId="59" borderId="308" applyNumberFormat="0" applyFont="0" applyAlignment="0" applyProtection="0"/>
    <xf numFmtId="0" fontId="50" fillId="43" borderId="306" applyNumberFormat="0" applyAlignment="0" applyProtection="0"/>
    <xf numFmtId="4" fontId="35" fillId="33" borderId="309"/>
    <xf numFmtId="4" fontId="35" fillId="0" borderId="309" applyFill="0" applyBorder="0" applyProtection="0">
      <alignment horizontal="right" vertical="center"/>
    </xf>
    <xf numFmtId="0" fontId="66" fillId="0" borderId="307" applyNumberFormat="0" applyFill="0" applyAlignment="0" applyProtection="0"/>
    <xf numFmtId="0" fontId="35" fillId="32" borderId="310">
      <alignment horizontal="left" vertical="center"/>
    </xf>
    <xf numFmtId="0" fontId="35" fillId="0" borderId="312">
      <alignment horizontal="left" vertical="center" wrapText="1" indent="2"/>
    </xf>
    <xf numFmtId="0" fontId="46" fillId="56" borderId="319" applyNumberFormat="0" applyAlignment="0" applyProtection="0"/>
    <xf numFmtId="0" fontId="59" fillId="43" borderId="306" applyNumberFormat="0" applyAlignment="0" applyProtection="0"/>
    <xf numFmtId="0" fontId="66" fillId="0" borderId="322" applyNumberFormat="0" applyFill="0" applyAlignment="0" applyProtection="0"/>
    <xf numFmtId="0" fontId="35" fillId="34" borderId="312">
      <alignment horizontal="left" vertical="center" wrapText="1" indent="2"/>
    </xf>
    <xf numFmtId="0" fontId="33" fillId="34" borderId="314">
      <alignment horizontal="right" vertical="center"/>
    </xf>
    <xf numFmtId="0" fontId="27" fillId="15" borderId="0" applyNumberFormat="0" applyBorder="0" applyAlignment="0" applyProtection="0"/>
    <xf numFmtId="49" fontId="34" fillId="0" borderId="314" applyNumberFormat="0" applyFill="0" applyBorder="0" applyProtection="0">
      <alignment horizontal="left" vertical="center"/>
    </xf>
    <xf numFmtId="0" fontId="50" fillId="43" borderId="330" applyNumberFormat="0" applyAlignment="0" applyProtection="0"/>
    <xf numFmtId="0" fontId="41" fillId="59" borderId="308" applyNumberFormat="0" applyFont="0" applyAlignment="0" applyProtection="0"/>
    <xf numFmtId="0" fontId="59" fillId="43" borderId="306" applyNumberFormat="0" applyAlignment="0" applyProtection="0"/>
    <xf numFmtId="0" fontId="59" fillId="43" borderId="319" applyNumberFormat="0" applyAlignment="0" applyProtection="0"/>
    <xf numFmtId="4" fontId="35" fillId="33" borderId="309"/>
    <xf numFmtId="0" fontId="47" fillId="56" borderId="306" applyNumberFormat="0" applyAlignment="0" applyProtection="0"/>
    <xf numFmtId="0" fontId="59" fillId="43" borderId="306" applyNumberFormat="0" applyAlignment="0" applyProtection="0"/>
    <xf numFmtId="4" fontId="33" fillId="34" borderId="309">
      <alignment horizontal="right" vertical="center"/>
    </xf>
    <xf numFmtId="0" fontId="51" fillId="0" borderId="307" applyNumberFormat="0" applyFill="0" applyAlignment="0" applyProtection="0"/>
    <xf numFmtId="0" fontId="33" fillId="34" borderId="347">
      <alignment horizontal="right" vertical="center"/>
    </xf>
    <xf numFmtId="0" fontId="12" fillId="16" borderId="0" applyNumberFormat="0" applyBorder="0" applyAlignment="0" applyProtection="0"/>
    <xf numFmtId="0" fontId="35" fillId="32" borderId="325">
      <alignment horizontal="left" vertical="center"/>
    </xf>
    <xf numFmtId="0" fontId="33" fillId="32" borderId="314">
      <alignment horizontal="right" vertical="center"/>
    </xf>
    <xf numFmtId="4" fontId="33" fillId="34" borderId="314">
      <alignment horizontal="right" vertical="center"/>
    </xf>
    <xf numFmtId="0" fontId="47" fillId="56" borderId="306" applyNumberFormat="0" applyAlignment="0" applyProtection="0"/>
    <xf numFmtId="0" fontId="47" fillId="56" borderId="319" applyNumberFormat="0" applyAlignment="0" applyProtection="0"/>
    <xf numFmtId="0" fontId="50" fillId="43" borderId="306" applyNumberFormat="0" applyAlignment="0" applyProtection="0"/>
    <xf numFmtId="0" fontId="51" fillId="0" borderId="320" applyNumberFormat="0" applyFill="0" applyAlignment="0" applyProtection="0"/>
    <xf numFmtId="0" fontId="59" fillId="43" borderId="338" applyNumberFormat="0" applyAlignment="0" applyProtection="0"/>
    <xf numFmtId="0" fontId="27" fillId="17" borderId="0" applyNumberFormat="0" applyBorder="0" applyAlignment="0" applyProtection="0"/>
    <xf numFmtId="4" fontId="33" fillId="34" borderId="347">
      <alignment horizontal="right" vertical="center"/>
    </xf>
    <xf numFmtId="4" fontId="37" fillId="32" borderId="324">
      <alignment horizontal="right" vertical="center"/>
    </xf>
    <xf numFmtId="0" fontId="35" fillId="33" borderId="341"/>
    <xf numFmtId="0" fontId="35" fillId="34" borderId="312">
      <alignment horizontal="left" vertical="center" wrapText="1" indent="2"/>
    </xf>
    <xf numFmtId="0" fontId="37" fillId="32" borderId="314">
      <alignment horizontal="right" vertical="center"/>
    </xf>
    <xf numFmtId="0" fontId="63" fillId="56" borderId="305" applyNumberFormat="0" applyAlignment="0" applyProtection="0"/>
    <xf numFmtId="0" fontId="59" fillId="43" borderId="306" applyNumberFormat="0" applyAlignment="0" applyProtection="0"/>
    <xf numFmtId="4" fontId="33" fillId="34" borderId="309">
      <alignment horizontal="right" vertical="center"/>
    </xf>
    <xf numFmtId="0" fontId="35" fillId="33" borderId="309"/>
    <xf numFmtId="0" fontId="5" fillId="59" borderId="323" applyNumberFormat="0" applyFont="0" applyAlignment="0" applyProtection="0"/>
    <xf numFmtId="0" fontId="35" fillId="0" borderId="324">
      <alignment horizontal="right" vertical="center"/>
    </xf>
    <xf numFmtId="0" fontId="35" fillId="0" borderId="312">
      <alignment horizontal="left" vertical="center" wrapText="1" indent="2"/>
    </xf>
    <xf numFmtId="49" fontId="35" fillId="0" borderId="314" applyNumberFormat="0" applyFont="0" applyFill="0" applyBorder="0" applyProtection="0">
      <alignment horizontal="left" vertical="center" indent="2"/>
    </xf>
    <xf numFmtId="0" fontId="12" fillId="25" borderId="0" applyNumberFormat="0" applyBorder="0" applyAlignment="0" applyProtection="0"/>
    <xf numFmtId="0" fontId="47" fillId="56" borderId="321" applyNumberFormat="0" applyAlignment="0" applyProtection="0"/>
    <xf numFmtId="0" fontId="35" fillId="0" borderId="327">
      <alignment horizontal="left" vertical="center" wrapText="1" indent="2"/>
    </xf>
    <xf numFmtId="0" fontId="46" fillId="56" borderId="306" applyNumberFormat="0" applyAlignment="0" applyProtection="0"/>
    <xf numFmtId="0" fontId="35" fillId="34" borderId="317">
      <alignment horizontal="left" vertical="center" wrapText="1" indent="2"/>
    </xf>
    <xf numFmtId="4" fontId="35" fillId="0" borderId="314">
      <alignment horizontal="right" vertical="center"/>
    </xf>
    <xf numFmtId="4" fontId="33" fillId="32" borderId="309">
      <alignment horizontal="right" vertical="center"/>
    </xf>
    <xf numFmtId="0" fontId="33" fillId="32" borderId="309">
      <alignment horizontal="right" vertical="center"/>
    </xf>
    <xf numFmtId="0" fontId="33" fillId="34" borderId="309">
      <alignment horizontal="right" vertical="center"/>
    </xf>
    <xf numFmtId="0" fontId="59" fillId="43" borderId="319" applyNumberFormat="0" applyAlignment="0" applyProtection="0"/>
    <xf numFmtId="0" fontId="47" fillId="56" borderId="338" applyNumberFormat="0" applyAlignment="0" applyProtection="0"/>
    <xf numFmtId="49" fontId="35" fillId="0" borderId="314" applyNumberFormat="0" applyFont="0" applyFill="0" applyBorder="0" applyProtection="0">
      <alignment horizontal="left" vertical="center" indent="2"/>
    </xf>
    <xf numFmtId="0" fontId="27" fillId="30" borderId="0" applyNumberFormat="0" applyBorder="0" applyAlignment="0" applyProtection="0"/>
    <xf numFmtId="0" fontId="37" fillId="32" borderId="314">
      <alignment horizontal="right" vertical="center"/>
    </xf>
    <xf numFmtId="0" fontId="63" fillId="56" borderId="305" applyNumberFormat="0" applyAlignment="0" applyProtection="0"/>
    <xf numFmtId="0" fontId="33" fillId="32" borderId="324">
      <alignment horizontal="right" vertical="center"/>
    </xf>
    <xf numFmtId="49" fontId="35" fillId="0" borderId="309" applyNumberFormat="0" applyFont="0" applyFill="0" applyBorder="0" applyProtection="0">
      <alignment horizontal="left" vertical="center" indent="2"/>
    </xf>
    <xf numFmtId="0" fontId="35" fillId="0" borderId="349">
      <alignment horizontal="left" vertical="center" wrapText="1" indent="2"/>
    </xf>
    <xf numFmtId="0" fontId="41" fillId="59" borderId="308" applyNumberFormat="0" applyFont="0" applyAlignment="0" applyProtection="0"/>
    <xf numFmtId="173" fontId="35" fillId="60" borderId="309" applyNumberFormat="0" applyFont="0" applyBorder="0" applyAlignment="0" applyProtection="0">
      <alignment horizontal="right" vertical="center"/>
    </xf>
    <xf numFmtId="0" fontId="59" fillId="43" borderId="306" applyNumberFormat="0" applyAlignment="0" applyProtection="0"/>
    <xf numFmtId="0" fontId="33" fillId="34" borderId="309">
      <alignment horizontal="right" vertical="center"/>
    </xf>
    <xf numFmtId="0" fontId="35" fillId="33" borderId="309"/>
    <xf numFmtId="0" fontId="63" fillId="56" borderId="305" applyNumberFormat="0" applyAlignment="0" applyProtection="0"/>
    <xf numFmtId="0" fontId="47" fillId="56" borderId="306" applyNumberFormat="0" applyAlignment="0" applyProtection="0"/>
    <xf numFmtId="0" fontId="46" fillId="56" borderId="306" applyNumberFormat="0" applyAlignment="0" applyProtection="0"/>
    <xf numFmtId="0" fontId="50" fillId="43" borderId="306" applyNumberFormat="0" applyAlignment="0" applyProtection="0"/>
    <xf numFmtId="0" fontId="50" fillId="43" borderId="306" applyNumberFormat="0" applyAlignment="0" applyProtection="0"/>
    <xf numFmtId="0" fontId="35" fillId="0" borderId="312">
      <alignment horizontal="left" vertical="center" wrapText="1" indent="2"/>
    </xf>
    <xf numFmtId="4" fontId="33" fillId="34" borderId="310">
      <alignment horizontal="right" vertical="center"/>
    </xf>
    <xf numFmtId="4" fontId="35" fillId="0" borderId="309">
      <alignment horizontal="right" vertical="center"/>
    </xf>
    <xf numFmtId="49" fontId="34" fillId="0" borderId="309" applyNumberFormat="0" applyFill="0" applyBorder="0" applyProtection="0">
      <alignment horizontal="left" vertical="center"/>
    </xf>
    <xf numFmtId="4" fontId="35" fillId="0" borderId="309">
      <alignment horizontal="right" vertical="center"/>
    </xf>
    <xf numFmtId="0" fontId="63" fillId="56" borderId="305" applyNumberFormat="0" applyAlignment="0" applyProtection="0"/>
    <xf numFmtId="0" fontId="33" fillId="34" borderId="314">
      <alignment horizontal="right" vertical="center"/>
    </xf>
    <xf numFmtId="0" fontId="12" fillId="25" borderId="0" applyNumberFormat="0" applyBorder="0" applyAlignment="0" applyProtection="0"/>
    <xf numFmtId="0" fontId="35" fillId="34" borderId="344">
      <alignment horizontal="left" vertical="center" wrapText="1" indent="2"/>
    </xf>
    <xf numFmtId="0" fontId="59" fillId="43" borderId="319" applyNumberFormat="0" applyAlignment="0" applyProtection="0"/>
    <xf numFmtId="4" fontId="33" fillId="34" borderId="316">
      <alignment horizontal="right" vertical="center"/>
    </xf>
    <xf numFmtId="0" fontId="27" fillId="29" borderId="0" applyNumberFormat="0" applyBorder="0" applyAlignment="0" applyProtection="0"/>
    <xf numFmtId="0" fontId="1" fillId="0" borderId="0" applyNumberFormat="0" applyFill="0" applyBorder="0" applyAlignment="0" applyProtection="0"/>
    <xf numFmtId="0" fontId="35" fillId="0" borderId="312">
      <alignment horizontal="left" vertical="center" wrapText="1" indent="2"/>
    </xf>
    <xf numFmtId="0" fontId="12" fillId="22" borderId="0" applyNumberFormat="0" applyBorder="0" applyAlignment="0" applyProtection="0"/>
    <xf numFmtId="0" fontId="37" fillId="32" borderId="324">
      <alignment horizontal="right" vertical="center"/>
    </xf>
    <xf numFmtId="0" fontId="27" fillId="18" borderId="0" applyNumberFormat="0" applyBorder="0" applyAlignment="0" applyProtection="0"/>
    <xf numFmtId="0" fontId="33" fillId="32" borderId="314">
      <alignment horizontal="right" vertical="center"/>
    </xf>
    <xf numFmtId="0" fontId="50" fillId="43" borderId="338" applyNumberFormat="0" applyAlignment="0" applyProtection="0"/>
    <xf numFmtId="0" fontId="51" fillId="0" borderId="322" applyNumberFormat="0" applyFill="0" applyAlignment="0" applyProtection="0"/>
    <xf numFmtId="0" fontId="41" fillId="59" borderId="340" applyNumberFormat="0" applyFont="0" applyAlignment="0" applyProtection="0"/>
    <xf numFmtId="173" fontId="35" fillId="60" borderId="341" applyNumberFormat="0" applyFont="0" applyBorder="0" applyAlignment="0" applyProtection="0">
      <alignment horizontal="right" vertical="center"/>
    </xf>
    <xf numFmtId="0" fontId="33" fillId="34" borderId="315">
      <alignment horizontal="right" vertical="center"/>
    </xf>
    <xf numFmtId="0" fontId="41" fillId="59" borderId="308" applyNumberFormat="0" applyFont="0" applyAlignment="0" applyProtection="0"/>
    <xf numFmtId="0" fontId="12" fillId="16" borderId="0" applyNumberFormat="0" applyBorder="0" applyAlignment="0" applyProtection="0"/>
    <xf numFmtId="0" fontId="33" fillId="32" borderId="309">
      <alignment horizontal="right" vertical="center"/>
    </xf>
    <xf numFmtId="0" fontId="12" fillId="19" borderId="0" applyNumberFormat="0" applyBorder="0" applyAlignment="0" applyProtection="0"/>
    <xf numFmtId="0" fontId="41" fillId="59" borderId="313" applyNumberFormat="0" applyFont="0" applyAlignment="0" applyProtection="0"/>
    <xf numFmtId="0" fontId="35" fillId="0" borderId="309" applyNumberFormat="0" applyFill="0" applyAlignment="0" applyProtection="0"/>
    <xf numFmtId="49" fontId="34" fillId="0" borderId="309" applyNumberFormat="0" applyFill="0" applyBorder="0" applyProtection="0">
      <alignment horizontal="left" vertical="center"/>
    </xf>
    <xf numFmtId="0" fontId="35" fillId="0" borderId="309">
      <alignment horizontal="right" vertical="center"/>
    </xf>
    <xf numFmtId="0" fontId="63" fillId="56" borderId="318" applyNumberFormat="0" applyAlignment="0" applyProtection="0"/>
    <xf numFmtId="0" fontId="63" fillId="56" borderId="318" applyNumberFormat="0" applyAlignment="0" applyProtection="0"/>
    <xf numFmtId="0" fontId="27" fillId="29" borderId="0" applyNumberFormat="0" applyBorder="0" applyAlignment="0" applyProtection="0"/>
    <xf numFmtId="0" fontId="35" fillId="33" borderId="324"/>
    <xf numFmtId="4" fontId="33" fillId="32" borderId="309">
      <alignment horizontal="right" vertical="center"/>
    </xf>
    <xf numFmtId="49" fontId="34" fillId="0" borderId="314" applyNumberFormat="0" applyFill="0" applyBorder="0" applyProtection="0">
      <alignment horizontal="left" vertical="center"/>
    </xf>
    <xf numFmtId="0" fontId="47" fillId="56" borderId="306" applyNumberFormat="0" applyAlignment="0" applyProtection="0"/>
    <xf numFmtId="0" fontId="33" fillId="34" borderId="311">
      <alignment horizontal="right" vertical="center"/>
    </xf>
    <xf numFmtId="4" fontId="33" fillId="32" borderId="309">
      <alignment horizontal="right" vertical="center"/>
    </xf>
    <xf numFmtId="0" fontId="33" fillId="34" borderId="309">
      <alignment horizontal="right" vertical="center"/>
    </xf>
    <xf numFmtId="0" fontId="47" fillId="56" borderId="306" applyNumberFormat="0" applyAlignment="0" applyProtection="0"/>
    <xf numFmtId="0" fontId="33" fillId="34" borderId="315">
      <alignment horizontal="right" vertical="center"/>
    </xf>
    <xf numFmtId="0" fontId="12" fillId="22" borderId="0" applyNumberFormat="0" applyBorder="0" applyAlignment="0" applyProtection="0"/>
    <xf numFmtId="0" fontId="29" fillId="13" borderId="14" applyNumberFormat="0" applyAlignment="0" applyProtection="0"/>
    <xf numFmtId="4" fontId="35" fillId="0" borderId="309" applyFill="0" applyBorder="0" applyProtection="0">
      <alignment horizontal="right" vertical="center"/>
    </xf>
    <xf numFmtId="0" fontId="41" fillId="59" borderId="308" applyNumberFormat="0" applyFont="0" applyAlignment="0" applyProtection="0"/>
    <xf numFmtId="0" fontId="51" fillId="0" borderId="352" applyNumberFormat="0" applyFill="0" applyAlignment="0" applyProtection="0"/>
    <xf numFmtId="0" fontId="50" fillId="43" borderId="321" applyNumberFormat="0" applyAlignment="0" applyProtection="0"/>
    <xf numFmtId="0" fontId="59" fillId="43" borderId="321" applyNumberFormat="0" applyAlignment="0" applyProtection="0"/>
    <xf numFmtId="4" fontId="35" fillId="0" borderId="314" applyFill="0" applyBorder="0" applyProtection="0">
      <alignment horizontal="right" vertical="center"/>
    </xf>
    <xf numFmtId="0" fontId="46" fillId="56" borderId="319" applyNumberFormat="0" applyAlignment="0" applyProtection="0"/>
    <xf numFmtId="0" fontId="35" fillId="33" borderId="324"/>
    <xf numFmtId="0" fontId="50" fillId="43" borderId="319" applyNumberFormat="0" applyAlignment="0" applyProtection="0"/>
    <xf numFmtId="0" fontId="33" fillId="32" borderId="309">
      <alignment horizontal="right" vertical="center"/>
    </xf>
    <xf numFmtId="0" fontId="51" fillId="0" borderId="307" applyNumberFormat="0" applyFill="0" applyAlignment="0" applyProtection="0"/>
    <xf numFmtId="0" fontId="35" fillId="0" borderId="309" applyNumberFormat="0" applyFill="0" applyAlignment="0" applyProtection="0"/>
    <xf numFmtId="0" fontId="51" fillId="0" borderId="307" applyNumberFormat="0" applyFill="0" applyAlignment="0" applyProtection="0"/>
    <xf numFmtId="4" fontId="35" fillId="0" borderId="309" applyFill="0" applyBorder="0" applyProtection="0">
      <alignment horizontal="right" vertical="center"/>
    </xf>
    <xf numFmtId="49" fontId="35" fillId="0" borderId="310" applyNumberFormat="0" applyFont="0" applyFill="0" applyBorder="0" applyProtection="0">
      <alignment horizontal="left" vertical="center" indent="5"/>
    </xf>
    <xf numFmtId="0" fontId="35" fillId="0" borderId="309" applyNumberFormat="0" applyFill="0" applyAlignment="0" applyProtection="0"/>
    <xf numFmtId="0" fontId="66" fillId="0" borderId="320" applyNumberFormat="0" applyFill="0" applyAlignment="0" applyProtection="0"/>
    <xf numFmtId="0" fontId="35" fillId="0" borderId="309" applyNumberFormat="0" applyFill="0" applyAlignment="0" applyProtection="0"/>
    <xf numFmtId="4" fontId="35" fillId="0" borderId="314">
      <alignment horizontal="right" vertical="center"/>
    </xf>
    <xf numFmtId="0" fontId="27" fillId="15" borderId="0" applyNumberFormat="0" applyBorder="0" applyAlignment="0" applyProtection="0"/>
    <xf numFmtId="4" fontId="33" fillId="34" borderId="309">
      <alignment horizontal="right" vertical="center"/>
    </xf>
    <xf numFmtId="0" fontId="35" fillId="33" borderId="314"/>
    <xf numFmtId="0" fontId="66" fillId="0" borderId="320" applyNumberFormat="0" applyFill="0" applyAlignment="0" applyProtection="0"/>
    <xf numFmtId="0" fontId="12" fillId="19" borderId="0" applyNumberFormat="0" applyBorder="0" applyAlignment="0" applyProtection="0"/>
    <xf numFmtId="0" fontId="46" fillId="56" borderId="319" applyNumberFormat="0" applyAlignment="0" applyProtection="0"/>
    <xf numFmtId="0" fontId="50" fillId="43" borderId="306" applyNumberFormat="0" applyAlignment="0" applyProtection="0"/>
    <xf numFmtId="0" fontId="47" fillId="56" borderId="306" applyNumberFormat="0" applyAlignment="0" applyProtection="0"/>
    <xf numFmtId="4" fontId="35" fillId="0" borderId="309">
      <alignment horizontal="right" vertical="center"/>
    </xf>
    <xf numFmtId="0" fontId="35" fillId="34" borderId="312">
      <alignment horizontal="left" vertical="center" wrapText="1" indent="2"/>
    </xf>
    <xf numFmtId="0" fontId="35" fillId="0" borderId="312">
      <alignment horizontal="left" vertical="center" wrapText="1" indent="2"/>
    </xf>
    <xf numFmtId="0" fontId="63" fillId="56" borderId="305" applyNumberFormat="0" applyAlignment="0" applyProtection="0"/>
    <xf numFmtId="0" fontId="59" fillId="43" borderId="306" applyNumberFormat="0" applyAlignment="0" applyProtection="0"/>
    <xf numFmtId="0" fontId="46" fillId="56" borderId="306" applyNumberFormat="0" applyAlignment="0" applyProtection="0"/>
    <xf numFmtId="0" fontId="44" fillId="56" borderId="305" applyNumberFormat="0" applyAlignment="0" applyProtection="0"/>
    <xf numFmtId="0" fontId="33" fillId="34" borderId="311">
      <alignment horizontal="right" vertical="center"/>
    </xf>
    <xf numFmtId="0" fontId="37" fillId="32" borderId="309">
      <alignment horizontal="right" vertical="center"/>
    </xf>
    <xf numFmtId="4" fontId="33" fillId="32" borderId="309">
      <alignment horizontal="right" vertical="center"/>
    </xf>
    <xf numFmtId="4" fontId="33" fillId="34" borderId="309">
      <alignment horizontal="right" vertical="center"/>
    </xf>
    <xf numFmtId="49" fontId="35" fillId="0" borderId="310" applyNumberFormat="0" applyFont="0" applyFill="0" applyBorder="0" applyProtection="0">
      <alignment horizontal="left" vertical="center" indent="5"/>
    </xf>
    <xf numFmtId="4" fontId="35" fillId="0" borderId="309" applyFill="0" applyBorder="0" applyProtection="0">
      <alignment horizontal="right" vertical="center"/>
    </xf>
    <xf numFmtId="4" fontId="33" fillId="32" borderId="309">
      <alignment horizontal="right" vertical="center"/>
    </xf>
    <xf numFmtId="0" fontId="59" fillId="43" borderId="306" applyNumberFormat="0" applyAlignment="0" applyProtection="0"/>
    <xf numFmtId="0" fontId="50" fillId="43" borderId="306" applyNumberFormat="0" applyAlignment="0" applyProtection="0"/>
    <xf numFmtId="0" fontId="46" fillId="56" borderId="306" applyNumberFormat="0" applyAlignment="0" applyProtection="0"/>
    <xf numFmtId="0" fontId="35" fillId="34" borderId="312">
      <alignment horizontal="left" vertical="center" wrapText="1" indent="2"/>
    </xf>
    <xf numFmtId="0" fontId="35" fillId="0" borderId="312">
      <alignment horizontal="left" vertical="center" wrapText="1" indent="2"/>
    </xf>
    <xf numFmtId="0" fontId="35" fillId="34" borderId="312">
      <alignment horizontal="left" vertical="center" wrapText="1" indent="2"/>
    </xf>
    <xf numFmtId="0" fontId="35" fillId="0" borderId="312">
      <alignment horizontal="left" vertical="center" wrapText="1" indent="2"/>
    </xf>
    <xf numFmtId="0" fontId="35" fillId="0" borderId="317">
      <alignment horizontal="left" vertical="center" wrapText="1" indent="2"/>
    </xf>
    <xf numFmtId="4" fontId="33" fillId="34" borderId="314">
      <alignment horizontal="right" vertical="center"/>
    </xf>
    <xf numFmtId="0" fontId="33" fillId="34" borderId="315">
      <alignment horizontal="right" vertical="center"/>
    </xf>
    <xf numFmtId="4" fontId="33" fillId="34" borderId="315">
      <alignment horizontal="right" vertical="center"/>
    </xf>
    <xf numFmtId="0" fontId="33" fillId="34" borderId="314">
      <alignment horizontal="right" vertical="center"/>
    </xf>
    <xf numFmtId="4" fontId="33" fillId="32" borderId="314">
      <alignment horizontal="right" vertical="center"/>
    </xf>
    <xf numFmtId="0" fontId="37" fillId="32" borderId="314">
      <alignment horizontal="right" vertical="center"/>
    </xf>
    <xf numFmtId="49" fontId="34" fillId="0" borderId="324" applyNumberFormat="0" applyFill="0" applyBorder="0" applyProtection="0">
      <alignment horizontal="left" vertical="center"/>
    </xf>
    <xf numFmtId="49" fontId="34" fillId="0" borderId="324" applyNumberFormat="0" applyFill="0" applyBorder="0" applyProtection="0">
      <alignment horizontal="left" vertical="center"/>
    </xf>
    <xf numFmtId="49" fontId="35" fillId="0" borderId="341" applyNumberFormat="0" applyFont="0" applyFill="0" applyBorder="0" applyProtection="0">
      <alignment horizontal="left" vertical="center" indent="2"/>
    </xf>
    <xf numFmtId="0" fontId="27" fillId="30" borderId="0" applyNumberFormat="0" applyBorder="0" applyAlignment="0" applyProtection="0"/>
    <xf numFmtId="0" fontId="35" fillId="0" borderId="344">
      <alignment horizontal="left" vertical="center" wrapText="1" indent="2"/>
    </xf>
    <xf numFmtId="0" fontId="35" fillId="34" borderId="349">
      <alignment horizontal="left" vertical="center" wrapText="1" indent="2"/>
    </xf>
    <xf numFmtId="49" fontId="35" fillId="0" borderId="324" applyNumberFormat="0" applyFont="0" applyFill="0" applyBorder="0" applyProtection="0">
      <alignment horizontal="left" vertical="center" indent="2"/>
    </xf>
    <xf numFmtId="0" fontId="27" fillId="15" borderId="0" applyNumberFormat="0" applyBorder="0" applyAlignment="0" applyProtection="0"/>
    <xf numFmtId="0" fontId="59" fillId="43" borderId="321" applyNumberFormat="0" applyAlignment="0" applyProtection="0"/>
    <xf numFmtId="0" fontId="27" fillId="20" borderId="0" applyNumberFormat="0" applyBorder="0" applyAlignment="0" applyProtection="0"/>
    <xf numFmtId="0" fontId="35" fillId="0" borderId="346">
      <alignment horizontal="right" vertical="center"/>
    </xf>
    <xf numFmtId="0" fontId="41" fillId="59" borderId="345" applyNumberFormat="0" applyFont="0" applyAlignment="0" applyProtection="0"/>
    <xf numFmtId="0" fontId="5" fillId="59" borderId="323" applyNumberFormat="0" applyFont="0" applyAlignment="0" applyProtection="0"/>
    <xf numFmtId="0" fontId="29" fillId="13" borderId="14" applyNumberFormat="0" applyAlignment="0" applyProtection="0"/>
    <xf numFmtId="0" fontId="41" fillId="59" borderId="340" applyNumberFormat="0" applyFont="0" applyAlignment="0" applyProtection="0"/>
    <xf numFmtId="0" fontId="27" fillId="20" borderId="0" applyNumberFormat="0" applyBorder="0" applyAlignment="0" applyProtection="0"/>
    <xf numFmtId="0" fontId="27" fillId="26" borderId="0" applyNumberFormat="0" applyBorder="0" applyAlignment="0" applyProtection="0"/>
    <xf numFmtId="0" fontId="41" fillId="59" borderId="323" applyNumberFormat="0" applyFont="0" applyAlignment="0" applyProtection="0"/>
    <xf numFmtId="0" fontId="63" fillId="56" borderId="328" applyNumberFormat="0" applyAlignment="0" applyProtection="0"/>
    <xf numFmtId="0" fontId="50" fillId="43" borderId="321" applyNumberFormat="0" applyAlignment="0" applyProtection="0"/>
    <xf numFmtId="0" fontId="12" fillId="31" borderId="0" applyNumberFormat="0" applyBorder="0" applyAlignment="0" applyProtection="0"/>
    <xf numFmtId="49" fontId="35" fillId="0" borderId="342" applyNumberFormat="0" applyFont="0" applyFill="0" applyBorder="0" applyProtection="0">
      <alignment horizontal="left" vertical="center" indent="5"/>
    </xf>
    <xf numFmtId="49" fontId="35" fillId="0" borderId="324" applyNumberFormat="0" applyFont="0" applyFill="0" applyBorder="0" applyProtection="0">
      <alignment horizontal="left" vertical="center" indent="2"/>
    </xf>
    <xf numFmtId="0" fontId="35" fillId="0" borderId="344">
      <alignment horizontal="left" vertical="center" wrapText="1" indent="2"/>
    </xf>
    <xf numFmtId="0" fontId="31" fillId="0" borderId="0" applyNumberFormat="0" applyFill="0" applyBorder="0" applyAlignment="0" applyProtection="0"/>
    <xf numFmtId="0" fontId="35" fillId="0" borderId="346" applyNumberFormat="0" applyFill="0" applyAlignment="0" applyProtection="0"/>
    <xf numFmtId="0" fontId="50" fillId="43" borderId="321" applyNumberFormat="0" applyAlignment="0" applyProtection="0"/>
    <xf numFmtId="0" fontId="33" fillId="34" borderId="324">
      <alignment horizontal="right" vertical="center"/>
    </xf>
    <xf numFmtId="0" fontId="63" fillId="56" borderId="329" applyNumberFormat="0" applyAlignment="0" applyProtection="0"/>
    <xf numFmtId="0" fontId="33" fillId="34" borderId="348">
      <alignment horizontal="right" vertical="center"/>
    </xf>
    <xf numFmtId="0" fontId="35" fillId="0" borderId="324" applyNumberFormat="0" applyFill="0" applyAlignment="0" applyProtection="0"/>
    <xf numFmtId="0" fontId="27" fillId="27" borderId="0" applyNumberFormat="0" applyBorder="0" applyAlignment="0" applyProtection="0"/>
    <xf numFmtId="0" fontId="41" fillId="59" borderId="313" applyNumberFormat="0" applyFont="0" applyAlignment="0" applyProtection="0"/>
    <xf numFmtId="0" fontId="33" fillId="34" borderId="326">
      <alignment horizontal="right" vertical="center"/>
    </xf>
    <xf numFmtId="0" fontId="44" fillId="56" borderId="337" applyNumberFormat="0" applyAlignment="0" applyProtection="0"/>
    <xf numFmtId="0" fontId="5" fillId="59" borderId="313" applyNumberFormat="0" applyFont="0" applyAlignment="0" applyProtection="0"/>
    <xf numFmtId="0" fontId="66" fillId="0" borderId="339" applyNumberFormat="0" applyFill="0" applyAlignment="0" applyProtection="0"/>
    <xf numFmtId="0" fontId="35" fillId="0" borderId="327">
      <alignment horizontal="left" vertical="center" wrapText="1" indent="2"/>
    </xf>
    <xf numFmtId="4" fontId="33" fillId="34" borderId="348">
      <alignment horizontal="right" vertical="center"/>
    </xf>
    <xf numFmtId="0" fontId="35" fillId="32" borderId="325">
      <alignment horizontal="left" vertical="center"/>
    </xf>
    <xf numFmtId="0" fontId="59" fillId="43" borderId="321" applyNumberFormat="0" applyAlignment="0" applyProtection="0"/>
    <xf numFmtId="0" fontId="59" fillId="43" borderId="321" applyNumberFormat="0" applyAlignment="0" applyProtection="0"/>
    <xf numFmtId="0" fontId="35" fillId="0" borderId="341">
      <alignment horizontal="right" vertical="center"/>
    </xf>
    <xf numFmtId="0" fontId="5" fillId="59" borderId="323" applyNumberFormat="0" applyFont="0" applyAlignment="0" applyProtection="0"/>
    <xf numFmtId="0" fontId="27" fillId="27" borderId="0" applyNumberFormat="0" applyBorder="0" applyAlignment="0" applyProtection="0"/>
    <xf numFmtId="0" fontId="59" fillId="43" borderId="319" applyNumberFormat="0" applyAlignment="0" applyProtection="0"/>
    <xf numFmtId="0" fontId="41" fillId="59" borderId="323" applyNumberFormat="0" applyFont="0" applyAlignment="0" applyProtection="0"/>
    <xf numFmtId="0" fontId="35" fillId="34" borderId="317">
      <alignment horizontal="left" vertical="center" wrapText="1" indent="2"/>
    </xf>
    <xf numFmtId="4" fontId="37" fillId="32" borderId="314">
      <alignment horizontal="right" vertical="center"/>
    </xf>
    <xf numFmtId="0" fontId="12" fillId="25" borderId="0" applyNumberFormat="0" applyBorder="0" applyAlignment="0" applyProtection="0"/>
    <xf numFmtId="4" fontId="33" fillId="34" borderId="326">
      <alignment horizontal="right" vertical="center"/>
    </xf>
    <xf numFmtId="0" fontId="51" fillId="0" borderId="322" applyNumberFormat="0" applyFill="0" applyAlignment="0" applyProtection="0"/>
    <xf numFmtId="0" fontId="35" fillId="33" borderId="333"/>
    <xf numFmtId="0" fontId="27" fillId="21" borderId="0" applyNumberFormat="0" applyBorder="0" applyAlignment="0" applyProtection="0"/>
    <xf numFmtId="0" fontId="47" fillId="56" borderId="321" applyNumberFormat="0" applyAlignment="0" applyProtection="0"/>
    <xf numFmtId="0" fontId="33" fillId="32" borderId="324">
      <alignment horizontal="right" vertical="center"/>
    </xf>
    <xf numFmtId="0" fontId="2" fillId="0" borderId="15" applyNumberFormat="0" applyFill="0" applyAlignment="0" applyProtection="0"/>
    <xf numFmtId="0" fontId="35" fillId="0" borderId="333">
      <alignment horizontal="right" vertical="center"/>
    </xf>
    <xf numFmtId="0" fontId="66" fillId="0" borderId="322" applyNumberFormat="0" applyFill="0" applyAlignment="0" applyProtection="0"/>
    <xf numFmtId="4" fontId="37" fillId="32" borderId="314">
      <alignment horizontal="right" vertical="center"/>
    </xf>
    <xf numFmtId="4" fontId="33" fillId="32" borderId="314">
      <alignment horizontal="right" vertical="center"/>
    </xf>
    <xf numFmtId="0" fontId="35" fillId="0" borderId="317">
      <alignment horizontal="left" vertical="center" wrapText="1" indent="2"/>
    </xf>
    <xf numFmtId="0" fontId="63" fillId="56" borderId="318" applyNumberFormat="0" applyAlignment="0" applyProtection="0"/>
    <xf numFmtId="0" fontId="35" fillId="0" borderId="314">
      <alignment horizontal="right" vertical="center"/>
    </xf>
    <xf numFmtId="0" fontId="66" fillId="0" borderId="320" applyNumberFormat="0" applyFill="0" applyAlignment="0" applyProtection="0"/>
    <xf numFmtId="49" fontId="34" fillId="0" borderId="314" applyNumberFormat="0" applyFill="0" applyBorder="0" applyProtection="0">
      <alignment horizontal="left" vertical="center"/>
    </xf>
    <xf numFmtId="4" fontId="35" fillId="33" borderId="314"/>
    <xf numFmtId="0" fontId="59" fillId="43" borderId="319" applyNumberFormat="0" applyAlignment="0" applyProtection="0"/>
    <xf numFmtId="0" fontId="47" fillId="56" borderId="321" applyNumberFormat="0" applyAlignment="0" applyProtection="0"/>
    <xf numFmtId="173" fontId="35" fillId="60" borderId="314" applyNumberFormat="0" applyFont="0" applyBorder="0" applyAlignment="0" applyProtection="0">
      <alignment horizontal="right" vertical="center"/>
    </xf>
    <xf numFmtId="0" fontId="33" fillId="34" borderId="325">
      <alignment horizontal="right" vertical="center"/>
    </xf>
    <xf numFmtId="0" fontId="47" fillId="56" borderId="319" applyNumberFormat="0" applyAlignment="0" applyProtection="0"/>
    <xf numFmtId="49" fontId="34" fillId="0" borderId="341" applyNumberFormat="0" applyFill="0" applyBorder="0" applyProtection="0">
      <alignment horizontal="left" vertical="center"/>
    </xf>
    <xf numFmtId="0" fontId="35" fillId="0" borderId="336">
      <alignment horizontal="left" vertical="center" wrapText="1" indent="2"/>
    </xf>
    <xf numFmtId="0" fontId="47" fillId="56" borderId="351" applyNumberFormat="0" applyAlignment="0" applyProtection="0"/>
    <xf numFmtId="0" fontId="66" fillId="0" borderId="322" applyNumberFormat="0" applyFill="0" applyAlignment="0" applyProtection="0"/>
    <xf numFmtId="0" fontId="59" fillId="43" borderId="319" applyNumberFormat="0" applyAlignment="0" applyProtection="0"/>
    <xf numFmtId="0" fontId="44" fillId="56" borderId="318" applyNumberFormat="0" applyAlignment="0" applyProtection="0"/>
    <xf numFmtId="49" fontId="34" fillId="0" borderId="314" applyNumberFormat="0" applyFill="0" applyBorder="0" applyProtection="0">
      <alignment horizontal="left" vertical="center"/>
    </xf>
    <xf numFmtId="0" fontId="66" fillId="0" borderId="320" applyNumberFormat="0" applyFill="0" applyAlignment="0" applyProtection="0"/>
    <xf numFmtId="0" fontId="35" fillId="0" borderId="314">
      <alignment horizontal="right" vertical="center"/>
    </xf>
    <xf numFmtId="0" fontId="33" fillId="34" borderId="315">
      <alignment horizontal="right" vertical="center"/>
    </xf>
    <xf numFmtId="0" fontId="66" fillId="0" borderId="320" applyNumberFormat="0" applyFill="0" applyAlignment="0" applyProtection="0"/>
    <xf numFmtId="0" fontId="51" fillId="0" borderId="322" applyNumberFormat="0" applyFill="0" applyAlignment="0" applyProtection="0"/>
    <xf numFmtId="4" fontId="33" fillId="32" borderId="324">
      <alignment horizontal="right" vertical="center"/>
    </xf>
    <xf numFmtId="0" fontId="27" fillId="20" borderId="0" applyNumberFormat="0" applyBorder="0" applyAlignment="0" applyProtection="0"/>
    <xf numFmtId="0" fontId="46" fillId="56" borderId="321" applyNumberFormat="0" applyAlignment="0" applyProtection="0"/>
    <xf numFmtId="0" fontId="59" fillId="43" borderId="321" applyNumberFormat="0" applyAlignment="0" applyProtection="0"/>
    <xf numFmtId="0" fontId="35" fillId="0" borderId="327">
      <alignment horizontal="left" vertical="center" wrapText="1" indent="2"/>
    </xf>
    <xf numFmtId="0" fontId="1" fillId="0" borderId="0" applyNumberFormat="0" applyFill="0" applyBorder="0" applyAlignment="0" applyProtection="0"/>
    <xf numFmtId="0" fontId="33" fillId="34" borderId="324">
      <alignment horizontal="right" vertical="center"/>
    </xf>
    <xf numFmtId="4" fontId="35" fillId="0" borderId="314" applyFill="0" applyBorder="0" applyProtection="0">
      <alignment horizontal="right" vertical="center"/>
    </xf>
    <xf numFmtId="4" fontId="33" fillId="34" borderId="324">
      <alignment horizontal="right" vertical="center"/>
    </xf>
    <xf numFmtId="0" fontId="35" fillId="0" borderId="341">
      <alignment horizontal="right" vertical="center"/>
    </xf>
    <xf numFmtId="0" fontId="66" fillId="0" borderId="322" applyNumberFormat="0" applyFill="0" applyAlignment="0" applyProtection="0"/>
    <xf numFmtId="0" fontId="35" fillId="0" borderId="327">
      <alignment horizontal="left" vertical="center" wrapText="1" indent="2"/>
    </xf>
    <xf numFmtId="0" fontId="47" fillId="56" borderId="321" applyNumberFormat="0" applyAlignment="0" applyProtection="0"/>
    <xf numFmtId="0" fontId="41" fillId="59" borderId="340" applyNumberFormat="0" applyFont="0" applyAlignment="0" applyProtection="0"/>
    <xf numFmtId="0" fontId="35" fillId="0" borderId="317">
      <alignment horizontal="left" vertical="center" wrapText="1" indent="2"/>
    </xf>
    <xf numFmtId="0" fontId="33" fillId="34" borderId="324">
      <alignment horizontal="right" vertical="center"/>
    </xf>
    <xf numFmtId="0" fontId="66" fillId="0" borderId="320" applyNumberFormat="0" applyFill="0" applyAlignment="0" applyProtection="0"/>
    <xf numFmtId="0" fontId="44" fillId="56" borderId="318" applyNumberFormat="0" applyAlignment="0" applyProtection="0"/>
    <xf numFmtId="0" fontId="33" fillId="34" borderId="314">
      <alignment horizontal="right" vertical="center"/>
    </xf>
    <xf numFmtId="0" fontId="46" fillId="56" borderId="319" applyNumberFormat="0" applyAlignment="0" applyProtection="0"/>
    <xf numFmtId="0" fontId="46" fillId="56" borderId="321" applyNumberFormat="0" applyAlignment="0" applyProtection="0"/>
    <xf numFmtId="0" fontId="27" fillId="14" borderId="0" applyNumberFormat="0" applyBorder="0" applyAlignment="0" applyProtection="0"/>
    <xf numFmtId="0" fontId="35" fillId="32" borderId="315">
      <alignment horizontal="left" vertical="center"/>
    </xf>
    <xf numFmtId="0" fontId="50" fillId="43" borderId="321" applyNumberFormat="0" applyAlignment="0" applyProtection="0"/>
    <xf numFmtId="0" fontId="31" fillId="0" borderId="0" applyNumberFormat="0" applyFill="0" applyBorder="0" applyAlignment="0" applyProtection="0"/>
    <xf numFmtId="0" fontId="51" fillId="0" borderId="322" applyNumberFormat="0" applyFill="0" applyAlignment="0" applyProtection="0"/>
    <xf numFmtId="4" fontId="33" fillId="34" borderId="324">
      <alignment horizontal="right" vertical="center"/>
    </xf>
    <xf numFmtId="0" fontId="41" fillId="59" borderId="323" applyNumberFormat="0" applyFont="0" applyAlignment="0" applyProtection="0"/>
    <xf numFmtId="0" fontId="33" fillId="32" borderId="314">
      <alignment horizontal="right" vertical="center"/>
    </xf>
    <xf numFmtId="0" fontId="44" fillId="56" borderId="328" applyNumberFormat="0" applyAlignment="0" applyProtection="0"/>
    <xf numFmtId="0" fontId="27" fillId="24" borderId="0" applyNumberFormat="0" applyBorder="0" applyAlignment="0" applyProtection="0"/>
    <xf numFmtId="0" fontId="51" fillId="0" borderId="320" applyNumberFormat="0" applyFill="0" applyAlignment="0" applyProtection="0"/>
    <xf numFmtId="4" fontId="33" fillId="32" borderId="341">
      <alignment horizontal="right" vertical="center"/>
    </xf>
    <xf numFmtId="0" fontId="35" fillId="0" borderId="314">
      <alignment horizontal="right" vertical="center"/>
    </xf>
    <xf numFmtId="0" fontId="5" fillId="59" borderId="313" applyNumberFormat="0" applyFont="0" applyAlignment="0" applyProtection="0"/>
    <xf numFmtId="4" fontId="35" fillId="0" borderId="324">
      <alignment horizontal="right" vertical="center"/>
    </xf>
    <xf numFmtId="0" fontId="27" fillId="18" borderId="0" applyNumberFormat="0" applyBorder="0" applyAlignment="0" applyProtection="0"/>
    <xf numFmtId="0" fontId="51" fillId="0" borderId="322" applyNumberFormat="0" applyFill="0" applyAlignment="0" applyProtection="0"/>
    <xf numFmtId="0" fontId="12" fillId="31" borderId="0" applyNumberFormat="0" applyBorder="0" applyAlignment="0" applyProtection="0"/>
    <xf numFmtId="0" fontId="59" fillId="43" borderId="319" applyNumberFormat="0" applyAlignment="0" applyProtection="0"/>
    <xf numFmtId="0" fontId="47" fillId="56" borderId="321" applyNumberFormat="0" applyAlignment="0" applyProtection="0"/>
    <xf numFmtId="49" fontId="35" fillId="0" borderId="315" applyNumberFormat="0" applyFont="0" applyFill="0" applyBorder="0" applyProtection="0">
      <alignment horizontal="left" vertical="center" indent="5"/>
    </xf>
    <xf numFmtId="4" fontId="33" fillId="34" borderId="324">
      <alignment horizontal="right" vertical="center"/>
    </xf>
    <xf numFmtId="0" fontId="35" fillId="0" borderId="314" applyNumberFormat="0" applyFill="0" applyAlignment="0" applyProtection="0"/>
    <xf numFmtId="0" fontId="51" fillId="0" borderId="320" applyNumberFormat="0" applyFill="0" applyAlignment="0" applyProtection="0"/>
    <xf numFmtId="0" fontId="63" fillId="56" borderId="318" applyNumberFormat="0" applyAlignment="0" applyProtection="0"/>
    <xf numFmtId="4" fontId="33" fillId="34" borderId="314">
      <alignment horizontal="right" vertical="center"/>
    </xf>
    <xf numFmtId="4" fontId="35" fillId="33" borderId="314"/>
    <xf numFmtId="0" fontId="66" fillId="0" borderId="320" applyNumberFormat="0" applyFill="0" applyAlignment="0" applyProtection="0"/>
    <xf numFmtId="0" fontId="33" fillId="34" borderId="342">
      <alignment horizontal="right" vertical="center"/>
    </xf>
    <xf numFmtId="0" fontId="44" fillId="56" borderId="318" applyNumberFormat="0" applyAlignment="0" applyProtection="0"/>
    <xf numFmtId="0" fontId="46" fillId="56" borderId="319" applyNumberFormat="0" applyAlignment="0" applyProtection="0"/>
    <xf numFmtId="0" fontId="47" fillId="56" borderId="319" applyNumberFormat="0" applyAlignment="0" applyProtection="0"/>
    <xf numFmtId="0" fontId="63" fillId="56" borderId="318" applyNumberFormat="0" applyAlignment="0" applyProtection="0"/>
    <xf numFmtId="0" fontId="33" fillId="34" borderId="316">
      <alignment horizontal="right" vertical="center"/>
    </xf>
    <xf numFmtId="0" fontId="35" fillId="0" borderId="314" applyNumberFormat="0" applyFill="0" applyAlignment="0" applyProtection="0"/>
    <xf numFmtId="49" fontId="35" fillId="0" borderId="315" applyNumberFormat="0" applyFont="0" applyFill="0" applyBorder="0" applyProtection="0">
      <alignment horizontal="left" vertical="center" indent="5"/>
    </xf>
    <xf numFmtId="0" fontId="66" fillId="0" borderId="320" applyNumberFormat="0" applyFill="0" applyAlignment="0" applyProtection="0"/>
    <xf numFmtId="0" fontId="35" fillId="0" borderId="314" applyNumberFormat="0" applyFill="0" applyAlignment="0" applyProtection="0"/>
    <xf numFmtId="0" fontId="35" fillId="33" borderId="324"/>
    <xf numFmtId="0" fontId="35" fillId="0" borderId="327">
      <alignment horizontal="left" vertical="center" wrapText="1" indent="2"/>
    </xf>
    <xf numFmtId="0" fontId="47" fillId="56" borderId="321" applyNumberFormat="0" applyAlignment="0" applyProtection="0"/>
    <xf numFmtId="4" fontId="35" fillId="0" borderId="324">
      <alignment horizontal="right" vertical="center"/>
    </xf>
    <xf numFmtId="0" fontId="27" fillId="24" borderId="0" applyNumberFormat="0" applyBorder="0" applyAlignment="0" applyProtection="0"/>
    <xf numFmtId="0" fontId="35" fillId="34" borderId="327">
      <alignment horizontal="left" vertical="center" wrapText="1" indent="2"/>
    </xf>
    <xf numFmtId="49" fontId="34" fillId="0" borderId="341" applyNumberFormat="0" applyFill="0" applyBorder="0" applyProtection="0">
      <alignment horizontal="left" vertical="center"/>
    </xf>
    <xf numFmtId="0" fontId="41" fillId="59" borderId="313" applyNumberFormat="0" applyFont="0" applyAlignment="0" applyProtection="0"/>
    <xf numFmtId="0" fontId="33" fillId="34" borderId="324">
      <alignment horizontal="right" vertical="center"/>
    </xf>
    <xf numFmtId="0" fontId="29" fillId="13" borderId="14" applyNumberFormat="0" applyAlignment="0" applyProtection="0"/>
    <xf numFmtId="49" fontId="35" fillId="0" borderId="341" applyNumberFormat="0" applyFont="0" applyFill="0" applyBorder="0" applyProtection="0">
      <alignment horizontal="left" vertical="center" indent="2"/>
    </xf>
    <xf numFmtId="0" fontId="27" fillId="14" borderId="0" applyNumberFormat="0" applyBorder="0" applyAlignment="0" applyProtection="0"/>
    <xf numFmtId="0" fontId="51" fillId="0" borderId="339" applyNumberFormat="0" applyFill="0" applyAlignment="0" applyProtection="0"/>
    <xf numFmtId="4" fontId="33" fillId="32" borderId="324">
      <alignment horizontal="right" vertical="center"/>
    </xf>
    <xf numFmtId="0" fontId="35" fillId="34" borderId="344">
      <alignment horizontal="left" vertical="center" wrapText="1" indent="2"/>
    </xf>
    <xf numFmtId="4" fontId="35" fillId="33" borderId="341"/>
    <xf numFmtId="4" fontId="33" fillId="34" borderId="326">
      <alignment horizontal="right" vertical="center"/>
    </xf>
    <xf numFmtId="0" fontId="35" fillId="0" borderId="317">
      <alignment horizontal="left" vertical="center" wrapText="1" indent="2"/>
    </xf>
    <xf numFmtId="4" fontId="33" fillId="32" borderId="324">
      <alignment horizontal="right" vertical="center"/>
    </xf>
    <xf numFmtId="4" fontId="33" fillId="32" borderId="314">
      <alignment horizontal="right" vertical="center"/>
    </xf>
    <xf numFmtId="0" fontId="35" fillId="32" borderId="347">
      <alignment horizontal="left" vertical="center"/>
    </xf>
    <xf numFmtId="4" fontId="35" fillId="0" borderId="341">
      <alignment horizontal="right" vertical="center"/>
    </xf>
    <xf numFmtId="0" fontId="63" fillId="56" borderId="318" applyNumberFormat="0" applyAlignment="0" applyProtection="0"/>
    <xf numFmtId="49" fontId="35" fillId="0" borderId="315" applyNumberFormat="0" applyFont="0" applyFill="0" applyBorder="0" applyProtection="0">
      <alignment horizontal="left" vertical="center" indent="5"/>
    </xf>
    <xf numFmtId="4" fontId="35" fillId="0" borderId="314">
      <alignment horizontal="right" vertical="center"/>
    </xf>
    <xf numFmtId="49" fontId="34" fillId="0" borderId="341" applyNumberFormat="0" applyFill="0" applyBorder="0" applyProtection="0">
      <alignment horizontal="left" vertical="center"/>
    </xf>
    <xf numFmtId="0" fontId="35" fillId="0" borderId="324" applyNumberFormat="0" applyFill="0" applyAlignment="0" applyProtection="0"/>
    <xf numFmtId="0" fontId="27" fillId="29" borderId="0" applyNumberFormat="0" applyBorder="0" applyAlignment="0" applyProtection="0"/>
    <xf numFmtId="0" fontId="51" fillId="0" borderId="320" applyNumberFormat="0" applyFill="0" applyAlignment="0" applyProtection="0"/>
    <xf numFmtId="4" fontId="33" fillId="34" borderId="316">
      <alignment horizontal="right" vertical="center"/>
    </xf>
    <xf numFmtId="4" fontId="33" fillId="34" borderId="314">
      <alignment horizontal="right" vertical="center"/>
    </xf>
    <xf numFmtId="4" fontId="33" fillId="34" borderId="314">
      <alignment horizontal="right" vertical="center"/>
    </xf>
    <xf numFmtId="0" fontId="66" fillId="0" borderId="320" applyNumberFormat="0" applyFill="0" applyAlignment="0" applyProtection="0"/>
    <xf numFmtId="0" fontId="47" fillId="56" borderId="319" applyNumberFormat="0" applyAlignment="0" applyProtection="0"/>
    <xf numFmtId="0" fontId="12" fillId="19" borderId="0" applyNumberFormat="0" applyBorder="0" applyAlignment="0" applyProtection="0"/>
    <xf numFmtId="0" fontId="51" fillId="0" borderId="339" applyNumberFormat="0" applyFill="0" applyAlignment="0" applyProtection="0"/>
    <xf numFmtId="0" fontId="30" fillId="13" borderId="13" applyNumberFormat="0" applyAlignment="0" applyProtection="0"/>
    <xf numFmtId="49" fontId="34" fillId="0" borderId="314" applyNumberFormat="0" applyFill="0" applyBorder="0" applyProtection="0">
      <alignment horizontal="left" vertical="center"/>
    </xf>
    <xf numFmtId="0" fontId="5" fillId="59" borderId="313" applyNumberFormat="0" applyFont="0" applyAlignment="0" applyProtection="0"/>
    <xf numFmtId="0" fontId="27" fillId="27" borderId="0" applyNumberFormat="0" applyBorder="0" applyAlignment="0" applyProtection="0"/>
    <xf numFmtId="4" fontId="33" fillId="34" borderId="314">
      <alignment horizontal="right" vertical="center"/>
    </xf>
    <xf numFmtId="0" fontId="27" fillId="26" borderId="0" applyNumberFormat="0" applyBorder="0" applyAlignment="0" applyProtection="0"/>
    <xf numFmtId="0" fontId="12" fillId="16" borderId="0" applyNumberFormat="0" applyBorder="0" applyAlignment="0" applyProtection="0"/>
    <xf numFmtId="0" fontId="47" fillId="56" borderId="338" applyNumberFormat="0" applyAlignment="0" applyProtection="0"/>
    <xf numFmtId="0" fontId="66" fillId="0" borderId="322" applyNumberFormat="0" applyFill="0" applyAlignment="0" applyProtection="0"/>
    <xf numFmtId="0" fontId="47" fillId="56" borderId="338" applyNumberFormat="0" applyAlignment="0" applyProtection="0"/>
    <xf numFmtId="49" fontId="35" fillId="0" borderId="314" applyNumberFormat="0" applyFont="0" applyFill="0" applyBorder="0" applyProtection="0">
      <alignment horizontal="left" vertical="center" indent="2"/>
    </xf>
    <xf numFmtId="0" fontId="66" fillId="0" borderId="320" applyNumberFormat="0" applyFill="0" applyAlignment="0" applyProtection="0"/>
    <xf numFmtId="4" fontId="35" fillId="0" borderId="314" applyFill="0" applyBorder="0" applyProtection="0">
      <alignment horizontal="right" vertical="center"/>
    </xf>
    <xf numFmtId="0" fontId="59" fillId="43" borderId="319" applyNumberFormat="0" applyAlignment="0" applyProtection="0"/>
    <xf numFmtId="49" fontId="34" fillId="0" borderId="314" applyNumberFormat="0" applyFill="0" applyBorder="0" applyProtection="0">
      <alignment horizontal="left" vertical="center"/>
    </xf>
    <xf numFmtId="49" fontId="35" fillId="0" borderId="314" applyNumberFormat="0" applyFont="0" applyFill="0" applyBorder="0" applyProtection="0">
      <alignment horizontal="left" vertical="center" indent="2"/>
    </xf>
    <xf numFmtId="4" fontId="35" fillId="0" borderId="314" applyFill="0" applyBorder="0" applyProtection="0">
      <alignment horizontal="right" vertical="center"/>
    </xf>
    <xf numFmtId="0" fontId="33" fillId="34" borderId="346">
      <alignment horizontal="right" vertical="center"/>
    </xf>
    <xf numFmtId="173" fontId="35" fillId="60" borderId="314" applyNumberFormat="0" applyFont="0" applyBorder="0" applyAlignment="0" applyProtection="0">
      <alignment horizontal="right" vertical="center"/>
    </xf>
    <xf numFmtId="0" fontId="63" fillId="56" borderId="329" applyNumberFormat="0" applyAlignment="0" applyProtection="0"/>
    <xf numFmtId="0" fontId="27" fillId="23" borderId="0" applyNumberFormat="0" applyBorder="0" applyAlignment="0" applyProtection="0"/>
    <xf numFmtId="4" fontId="37" fillId="32" borderId="341">
      <alignment horizontal="right" vertical="center"/>
    </xf>
    <xf numFmtId="0" fontId="37" fillId="32" borderId="314">
      <alignment horizontal="right" vertical="center"/>
    </xf>
    <xf numFmtId="173" fontId="35" fillId="60" borderId="341" applyNumberFormat="0" applyFont="0" applyBorder="0" applyAlignment="0" applyProtection="0">
      <alignment horizontal="right" vertical="center"/>
    </xf>
    <xf numFmtId="0" fontId="47" fillId="56" borderId="321" applyNumberFormat="0" applyAlignment="0" applyProtection="0"/>
    <xf numFmtId="0" fontId="50" fillId="43" borderId="321" applyNumberFormat="0" applyAlignment="0" applyProtection="0"/>
    <xf numFmtId="49" fontId="34" fillId="0" borderId="324" applyNumberFormat="0" applyFill="0" applyBorder="0" applyProtection="0">
      <alignment horizontal="left" vertical="center"/>
    </xf>
    <xf numFmtId="0" fontId="50" fillId="43" borderId="319" applyNumberFormat="0" applyAlignment="0" applyProtection="0"/>
    <xf numFmtId="4" fontId="33" fillId="34" borderId="314">
      <alignment horizontal="right" vertical="center"/>
    </xf>
    <xf numFmtId="0" fontId="35" fillId="32" borderId="315">
      <alignment horizontal="left" vertical="center"/>
    </xf>
    <xf numFmtId="0" fontId="59" fillId="43" borderId="321" applyNumberFormat="0" applyAlignment="0" applyProtection="0"/>
    <xf numFmtId="0" fontId="46" fillId="56" borderId="321" applyNumberFormat="0" applyAlignment="0" applyProtection="0"/>
    <xf numFmtId="173" fontId="35" fillId="60" borderId="341" applyNumberFormat="0" applyFont="0" applyBorder="0" applyAlignment="0" applyProtection="0">
      <alignment horizontal="right" vertical="center"/>
    </xf>
    <xf numFmtId="0" fontId="1" fillId="0" borderId="0" applyNumberFormat="0" applyFill="0" applyBorder="0" applyAlignment="0" applyProtection="0"/>
    <xf numFmtId="0" fontId="33" fillId="34" borderId="347">
      <alignment horizontal="right" vertical="center"/>
    </xf>
    <xf numFmtId="0" fontId="33" fillId="34" borderId="333">
      <alignment horizontal="right" vertical="center"/>
    </xf>
    <xf numFmtId="173" fontId="35" fillId="60" borderId="341" applyNumberFormat="0" applyFont="0" applyBorder="0" applyAlignment="0" applyProtection="0">
      <alignment horizontal="right" vertical="center"/>
    </xf>
    <xf numFmtId="4" fontId="33" fillId="34" borderId="326">
      <alignment horizontal="right" vertical="center"/>
    </xf>
    <xf numFmtId="49" fontId="35" fillId="0" borderId="324" applyNumberFormat="0" applyFont="0" applyFill="0" applyBorder="0" applyProtection="0">
      <alignment horizontal="left" vertical="center" indent="2"/>
    </xf>
    <xf numFmtId="0" fontId="1" fillId="0" borderId="0" applyNumberFormat="0" applyFill="0" applyBorder="0" applyAlignment="0" applyProtection="0"/>
    <xf numFmtId="0" fontId="12" fillId="28" borderId="0" applyNumberFormat="0" applyBorder="0" applyAlignment="0" applyProtection="0"/>
    <xf numFmtId="4" fontId="33" fillId="34" borderId="324">
      <alignment horizontal="right" vertical="center"/>
    </xf>
    <xf numFmtId="0" fontId="33" fillId="34" borderId="314">
      <alignment horizontal="right" vertical="center"/>
    </xf>
    <xf numFmtId="0" fontId="35" fillId="34" borderId="317">
      <alignment horizontal="left" vertical="center" wrapText="1" indent="2"/>
    </xf>
    <xf numFmtId="173" fontId="35" fillId="60" borderId="314" applyNumberFormat="0" applyFont="0" applyBorder="0" applyAlignment="0" applyProtection="0">
      <alignment horizontal="right" vertical="center"/>
    </xf>
    <xf numFmtId="0" fontId="41" fillId="59" borderId="313" applyNumberFormat="0" applyFont="0" applyAlignment="0" applyProtection="0"/>
    <xf numFmtId="49" fontId="35" fillId="0" borderId="314" applyNumberFormat="0" applyFont="0" applyFill="0" applyBorder="0" applyProtection="0">
      <alignment horizontal="left" vertical="center" indent="2"/>
    </xf>
    <xf numFmtId="0" fontId="35" fillId="34" borderId="327">
      <alignment horizontal="left" vertical="center" wrapText="1" indent="2"/>
    </xf>
    <xf numFmtId="0" fontId="2" fillId="0" borderId="15" applyNumberFormat="0" applyFill="0" applyAlignment="0" applyProtection="0"/>
    <xf numFmtId="4" fontId="33" fillId="34" borderId="326">
      <alignment horizontal="right" vertical="center"/>
    </xf>
    <xf numFmtId="0" fontId="27" fillId="14" borderId="0" applyNumberFormat="0" applyBorder="0" applyAlignment="0" applyProtection="0"/>
    <xf numFmtId="49" fontId="34" fillId="0" borderId="314" applyNumberFormat="0" applyFill="0" applyBorder="0" applyProtection="0">
      <alignment horizontal="left" vertical="center"/>
    </xf>
    <xf numFmtId="0" fontId="5" fillId="59" borderId="323" applyNumberFormat="0" applyFont="0" applyAlignment="0" applyProtection="0"/>
    <xf numFmtId="173" fontId="35" fillId="60" borderId="314" applyNumberFormat="0" applyFont="0" applyBorder="0" applyAlignment="0" applyProtection="0">
      <alignment horizontal="right" vertical="center"/>
    </xf>
    <xf numFmtId="0" fontId="63" fillId="56" borderId="318" applyNumberFormat="0" applyAlignment="0" applyProtection="0"/>
    <xf numFmtId="0" fontId="35" fillId="0" borderId="314">
      <alignment horizontal="right" vertical="center"/>
    </xf>
    <xf numFmtId="49" fontId="35" fillId="0" borderId="325" applyNumberFormat="0" applyFont="0" applyFill="0" applyBorder="0" applyProtection="0">
      <alignment horizontal="left" vertical="center" indent="5"/>
    </xf>
    <xf numFmtId="0" fontId="35" fillId="33" borderId="314"/>
    <xf numFmtId="4" fontId="33" fillId="34" borderId="314">
      <alignment horizontal="right" vertical="center"/>
    </xf>
    <xf numFmtId="0" fontId="35" fillId="33" borderId="314"/>
    <xf numFmtId="0" fontId="59" fillId="43" borderId="319" applyNumberFormat="0" applyAlignment="0" applyProtection="0"/>
    <xf numFmtId="0" fontId="37" fillId="32" borderId="314">
      <alignment horizontal="right" vertical="center"/>
    </xf>
    <xf numFmtId="0" fontId="35" fillId="0" borderId="317">
      <alignment horizontal="left" vertical="center" wrapText="1" indent="2"/>
    </xf>
    <xf numFmtId="0" fontId="33" fillId="32" borderId="314">
      <alignment horizontal="right" vertical="center"/>
    </xf>
    <xf numFmtId="0" fontId="50" fillId="43" borderId="319" applyNumberFormat="0" applyAlignment="0" applyProtection="0"/>
    <xf numFmtId="0" fontId="35" fillId="34" borderId="317">
      <alignment horizontal="left" vertical="center" wrapText="1" indent="2"/>
    </xf>
    <xf numFmtId="49" fontId="34" fillId="0" borderId="324" applyNumberFormat="0" applyFill="0" applyBorder="0" applyProtection="0">
      <alignment horizontal="left" vertical="center"/>
    </xf>
    <xf numFmtId="0" fontId="27" fillId="23" borderId="0" applyNumberFormat="0" applyBorder="0" applyAlignment="0" applyProtection="0"/>
    <xf numFmtId="0" fontId="12" fillId="22" borderId="0" applyNumberFormat="0" applyBorder="0" applyAlignment="0" applyProtection="0"/>
    <xf numFmtId="0" fontId="51" fillId="0" borderId="331" applyNumberFormat="0" applyFill="0" applyAlignment="0" applyProtection="0"/>
    <xf numFmtId="0" fontId="27" fillId="24" borderId="0" applyNumberFormat="0" applyBorder="0" applyAlignment="0" applyProtection="0"/>
    <xf numFmtId="0" fontId="12" fillId="31" borderId="0" applyNumberFormat="0" applyBorder="0" applyAlignment="0" applyProtection="0"/>
    <xf numFmtId="0" fontId="33" fillId="34" borderId="326">
      <alignment horizontal="right" vertical="center"/>
    </xf>
    <xf numFmtId="4" fontId="33" fillId="34" borderId="325">
      <alignment horizontal="right" vertical="center"/>
    </xf>
    <xf numFmtId="4" fontId="35" fillId="0" borderId="341" applyFill="0" applyBorder="0" applyProtection="0">
      <alignment horizontal="right" vertical="center"/>
    </xf>
    <xf numFmtId="0" fontId="46" fillId="56" borderId="319" applyNumberFormat="0" applyAlignment="0" applyProtection="0"/>
    <xf numFmtId="0" fontId="37" fillId="32" borderId="314">
      <alignment horizontal="right" vertical="center"/>
    </xf>
    <xf numFmtId="0" fontId="33" fillId="34" borderId="342">
      <alignment horizontal="right" vertical="center"/>
    </xf>
    <xf numFmtId="0" fontId="66" fillId="0" borderId="322" applyNumberFormat="0" applyFill="0" applyAlignment="0" applyProtection="0"/>
    <xf numFmtId="0" fontId="29" fillId="13" borderId="14" applyNumberFormat="0" applyAlignment="0" applyProtection="0"/>
    <xf numFmtId="0" fontId="1" fillId="0" borderId="0" applyNumberFormat="0" applyFill="0" applyBorder="0" applyAlignment="0" applyProtection="0"/>
    <xf numFmtId="0" fontId="27" fillId="20" borderId="0" applyNumberFormat="0" applyBorder="0" applyAlignment="0" applyProtection="0"/>
    <xf numFmtId="0" fontId="27" fillId="30" borderId="0" applyNumberFormat="0" applyBorder="0" applyAlignment="0" applyProtection="0"/>
    <xf numFmtId="49" fontId="35" fillId="0" borderId="325" applyNumberFormat="0" applyFont="0" applyFill="0" applyBorder="0" applyProtection="0">
      <alignment horizontal="left" vertical="center" indent="5"/>
    </xf>
    <xf numFmtId="0" fontId="31" fillId="0" borderId="0" applyNumberFormat="0" applyFill="0" applyBorder="0" applyAlignment="0" applyProtection="0"/>
    <xf numFmtId="173" fontId="35" fillId="60" borderId="324" applyNumberFormat="0" applyFont="0" applyBorder="0" applyAlignment="0" applyProtection="0">
      <alignment horizontal="right" vertical="center"/>
    </xf>
    <xf numFmtId="0" fontId="46" fillId="56" borderId="338" applyNumberFormat="0" applyAlignment="0" applyProtection="0"/>
    <xf numFmtId="0" fontId="33" fillId="34" borderId="314">
      <alignment horizontal="right" vertical="center"/>
    </xf>
    <xf numFmtId="4" fontId="35" fillId="0" borderId="314" applyFill="0" applyBorder="0" applyProtection="0">
      <alignment horizontal="right" vertical="center"/>
    </xf>
    <xf numFmtId="0" fontId="35" fillId="34" borderId="317">
      <alignment horizontal="left" vertical="center" wrapText="1" indent="2"/>
    </xf>
    <xf numFmtId="0" fontId="41" fillId="59" borderId="313" applyNumberFormat="0" applyFont="0" applyAlignment="0" applyProtection="0"/>
    <xf numFmtId="0" fontId="50" fillId="43" borderId="319" applyNumberFormat="0" applyAlignment="0" applyProtection="0"/>
    <xf numFmtId="4" fontId="35" fillId="33" borderId="314"/>
    <xf numFmtId="4" fontId="35" fillId="0" borderId="314" applyFill="0" applyBorder="0" applyProtection="0">
      <alignment horizontal="right" vertical="center"/>
    </xf>
    <xf numFmtId="0" fontId="66" fillId="0" borderId="320" applyNumberFormat="0" applyFill="0" applyAlignment="0" applyProtection="0"/>
    <xf numFmtId="0" fontId="35" fillId="32" borderId="315">
      <alignment horizontal="left" vertical="center"/>
    </xf>
    <xf numFmtId="0" fontId="35" fillId="0" borderId="317">
      <alignment horizontal="left" vertical="center" wrapText="1" indent="2"/>
    </xf>
    <xf numFmtId="0" fontId="35" fillId="34" borderId="327">
      <alignment horizontal="left" vertical="center" wrapText="1" indent="2"/>
    </xf>
    <xf numFmtId="0" fontId="59" fillId="43" borderId="319" applyNumberFormat="0" applyAlignment="0" applyProtection="0"/>
    <xf numFmtId="173" fontId="35" fillId="60" borderId="324" applyNumberFormat="0" applyFont="0" applyBorder="0" applyAlignment="0" applyProtection="0">
      <alignment horizontal="right" vertical="center"/>
    </xf>
    <xf numFmtId="0" fontId="35" fillId="34" borderId="317">
      <alignment horizontal="left" vertical="center" wrapText="1" indent="2"/>
    </xf>
    <xf numFmtId="4" fontId="35" fillId="33" borderId="324"/>
    <xf numFmtId="0" fontId="27" fillId="18" borderId="0" applyNumberFormat="0" applyBorder="0" applyAlignment="0" applyProtection="0"/>
    <xf numFmtId="0" fontId="51" fillId="0" borderId="352" applyNumberFormat="0" applyFill="0" applyAlignment="0" applyProtection="0"/>
    <xf numFmtId="0" fontId="33" fillId="34" borderId="325">
      <alignment horizontal="right" vertical="center"/>
    </xf>
    <xf numFmtId="0" fontId="41" fillId="59" borderId="313" applyNumberFormat="0" applyFont="0" applyAlignment="0" applyProtection="0"/>
    <xf numFmtId="0" fontId="59" fillId="43" borderId="319" applyNumberFormat="0" applyAlignment="0" applyProtection="0"/>
    <xf numFmtId="0" fontId="12" fillId="31" borderId="0" applyNumberFormat="0" applyBorder="0" applyAlignment="0" applyProtection="0"/>
    <xf numFmtId="4" fontId="35" fillId="33" borderId="314"/>
    <xf numFmtId="0" fontId="47" fillId="56" borderId="319" applyNumberFormat="0" applyAlignment="0" applyProtection="0"/>
    <xf numFmtId="0" fontId="59" fillId="43" borderId="319" applyNumberFormat="0" applyAlignment="0" applyProtection="0"/>
    <xf numFmtId="4" fontId="33" fillId="34" borderId="314">
      <alignment horizontal="right" vertical="center"/>
    </xf>
    <xf numFmtId="0" fontId="51" fillId="0" borderId="320" applyNumberFormat="0" applyFill="0" applyAlignment="0" applyProtection="0"/>
    <xf numFmtId="0" fontId="33" fillId="32" borderId="333">
      <alignment horizontal="right" vertical="center"/>
    </xf>
    <xf numFmtId="0" fontId="12" fillId="19" borderId="0" applyNumberFormat="0" applyBorder="0" applyAlignment="0" applyProtection="0"/>
    <xf numFmtId="4" fontId="33" fillId="34" borderId="325">
      <alignment horizontal="right" vertical="center"/>
    </xf>
    <xf numFmtId="0" fontId="59" fillId="43" borderId="321" applyNumberFormat="0" applyAlignment="0" applyProtection="0"/>
    <xf numFmtId="0" fontId="47" fillId="56" borderId="321" applyNumberFormat="0" applyAlignment="0" applyProtection="0"/>
    <xf numFmtId="0" fontId="35" fillId="0" borderId="346" applyNumberFormat="0" applyFill="0" applyAlignment="0" applyProtection="0"/>
    <xf numFmtId="0" fontId="50" fillId="43" borderId="319" applyNumberFormat="0" applyAlignment="0" applyProtection="0"/>
    <xf numFmtId="4" fontId="35" fillId="0" borderId="341" applyFill="0" applyBorder="0" applyProtection="0">
      <alignment horizontal="right" vertical="center"/>
    </xf>
    <xf numFmtId="4" fontId="35" fillId="0" borderId="324">
      <alignment horizontal="right" vertical="center"/>
    </xf>
    <xf numFmtId="0" fontId="46" fillId="56" borderId="338" applyNumberFormat="0" applyAlignment="0" applyProtection="0"/>
    <xf numFmtId="0" fontId="41" fillId="59" borderId="340" applyNumberFormat="0" applyFont="0" applyAlignment="0" applyProtection="0"/>
    <xf numFmtId="0" fontId="35" fillId="0" borderId="324">
      <alignment horizontal="right" vertical="center"/>
    </xf>
    <xf numFmtId="0" fontId="51" fillId="0" borderId="322" applyNumberFormat="0" applyFill="0" applyAlignment="0" applyProtection="0"/>
    <xf numFmtId="0" fontId="35" fillId="34" borderId="317">
      <alignment horizontal="left" vertical="center" wrapText="1" indent="2"/>
    </xf>
    <xf numFmtId="0" fontId="46" fillId="56" borderId="338" applyNumberFormat="0" applyAlignment="0" applyProtection="0"/>
    <xf numFmtId="0" fontId="63" fillId="56" borderId="318" applyNumberFormat="0" applyAlignment="0" applyProtection="0"/>
    <xf numFmtId="0" fontId="59" fillId="43" borderId="319" applyNumberFormat="0" applyAlignment="0" applyProtection="0"/>
    <xf numFmtId="4" fontId="33" fillId="34" borderId="314">
      <alignment horizontal="right" vertical="center"/>
    </xf>
    <xf numFmtId="0" fontId="35" fillId="33" borderId="314"/>
    <xf numFmtId="4" fontId="33" fillId="32" borderId="324">
      <alignment horizontal="right" vertical="center"/>
    </xf>
    <xf numFmtId="0" fontId="63" fillId="56" borderId="337" applyNumberFormat="0" applyAlignment="0" applyProtection="0"/>
    <xf numFmtId="0" fontId="35" fillId="0" borderId="317">
      <alignment horizontal="left" vertical="center" wrapText="1" indent="2"/>
    </xf>
    <xf numFmtId="0" fontId="47" fillId="56" borderId="338" applyNumberFormat="0" applyAlignment="0" applyProtection="0"/>
    <xf numFmtId="49" fontId="34" fillId="0" borderId="324" applyNumberFormat="0" applyFill="0" applyBorder="0" applyProtection="0">
      <alignment horizontal="left" vertical="center"/>
    </xf>
    <xf numFmtId="0" fontId="12" fillId="25" borderId="0" applyNumberFormat="0" applyBorder="0" applyAlignment="0" applyProtection="0"/>
    <xf numFmtId="0" fontId="59" fillId="43" borderId="351" applyNumberFormat="0" applyAlignment="0" applyProtection="0"/>
    <xf numFmtId="0" fontId="46" fillId="56" borderId="319" applyNumberFormat="0" applyAlignment="0" applyProtection="0"/>
    <xf numFmtId="4" fontId="33" fillId="34" borderId="346">
      <alignment horizontal="right" vertical="center"/>
    </xf>
    <xf numFmtId="49" fontId="34" fillId="0" borderId="324" applyNumberFormat="0" applyFill="0" applyBorder="0" applyProtection="0">
      <alignment horizontal="left" vertical="center"/>
    </xf>
    <xf numFmtId="4" fontId="33" fillId="32" borderId="314">
      <alignment horizontal="right" vertical="center"/>
    </xf>
    <xf numFmtId="0" fontId="33" fillId="32" borderId="314">
      <alignment horizontal="right" vertical="center"/>
    </xf>
    <xf numFmtId="0" fontId="33" fillId="34" borderId="314">
      <alignment horizontal="right" vertical="center"/>
    </xf>
    <xf numFmtId="4" fontId="35" fillId="33" borderId="346"/>
    <xf numFmtId="0" fontId="51" fillId="0" borderId="339" applyNumberFormat="0" applyFill="0" applyAlignment="0" applyProtection="0"/>
    <xf numFmtId="4" fontId="33" fillId="34" borderId="324">
      <alignment horizontal="right" vertical="center"/>
    </xf>
    <xf numFmtId="0" fontId="27" fillId="30" borderId="0" applyNumberFormat="0" applyBorder="0" applyAlignment="0" applyProtection="0"/>
    <xf numFmtId="49" fontId="34" fillId="0" borderId="324" applyNumberFormat="0" applyFill="0" applyBorder="0" applyProtection="0">
      <alignment horizontal="left" vertical="center"/>
    </xf>
    <xf numFmtId="0" fontId="63" fillId="56" borderId="318" applyNumberFormat="0" applyAlignment="0" applyProtection="0"/>
    <xf numFmtId="0" fontId="35" fillId="34" borderId="327">
      <alignment horizontal="left" vertical="center" wrapText="1" indent="2"/>
    </xf>
    <xf numFmtId="49" fontId="35" fillId="0" borderId="314" applyNumberFormat="0" applyFont="0" applyFill="0" applyBorder="0" applyProtection="0">
      <alignment horizontal="left" vertical="center" indent="2"/>
    </xf>
    <xf numFmtId="0" fontId="66" fillId="0" borderId="322" applyNumberFormat="0" applyFill="0" applyAlignment="0" applyProtection="0"/>
    <xf numFmtId="0" fontId="41" fillId="59" borderId="313" applyNumberFormat="0" applyFont="0" applyAlignment="0" applyProtection="0"/>
    <xf numFmtId="173" fontId="35" fillId="60" borderId="314" applyNumberFormat="0" applyFont="0" applyBorder="0" applyAlignment="0" applyProtection="0">
      <alignment horizontal="right" vertical="center"/>
    </xf>
    <xf numFmtId="0" fontId="59" fillId="43" borderId="319" applyNumberFormat="0" applyAlignment="0" applyProtection="0"/>
    <xf numFmtId="0" fontId="33" fillId="34" borderId="314">
      <alignment horizontal="right" vertical="center"/>
    </xf>
    <xf numFmtId="0" fontId="35" fillId="33" borderId="314"/>
    <xf numFmtId="0" fontId="63" fillId="56" borderId="318" applyNumberFormat="0" applyAlignment="0" applyProtection="0"/>
    <xf numFmtId="0" fontId="47" fillId="56" borderId="319" applyNumberFormat="0" applyAlignment="0" applyProtection="0"/>
    <xf numFmtId="0" fontId="46" fillId="56" borderId="319" applyNumberFormat="0" applyAlignment="0" applyProtection="0"/>
    <xf numFmtId="0" fontId="50" fillId="43" borderId="319" applyNumberFormat="0" applyAlignment="0" applyProtection="0"/>
    <xf numFmtId="0" fontId="50" fillId="43" borderId="319" applyNumberFormat="0" applyAlignment="0" applyProtection="0"/>
    <xf numFmtId="0" fontId="35" fillId="0" borderId="317">
      <alignment horizontal="left" vertical="center" wrapText="1" indent="2"/>
    </xf>
    <xf numFmtId="4" fontId="33" fillId="34" borderId="315">
      <alignment horizontal="right" vertical="center"/>
    </xf>
    <xf numFmtId="4" fontId="35" fillId="0" borderId="314">
      <alignment horizontal="right" vertical="center"/>
    </xf>
    <xf numFmtId="49" fontId="34" fillId="0" borderId="314" applyNumberFormat="0" applyFill="0" applyBorder="0" applyProtection="0">
      <alignment horizontal="left" vertical="center"/>
    </xf>
    <xf numFmtId="4" fontId="35" fillId="0" borderId="314">
      <alignment horizontal="right" vertical="center"/>
    </xf>
    <xf numFmtId="0" fontId="63" fillId="56" borderId="318" applyNumberFormat="0" applyAlignment="0" applyProtection="0"/>
    <xf numFmtId="0" fontId="41" fillId="59" borderId="323" applyNumberFormat="0" applyFont="0" applyAlignment="0" applyProtection="0"/>
    <xf numFmtId="0" fontId="51" fillId="0" borderId="352" applyNumberFormat="0" applyFill="0" applyAlignment="0" applyProtection="0"/>
    <xf numFmtId="4" fontId="33" fillId="34" borderId="325">
      <alignment horizontal="right" vertical="center"/>
    </xf>
    <xf numFmtId="0" fontId="33" fillId="32" borderId="324">
      <alignment horizontal="right" vertical="center"/>
    </xf>
    <xf numFmtId="4" fontId="33" fillId="34" borderId="343">
      <alignment horizontal="right" vertical="center"/>
    </xf>
    <xf numFmtId="4" fontId="33" fillId="32" borderId="341">
      <alignment horizontal="right" vertical="center"/>
    </xf>
    <xf numFmtId="0" fontId="35" fillId="34" borderId="336">
      <alignment horizontal="left" vertical="center" wrapText="1" indent="2"/>
    </xf>
    <xf numFmtId="0" fontId="35" fillId="0" borderId="317">
      <alignment horizontal="left" vertical="center" wrapText="1" indent="2"/>
    </xf>
    <xf numFmtId="0" fontId="12" fillId="22" borderId="0" applyNumberFormat="0" applyBorder="0" applyAlignment="0" applyProtection="0"/>
    <xf numFmtId="4" fontId="35" fillId="33" borderId="324"/>
    <xf numFmtId="0" fontId="27" fillId="23" borderId="0" applyNumberFormat="0" applyBorder="0" applyAlignment="0" applyProtection="0"/>
    <xf numFmtId="0" fontId="35" fillId="0" borderId="349">
      <alignment horizontal="left" vertical="center" wrapText="1" indent="2"/>
    </xf>
    <xf numFmtId="0" fontId="66" fillId="0" borderId="322" applyNumberFormat="0" applyFill="0" applyAlignment="0" applyProtection="0"/>
    <xf numFmtId="0" fontId="33" fillId="34" borderId="324">
      <alignment horizontal="right" vertical="center"/>
    </xf>
    <xf numFmtId="0" fontId="63" fillId="56" borderId="337" applyNumberFormat="0" applyAlignment="0" applyProtection="0"/>
    <xf numFmtId="0" fontId="31" fillId="0" borderId="0" applyNumberFormat="0" applyFill="0" applyBorder="0" applyAlignment="0" applyProtection="0"/>
    <xf numFmtId="0" fontId="41" fillId="59" borderId="313" applyNumberFormat="0" applyFont="0" applyAlignment="0" applyProtection="0"/>
    <xf numFmtId="0" fontId="35" fillId="0" borderId="327">
      <alignment horizontal="left" vertical="center" wrapText="1" indent="2"/>
    </xf>
    <xf numFmtId="0" fontId="33" fillId="32" borderId="314">
      <alignment horizontal="right" vertical="center"/>
    </xf>
    <xf numFmtId="0" fontId="12" fillId="19" borderId="0" applyNumberFormat="0" applyBorder="0" applyAlignment="0" applyProtection="0"/>
    <xf numFmtId="0" fontId="47" fillId="56" borderId="321" applyNumberFormat="0" applyAlignment="0" applyProtection="0"/>
    <xf numFmtId="0" fontId="35" fillId="0" borderId="314" applyNumberFormat="0" applyFill="0" applyAlignment="0" applyProtection="0"/>
    <xf numFmtId="49" fontId="34" fillId="0" borderId="314" applyNumberFormat="0" applyFill="0" applyBorder="0" applyProtection="0">
      <alignment horizontal="left" vertical="center"/>
    </xf>
    <xf numFmtId="0" fontId="35" fillId="0" borderId="314">
      <alignment horizontal="right" vertical="center"/>
    </xf>
    <xf numFmtId="0" fontId="66" fillId="0" borderId="322" applyNumberFormat="0" applyFill="0" applyAlignment="0" applyProtection="0"/>
    <xf numFmtId="0" fontId="46" fillId="56" borderId="351" applyNumberFormat="0" applyAlignment="0" applyProtection="0"/>
    <xf numFmtId="0" fontId="33" fillId="34" borderId="341">
      <alignment horizontal="right" vertical="center"/>
    </xf>
    <xf numFmtId="0" fontId="33" fillId="34" borderId="341">
      <alignment horizontal="right" vertical="center"/>
    </xf>
    <xf numFmtId="4" fontId="33" fillId="32" borderId="314">
      <alignment horizontal="right" vertical="center"/>
    </xf>
    <xf numFmtId="0" fontId="44" fillId="56" borderId="328" applyNumberFormat="0" applyAlignment="0" applyProtection="0"/>
    <xf numFmtId="0" fontId="47" fillId="56" borderId="319" applyNumberFormat="0" applyAlignment="0" applyProtection="0"/>
    <xf numFmtId="0" fontId="33" fillId="34" borderId="316">
      <alignment horizontal="right" vertical="center"/>
    </xf>
    <xf numFmtId="4" fontId="33" fillId="32" borderId="314">
      <alignment horizontal="right" vertical="center"/>
    </xf>
    <xf numFmtId="0" fontId="33" fillId="34" borderId="314">
      <alignment horizontal="right" vertical="center"/>
    </xf>
    <xf numFmtId="0" fontId="47" fillId="56" borderId="319" applyNumberFormat="0" applyAlignment="0" applyProtection="0"/>
    <xf numFmtId="0" fontId="66" fillId="0" borderId="339" applyNumberFormat="0" applyFill="0" applyAlignment="0" applyProtection="0"/>
    <xf numFmtId="0" fontId="30" fillId="13" borderId="13" applyNumberFormat="0" applyAlignment="0" applyProtection="0"/>
    <xf numFmtId="0" fontId="29" fillId="13" borderId="14" applyNumberFormat="0" applyAlignment="0" applyProtection="0"/>
    <xf numFmtId="4" fontId="35" fillId="0" borderId="314" applyFill="0" applyBorder="0" applyProtection="0">
      <alignment horizontal="right" vertical="center"/>
    </xf>
    <xf numFmtId="0" fontId="41" fillId="59" borderId="313" applyNumberFormat="0" applyFont="0" applyAlignment="0" applyProtection="0"/>
    <xf numFmtId="0" fontId="47" fillId="56" borderId="338" applyNumberFormat="0" applyAlignment="0" applyProtection="0"/>
    <xf numFmtId="0" fontId="12" fillId="19" borderId="0" applyNumberFormat="0" applyBorder="0" applyAlignment="0" applyProtection="0"/>
    <xf numFmtId="0" fontId="12" fillId="25" borderId="0" applyNumberFormat="0" applyBorder="0" applyAlignment="0" applyProtection="0"/>
    <xf numFmtId="0" fontId="66" fillId="0" borderId="322" applyNumberFormat="0" applyFill="0" applyAlignment="0" applyProtection="0"/>
    <xf numFmtId="0" fontId="33" fillId="34" borderId="324">
      <alignment horizontal="right" vertical="center"/>
    </xf>
    <xf numFmtId="0" fontId="66" fillId="0" borderId="352" applyNumberFormat="0" applyFill="0" applyAlignment="0" applyProtection="0"/>
    <xf numFmtId="0" fontId="5" fillId="59" borderId="323" applyNumberFormat="0" applyFont="0" applyAlignment="0" applyProtection="0"/>
    <xf numFmtId="0" fontId="33" fillId="32" borderId="314">
      <alignment horizontal="right" vertical="center"/>
    </xf>
    <xf numFmtId="0" fontId="51" fillId="0" borderId="320" applyNumberFormat="0" applyFill="0" applyAlignment="0" applyProtection="0"/>
    <xf numFmtId="0" fontId="35" fillId="0" borderId="314" applyNumberFormat="0" applyFill="0" applyAlignment="0" applyProtection="0"/>
    <xf numFmtId="0" fontId="51" fillId="0" borderId="320" applyNumberFormat="0" applyFill="0" applyAlignment="0" applyProtection="0"/>
    <xf numFmtId="4" fontId="35" fillId="0" borderId="314" applyFill="0" applyBorder="0" applyProtection="0">
      <alignment horizontal="right" vertical="center"/>
    </xf>
    <xf numFmtId="49" fontId="35" fillId="0" borderId="315" applyNumberFormat="0" applyFont="0" applyFill="0" applyBorder="0" applyProtection="0">
      <alignment horizontal="left" vertical="center" indent="5"/>
    </xf>
    <xf numFmtId="0" fontId="35" fillId="0" borderId="314" applyNumberFormat="0" applyFill="0" applyAlignment="0" applyProtection="0"/>
    <xf numFmtId="0" fontId="35" fillId="0" borderId="314" applyNumberFormat="0" applyFill="0" applyAlignment="0" applyProtection="0"/>
    <xf numFmtId="0" fontId="12" fillId="16" borderId="0" applyNumberFormat="0" applyBorder="0" applyAlignment="0" applyProtection="0"/>
    <xf numFmtId="0" fontId="27" fillId="14" borderId="0" applyNumberFormat="0" applyBorder="0" applyAlignment="0" applyProtection="0"/>
    <xf numFmtId="4" fontId="33" fillId="34" borderId="314">
      <alignment horizontal="right" vertical="center"/>
    </xf>
    <xf numFmtId="49" fontId="35" fillId="0" borderId="341" applyNumberFormat="0" applyFont="0" applyFill="0" applyBorder="0" applyProtection="0">
      <alignment horizontal="left" vertical="center" indent="2"/>
    </xf>
    <xf numFmtId="0" fontId="2" fillId="0" borderId="15" applyNumberFormat="0" applyFill="0" applyAlignment="0" applyProtection="0"/>
    <xf numFmtId="0" fontId="12" fillId="22" borderId="0" applyNumberFormat="0" applyBorder="0" applyAlignment="0" applyProtection="0"/>
    <xf numFmtId="0" fontId="27" fillId="15" borderId="0" applyNumberFormat="0" applyBorder="0" applyAlignment="0" applyProtection="0"/>
    <xf numFmtId="0" fontId="50" fillId="43" borderId="319" applyNumberFormat="0" applyAlignment="0" applyProtection="0"/>
    <xf numFmtId="0" fontId="47" fillId="56" borderId="319" applyNumberFormat="0" applyAlignment="0" applyProtection="0"/>
    <xf numFmtId="4" fontId="35" fillId="0" borderId="314">
      <alignment horizontal="right" vertical="center"/>
    </xf>
    <xf numFmtId="0" fontId="35" fillId="34" borderId="317">
      <alignment horizontal="left" vertical="center" wrapText="1" indent="2"/>
    </xf>
    <xf numFmtId="0" fontId="35" fillId="0" borderId="317">
      <alignment horizontal="left" vertical="center" wrapText="1" indent="2"/>
    </xf>
    <xf numFmtId="0" fontId="63" fillId="56" borderId="318" applyNumberFormat="0" applyAlignment="0" applyProtection="0"/>
    <xf numFmtId="0" fontId="59" fillId="43" borderId="319" applyNumberFormat="0" applyAlignment="0" applyProtection="0"/>
    <xf numFmtId="0" fontId="46" fillId="56" borderId="319" applyNumberFormat="0" applyAlignment="0" applyProtection="0"/>
    <xf numFmtId="0" fontId="44" fillId="56" borderId="318" applyNumberFormat="0" applyAlignment="0" applyProtection="0"/>
    <xf numFmtId="0" fontId="33" fillId="34" borderId="316">
      <alignment horizontal="right" vertical="center"/>
    </xf>
    <xf numFmtId="0" fontId="37" fillId="32" borderId="314">
      <alignment horizontal="right" vertical="center"/>
    </xf>
    <xf numFmtId="4" fontId="33" fillId="32" borderId="314">
      <alignment horizontal="right" vertical="center"/>
    </xf>
    <xf numFmtId="4" fontId="33" fillId="34" borderId="314">
      <alignment horizontal="right" vertical="center"/>
    </xf>
    <xf numFmtId="49" fontId="35" fillId="0" borderId="315" applyNumberFormat="0" applyFont="0" applyFill="0" applyBorder="0" applyProtection="0">
      <alignment horizontal="left" vertical="center" indent="5"/>
    </xf>
    <xf numFmtId="4" fontId="35" fillId="0" borderId="314" applyFill="0" applyBorder="0" applyProtection="0">
      <alignment horizontal="right" vertical="center"/>
    </xf>
    <xf numFmtId="4" fontId="33" fillId="32" borderId="314">
      <alignment horizontal="right" vertical="center"/>
    </xf>
    <xf numFmtId="0" fontId="59" fillId="43" borderId="319" applyNumberFormat="0" applyAlignment="0" applyProtection="0"/>
    <xf numFmtId="0" fontId="50" fillId="43" borderId="319" applyNumberFormat="0" applyAlignment="0" applyProtection="0"/>
    <xf numFmtId="0" fontId="46" fillId="56" borderId="319" applyNumberFormat="0" applyAlignment="0" applyProtection="0"/>
    <xf numFmtId="0" fontId="35" fillId="34" borderId="317">
      <alignment horizontal="left" vertical="center" wrapText="1" indent="2"/>
    </xf>
    <xf numFmtId="0" fontId="35" fillId="0" borderId="317">
      <alignment horizontal="left" vertical="center" wrapText="1" indent="2"/>
    </xf>
    <xf numFmtId="0" fontId="35" fillId="34" borderId="317">
      <alignment horizontal="left" vertical="center" wrapText="1" indent="2"/>
    </xf>
    <xf numFmtId="0" fontId="35" fillId="0" borderId="317">
      <alignment horizontal="left" vertical="center" wrapText="1" indent="2"/>
    </xf>
    <xf numFmtId="0" fontId="27" fillId="15" borderId="0" applyNumberFormat="0" applyBorder="0" applyAlignment="0" applyProtection="0"/>
    <xf numFmtId="0" fontId="50" fillId="43" borderId="351" applyNumberFormat="0" applyAlignment="0" applyProtection="0"/>
    <xf numFmtId="0" fontId="33" fillId="34" borderId="346">
      <alignment horizontal="right" vertical="center"/>
    </xf>
    <xf numFmtId="173" fontId="35" fillId="60" borderId="324" applyNumberFormat="0" applyFont="0" applyBorder="0" applyAlignment="0" applyProtection="0">
      <alignment horizontal="right" vertical="center"/>
    </xf>
    <xf numFmtId="0" fontId="31" fillId="0" borderId="0" applyNumberFormat="0" applyFill="0" applyBorder="0" applyAlignment="0" applyProtection="0"/>
    <xf numFmtId="0" fontId="35" fillId="33" borderId="324"/>
    <xf numFmtId="0" fontId="46" fillId="56" borderId="321" applyNumberFormat="0" applyAlignment="0" applyProtection="0"/>
    <xf numFmtId="0" fontId="12" fillId="28" borderId="0" applyNumberFormat="0" applyBorder="0" applyAlignment="0" applyProtection="0"/>
    <xf numFmtId="4" fontId="33" fillId="34" borderId="341">
      <alignment horizontal="right" vertical="center"/>
    </xf>
    <xf numFmtId="4" fontId="33" fillId="34" borderId="348">
      <alignment horizontal="right" vertical="center"/>
    </xf>
    <xf numFmtId="49" fontId="34" fillId="0" borderId="324" applyNumberFormat="0" applyFill="0" applyBorder="0" applyProtection="0">
      <alignment horizontal="left" vertical="center"/>
    </xf>
    <xf numFmtId="0" fontId="27" fillId="30" borderId="0" applyNumberFormat="0" applyBorder="0" applyAlignment="0" applyProtection="0"/>
    <xf numFmtId="0" fontId="47" fillId="56" borderId="338" applyNumberFormat="0" applyAlignment="0" applyProtection="0"/>
    <xf numFmtId="0" fontId="66" fillId="0" borderId="339" applyNumberFormat="0" applyFill="0" applyAlignment="0" applyProtection="0"/>
    <xf numFmtId="4" fontId="35" fillId="0" borderId="324" applyFill="0" applyBorder="0" applyProtection="0">
      <alignment horizontal="right" vertical="center"/>
    </xf>
    <xf numFmtId="0" fontId="2" fillId="0" borderId="15" applyNumberFormat="0" applyFill="0" applyAlignment="0" applyProtection="0"/>
    <xf numFmtId="0" fontId="41" fillId="59" borderId="323" applyNumberFormat="0" applyFont="0" applyAlignment="0" applyProtection="0"/>
    <xf numFmtId="0" fontId="12" fillId="19" borderId="0" applyNumberFormat="0" applyBorder="0" applyAlignment="0" applyProtection="0"/>
    <xf numFmtId="49" fontId="34" fillId="0" borderId="341" applyNumberFormat="0" applyFill="0" applyBorder="0" applyProtection="0">
      <alignment horizontal="left" vertical="center"/>
    </xf>
    <xf numFmtId="0" fontId="44" fillId="56" borderId="328" applyNumberFormat="0" applyAlignment="0" applyProtection="0"/>
    <xf numFmtId="0" fontId="33" fillId="34" borderId="325">
      <alignment horizontal="right" vertical="center"/>
    </xf>
    <xf numFmtId="0" fontId="41" fillId="59" borderId="323" applyNumberFormat="0" applyFont="0" applyAlignment="0" applyProtection="0"/>
    <xf numFmtId="0" fontId="63" fillId="56" borderId="328" applyNumberFormat="0" applyAlignment="0" applyProtection="0"/>
    <xf numFmtId="4" fontId="33" fillId="34" borderId="343">
      <alignment horizontal="right" vertical="center"/>
    </xf>
    <xf numFmtId="0" fontId="27" fillId="26" borderId="0" applyNumberFormat="0" applyBorder="0" applyAlignment="0" applyProtection="0"/>
    <xf numFmtId="0" fontId="44" fillId="56" borderId="337" applyNumberFormat="0" applyAlignment="0" applyProtection="0"/>
    <xf numFmtId="0" fontId="27" fillId="30" borderId="0" applyNumberFormat="0" applyBorder="0" applyAlignment="0" applyProtection="0"/>
    <xf numFmtId="0" fontId="50" fillId="43" borderId="351" applyNumberFormat="0" applyAlignment="0" applyProtection="0"/>
    <xf numFmtId="0" fontId="41" fillId="59" borderId="323" applyNumberFormat="0" applyFont="0" applyAlignment="0" applyProtection="0"/>
    <xf numFmtId="4" fontId="35" fillId="0" borderId="324" applyFill="0" applyBorder="0" applyProtection="0">
      <alignment horizontal="right" vertical="center"/>
    </xf>
    <xf numFmtId="0" fontId="59" fillId="43" borderId="338" applyNumberFormat="0" applyAlignment="0" applyProtection="0"/>
    <xf numFmtId="0" fontId="27" fillId="27" borderId="0" applyNumberFormat="0" applyBorder="0" applyAlignment="0" applyProtection="0"/>
    <xf numFmtId="0" fontId="27" fillId="18" borderId="0" applyNumberFormat="0" applyBorder="0" applyAlignment="0" applyProtection="0"/>
    <xf numFmtId="0" fontId="27" fillId="14" borderId="0" applyNumberFormat="0" applyBorder="0" applyAlignment="0" applyProtection="0"/>
    <xf numFmtId="4" fontId="35" fillId="33" borderId="324"/>
    <xf numFmtId="0" fontId="59" fillId="43" borderId="321" applyNumberFormat="0" applyAlignment="0" applyProtection="0"/>
    <xf numFmtId="0" fontId="2" fillId="0" borderId="15" applyNumberFormat="0" applyFill="0" applyAlignment="0" applyProtection="0"/>
    <xf numFmtId="0" fontId="63" fillId="56" borderId="337" applyNumberFormat="0" applyAlignment="0" applyProtection="0"/>
    <xf numFmtId="0" fontId="44" fillId="56" borderId="328" applyNumberFormat="0" applyAlignment="0" applyProtection="0"/>
    <xf numFmtId="0" fontId="12" fillId="16" borderId="0" applyNumberFormat="0" applyBorder="0" applyAlignment="0" applyProtection="0"/>
    <xf numFmtId="0" fontId="59" fillId="43" borderId="321" applyNumberFormat="0" applyAlignment="0" applyProtection="0"/>
    <xf numFmtId="0" fontId="12" fillId="16" borderId="0" applyNumberFormat="0" applyBorder="0" applyAlignment="0" applyProtection="0"/>
    <xf numFmtId="0" fontId="33" fillId="34" borderId="326">
      <alignment horizontal="right" vertical="center"/>
    </xf>
    <xf numFmtId="0" fontId="50" fillId="43" borderId="321" applyNumberFormat="0" applyAlignment="0" applyProtection="0"/>
    <xf numFmtId="4" fontId="35" fillId="0" borderId="324">
      <alignment horizontal="right" vertical="center"/>
    </xf>
    <xf numFmtId="0" fontId="66" fillId="0" borderId="322" applyNumberFormat="0" applyFill="0" applyAlignment="0" applyProtection="0"/>
    <xf numFmtId="0" fontId="35" fillId="0" borderId="341">
      <alignment horizontal="right" vertical="center"/>
    </xf>
    <xf numFmtId="0" fontId="50" fillId="43" borderId="351" applyNumberFormat="0" applyAlignment="0" applyProtection="0"/>
    <xf numFmtId="0" fontId="27" fillId="14" borderId="0" applyNumberFormat="0" applyBorder="0" applyAlignment="0" applyProtection="0"/>
    <xf numFmtId="0" fontId="27" fillId="21" borderId="0" applyNumberFormat="0" applyBorder="0" applyAlignment="0" applyProtection="0"/>
    <xf numFmtId="0" fontId="63" fillId="56" borderId="337" applyNumberFormat="0" applyAlignment="0" applyProtection="0"/>
    <xf numFmtId="4" fontId="33" fillId="34" borderId="346">
      <alignment horizontal="right" vertical="center"/>
    </xf>
    <xf numFmtId="0" fontId="2" fillId="0" borderId="15" applyNumberFormat="0" applyFill="0" applyAlignment="0" applyProtection="0"/>
    <xf numFmtId="0" fontId="46" fillId="56" borderId="351" applyNumberFormat="0" applyAlignment="0" applyProtection="0"/>
    <xf numFmtId="0" fontId="46" fillId="56" borderId="321" applyNumberFormat="0" applyAlignment="0" applyProtection="0"/>
    <xf numFmtId="0" fontId="35" fillId="0" borderId="333">
      <alignment horizontal="right" vertical="center"/>
    </xf>
    <xf numFmtId="0" fontId="27" fillId="24" borderId="0" applyNumberFormat="0" applyBorder="0" applyAlignment="0" applyProtection="0"/>
    <xf numFmtId="0" fontId="27" fillId="14" borderId="0" applyNumberFormat="0" applyBorder="0" applyAlignment="0" applyProtection="0"/>
    <xf numFmtId="0" fontId="12" fillId="28" borderId="0" applyNumberFormat="0" applyBorder="0" applyAlignment="0" applyProtection="0"/>
    <xf numFmtId="0" fontId="47" fillId="56" borderId="338" applyNumberFormat="0" applyAlignment="0" applyProtection="0"/>
    <xf numFmtId="4" fontId="33" fillId="34" borderId="324">
      <alignment horizontal="right" vertical="center"/>
    </xf>
    <xf numFmtId="0" fontId="35" fillId="0" borderId="344">
      <alignment horizontal="left" vertical="center" wrapText="1" indent="2"/>
    </xf>
    <xf numFmtId="0" fontId="27" fillId="17" borderId="0" applyNumberFormat="0" applyBorder="0" applyAlignment="0" applyProtection="0"/>
    <xf numFmtId="0" fontId="27" fillId="14" borderId="0" applyNumberFormat="0" applyBorder="0" applyAlignment="0" applyProtection="0"/>
    <xf numFmtId="0" fontId="35" fillId="34" borderId="327">
      <alignment horizontal="left" vertical="center" wrapText="1" indent="2"/>
    </xf>
    <xf numFmtId="0" fontId="27" fillId="21" borderId="0" applyNumberFormat="0" applyBorder="0" applyAlignment="0" applyProtection="0"/>
    <xf numFmtId="0" fontId="35" fillId="0" borderId="327">
      <alignment horizontal="left" vertical="center" wrapText="1" indent="2"/>
    </xf>
    <xf numFmtId="0" fontId="27" fillId="15" borderId="0" applyNumberFormat="0" applyBorder="0" applyAlignment="0" applyProtection="0"/>
    <xf numFmtId="0" fontId="35" fillId="0" borderId="341" applyNumberFormat="0" applyFill="0" applyAlignment="0" applyProtection="0"/>
    <xf numFmtId="0" fontId="33" fillId="34" borderId="324">
      <alignment horizontal="right" vertical="center"/>
    </xf>
    <xf numFmtId="4" fontId="33" fillId="34" borderId="342">
      <alignment horizontal="right" vertical="center"/>
    </xf>
    <xf numFmtId="0" fontId="27" fillId="26" borderId="0" applyNumberFormat="0" applyBorder="0" applyAlignment="0" applyProtection="0"/>
    <xf numFmtId="4" fontId="35" fillId="0" borderId="324" applyFill="0" applyBorder="0" applyProtection="0">
      <alignment horizontal="right" vertical="center"/>
    </xf>
    <xf numFmtId="0" fontId="35" fillId="0" borderId="346">
      <alignment horizontal="right" vertical="center"/>
    </xf>
    <xf numFmtId="4" fontId="33" fillId="34" borderId="341">
      <alignment horizontal="right" vertical="center"/>
    </xf>
    <xf numFmtId="0" fontId="66" fillId="0" borderId="322" applyNumberFormat="0" applyFill="0" applyAlignment="0" applyProtection="0"/>
    <xf numFmtId="0" fontId="63" fillId="56" borderId="328" applyNumberFormat="0" applyAlignment="0" applyProtection="0"/>
    <xf numFmtId="0" fontId="46" fillId="56" borderId="338" applyNumberFormat="0" applyAlignment="0" applyProtection="0"/>
    <xf numFmtId="0" fontId="51" fillId="0" borderId="322" applyNumberFormat="0" applyFill="0" applyAlignment="0" applyProtection="0"/>
    <xf numFmtId="0" fontId="27" fillId="26" borderId="0" applyNumberFormat="0" applyBorder="0" applyAlignment="0" applyProtection="0"/>
    <xf numFmtId="0" fontId="33" fillId="32" borderId="324">
      <alignment horizontal="right" vertical="center"/>
    </xf>
    <xf numFmtId="0" fontId="50" fillId="43" borderId="338" applyNumberFormat="0" applyAlignment="0" applyProtection="0"/>
    <xf numFmtId="0" fontId="27" fillId="17" borderId="0" applyNumberFormat="0" applyBorder="0" applyAlignment="0" applyProtection="0"/>
    <xf numFmtId="0" fontId="41" fillId="59" borderId="340" applyNumberFormat="0" applyFont="0" applyAlignment="0" applyProtection="0"/>
    <xf numFmtId="0" fontId="59" fillId="43" borderId="321" applyNumberFormat="0" applyAlignment="0" applyProtection="0"/>
    <xf numFmtId="0" fontId="66" fillId="0" borderId="352" applyNumberFormat="0" applyFill="0" applyAlignment="0" applyProtection="0"/>
    <xf numFmtId="4" fontId="35" fillId="0" borderId="333" applyFill="0" applyBorder="0" applyProtection="0">
      <alignment horizontal="right" vertical="center"/>
    </xf>
    <xf numFmtId="0" fontId="59" fillId="43" borderId="321" applyNumberFormat="0" applyAlignment="0" applyProtection="0"/>
    <xf numFmtId="0" fontId="33" fillId="34" borderId="342">
      <alignment horizontal="right" vertical="center"/>
    </xf>
    <xf numFmtId="0" fontId="35" fillId="34" borderId="349">
      <alignment horizontal="left" vertical="center" wrapText="1" indent="2"/>
    </xf>
    <xf numFmtId="0" fontId="35" fillId="33" borderId="324"/>
    <xf numFmtId="0" fontId="35" fillId="32" borderId="334">
      <alignment horizontal="left" vertical="center"/>
    </xf>
    <xf numFmtId="0" fontId="35" fillId="33" borderId="333"/>
    <xf numFmtId="0" fontId="35" fillId="0" borderId="344">
      <alignment horizontal="left" vertical="center" wrapText="1" indent="2"/>
    </xf>
    <xf numFmtId="0" fontId="35" fillId="34" borderId="344">
      <alignment horizontal="left" vertical="center" wrapText="1" indent="2"/>
    </xf>
    <xf numFmtId="0" fontId="35" fillId="34" borderId="327">
      <alignment horizontal="left" vertical="center" wrapText="1" indent="2"/>
    </xf>
    <xf numFmtId="173" fontId="35" fillId="60" borderId="341" applyNumberFormat="0" applyFont="0" applyBorder="0" applyAlignment="0" applyProtection="0">
      <alignment horizontal="right" vertical="center"/>
    </xf>
    <xf numFmtId="4" fontId="33" fillId="34" borderId="324">
      <alignment horizontal="right" vertical="center"/>
    </xf>
    <xf numFmtId="0" fontId="33" fillId="34" borderId="343">
      <alignment horizontal="right" vertical="center"/>
    </xf>
    <xf numFmtId="0" fontId="29" fillId="13" borderId="14" applyNumberFormat="0" applyAlignment="0" applyProtection="0"/>
    <xf numFmtId="4" fontId="33" fillId="34" borderId="341">
      <alignment horizontal="right" vertical="center"/>
    </xf>
    <xf numFmtId="0" fontId="5" fillId="59" borderId="323" applyNumberFormat="0" applyFont="0" applyAlignment="0" applyProtection="0"/>
    <xf numFmtId="4" fontId="37" fillId="32" borderId="324">
      <alignment horizontal="right" vertical="center"/>
    </xf>
    <xf numFmtId="0" fontId="31" fillId="0" borderId="0" applyNumberFormat="0" applyFill="0" applyBorder="0" applyAlignment="0" applyProtection="0"/>
    <xf numFmtId="0" fontId="59" fillId="43" borderId="321" applyNumberFormat="0" applyAlignment="0" applyProtection="0"/>
    <xf numFmtId="4" fontId="33" fillId="34" borderId="326">
      <alignment horizontal="right" vertical="center"/>
    </xf>
    <xf numFmtId="0" fontId="63" fillId="56" borderId="328" applyNumberFormat="0" applyAlignment="0" applyProtection="0"/>
    <xf numFmtId="0" fontId="31" fillId="0" borderId="0" applyNumberFormat="0" applyFill="0" applyBorder="0" applyAlignment="0" applyProtection="0"/>
    <xf numFmtId="0" fontId="41" fillId="59" borderId="323" applyNumberFormat="0" applyFont="0" applyAlignment="0" applyProtection="0"/>
    <xf numFmtId="0" fontId="66" fillId="0" borderId="322" applyNumberFormat="0" applyFill="0" applyAlignment="0" applyProtection="0"/>
    <xf numFmtId="0" fontId="33" fillId="34" borderId="324">
      <alignment horizontal="right" vertical="center"/>
    </xf>
    <xf numFmtId="0" fontId="33" fillId="34" borderId="333">
      <alignment horizontal="right" vertical="center"/>
    </xf>
    <xf numFmtId="0" fontId="33" fillId="34" borderId="326">
      <alignment horizontal="right" vertical="center"/>
    </xf>
    <xf numFmtId="0" fontId="50" fillId="43" borderId="321" applyNumberFormat="0" applyAlignment="0" applyProtection="0"/>
    <xf numFmtId="0" fontId="37" fillId="32" borderId="324">
      <alignment horizontal="right" vertical="center"/>
    </xf>
    <xf numFmtId="0" fontId="12" fillId="31" borderId="0" applyNumberFormat="0" applyBorder="0" applyAlignment="0" applyProtection="0"/>
    <xf numFmtId="0" fontId="35" fillId="34" borderId="344">
      <alignment horizontal="left" vertical="center" wrapText="1" indent="2"/>
    </xf>
    <xf numFmtId="0" fontId="33" fillId="32" borderId="324">
      <alignment horizontal="right" vertical="center"/>
    </xf>
    <xf numFmtId="0" fontId="33" fillId="34" borderId="343">
      <alignment horizontal="right" vertical="center"/>
    </xf>
    <xf numFmtId="4" fontId="33" fillId="34" borderId="324">
      <alignment horizontal="right" vertical="center"/>
    </xf>
    <xf numFmtId="0" fontId="47" fillId="56" borderId="321" applyNumberFormat="0" applyAlignment="0" applyProtection="0"/>
    <xf numFmtId="0" fontId="66" fillId="0" borderId="322" applyNumberFormat="0" applyFill="0" applyAlignment="0" applyProtection="0"/>
    <xf numFmtId="4" fontId="33" fillId="34" borderId="341">
      <alignment horizontal="right" vertical="center"/>
    </xf>
    <xf numFmtId="4" fontId="33" fillId="34" borderId="333">
      <alignment horizontal="right" vertical="center"/>
    </xf>
    <xf numFmtId="0" fontId="35" fillId="0" borderId="341">
      <alignment horizontal="right" vertical="center"/>
    </xf>
    <xf numFmtId="0" fontId="59" fillId="43" borderId="321" applyNumberFormat="0" applyAlignment="0" applyProtection="0"/>
    <xf numFmtId="4" fontId="33" fillId="34" borderId="325">
      <alignment horizontal="right" vertical="center"/>
    </xf>
    <xf numFmtId="0" fontId="59" fillId="43" borderId="321" applyNumberFormat="0" applyAlignment="0" applyProtection="0"/>
    <xf numFmtId="4" fontId="35" fillId="33" borderId="324"/>
    <xf numFmtId="0" fontId="12" fillId="28" borderId="0" applyNumberFormat="0" applyBorder="0" applyAlignment="0" applyProtection="0"/>
    <xf numFmtId="0" fontId="59" fillId="43" borderId="330" applyNumberFormat="0" applyAlignment="0" applyProtection="0"/>
    <xf numFmtId="0" fontId="27" fillId="29" borderId="0" applyNumberFormat="0" applyBorder="0" applyAlignment="0" applyProtection="0"/>
    <xf numFmtId="0" fontId="33" fillId="34" borderId="334">
      <alignment horizontal="right" vertical="center"/>
    </xf>
    <xf numFmtId="0" fontId="27" fillId="26" borderId="0" applyNumberFormat="0" applyBorder="0" applyAlignment="0" applyProtection="0"/>
    <xf numFmtId="0" fontId="12" fillId="16" borderId="0" applyNumberFormat="0" applyBorder="0" applyAlignment="0" applyProtection="0"/>
    <xf numFmtId="4" fontId="35" fillId="33" borderId="324"/>
    <xf numFmtId="0" fontId="35" fillId="0" borderId="324">
      <alignment horizontal="right" vertical="center"/>
    </xf>
    <xf numFmtId="4" fontId="35" fillId="33" borderId="324"/>
    <xf numFmtId="0" fontId="51" fillId="0" borderId="352" applyNumberFormat="0" applyFill="0" applyAlignment="0" applyProtection="0"/>
    <xf numFmtId="4" fontId="33" fillId="34" borderId="324">
      <alignment horizontal="right" vertical="center"/>
    </xf>
    <xf numFmtId="4" fontId="33" fillId="34" borderId="326">
      <alignment horizontal="right" vertical="center"/>
    </xf>
    <xf numFmtId="0" fontId="27" fillId="20" borderId="0" applyNumberFormat="0" applyBorder="0" applyAlignment="0" applyProtection="0"/>
    <xf numFmtId="0" fontId="51" fillId="0" borderId="322" applyNumberFormat="0" applyFill="0" applyAlignment="0" applyProtection="0"/>
    <xf numFmtId="0" fontId="51" fillId="0" borderId="339" applyNumberFormat="0" applyFill="0" applyAlignment="0" applyProtection="0"/>
    <xf numFmtId="0" fontId="33" fillId="34" borderId="325">
      <alignment horizontal="right" vertical="center"/>
    </xf>
    <xf numFmtId="0" fontId="33" fillId="34" borderId="346">
      <alignment horizontal="right" vertical="center"/>
    </xf>
    <xf numFmtId="4" fontId="33" fillId="34" borderId="341">
      <alignment horizontal="right" vertical="center"/>
    </xf>
    <xf numFmtId="0" fontId="27" fillId="14" borderId="0" applyNumberFormat="0" applyBorder="0" applyAlignment="0" applyProtection="0"/>
    <xf numFmtId="0" fontId="35" fillId="34" borderId="344">
      <alignment horizontal="left" vertical="center" wrapText="1" indent="2"/>
    </xf>
    <xf numFmtId="49" fontId="35" fillId="0" borderId="333" applyNumberFormat="0" applyFont="0" applyFill="0" applyBorder="0" applyProtection="0">
      <alignment horizontal="left" vertical="center" indent="2"/>
    </xf>
    <xf numFmtId="4" fontId="37" fillId="32" borderId="324">
      <alignment horizontal="right" vertical="center"/>
    </xf>
    <xf numFmtId="0" fontId="37" fillId="32" borderId="341">
      <alignment horizontal="right" vertical="center"/>
    </xf>
    <xf numFmtId="0" fontId="35" fillId="0" borderId="336">
      <alignment horizontal="left" vertical="center" wrapText="1" indent="2"/>
    </xf>
    <xf numFmtId="0" fontId="2" fillId="0" borderId="15" applyNumberFormat="0" applyFill="0" applyAlignment="0" applyProtection="0"/>
    <xf numFmtId="4" fontId="35" fillId="0" borderId="324" applyFill="0" applyBorder="0" applyProtection="0">
      <alignment horizontal="right" vertical="center"/>
    </xf>
    <xf numFmtId="0" fontId="35" fillId="33" borderId="341"/>
    <xf numFmtId="0" fontId="46" fillId="56" borderId="321" applyNumberFormat="0" applyAlignment="0" applyProtection="0"/>
    <xf numFmtId="0" fontId="33" fillId="34" borderId="326">
      <alignment horizontal="right" vertical="center"/>
    </xf>
    <xf numFmtId="0" fontId="27" fillId="27" borderId="0" applyNumberFormat="0" applyBorder="0" applyAlignment="0" applyProtection="0"/>
    <xf numFmtId="4" fontId="35" fillId="0" borderId="341">
      <alignment horizontal="right" vertical="center"/>
    </xf>
    <xf numFmtId="0" fontId="27" fillId="29" borderId="0" applyNumberFormat="0" applyBorder="0" applyAlignment="0" applyProtection="0"/>
    <xf numFmtId="0" fontId="33" fillId="34" borderId="343">
      <alignment horizontal="right" vertical="center"/>
    </xf>
    <xf numFmtId="0" fontId="63" fillId="56" borderId="328" applyNumberFormat="0" applyAlignment="0" applyProtection="0"/>
    <xf numFmtId="4" fontId="37" fillId="32" borderId="324">
      <alignment horizontal="right" vertical="center"/>
    </xf>
    <xf numFmtId="4" fontId="33" fillId="34" borderId="324">
      <alignment horizontal="right" vertical="center"/>
    </xf>
    <xf numFmtId="0" fontId="27" fillId="15" borderId="0" applyNumberFormat="0" applyBorder="0" applyAlignment="0" applyProtection="0"/>
    <xf numFmtId="0" fontId="50" fillId="43" borderId="321" applyNumberFormat="0" applyAlignment="0" applyProtection="0"/>
    <xf numFmtId="49" fontId="35" fillId="0" borderId="324" applyNumberFormat="0" applyFont="0" applyFill="0" applyBorder="0" applyProtection="0">
      <alignment horizontal="left" vertical="center" indent="2"/>
    </xf>
    <xf numFmtId="0" fontId="1" fillId="0" borderId="0" applyNumberFormat="0" applyFill="0" applyBorder="0" applyAlignment="0" applyProtection="0"/>
    <xf numFmtId="0" fontId="47" fillId="56" borderId="321" applyNumberFormat="0" applyAlignment="0" applyProtection="0"/>
    <xf numFmtId="0" fontId="30" fillId="13" borderId="13" applyNumberFormat="0" applyAlignment="0" applyProtection="0"/>
    <xf numFmtId="0" fontId="37" fillId="32" borderId="324">
      <alignment horizontal="right" vertical="center"/>
    </xf>
    <xf numFmtId="0" fontId="35" fillId="34" borderId="336">
      <alignment horizontal="left" vertical="center" wrapText="1" indent="2"/>
    </xf>
    <xf numFmtId="0" fontId="35" fillId="0" borderId="341" applyNumberFormat="0" applyFill="0" applyAlignment="0" applyProtection="0"/>
    <xf numFmtId="0" fontId="35" fillId="0" borderId="324" applyNumberFormat="0" applyFill="0" applyAlignment="0" applyProtection="0"/>
    <xf numFmtId="0" fontId="59" fillId="43" borderId="338" applyNumberFormat="0" applyAlignment="0" applyProtection="0"/>
    <xf numFmtId="0" fontId="33" fillId="34" borderId="324">
      <alignment horizontal="right" vertical="center"/>
    </xf>
    <xf numFmtId="4" fontId="33" fillId="34" borderId="324">
      <alignment horizontal="right" vertical="center"/>
    </xf>
    <xf numFmtId="0" fontId="33" fillId="34" borderId="324">
      <alignment horizontal="right" vertical="center"/>
    </xf>
    <xf numFmtId="0" fontId="33" fillId="34" borderId="324">
      <alignment horizontal="right" vertical="center"/>
    </xf>
    <xf numFmtId="0" fontId="41" fillId="59" borderId="340" applyNumberFormat="0" applyFont="0" applyAlignment="0" applyProtection="0"/>
    <xf numFmtId="0" fontId="33" fillId="34" borderId="326">
      <alignment horizontal="right" vertical="center"/>
    </xf>
    <xf numFmtId="0" fontId="50" fillId="43" borderId="338" applyNumberFormat="0" applyAlignment="0" applyProtection="0"/>
    <xf numFmtId="49" fontId="34" fillId="0" borderId="324" applyNumberFormat="0" applyFill="0" applyBorder="0" applyProtection="0">
      <alignment horizontal="left" vertical="center"/>
    </xf>
    <xf numFmtId="0" fontId="47" fillId="56" borderId="321" applyNumberFormat="0" applyAlignment="0" applyProtection="0"/>
    <xf numFmtId="0" fontId="41" fillId="59" borderId="345" applyNumberFormat="0" applyFont="0" applyAlignment="0" applyProtection="0"/>
    <xf numFmtId="0" fontId="27" fillId="24" borderId="0" applyNumberFormat="0" applyBorder="0" applyAlignment="0" applyProtection="0"/>
    <xf numFmtId="0" fontId="27" fillId="17" borderId="0" applyNumberFormat="0" applyBorder="0" applyAlignment="0" applyProtection="0"/>
    <xf numFmtId="4" fontId="33" fillId="34" borderId="324">
      <alignment horizontal="right" vertical="center"/>
    </xf>
    <xf numFmtId="0" fontId="35" fillId="0" borderId="327">
      <alignment horizontal="left" vertical="center" wrapText="1" indent="2"/>
    </xf>
    <xf numFmtId="0" fontId="12" fillId="28" borderId="0" applyNumberFormat="0" applyBorder="0" applyAlignment="0" applyProtection="0"/>
    <xf numFmtId="0" fontId="35" fillId="32" borderId="325">
      <alignment horizontal="left" vertical="center"/>
    </xf>
    <xf numFmtId="0" fontId="35" fillId="34" borderId="327">
      <alignment horizontal="left" vertical="center" wrapText="1" indent="2"/>
    </xf>
    <xf numFmtId="0" fontId="37" fillId="32" borderId="324">
      <alignment horizontal="right" vertical="center"/>
    </xf>
    <xf numFmtId="0" fontId="35" fillId="32" borderId="342">
      <alignment horizontal="left" vertical="center"/>
    </xf>
    <xf numFmtId="0" fontId="51" fillId="0" borderId="352" applyNumberFormat="0" applyFill="0" applyAlignment="0" applyProtection="0"/>
    <xf numFmtId="0" fontId="27" fillId="24" borderId="0" applyNumberFormat="0" applyBorder="0" applyAlignment="0" applyProtection="0"/>
    <xf numFmtId="0" fontId="5" fillId="59" borderId="340" applyNumberFormat="0" applyFont="0" applyAlignment="0" applyProtection="0"/>
    <xf numFmtId="0" fontId="33" fillId="32" borderId="346">
      <alignment horizontal="right" vertical="center"/>
    </xf>
    <xf numFmtId="0" fontId="47" fillId="56" borderId="321" applyNumberFormat="0" applyAlignment="0" applyProtection="0"/>
    <xf numFmtId="0" fontId="27" fillId="14" borderId="0" applyNumberFormat="0" applyBorder="0" applyAlignment="0" applyProtection="0"/>
    <xf numFmtId="0" fontId="41" fillId="59" borderId="323" applyNumberFormat="0" applyFont="0" applyAlignment="0" applyProtection="0"/>
    <xf numFmtId="0" fontId="35" fillId="0" borderId="327">
      <alignment horizontal="left" vertical="center" wrapText="1" indent="2"/>
    </xf>
    <xf numFmtId="0" fontId="59" fillId="43" borderId="321" applyNumberFormat="0" applyAlignment="0" applyProtection="0"/>
    <xf numFmtId="4" fontId="35" fillId="0" borderId="324" applyFill="0" applyBorder="0" applyProtection="0">
      <alignment horizontal="right" vertical="center"/>
    </xf>
    <xf numFmtId="4" fontId="33" fillId="34" borderId="324">
      <alignment horizontal="right" vertical="center"/>
    </xf>
    <xf numFmtId="0" fontId="12" fillId="28" borderId="0" applyNumberFormat="0" applyBorder="0" applyAlignment="0" applyProtection="0"/>
    <xf numFmtId="0" fontId="51" fillId="0" borderId="352" applyNumberFormat="0" applyFill="0" applyAlignment="0" applyProtection="0"/>
    <xf numFmtId="49" fontId="35" fillId="0" borderId="324" applyNumberFormat="0" applyFont="0" applyFill="0" applyBorder="0" applyProtection="0">
      <alignment horizontal="left" vertical="center" indent="2"/>
    </xf>
    <xf numFmtId="0" fontId="35" fillId="0" borderId="336">
      <alignment horizontal="left" vertical="center" wrapText="1" indent="2"/>
    </xf>
    <xf numFmtId="0" fontId="33" fillId="34" borderId="324">
      <alignment horizontal="right" vertical="center"/>
    </xf>
    <xf numFmtId="0" fontId="27" fillId="17" borderId="0" applyNumberFormat="0" applyBorder="0" applyAlignment="0" applyProtection="0"/>
    <xf numFmtId="0" fontId="27" fillId="23" borderId="0" applyNumberFormat="0" applyBorder="0" applyAlignment="0" applyProtection="0"/>
    <xf numFmtId="0" fontId="47" fillId="56" borderId="321" applyNumberFormat="0" applyAlignment="0" applyProtection="0"/>
    <xf numFmtId="0" fontId="29" fillId="13" borderId="14" applyNumberFormat="0" applyAlignment="0" applyProtection="0"/>
    <xf numFmtId="0" fontId="66" fillId="0" borderId="352" applyNumberFormat="0" applyFill="0" applyAlignment="0" applyProtection="0"/>
    <xf numFmtId="4" fontId="33" fillId="34" borderId="347">
      <alignment horizontal="right" vertical="center"/>
    </xf>
    <xf numFmtId="0" fontId="47" fillId="56" borderId="330" applyNumberFormat="0" applyAlignment="0" applyProtection="0"/>
    <xf numFmtId="0" fontId="12" fillId="25" borderId="0" applyNumberFormat="0" applyBorder="0" applyAlignment="0" applyProtection="0"/>
    <xf numFmtId="0" fontId="35" fillId="32" borderId="347">
      <alignment horizontal="left" vertical="center"/>
    </xf>
    <xf numFmtId="0" fontId="66" fillId="0" borderId="322" applyNumberFormat="0" applyFill="0" applyAlignment="0" applyProtection="0"/>
    <xf numFmtId="0" fontId="46" fillId="56" borderId="338" applyNumberFormat="0" applyAlignment="0" applyProtection="0"/>
    <xf numFmtId="4" fontId="33" fillId="34" borderId="335">
      <alignment horizontal="right" vertical="center"/>
    </xf>
    <xf numFmtId="0" fontId="47" fillId="56" borderId="338" applyNumberFormat="0" applyAlignment="0" applyProtection="0"/>
    <xf numFmtId="4" fontId="33" fillId="34" borderId="326">
      <alignment horizontal="right" vertical="center"/>
    </xf>
    <xf numFmtId="4" fontId="37" fillId="32" borderId="324">
      <alignment horizontal="right" vertical="center"/>
    </xf>
    <xf numFmtId="0" fontId="47" fillId="56" borderId="330" applyNumberFormat="0" applyAlignment="0" applyProtection="0"/>
    <xf numFmtId="0" fontId="27" fillId="27" borderId="0" applyNumberFormat="0" applyBorder="0" applyAlignment="0" applyProtection="0"/>
    <xf numFmtId="0" fontId="63" fillId="56" borderId="328" applyNumberFormat="0" applyAlignment="0" applyProtection="0"/>
    <xf numFmtId="0" fontId="35" fillId="34" borderId="349">
      <alignment horizontal="left" vertical="center" wrapText="1" indent="2"/>
    </xf>
    <xf numFmtId="4" fontId="33" fillId="34" borderId="326">
      <alignment horizontal="right" vertical="center"/>
    </xf>
    <xf numFmtId="4" fontId="35" fillId="0" borderId="346">
      <alignment horizontal="right" vertical="center"/>
    </xf>
    <xf numFmtId="0" fontId="35" fillId="33" borderId="341"/>
    <xf numFmtId="0" fontId="35" fillId="34" borderId="327">
      <alignment horizontal="left" vertical="center" wrapText="1" indent="2"/>
    </xf>
    <xf numFmtId="0" fontId="27" fillId="24" borderId="0" applyNumberFormat="0" applyBorder="0" applyAlignment="0" applyProtection="0"/>
    <xf numFmtId="4" fontId="37" fillId="32" borderId="346">
      <alignment horizontal="right" vertical="center"/>
    </xf>
    <xf numFmtId="0" fontId="59" fillId="43" borderId="330" applyNumberFormat="0" applyAlignment="0" applyProtection="0"/>
    <xf numFmtId="0" fontId="50" fillId="43" borderId="321" applyNumberFormat="0" applyAlignment="0" applyProtection="0"/>
    <xf numFmtId="0" fontId="33" fillId="34" borderId="324">
      <alignment horizontal="right" vertical="center"/>
    </xf>
    <xf numFmtId="49" fontId="35" fillId="0" borderId="341" applyNumberFormat="0" applyFont="0" applyFill="0" applyBorder="0" applyProtection="0">
      <alignment horizontal="left" vertical="center" indent="2"/>
    </xf>
    <xf numFmtId="0" fontId="33" fillId="34" borderId="343">
      <alignment horizontal="right" vertical="center"/>
    </xf>
    <xf numFmtId="0" fontId="33" fillId="34" borderId="326">
      <alignment horizontal="right" vertical="center"/>
    </xf>
    <xf numFmtId="0" fontId="59" fillId="43" borderId="351" applyNumberFormat="0" applyAlignment="0" applyProtection="0"/>
    <xf numFmtId="0" fontId="46" fillId="56" borderId="321" applyNumberFormat="0" applyAlignment="0" applyProtection="0"/>
    <xf numFmtId="0" fontId="27" fillId="20" borderId="0" applyNumberFormat="0" applyBorder="0" applyAlignment="0" applyProtection="0"/>
    <xf numFmtId="49" fontId="35" fillId="0" borderId="324" applyNumberFormat="0" applyFont="0" applyFill="0" applyBorder="0" applyProtection="0">
      <alignment horizontal="left" vertical="center" indent="2"/>
    </xf>
    <xf numFmtId="0" fontId="47" fillId="56" borderId="321" applyNumberFormat="0" applyAlignment="0" applyProtection="0"/>
    <xf numFmtId="0" fontId="31" fillId="0" borderId="0" applyNumberFormat="0" applyFill="0" applyBorder="0" applyAlignment="0" applyProtection="0"/>
    <xf numFmtId="0" fontId="35" fillId="0" borderId="324">
      <alignment horizontal="right" vertical="center"/>
    </xf>
    <xf numFmtId="0" fontId="63" fillId="56" borderId="350" applyNumberFormat="0" applyAlignment="0" applyProtection="0"/>
    <xf numFmtId="0" fontId="51" fillId="0" borderId="339" applyNumberFormat="0" applyFill="0" applyAlignment="0" applyProtection="0"/>
    <xf numFmtId="4" fontId="35" fillId="0" borderId="324">
      <alignment horizontal="right" vertical="center"/>
    </xf>
    <xf numFmtId="0" fontId="33" fillId="32" borderId="324">
      <alignment horizontal="right" vertical="center"/>
    </xf>
    <xf numFmtId="0" fontId="66" fillId="0" borderId="322" applyNumberFormat="0" applyFill="0" applyAlignment="0" applyProtection="0"/>
    <xf numFmtId="0" fontId="1" fillId="0" borderId="0" applyNumberFormat="0" applyFill="0" applyBorder="0" applyAlignment="0" applyProtection="0"/>
    <xf numFmtId="0" fontId="66" fillId="0" borderId="339" applyNumberFormat="0" applyFill="0" applyAlignment="0" applyProtection="0"/>
    <xf numFmtId="4" fontId="35" fillId="0" borderId="324" applyFill="0" applyBorder="0" applyProtection="0">
      <alignment horizontal="right" vertical="center"/>
    </xf>
    <xf numFmtId="0" fontId="63" fillId="56" borderId="328" applyNumberFormat="0" applyAlignment="0" applyProtection="0"/>
    <xf numFmtId="0" fontId="46" fillId="56" borderId="321" applyNumberFormat="0" applyAlignment="0" applyProtection="0"/>
    <xf numFmtId="4" fontId="35" fillId="33" borderId="324"/>
    <xf numFmtId="4" fontId="37" fillId="32" borderId="324">
      <alignment horizontal="right" vertical="center"/>
    </xf>
    <xf numFmtId="0" fontId="27" fillId="18" borderId="0" applyNumberFormat="0" applyBorder="0" applyAlignment="0" applyProtection="0"/>
    <xf numFmtId="4" fontId="37" fillId="32" borderId="324">
      <alignment horizontal="right" vertical="center"/>
    </xf>
    <xf numFmtId="0" fontId="59" fillId="43" borderId="321" applyNumberFormat="0" applyAlignment="0" applyProtection="0"/>
    <xf numFmtId="0" fontId="35" fillId="0" borderId="341">
      <alignment horizontal="right" vertical="center"/>
    </xf>
    <xf numFmtId="49" fontId="35" fillId="0" borderId="342" applyNumberFormat="0" applyFont="0" applyFill="0" applyBorder="0" applyProtection="0">
      <alignment horizontal="left" vertical="center" indent="5"/>
    </xf>
    <xf numFmtId="0" fontId="33" fillId="32" borderId="341">
      <alignment horizontal="right" vertical="center"/>
    </xf>
    <xf numFmtId="0" fontId="33" fillId="34" borderId="341">
      <alignment horizontal="right" vertical="center"/>
    </xf>
    <xf numFmtId="0" fontId="41" fillId="59" borderId="323" applyNumberFormat="0" applyFont="0" applyAlignment="0" applyProtection="0"/>
    <xf numFmtId="0" fontId="2" fillId="0" borderId="15" applyNumberFormat="0" applyFill="0" applyAlignment="0" applyProtection="0"/>
    <xf numFmtId="0" fontId="27" fillId="21" borderId="0" applyNumberFormat="0" applyBorder="0" applyAlignment="0" applyProtection="0"/>
    <xf numFmtId="0" fontId="35" fillId="0" borderId="336">
      <alignment horizontal="left" vertical="center" wrapText="1" indent="2"/>
    </xf>
    <xf numFmtId="0" fontId="27" fillId="29" borderId="0" applyNumberFormat="0" applyBorder="0" applyAlignment="0" applyProtection="0"/>
    <xf numFmtId="0" fontId="33" fillId="32" borderId="324">
      <alignment horizontal="right" vertical="center"/>
    </xf>
    <xf numFmtId="0" fontId="35" fillId="32" borderId="347">
      <alignment horizontal="left" vertical="center"/>
    </xf>
    <xf numFmtId="0" fontId="51" fillId="0" borderId="322" applyNumberFormat="0" applyFill="0" applyAlignment="0" applyProtection="0"/>
    <xf numFmtId="0" fontId="35" fillId="0" borderId="344">
      <alignment horizontal="left" vertical="center" wrapText="1" indent="2"/>
    </xf>
    <xf numFmtId="0" fontId="59" fillId="43" borderId="321" applyNumberFormat="0" applyAlignment="0" applyProtection="0"/>
    <xf numFmtId="0" fontId="46" fillId="56" borderId="321" applyNumberFormat="0" applyAlignment="0" applyProtection="0"/>
    <xf numFmtId="0" fontId="35" fillId="33" borderId="341"/>
    <xf numFmtId="0" fontId="27" fillId="26" borderId="0" applyNumberFormat="0" applyBorder="0" applyAlignment="0" applyProtection="0"/>
    <xf numFmtId="0" fontId="35" fillId="0" borderId="341" applyNumberFormat="0" applyFill="0" applyAlignment="0" applyProtection="0"/>
    <xf numFmtId="0" fontId="47" fillId="56" borderId="351" applyNumberFormat="0" applyAlignment="0" applyProtection="0"/>
    <xf numFmtId="0" fontId="59" fillId="43" borderId="321" applyNumberFormat="0" applyAlignment="0" applyProtection="0"/>
    <xf numFmtId="0" fontId="35" fillId="0" borderId="341" applyNumberFormat="0" applyFill="0" applyAlignment="0" applyProtection="0"/>
    <xf numFmtId="0" fontId="35" fillId="0" borderId="344">
      <alignment horizontal="left" vertical="center" wrapText="1" indent="2"/>
    </xf>
    <xf numFmtId="0" fontId="66" fillId="0" borderId="322" applyNumberFormat="0" applyFill="0" applyAlignment="0" applyProtection="0"/>
    <xf numFmtId="0" fontId="5" fillId="59" borderId="323" applyNumberFormat="0" applyFont="0" applyAlignment="0" applyProtection="0"/>
    <xf numFmtId="4" fontId="35" fillId="0" borderId="346" applyFill="0" applyBorder="0" applyProtection="0">
      <alignment horizontal="right" vertical="center"/>
    </xf>
    <xf numFmtId="0" fontId="66" fillId="0" borderId="322" applyNumberFormat="0" applyFill="0" applyAlignment="0" applyProtection="0"/>
    <xf numFmtId="0" fontId="12" fillId="31" borderId="0" applyNumberFormat="0" applyBorder="0" applyAlignment="0" applyProtection="0"/>
    <xf numFmtId="0" fontId="27" fillId="26" borderId="0" applyNumberFormat="0" applyBorder="0" applyAlignment="0" applyProtection="0"/>
    <xf numFmtId="0" fontId="63" fillId="56" borderId="328" applyNumberFormat="0" applyAlignment="0" applyProtection="0"/>
    <xf numFmtId="0" fontId="33" fillId="34" borderId="324">
      <alignment horizontal="right" vertical="center"/>
    </xf>
    <xf numFmtId="0" fontId="35" fillId="0" borderId="327">
      <alignment horizontal="left" vertical="center" wrapText="1" indent="2"/>
    </xf>
    <xf numFmtId="0" fontId="66" fillId="0" borderId="339" applyNumberFormat="0" applyFill="0" applyAlignment="0" applyProtection="0"/>
    <xf numFmtId="0" fontId="59" fillId="43" borderId="351" applyNumberFormat="0" applyAlignment="0" applyProtection="0"/>
    <xf numFmtId="0" fontId="44" fillId="56" borderId="328" applyNumberFormat="0" applyAlignment="0" applyProtection="0"/>
    <xf numFmtId="0" fontId="33" fillId="34" borderId="324">
      <alignment horizontal="right" vertical="center"/>
    </xf>
    <xf numFmtId="0" fontId="12" fillId="25" borderId="0" applyNumberFormat="0" applyBorder="0" applyAlignment="0" applyProtection="0"/>
    <xf numFmtId="0" fontId="47" fillId="56" borderId="321" applyNumberFormat="0" applyAlignment="0" applyProtection="0"/>
    <xf numFmtId="0" fontId="66" fillId="0" borderId="322" applyNumberFormat="0" applyFill="0" applyAlignment="0" applyProtection="0"/>
    <xf numFmtId="4" fontId="35" fillId="33" borderId="324"/>
    <xf numFmtId="0" fontId="37" fillId="32" borderId="333">
      <alignment horizontal="right" vertical="center"/>
    </xf>
    <xf numFmtId="0" fontId="59" fillId="43" borderId="351" applyNumberFormat="0" applyAlignment="0" applyProtection="0"/>
    <xf numFmtId="0" fontId="44" fillId="56" borderId="328" applyNumberFormat="0" applyAlignment="0" applyProtection="0"/>
    <xf numFmtId="0" fontId="30" fillId="13" borderId="13" applyNumberFormat="0" applyAlignment="0" applyProtection="0"/>
    <xf numFmtId="0" fontId="47" fillId="56" borderId="338" applyNumberFormat="0" applyAlignment="0" applyProtection="0"/>
    <xf numFmtId="0" fontId="41" fillId="59" borderId="340" applyNumberFormat="0" applyFont="0" applyAlignment="0" applyProtection="0"/>
    <xf numFmtId="0" fontId="35" fillId="32" borderId="325">
      <alignment horizontal="left" vertical="center"/>
    </xf>
    <xf numFmtId="4" fontId="35" fillId="0" borderId="341" applyFill="0" applyBorder="0" applyProtection="0">
      <alignment horizontal="right" vertical="center"/>
    </xf>
    <xf numFmtId="0" fontId="66" fillId="0" borderId="352" applyNumberFormat="0" applyFill="0" applyAlignment="0" applyProtection="0"/>
    <xf numFmtId="0" fontId="27" fillId="30" borderId="0" applyNumberFormat="0" applyBorder="0" applyAlignment="0" applyProtection="0"/>
    <xf numFmtId="0" fontId="27" fillId="18" borderId="0" applyNumberFormat="0" applyBorder="0" applyAlignment="0" applyProtection="0"/>
    <xf numFmtId="0" fontId="66" fillId="0" borderId="352" applyNumberFormat="0" applyFill="0" applyAlignment="0" applyProtection="0"/>
    <xf numFmtId="0" fontId="33" fillId="34" borderId="341">
      <alignment horizontal="right" vertical="center"/>
    </xf>
    <xf numFmtId="0" fontId="12" fillId="22" borderId="0" applyNumberFormat="0" applyBorder="0" applyAlignment="0" applyProtection="0"/>
    <xf numFmtId="0" fontId="50" fillId="43" borderId="321" applyNumberFormat="0" applyAlignment="0" applyProtection="0"/>
    <xf numFmtId="4" fontId="33" fillId="34" borderId="347">
      <alignment horizontal="right" vertical="center"/>
    </xf>
    <xf numFmtId="0" fontId="27" fillId="27" borderId="0" applyNumberFormat="0" applyBorder="0" applyAlignment="0" applyProtection="0"/>
    <xf numFmtId="0" fontId="33" fillId="34" borderId="342">
      <alignment horizontal="right" vertical="center"/>
    </xf>
    <xf numFmtId="49" fontId="34" fillId="0" borderId="341" applyNumberFormat="0" applyFill="0" applyBorder="0" applyProtection="0">
      <alignment horizontal="left" vertical="center"/>
    </xf>
    <xf numFmtId="0" fontId="33" fillId="34" borderId="341">
      <alignment horizontal="right" vertical="center"/>
    </xf>
    <xf numFmtId="4" fontId="35" fillId="33" borderId="341"/>
    <xf numFmtId="0" fontId="27" fillId="24" borderId="0" applyNumberFormat="0" applyBorder="0" applyAlignment="0" applyProtection="0"/>
    <xf numFmtId="4" fontId="33" fillId="34" borderId="325">
      <alignment horizontal="right" vertical="center"/>
    </xf>
    <xf numFmtId="0" fontId="31" fillId="0" borderId="0" applyNumberFormat="0" applyFill="0" applyBorder="0" applyAlignment="0" applyProtection="0"/>
    <xf numFmtId="0" fontId="63" fillId="56" borderId="328" applyNumberFormat="0" applyAlignment="0" applyProtection="0"/>
    <xf numFmtId="0" fontId="41" fillId="59" borderId="323" applyNumberFormat="0" applyFont="0" applyAlignment="0" applyProtection="0"/>
    <xf numFmtId="0" fontId="27" fillId="20" borderId="0" applyNumberFormat="0" applyBorder="0" applyAlignment="0" applyProtection="0"/>
    <xf numFmtId="0" fontId="51" fillId="0" borderId="352" applyNumberFormat="0" applyFill="0" applyAlignment="0" applyProtection="0"/>
    <xf numFmtId="4" fontId="33" fillId="34" borderId="341">
      <alignment horizontal="right" vertical="center"/>
    </xf>
    <xf numFmtId="0" fontId="12" fillId="19" borderId="0" applyNumberFormat="0" applyBorder="0" applyAlignment="0" applyProtection="0"/>
    <xf numFmtId="0" fontId="33" fillId="34" borderId="324">
      <alignment horizontal="right" vertical="center"/>
    </xf>
    <xf numFmtId="0" fontId="41" fillId="59" borderId="323" applyNumberFormat="0" applyFont="0" applyAlignment="0" applyProtection="0"/>
    <xf numFmtId="0" fontId="27" fillId="17" borderId="0" applyNumberFormat="0" applyBorder="0" applyAlignment="0" applyProtection="0"/>
    <xf numFmtId="49" fontId="35" fillId="0" borderId="324" applyNumberFormat="0" applyFont="0" applyFill="0" applyBorder="0" applyProtection="0">
      <alignment horizontal="left" vertical="center" indent="2"/>
    </xf>
    <xf numFmtId="0" fontId="46" fillId="56" borderId="321" applyNumberFormat="0" applyAlignment="0" applyProtection="0"/>
    <xf numFmtId="0" fontId="33" fillId="34" borderId="347">
      <alignment horizontal="right" vertical="center"/>
    </xf>
    <xf numFmtId="0" fontId="51" fillId="0" borderId="322" applyNumberFormat="0" applyFill="0" applyAlignment="0" applyProtection="0"/>
    <xf numFmtId="0" fontId="12" fillId="22" borderId="0" applyNumberFormat="0" applyBorder="0" applyAlignment="0" applyProtection="0"/>
    <xf numFmtId="0" fontId="63" fillId="56" borderId="329" applyNumberFormat="0" applyAlignment="0" applyProtection="0"/>
    <xf numFmtId="173" fontId="35" fillId="60" borderId="324" applyNumberFormat="0" applyFont="0" applyBorder="0" applyAlignment="0" applyProtection="0">
      <alignment horizontal="right" vertical="center"/>
    </xf>
    <xf numFmtId="49" fontId="35" fillId="0" borderId="324" applyNumberFormat="0" applyFont="0" applyFill="0" applyBorder="0" applyProtection="0">
      <alignment horizontal="left" vertical="center" indent="2"/>
    </xf>
    <xf numFmtId="49" fontId="34" fillId="0" borderId="346" applyNumberFormat="0" applyFill="0" applyBorder="0" applyProtection="0">
      <alignment horizontal="left" vertical="center"/>
    </xf>
    <xf numFmtId="0" fontId="46" fillId="56" borderId="330" applyNumberFormat="0" applyAlignment="0" applyProtection="0"/>
    <xf numFmtId="4" fontId="33" fillId="32" borderId="324">
      <alignment horizontal="right" vertical="center"/>
    </xf>
    <xf numFmtId="0" fontId="33" fillId="34" borderId="341">
      <alignment horizontal="right" vertical="center"/>
    </xf>
    <xf numFmtId="0" fontId="59" fillId="43" borderId="338" applyNumberFormat="0" applyAlignment="0" applyProtection="0"/>
    <xf numFmtId="0" fontId="33" fillId="34" borderId="324">
      <alignment horizontal="right" vertical="center"/>
    </xf>
    <xf numFmtId="0" fontId="63" fillId="56" borderId="337" applyNumberFormat="0" applyAlignment="0" applyProtection="0"/>
    <xf numFmtId="0" fontId="66" fillId="0" borderId="322" applyNumberFormat="0" applyFill="0" applyAlignment="0" applyProtection="0"/>
    <xf numFmtId="0" fontId="27" fillId="30" borderId="0" applyNumberFormat="0" applyBorder="0" applyAlignment="0" applyProtection="0"/>
    <xf numFmtId="0" fontId="12" fillId="19" borderId="0" applyNumberFormat="0" applyBorder="0" applyAlignment="0" applyProtection="0"/>
    <xf numFmtId="0" fontId="47" fillId="56" borderId="330" applyNumberFormat="0" applyAlignment="0" applyProtection="0"/>
    <xf numFmtId="0" fontId="35" fillId="32" borderId="325">
      <alignment horizontal="left" vertical="center"/>
    </xf>
    <xf numFmtId="4" fontId="33" fillId="32" borderId="346">
      <alignment horizontal="right" vertical="center"/>
    </xf>
    <xf numFmtId="4" fontId="35" fillId="0" borderId="324">
      <alignment horizontal="right" vertical="center"/>
    </xf>
    <xf numFmtId="4" fontId="33" fillId="32" borderId="324">
      <alignment horizontal="right" vertical="center"/>
    </xf>
    <xf numFmtId="49" fontId="35" fillId="0" borderId="334" applyNumberFormat="0" applyFont="0" applyFill="0" applyBorder="0" applyProtection="0">
      <alignment horizontal="left" vertical="center" indent="5"/>
    </xf>
    <xf numFmtId="0" fontId="33" fillId="34" borderId="346">
      <alignment horizontal="right" vertical="center"/>
    </xf>
    <xf numFmtId="0" fontId="59" fillId="43" borderId="321" applyNumberFormat="0" applyAlignment="0" applyProtection="0"/>
    <xf numFmtId="0" fontId="59" fillId="43" borderId="321" applyNumberFormat="0" applyAlignment="0" applyProtection="0"/>
    <xf numFmtId="0" fontId="35" fillId="0" borderId="333" applyNumberFormat="0" applyFill="0" applyAlignment="0" applyProtection="0"/>
    <xf numFmtId="4" fontId="33" fillId="34" borderId="343">
      <alignment horizontal="right" vertical="center"/>
    </xf>
    <xf numFmtId="0" fontId="63" fillId="56" borderId="337" applyNumberFormat="0" applyAlignment="0" applyProtection="0"/>
    <xf numFmtId="4" fontId="35" fillId="33" borderId="346"/>
    <xf numFmtId="0" fontId="47" fillId="56" borderId="321" applyNumberFormat="0" applyAlignment="0" applyProtection="0"/>
    <xf numFmtId="4" fontId="33" fillId="32" borderId="341">
      <alignment horizontal="right" vertical="center"/>
    </xf>
    <xf numFmtId="0" fontId="29" fillId="13" borderId="14" applyNumberFormat="0" applyAlignment="0" applyProtection="0"/>
    <xf numFmtId="4" fontId="33" fillId="34" borderId="324">
      <alignment horizontal="right" vertical="center"/>
    </xf>
    <xf numFmtId="4" fontId="35" fillId="33" borderId="346"/>
    <xf numFmtId="49" fontId="34" fillId="0" borderId="333" applyNumberFormat="0" applyFill="0" applyBorder="0" applyProtection="0">
      <alignment horizontal="left" vertical="center"/>
    </xf>
    <xf numFmtId="0" fontId="12" fillId="16" borderId="0" applyNumberFormat="0" applyBorder="0" applyAlignment="0" applyProtection="0"/>
    <xf numFmtId="0" fontId="47" fillId="56" borderId="321" applyNumberFormat="0" applyAlignment="0" applyProtection="0"/>
    <xf numFmtId="0" fontId="35" fillId="0" borderId="344">
      <alignment horizontal="left" vertical="center" wrapText="1" indent="2"/>
    </xf>
    <xf numFmtId="0" fontId="5" fillId="59" borderId="332" applyNumberFormat="0" applyFont="0" applyAlignment="0" applyProtection="0"/>
    <xf numFmtId="0" fontId="41" fillId="59" borderId="345" applyNumberFormat="0" applyFont="0" applyAlignment="0" applyProtection="0"/>
    <xf numFmtId="0" fontId="44" fillId="56" borderId="328" applyNumberFormat="0" applyAlignment="0" applyProtection="0"/>
    <xf numFmtId="0" fontId="35" fillId="33" borderId="324"/>
    <xf numFmtId="0" fontId="46" fillId="56" borderId="321" applyNumberFormat="0" applyAlignment="0" applyProtection="0"/>
    <xf numFmtId="0" fontId="33" fillId="34" borderId="324">
      <alignment horizontal="right" vertical="center"/>
    </xf>
    <xf numFmtId="4" fontId="35" fillId="33" borderId="324"/>
    <xf numFmtId="0" fontId="46" fillId="56" borderId="321" applyNumberFormat="0" applyAlignment="0" applyProtection="0"/>
    <xf numFmtId="0" fontId="35" fillId="32" borderId="325">
      <alignment horizontal="left" vertical="center"/>
    </xf>
    <xf numFmtId="4" fontId="33" fillId="32" borderId="324">
      <alignment horizontal="right" vertical="center"/>
    </xf>
    <xf numFmtId="0" fontId="12" fillId="19" borderId="0" applyNumberFormat="0" applyBorder="0" applyAlignment="0" applyProtection="0"/>
    <xf numFmtId="0" fontId="51" fillId="0" borderId="322" applyNumberFormat="0" applyFill="0" applyAlignment="0" applyProtection="0"/>
    <xf numFmtId="0" fontId="33" fillId="34" borderId="334">
      <alignment horizontal="right" vertical="center"/>
    </xf>
    <xf numFmtId="49" fontId="35" fillId="0" borderId="334" applyNumberFormat="0" applyFont="0" applyFill="0" applyBorder="0" applyProtection="0">
      <alignment horizontal="left" vertical="center" indent="5"/>
    </xf>
    <xf numFmtId="0" fontId="12" fillId="25" borderId="0" applyNumberFormat="0" applyBorder="0" applyAlignment="0" applyProtection="0"/>
    <xf numFmtId="49" fontId="35" fillId="0" borderId="341" applyNumberFormat="0" applyFont="0" applyFill="0" applyBorder="0" applyProtection="0">
      <alignment horizontal="left" vertical="center" indent="2"/>
    </xf>
    <xf numFmtId="0" fontId="59" fillId="43" borderId="338" applyNumberFormat="0" applyAlignment="0" applyProtection="0"/>
    <xf numFmtId="0" fontId="12" fillId="16" borderId="0" applyNumberFormat="0" applyBorder="0" applyAlignment="0" applyProtection="0"/>
    <xf numFmtId="0" fontId="35" fillId="0" borderId="324">
      <alignment horizontal="right" vertical="center"/>
    </xf>
    <xf numFmtId="0" fontId="47" fillId="56" borderId="338" applyNumberFormat="0" applyAlignment="0" applyProtection="0"/>
    <xf numFmtId="0" fontId="12" fillId="25" borderId="0" applyNumberFormat="0" applyBorder="0" applyAlignment="0" applyProtection="0"/>
    <xf numFmtId="0" fontId="50" fillId="43" borderId="321" applyNumberFormat="0" applyAlignment="0" applyProtection="0"/>
    <xf numFmtId="0" fontId="35" fillId="0" borderId="324">
      <alignment horizontal="right" vertical="center"/>
    </xf>
    <xf numFmtId="0" fontId="46" fillId="56" borderId="321" applyNumberFormat="0" applyAlignment="0" applyProtection="0"/>
    <xf numFmtId="0" fontId="33" fillId="34" borderId="341">
      <alignment horizontal="right" vertical="center"/>
    </xf>
    <xf numFmtId="4" fontId="33" fillId="34" borderId="346">
      <alignment horizontal="right" vertical="center"/>
    </xf>
    <xf numFmtId="4" fontId="33" fillId="32" borderId="324">
      <alignment horizontal="right" vertical="center"/>
    </xf>
    <xf numFmtId="0" fontId="33" fillId="34" borderId="325">
      <alignment horizontal="right" vertical="center"/>
    </xf>
    <xf numFmtId="4" fontId="35" fillId="0" borderId="346" applyFill="0" applyBorder="0" applyProtection="0">
      <alignment horizontal="right" vertical="center"/>
    </xf>
    <xf numFmtId="0" fontId="47" fillId="56" borderId="321" applyNumberFormat="0" applyAlignment="0" applyProtection="0"/>
    <xf numFmtId="0" fontId="33" fillId="34" borderId="326">
      <alignment horizontal="right" vertical="center"/>
    </xf>
    <xf numFmtId="0" fontId="33" fillId="34" borderId="346">
      <alignment horizontal="right" vertical="center"/>
    </xf>
    <xf numFmtId="0" fontId="35" fillId="0" borderId="341">
      <alignment horizontal="right" vertical="center"/>
    </xf>
    <xf numFmtId="0" fontId="51" fillId="0" borderId="322" applyNumberFormat="0" applyFill="0" applyAlignment="0" applyProtection="0"/>
    <xf numFmtId="0" fontId="41" fillId="59" borderId="332" applyNumberFormat="0" applyFont="0" applyAlignment="0" applyProtection="0"/>
    <xf numFmtId="0" fontId="27" fillId="23" borderId="0" applyNumberFormat="0" applyBorder="0" applyAlignment="0" applyProtection="0"/>
    <xf numFmtId="0" fontId="35" fillId="34" borderId="327">
      <alignment horizontal="left" vertical="center" wrapText="1" indent="2"/>
    </xf>
    <xf numFmtId="4" fontId="33" fillId="32" borderId="346">
      <alignment horizontal="right" vertical="center"/>
    </xf>
    <xf numFmtId="0" fontId="27" fillId="24" borderId="0" applyNumberFormat="0" applyBorder="0" applyAlignment="0" applyProtection="0"/>
    <xf numFmtId="49" fontId="35" fillId="0" borderId="346" applyNumberFormat="0" applyFont="0" applyFill="0" applyBorder="0" applyProtection="0">
      <alignment horizontal="left" vertical="center" indent="2"/>
    </xf>
    <xf numFmtId="4" fontId="35" fillId="0" borderId="324">
      <alignment horizontal="right" vertical="center"/>
    </xf>
    <xf numFmtId="0" fontId="59" fillId="43" borderId="338" applyNumberFormat="0" applyAlignment="0" applyProtection="0"/>
    <xf numFmtId="0" fontId="35" fillId="0" borderId="324">
      <alignment horizontal="right" vertical="center"/>
    </xf>
    <xf numFmtId="0" fontId="27" fillId="21" borderId="0" applyNumberFormat="0" applyBorder="0" applyAlignment="0" applyProtection="0"/>
    <xf numFmtId="4" fontId="35" fillId="33" borderId="333"/>
    <xf numFmtId="0" fontId="59" fillId="43" borderId="338" applyNumberFormat="0" applyAlignment="0" applyProtection="0"/>
    <xf numFmtId="49" fontId="35" fillId="0" borderId="325" applyNumberFormat="0" applyFont="0" applyFill="0" applyBorder="0" applyProtection="0">
      <alignment horizontal="left" vertical="center" indent="5"/>
    </xf>
    <xf numFmtId="0" fontId="66" fillId="0" borderId="331" applyNumberFormat="0" applyFill="0" applyAlignment="0" applyProtection="0"/>
    <xf numFmtId="0" fontId="1" fillId="0" borderId="0" applyNumberFormat="0" applyFill="0" applyBorder="0" applyAlignment="0" applyProtection="0"/>
    <xf numFmtId="0" fontId="47" fillId="56" borderId="338" applyNumberFormat="0" applyAlignment="0" applyProtection="0"/>
    <xf numFmtId="4" fontId="35" fillId="33" borderId="346"/>
    <xf numFmtId="0" fontId="35" fillId="32" borderId="325">
      <alignment horizontal="left" vertical="center"/>
    </xf>
    <xf numFmtId="0" fontId="35" fillId="0" borderId="327">
      <alignment horizontal="left" vertical="center" wrapText="1" indent="2"/>
    </xf>
    <xf numFmtId="0" fontId="46" fillId="56" borderId="338" applyNumberFormat="0" applyAlignment="0" applyProtection="0"/>
    <xf numFmtId="0" fontId="1" fillId="0" borderId="0" applyNumberFormat="0" applyFill="0" applyBorder="0" applyAlignment="0" applyProtection="0"/>
    <xf numFmtId="0" fontId="5" fillId="59" borderId="340" applyNumberFormat="0" applyFont="0" applyAlignment="0" applyProtection="0"/>
    <xf numFmtId="0" fontId="5" fillId="59" borderId="340" applyNumberFormat="0" applyFont="0" applyAlignment="0" applyProtection="0"/>
    <xf numFmtId="0" fontId="27" fillId="17" borderId="0" applyNumberFormat="0" applyBorder="0" applyAlignment="0" applyProtection="0"/>
    <xf numFmtId="0" fontId="27" fillId="30" borderId="0" applyNumberFormat="0" applyBorder="0" applyAlignment="0" applyProtection="0"/>
    <xf numFmtId="4" fontId="33" fillId="34" borderId="335">
      <alignment horizontal="right" vertical="center"/>
    </xf>
    <xf numFmtId="0" fontId="51" fillId="0" borderId="339" applyNumberFormat="0" applyFill="0" applyAlignment="0" applyProtection="0"/>
    <xf numFmtId="0" fontId="33" fillId="32" borderId="341">
      <alignment horizontal="right" vertical="center"/>
    </xf>
    <xf numFmtId="0" fontId="33" fillId="32" borderId="324">
      <alignment horizontal="right" vertical="center"/>
    </xf>
    <xf numFmtId="0" fontId="51" fillId="0" borderId="322" applyNumberFormat="0" applyFill="0" applyAlignment="0" applyProtection="0"/>
    <xf numFmtId="0" fontId="35" fillId="0" borderId="324" applyNumberFormat="0" applyFill="0" applyAlignment="0" applyProtection="0"/>
    <xf numFmtId="0" fontId="51" fillId="0" borderId="322" applyNumberFormat="0" applyFill="0" applyAlignment="0" applyProtection="0"/>
    <xf numFmtId="4" fontId="35" fillId="0" borderId="324" applyFill="0" applyBorder="0" applyProtection="0">
      <alignment horizontal="right" vertical="center"/>
    </xf>
    <xf numFmtId="49" fontId="35" fillId="0" borderId="325" applyNumberFormat="0" applyFont="0" applyFill="0" applyBorder="0" applyProtection="0">
      <alignment horizontal="left" vertical="center" indent="5"/>
    </xf>
    <xf numFmtId="0" fontId="35" fillId="0" borderId="324" applyNumberFormat="0" applyFill="0" applyAlignment="0" applyProtection="0"/>
    <xf numFmtId="4" fontId="33" fillId="34" borderId="343">
      <alignment horizontal="right" vertical="center"/>
    </xf>
    <xf numFmtId="0" fontId="35" fillId="0" borderId="324" applyNumberFormat="0" applyFill="0" applyAlignment="0" applyProtection="0"/>
    <xf numFmtId="0" fontId="33" fillId="34" borderId="341">
      <alignment horizontal="right" vertical="center"/>
    </xf>
    <xf numFmtId="4" fontId="33" fillId="34" borderId="324">
      <alignment horizontal="right" vertical="center"/>
    </xf>
    <xf numFmtId="0" fontId="35" fillId="34" borderId="349">
      <alignment horizontal="left" vertical="center" wrapText="1" indent="2"/>
    </xf>
    <xf numFmtId="0" fontId="51" fillId="0" borderId="339" applyNumberFormat="0" applyFill="0" applyAlignment="0" applyProtection="0"/>
    <xf numFmtId="0" fontId="27" fillId="20" borderId="0" applyNumberFormat="0" applyBorder="0" applyAlignment="0" applyProtection="0"/>
    <xf numFmtId="0" fontId="50" fillId="43" borderId="321" applyNumberFormat="0" applyAlignment="0" applyProtection="0"/>
    <xf numFmtId="0" fontId="47" fillId="56" borderId="321" applyNumberFormat="0" applyAlignment="0" applyProtection="0"/>
    <xf numFmtId="4" fontId="35" fillId="0" borderId="324">
      <alignment horizontal="right" vertical="center"/>
    </xf>
    <xf numFmtId="0" fontId="35" fillId="34" borderId="327">
      <alignment horizontal="left" vertical="center" wrapText="1" indent="2"/>
    </xf>
    <xf numFmtId="0" fontId="35" fillId="0" borderId="327">
      <alignment horizontal="left" vertical="center" wrapText="1" indent="2"/>
    </xf>
    <xf numFmtId="0" fontId="63" fillId="56" borderId="328" applyNumberFormat="0" applyAlignment="0" applyProtection="0"/>
    <xf numFmtId="0" fontId="59" fillId="43" borderId="321" applyNumberFormat="0" applyAlignment="0" applyProtection="0"/>
    <xf numFmtId="0" fontId="46" fillId="56" borderId="321" applyNumberFormat="0" applyAlignment="0" applyProtection="0"/>
    <xf numFmtId="0" fontId="44" fillId="56" borderId="328" applyNumberFormat="0" applyAlignment="0" applyProtection="0"/>
    <xf numFmtId="0" fontId="33" fillId="34" borderId="326">
      <alignment horizontal="right" vertical="center"/>
    </xf>
    <xf numFmtId="0" fontId="37" fillId="32" borderId="324">
      <alignment horizontal="right" vertical="center"/>
    </xf>
    <xf numFmtId="4" fontId="33" fillId="32" borderId="324">
      <alignment horizontal="right" vertical="center"/>
    </xf>
    <xf numFmtId="4" fontId="33" fillId="34" borderId="324">
      <alignment horizontal="right" vertical="center"/>
    </xf>
    <xf numFmtId="49" fontId="35" fillId="0" borderId="325" applyNumberFormat="0" applyFont="0" applyFill="0" applyBorder="0" applyProtection="0">
      <alignment horizontal="left" vertical="center" indent="5"/>
    </xf>
    <xf numFmtId="4" fontId="35" fillId="0" borderId="324" applyFill="0" applyBorder="0" applyProtection="0">
      <alignment horizontal="right" vertical="center"/>
    </xf>
    <xf numFmtId="4" fontId="33" fillId="32" borderId="324">
      <alignment horizontal="right" vertical="center"/>
    </xf>
    <xf numFmtId="0" fontId="59" fillId="43" borderId="321" applyNumberFormat="0" applyAlignment="0" applyProtection="0"/>
    <xf numFmtId="0" fontId="50" fillId="43" borderId="321" applyNumberFormat="0" applyAlignment="0" applyProtection="0"/>
    <xf numFmtId="0" fontId="46" fillId="56" borderId="321" applyNumberFormat="0" applyAlignment="0" applyProtection="0"/>
    <xf numFmtId="0" fontId="35" fillId="34" borderId="327">
      <alignment horizontal="left" vertical="center" wrapText="1" indent="2"/>
    </xf>
    <xf numFmtId="0" fontId="35" fillId="0" borderId="327">
      <alignment horizontal="left" vertical="center" wrapText="1" indent="2"/>
    </xf>
    <xf numFmtId="0" fontId="35" fillId="34" borderId="327">
      <alignment horizontal="left" vertical="center" wrapText="1" indent="2"/>
    </xf>
    <xf numFmtId="0" fontId="37" fillId="32" borderId="333">
      <alignment horizontal="right" vertical="center"/>
    </xf>
    <xf numFmtId="4" fontId="33" fillId="34" borderId="348">
      <alignment horizontal="right" vertical="center"/>
    </xf>
    <xf numFmtId="4" fontId="33" fillId="32" borderId="341">
      <alignment horizontal="right" vertical="center"/>
    </xf>
    <xf numFmtId="4" fontId="33" fillId="34" borderId="342">
      <alignment horizontal="right" vertical="center"/>
    </xf>
    <xf numFmtId="0" fontId="27" fillId="20" borderId="0" applyNumberFormat="0" applyBorder="0" applyAlignment="0" applyProtection="0"/>
    <xf numFmtId="0" fontId="66" fillId="0" borderId="339" applyNumberFormat="0" applyFill="0" applyAlignment="0" applyProtection="0"/>
    <xf numFmtId="0" fontId="33" fillId="34" borderId="346">
      <alignment horizontal="right" vertical="center"/>
    </xf>
    <xf numFmtId="4" fontId="33" fillId="34" borderId="346">
      <alignment horizontal="right" vertical="center"/>
    </xf>
    <xf numFmtId="0" fontId="63" fillId="56" borderId="337" applyNumberFormat="0" applyAlignment="0" applyProtection="0"/>
    <xf numFmtId="0" fontId="59" fillId="43" borderId="338" applyNumberFormat="0" applyAlignment="0" applyProtection="0"/>
    <xf numFmtId="0" fontId="35" fillId="34" borderId="344">
      <alignment horizontal="left" vertical="center" wrapText="1" indent="2"/>
    </xf>
    <xf numFmtId="4" fontId="33" fillId="32" borderId="341">
      <alignment horizontal="right" vertical="center"/>
    </xf>
    <xf numFmtId="0" fontId="37" fillId="32" borderId="341">
      <alignment horizontal="right" vertical="center"/>
    </xf>
    <xf numFmtId="0" fontId="35" fillId="0" borderId="346" applyNumberFormat="0" applyFill="0" applyAlignment="0" applyProtection="0"/>
    <xf numFmtId="0" fontId="35" fillId="33" borderId="341"/>
    <xf numFmtId="4" fontId="33" fillId="34" borderId="343">
      <alignment horizontal="right" vertical="center"/>
    </xf>
    <xf numFmtId="0" fontId="35" fillId="0" borderId="341" applyNumberFormat="0" applyFill="0" applyAlignment="0" applyProtection="0"/>
    <xf numFmtId="4" fontId="35" fillId="0" borderId="341">
      <alignment horizontal="right" vertical="center"/>
    </xf>
    <xf numFmtId="0" fontId="35" fillId="33" borderId="346"/>
    <xf numFmtId="0" fontId="35" fillId="0" borderId="346">
      <alignment horizontal="right" vertical="center"/>
    </xf>
    <xf numFmtId="49" fontId="35" fillId="0" borderId="341" applyNumberFormat="0" applyFont="0" applyFill="0" applyBorder="0" applyProtection="0">
      <alignment horizontal="left" vertical="center" indent="2"/>
    </xf>
    <xf numFmtId="0" fontId="33" fillId="34" borderId="333">
      <alignment horizontal="right" vertical="center"/>
    </xf>
    <xf numFmtId="0" fontId="46" fillId="56" borderId="338" applyNumberFormat="0" applyAlignment="0" applyProtection="0"/>
    <xf numFmtId="0" fontId="12" fillId="19" borderId="0" applyNumberFormat="0" applyBorder="0" applyAlignment="0" applyProtection="0"/>
    <xf numFmtId="0" fontId="12" fillId="31" borderId="0" applyNumberFormat="0" applyBorder="0" applyAlignment="0" applyProtection="0"/>
    <xf numFmtId="0" fontId="66" fillId="0" borderId="352" applyNumberFormat="0" applyFill="0" applyAlignment="0" applyProtection="0"/>
    <xf numFmtId="0" fontId="27" fillId="30" borderId="0" applyNumberFormat="0" applyBorder="0" applyAlignment="0" applyProtection="0"/>
    <xf numFmtId="0" fontId="44" fillId="56" borderId="337" applyNumberFormat="0" applyAlignment="0" applyProtection="0"/>
    <xf numFmtId="173" fontId="35" fillId="60" borderId="341" applyNumberFormat="0" applyFont="0" applyBorder="0" applyAlignment="0" applyProtection="0">
      <alignment horizontal="right" vertical="center"/>
    </xf>
    <xf numFmtId="0" fontId="12" fillId="25" borderId="0" applyNumberFormat="0" applyBorder="0" applyAlignment="0" applyProtection="0"/>
    <xf numFmtId="0" fontId="27" fillId="27" borderId="0" applyNumberFormat="0" applyBorder="0" applyAlignment="0" applyProtection="0"/>
    <xf numFmtId="0" fontId="12" fillId="28" borderId="0" applyNumberFormat="0" applyBorder="0" applyAlignment="0" applyProtection="0"/>
    <xf numFmtId="173" fontId="35" fillId="60" borderId="341" applyNumberFormat="0" applyFont="0" applyBorder="0" applyAlignment="0" applyProtection="0">
      <alignment horizontal="right" vertical="center"/>
    </xf>
    <xf numFmtId="0" fontId="12" fillId="22" borderId="0" applyNumberFormat="0" applyBorder="0" applyAlignment="0" applyProtection="0"/>
    <xf numFmtId="0" fontId="59" fillId="43" borderId="338" applyNumberFormat="0" applyAlignment="0" applyProtection="0"/>
    <xf numFmtId="0" fontId="27" fillId="20" borderId="0" applyNumberFormat="0" applyBorder="0" applyAlignment="0" applyProtection="0"/>
    <xf numFmtId="0" fontId="27" fillId="14" borderId="0" applyNumberFormat="0" applyBorder="0" applyAlignment="0" applyProtection="0"/>
    <xf numFmtId="0" fontId="47" fillId="56" borderId="338" applyNumberFormat="0" applyAlignment="0" applyProtection="0"/>
    <xf numFmtId="0" fontId="59" fillId="43" borderId="338" applyNumberFormat="0" applyAlignment="0" applyProtection="0"/>
    <xf numFmtId="0" fontId="59" fillId="43" borderId="351" applyNumberFormat="0" applyAlignment="0" applyProtection="0"/>
    <xf numFmtId="0" fontId="44" fillId="56" borderId="337" applyNumberFormat="0" applyAlignment="0" applyProtection="0"/>
    <xf numFmtId="4" fontId="33" fillId="34" borderId="333">
      <alignment horizontal="right" vertical="center"/>
    </xf>
    <xf numFmtId="0" fontId="35" fillId="33" borderId="333"/>
    <xf numFmtId="0" fontId="46" fillId="56" borderId="330" applyNumberFormat="0" applyAlignment="0" applyProtection="0"/>
    <xf numFmtId="0" fontId="33" fillId="32" borderId="333">
      <alignment horizontal="right" vertical="center"/>
    </xf>
    <xf numFmtId="0" fontId="35" fillId="0" borderId="333">
      <alignment horizontal="right" vertical="center"/>
    </xf>
    <xf numFmtId="0" fontId="66" fillId="0" borderId="331" applyNumberFormat="0" applyFill="0" applyAlignment="0" applyProtection="0"/>
    <xf numFmtId="0" fontId="35" fillId="32" borderId="334">
      <alignment horizontal="left" vertical="center"/>
    </xf>
    <xf numFmtId="0" fontId="59" fillId="43" borderId="330" applyNumberFormat="0" applyAlignment="0" applyProtection="0"/>
    <xf numFmtId="173" fontId="35" fillId="60" borderId="333" applyNumberFormat="0" applyFont="0" applyBorder="0" applyAlignment="0" applyProtection="0">
      <alignment horizontal="right" vertical="center"/>
    </xf>
    <xf numFmtId="0" fontId="41" fillId="59" borderId="332" applyNumberFormat="0" applyFont="0" applyAlignment="0" applyProtection="0"/>
    <xf numFmtId="0" fontId="35" fillId="0" borderId="336">
      <alignment horizontal="left" vertical="center" wrapText="1" indent="2"/>
    </xf>
    <xf numFmtId="4" fontId="35" fillId="33" borderId="333"/>
    <xf numFmtId="49" fontId="34" fillId="0" borderId="333" applyNumberFormat="0" applyFill="0" applyBorder="0" applyProtection="0">
      <alignment horizontal="left" vertical="center"/>
    </xf>
    <xf numFmtId="0" fontId="35" fillId="0" borderId="333">
      <alignment horizontal="right" vertical="center"/>
    </xf>
    <xf numFmtId="4" fontId="33" fillId="34" borderId="335">
      <alignment horizontal="right" vertical="center"/>
    </xf>
    <xf numFmtId="4" fontId="33" fillId="34" borderId="333">
      <alignment horizontal="right" vertical="center"/>
    </xf>
    <xf numFmtId="4" fontId="33" fillId="34" borderId="333">
      <alignment horizontal="right" vertical="center"/>
    </xf>
    <xf numFmtId="0" fontId="37" fillId="32" borderId="333">
      <alignment horizontal="right" vertical="center"/>
    </xf>
    <xf numFmtId="0" fontId="33" fillId="32" borderId="333">
      <alignment horizontal="right" vertical="center"/>
    </xf>
    <xf numFmtId="49" fontId="35" fillId="0" borderId="333" applyNumberFormat="0" applyFont="0" applyFill="0" applyBorder="0" applyProtection="0">
      <alignment horizontal="left" vertical="center" indent="2"/>
    </xf>
    <xf numFmtId="0" fontId="59" fillId="43" borderId="330" applyNumberFormat="0" applyAlignment="0" applyProtection="0"/>
    <xf numFmtId="0" fontId="44" fillId="56" borderId="329" applyNumberFormat="0" applyAlignment="0" applyProtection="0"/>
    <xf numFmtId="49" fontId="35" fillId="0" borderId="333" applyNumberFormat="0" applyFont="0" applyFill="0" applyBorder="0" applyProtection="0">
      <alignment horizontal="left" vertical="center" indent="2"/>
    </xf>
    <xf numFmtId="0" fontId="50" fillId="43" borderId="330" applyNumberFormat="0" applyAlignment="0" applyProtection="0"/>
    <xf numFmtId="4" fontId="35" fillId="0" borderId="333" applyFill="0" applyBorder="0" applyProtection="0">
      <alignment horizontal="right" vertical="center"/>
    </xf>
    <xf numFmtId="0" fontId="47" fillId="56" borderId="330" applyNumberFormat="0" applyAlignment="0" applyProtection="0"/>
    <xf numFmtId="0" fontId="66" fillId="0" borderId="331" applyNumberFormat="0" applyFill="0" applyAlignment="0" applyProtection="0"/>
    <xf numFmtId="0" fontId="63" fillId="56" borderId="329" applyNumberFormat="0" applyAlignment="0" applyProtection="0"/>
    <xf numFmtId="0" fontId="35" fillId="0" borderId="333" applyNumberFormat="0" applyFill="0" applyAlignment="0" applyProtection="0"/>
    <xf numFmtId="4" fontId="35" fillId="0" borderId="333">
      <alignment horizontal="right" vertical="center"/>
    </xf>
    <xf numFmtId="0" fontId="35" fillId="0" borderId="333">
      <alignment horizontal="right" vertical="center"/>
    </xf>
    <xf numFmtId="0" fontId="59" fillId="43" borderId="330" applyNumberFormat="0" applyAlignment="0" applyProtection="0"/>
    <xf numFmtId="0" fontId="44" fillId="56" borderId="329" applyNumberFormat="0" applyAlignment="0" applyProtection="0"/>
    <xf numFmtId="0" fontId="46" fillId="56" borderId="330" applyNumberFormat="0" applyAlignment="0" applyProtection="0"/>
    <xf numFmtId="0" fontId="35" fillId="34" borderId="336">
      <alignment horizontal="left" vertical="center" wrapText="1" indent="2"/>
    </xf>
    <xf numFmtId="0" fontId="47" fillId="56" borderId="330" applyNumberFormat="0" applyAlignment="0" applyProtection="0"/>
    <xf numFmtId="0" fontId="47" fillId="56" borderId="330" applyNumberFormat="0" applyAlignment="0" applyProtection="0"/>
    <xf numFmtId="4" fontId="33" fillId="34" borderId="334">
      <alignment horizontal="right" vertical="center"/>
    </xf>
    <xf numFmtId="0" fontId="33" fillId="34" borderId="334">
      <alignment horizontal="right" vertical="center"/>
    </xf>
    <xf numFmtId="0" fontId="33" fillId="34" borderId="333">
      <alignment horizontal="right" vertical="center"/>
    </xf>
    <xf numFmtId="4" fontId="37" fillId="32" borderId="333">
      <alignment horizontal="right" vertical="center"/>
    </xf>
    <xf numFmtId="0" fontId="50" fillId="43" borderId="330" applyNumberFormat="0" applyAlignment="0" applyProtection="0"/>
    <xf numFmtId="0" fontId="51" fillId="0" borderId="331" applyNumberFormat="0" applyFill="0" applyAlignment="0" applyProtection="0"/>
    <xf numFmtId="0" fontId="66" fillId="0" borderId="331" applyNumberFormat="0" applyFill="0" applyAlignment="0" applyProtection="0"/>
    <xf numFmtId="0" fontId="41" fillId="59" borderId="332" applyNumberFormat="0" applyFont="0" applyAlignment="0" applyProtection="0"/>
    <xf numFmtId="0" fontId="59" fillId="43" borderId="330" applyNumberFormat="0" applyAlignment="0" applyProtection="0"/>
    <xf numFmtId="49" fontId="34" fillId="0" borderId="333" applyNumberFormat="0" applyFill="0" applyBorder="0" applyProtection="0">
      <alignment horizontal="left" vertical="center"/>
    </xf>
    <xf numFmtId="0" fontId="35" fillId="34" borderId="336">
      <alignment horizontal="left" vertical="center" wrapText="1" indent="2"/>
    </xf>
    <xf numFmtId="0" fontId="47" fillId="56" borderId="330" applyNumberFormat="0" applyAlignment="0" applyProtection="0"/>
    <xf numFmtId="0" fontId="35" fillId="0" borderId="336">
      <alignment horizontal="left" vertical="center" wrapText="1" indent="2"/>
    </xf>
    <xf numFmtId="0" fontId="41" fillId="59" borderId="332" applyNumberFormat="0" applyFont="0" applyAlignment="0" applyProtection="0"/>
    <xf numFmtId="0" fontId="5" fillId="59" borderId="332" applyNumberFormat="0" applyFont="0" applyAlignment="0" applyProtection="0"/>
    <xf numFmtId="0" fontId="63" fillId="56" borderId="329" applyNumberFormat="0" applyAlignment="0" applyProtection="0"/>
    <xf numFmtId="0" fontId="66" fillId="0" borderId="331" applyNumberFormat="0" applyFill="0" applyAlignment="0" applyProtection="0"/>
    <xf numFmtId="4" fontId="35" fillId="33" borderId="333"/>
    <xf numFmtId="0" fontId="33" fillId="34" borderId="333">
      <alignment horizontal="right" vertical="center"/>
    </xf>
    <xf numFmtId="0" fontId="66" fillId="0" borderId="331" applyNumberFormat="0" applyFill="0" applyAlignment="0" applyProtection="0"/>
    <xf numFmtId="4" fontId="33" fillId="34" borderId="335">
      <alignment horizontal="right" vertical="center"/>
    </xf>
    <xf numFmtId="0" fontId="46" fillId="56" borderId="330" applyNumberFormat="0" applyAlignment="0" applyProtection="0"/>
    <xf numFmtId="0" fontId="33" fillId="34" borderId="334">
      <alignment horizontal="right" vertical="center"/>
    </xf>
    <xf numFmtId="0" fontId="47" fillId="56" borderId="330" applyNumberFormat="0" applyAlignment="0" applyProtection="0"/>
    <xf numFmtId="0" fontId="51" fillId="0" borderId="331" applyNumberFormat="0" applyFill="0" applyAlignment="0" applyProtection="0"/>
    <xf numFmtId="0" fontId="41" fillId="59" borderId="332" applyNumberFormat="0" applyFont="0" applyAlignment="0" applyProtection="0"/>
    <xf numFmtId="4" fontId="33" fillId="34" borderId="334">
      <alignment horizontal="right" vertical="center"/>
    </xf>
    <xf numFmtId="0" fontId="35" fillId="34" borderId="336">
      <alignment horizontal="left" vertical="center" wrapText="1" indent="2"/>
    </xf>
    <xf numFmtId="0" fontId="35" fillId="33" borderId="333"/>
    <xf numFmtId="173" fontId="35" fillId="60" borderId="333" applyNumberFormat="0" applyFont="0" applyBorder="0" applyAlignment="0" applyProtection="0">
      <alignment horizontal="right" vertical="center"/>
    </xf>
    <xf numFmtId="0" fontId="35" fillId="0" borderId="333" applyNumberFormat="0" applyFill="0" applyAlignment="0" applyProtection="0"/>
    <xf numFmtId="4" fontId="35" fillId="0" borderId="333" applyFill="0" applyBorder="0" applyProtection="0">
      <alignment horizontal="right" vertical="center"/>
    </xf>
    <xf numFmtId="4" fontId="33" fillId="32" borderId="333">
      <alignment horizontal="right" vertical="center"/>
    </xf>
    <xf numFmtId="0" fontId="51" fillId="0" borderId="331" applyNumberFormat="0" applyFill="0" applyAlignment="0" applyProtection="0"/>
    <xf numFmtId="49" fontId="34" fillId="0" borderId="333" applyNumberFormat="0" applyFill="0" applyBorder="0" applyProtection="0">
      <alignment horizontal="left" vertical="center"/>
    </xf>
    <xf numFmtId="49" fontId="35" fillId="0" borderId="334" applyNumberFormat="0" applyFont="0" applyFill="0" applyBorder="0" applyProtection="0">
      <alignment horizontal="left" vertical="center" indent="5"/>
    </xf>
    <xf numFmtId="0" fontId="35" fillId="32" borderId="334">
      <alignment horizontal="left" vertical="center"/>
    </xf>
    <xf numFmtId="0" fontId="47" fillId="56" borderId="330" applyNumberFormat="0" applyAlignment="0" applyProtection="0"/>
    <xf numFmtId="4" fontId="33" fillId="34" borderId="335">
      <alignment horizontal="right" vertical="center"/>
    </xf>
    <xf numFmtId="0" fontId="59" fillId="43" borderId="330" applyNumberFormat="0" applyAlignment="0" applyProtection="0"/>
    <xf numFmtId="0" fontId="59" fillId="43" borderId="330" applyNumberFormat="0" applyAlignment="0" applyProtection="0"/>
    <xf numFmtId="0" fontId="41" fillId="59" borderId="332" applyNumberFormat="0" applyFont="0" applyAlignment="0" applyProtection="0"/>
    <xf numFmtId="0" fontId="63" fillId="56" borderId="329" applyNumberFormat="0" applyAlignment="0" applyProtection="0"/>
    <xf numFmtId="0" fontId="66" fillId="0" borderId="331" applyNumberFormat="0" applyFill="0" applyAlignment="0" applyProtection="0"/>
    <xf numFmtId="0" fontId="33" fillId="34" borderId="333">
      <alignment horizontal="right" vertical="center"/>
    </xf>
    <xf numFmtId="0" fontId="5" fillId="59" borderId="332" applyNumberFormat="0" applyFont="0" applyAlignment="0" applyProtection="0"/>
    <xf numFmtId="4" fontId="35" fillId="0" borderId="333">
      <alignment horizontal="right" vertical="center"/>
    </xf>
    <xf numFmtId="0" fontId="66" fillId="0" borderId="331" applyNumberFormat="0" applyFill="0" applyAlignment="0" applyProtection="0"/>
    <xf numFmtId="0" fontId="33" fillId="34" borderId="333">
      <alignment horizontal="right" vertical="center"/>
    </xf>
    <xf numFmtId="0" fontId="33" fillId="34" borderId="333">
      <alignment horizontal="right" vertical="center"/>
    </xf>
    <xf numFmtId="4" fontId="37" fillId="32" borderId="333">
      <alignment horizontal="right" vertical="center"/>
    </xf>
    <xf numFmtId="0" fontId="33" fillId="32" borderId="333">
      <alignment horizontal="right" vertical="center"/>
    </xf>
    <xf numFmtId="4" fontId="33" fillId="32" borderId="333">
      <alignment horizontal="right" vertical="center"/>
    </xf>
    <xf numFmtId="0" fontId="37" fillId="32" borderId="333">
      <alignment horizontal="right" vertical="center"/>
    </xf>
    <xf numFmtId="4" fontId="37" fillId="32" borderId="333">
      <alignment horizontal="right" vertical="center"/>
    </xf>
    <xf numFmtId="0" fontId="33" fillId="34" borderId="333">
      <alignment horizontal="right" vertical="center"/>
    </xf>
    <xf numFmtId="4" fontId="33" fillId="34" borderId="333">
      <alignment horizontal="right" vertical="center"/>
    </xf>
    <xf numFmtId="0" fontId="33" fillId="34" borderId="333">
      <alignment horizontal="right" vertical="center"/>
    </xf>
    <xf numFmtId="4" fontId="33" fillId="34" borderId="333">
      <alignment horizontal="right" vertical="center"/>
    </xf>
    <xf numFmtId="0" fontId="33" fillId="34" borderId="334">
      <alignment horizontal="right" vertical="center"/>
    </xf>
    <xf numFmtId="4" fontId="33" fillId="34" borderId="334">
      <alignment horizontal="right" vertical="center"/>
    </xf>
    <xf numFmtId="0" fontId="33" fillId="34" borderId="335">
      <alignment horizontal="right" vertical="center"/>
    </xf>
    <xf numFmtId="4" fontId="33" fillId="34" borderId="335">
      <alignment horizontal="right" vertical="center"/>
    </xf>
    <xf numFmtId="0" fontId="47" fillId="56" borderId="330" applyNumberFormat="0" applyAlignment="0" applyProtection="0"/>
    <xf numFmtId="0" fontId="35" fillId="34" borderId="336">
      <alignment horizontal="left" vertical="center" wrapText="1" indent="2"/>
    </xf>
    <xf numFmtId="0" fontId="35" fillId="0" borderId="336">
      <alignment horizontal="left" vertical="center" wrapText="1" indent="2"/>
    </xf>
    <xf numFmtId="0" fontId="35" fillId="32" borderId="334">
      <alignment horizontal="left" vertical="center"/>
    </xf>
    <xf numFmtId="0" fontId="59" fillId="43" borderId="330" applyNumberFormat="0" applyAlignment="0" applyProtection="0"/>
    <xf numFmtId="0" fontId="35" fillId="0" borderId="333">
      <alignment horizontal="right" vertical="center"/>
    </xf>
    <xf numFmtId="4" fontId="35" fillId="0" borderId="333">
      <alignment horizontal="right" vertical="center"/>
    </xf>
    <xf numFmtId="0" fontId="35" fillId="0" borderId="333" applyNumberFormat="0" applyFill="0" applyAlignment="0" applyProtection="0"/>
    <xf numFmtId="0" fontId="63" fillId="56" borderId="329" applyNumberFormat="0" applyAlignment="0" applyProtection="0"/>
    <xf numFmtId="173" fontId="35" fillId="60" borderId="333" applyNumberFormat="0" applyFont="0" applyBorder="0" applyAlignment="0" applyProtection="0">
      <alignment horizontal="right" vertical="center"/>
    </xf>
    <xf numFmtId="0" fontId="35" fillId="33" borderId="333"/>
    <xf numFmtId="4" fontId="35" fillId="33" borderId="333"/>
    <xf numFmtId="0" fontId="66" fillId="0" borderId="331" applyNumberFormat="0" applyFill="0" applyAlignment="0" applyProtection="0"/>
    <xf numFmtId="0" fontId="5" fillId="59" borderId="332" applyNumberFormat="0" applyFont="0" applyAlignment="0" applyProtection="0"/>
    <xf numFmtId="0" fontId="41" fillId="59" borderId="332" applyNumberFormat="0" applyFont="0" applyAlignment="0" applyProtection="0"/>
    <xf numFmtId="0" fontId="35" fillId="0" borderId="333" applyNumberFormat="0" applyFill="0" applyAlignment="0" applyProtection="0"/>
    <xf numFmtId="0" fontId="51" fillId="0" borderId="331" applyNumberFormat="0" applyFill="0" applyAlignment="0" applyProtection="0"/>
    <xf numFmtId="0" fontId="66" fillId="0" borderId="331" applyNumberFormat="0" applyFill="0" applyAlignment="0" applyProtection="0"/>
    <xf numFmtId="0" fontId="50" fillId="43" borderId="330" applyNumberFormat="0" applyAlignment="0" applyProtection="0"/>
    <xf numFmtId="0" fontId="47" fillId="56" borderId="330" applyNumberFormat="0" applyAlignment="0" applyProtection="0"/>
    <xf numFmtId="4" fontId="37" fillId="32" borderId="333">
      <alignment horizontal="right" vertical="center"/>
    </xf>
    <xf numFmtId="0" fontId="33" fillId="32" borderId="333">
      <alignment horizontal="right" vertical="center"/>
    </xf>
    <xf numFmtId="173" fontId="35" fillId="60" borderId="333" applyNumberFormat="0" applyFont="0" applyBorder="0" applyAlignment="0" applyProtection="0">
      <alignment horizontal="right" vertical="center"/>
    </xf>
    <xf numFmtId="0" fontId="51" fillId="0" borderId="331" applyNumberFormat="0" applyFill="0" applyAlignment="0" applyProtection="0"/>
    <xf numFmtId="49" fontId="35" fillId="0" borderId="333" applyNumberFormat="0" applyFont="0" applyFill="0" applyBorder="0" applyProtection="0">
      <alignment horizontal="left" vertical="center" indent="2"/>
    </xf>
    <xf numFmtId="49" fontId="35" fillId="0" borderId="334" applyNumberFormat="0" applyFont="0" applyFill="0" applyBorder="0" applyProtection="0">
      <alignment horizontal="left" vertical="center" indent="5"/>
    </xf>
    <xf numFmtId="49" fontId="35" fillId="0" borderId="333" applyNumberFormat="0" applyFont="0" applyFill="0" applyBorder="0" applyProtection="0">
      <alignment horizontal="left" vertical="center" indent="2"/>
    </xf>
    <xf numFmtId="4" fontId="35" fillId="0" borderId="333" applyFill="0" applyBorder="0" applyProtection="0">
      <alignment horizontal="right" vertical="center"/>
    </xf>
    <xf numFmtId="49" fontId="34" fillId="0" borderId="333" applyNumberFormat="0" applyFill="0" applyBorder="0" applyProtection="0">
      <alignment horizontal="left" vertical="center"/>
    </xf>
    <xf numFmtId="0" fontId="35" fillId="0" borderId="336">
      <alignment horizontal="left" vertical="center" wrapText="1" indent="2"/>
    </xf>
    <xf numFmtId="0" fontId="63" fillId="56" borderId="329" applyNumberFormat="0" applyAlignment="0" applyProtection="0"/>
    <xf numFmtId="0" fontId="33" fillId="34" borderId="335">
      <alignment horizontal="right" vertical="center"/>
    </xf>
    <xf numFmtId="0" fontId="50" fillId="43" borderId="330" applyNumberFormat="0" applyAlignment="0" applyProtection="0"/>
    <xf numFmtId="0" fontId="33" fillId="34" borderId="335">
      <alignment horizontal="right" vertical="center"/>
    </xf>
    <xf numFmtId="4" fontId="33" fillId="34" borderId="333">
      <alignment horizontal="right" vertical="center"/>
    </xf>
    <xf numFmtId="0" fontId="33" fillId="34" borderId="333">
      <alignment horizontal="right" vertical="center"/>
    </xf>
    <xf numFmtId="0" fontId="44" fillId="56" borderId="329" applyNumberFormat="0" applyAlignment="0" applyProtection="0"/>
    <xf numFmtId="0" fontId="46" fillId="56" borderId="330" applyNumberFormat="0" applyAlignment="0" applyProtection="0"/>
    <xf numFmtId="0" fontId="51" fillId="0" borderId="331" applyNumberFormat="0" applyFill="0" applyAlignment="0" applyProtection="0"/>
    <xf numFmtId="0" fontId="35" fillId="33" borderId="333"/>
    <xf numFmtId="4" fontId="35" fillId="33" borderId="333"/>
    <xf numFmtId="4" fontId="33" fillId="34" borderId="333">
      <alignment horizontal="right" vertical="center"/>
    </xf>
    <xf numFmtId="0" fontId="37" fillId="32" borderId="333">
      <alignment horizontal="right" vertical="center"/>
    </xf>
    <xf numFmtId="0" fontId="50" fillId="43" borderId="330" applyNumberFormat="0" applyAlignment="0" applyProtection="0"/>
    <xf numFmtId="0" fontId="47" fillId="56" borderId="330" applyNumberFormat="0" applyAlignment="0" applyProtection="0"/>
    <xf numFmtId="4" fontId="35" fillId="0" borderId="333">
      <alignment horizontal="right" vertical="center"/>
    </xf>
    <xf numFmtId="0" fontId="35" fillId="34" borderId="336">
      <alignment horizontal="left" vertical="center" wrapText="1" indent="2"/>
    </xf>
    <xf numFmtId="0" fontId="35" fillId="0" borderId="336">
      <alignment horizontal="left" vertical="center" wrapText="1" indent="2"/>
    </xf>
    <xf numFmtId="0" fontId="63" fillId="56" borderId="329" applyNumberFormat="0" applyAlignment="0" applyProtection="0"/>
    <xf numFmtId="0" fontId="59" fillId="43" borderId="330" applyNumberFormat="0" applyAlignment="0" applyProtection="0"/>
    <xf numFmtId="0" fontId="46" fillId="56" borderId="330" applyNumberFormat="0" applyAlignment="0" applyProtection="0"/>
    <xf numFmtId="0" fontId="44" fillId="56" borderId="329" applyNumberFormat="0" applyAlignment="0" applyProtection="0"/>
    <xf numFmtId="0" fontId="33" fillId="34" borderId="335">
      <alignment horizontal="right" vertical="center"/>
    </xf>
    <xf numFmtId="0" fontId="37" fillId="32" borderId="333">
      <alignment horizontal="right" vertical="center"/>
    </xf>
    <xf numFmtId="4" fontId="33" fillId="32" borderId="333">
      <alignment horizontal="right" vertical="center"/>
    </xf>
    <xf numFmtId="4" fontId="33" fillId="34" borderId="333">
      <alignment horizontal="right" vertical="center"/>
    </xf>
    <xf numFmtId="49" fontId="35" fillId="0" borderId="334" applyNumberFormat="0" applyFont="0" applyFill="0" applyBorder="0" applyProtection="0">
      <alignment horizontal="left" vertical="center" indent="5"/>
    </xf>
    <xf numFmtId="4" fontId="35" fillId="0" borderId="333" applyFill="0" applyBorder="0" applyProtection="0">
      <alignment horizontal="right" vertical="center"/>
    </xf>
    <xf numFmtId="4" fontId="33" fillId="32" borderId="333">
      <alignment horizontal="right" vertical="center"/>
    </xf>
    <xf numFmtId="0" fontId="66" fillId="0" borderId="339" applyNumberFormat="0" applyFill="0" applyAlignment="0" applyProtection="0"/>
    <xf numFmtId="0" fontId="59" fillId="43" borderId="330" applyNumberFormat="0" applyAlignment="0" applyProtection="0"/>
    <xf numFmtId="0" fontId="50" fillId="43" borderId="330" applyNumberFormat="0" applyAlignment="0" applyProtection="0"/>
    <xf numFmtId="0" fontId="46" fillId="56" borderId="330" applyNumberFormat="0" applyAlignment="0" applyProtection="0"/>
    <xf numFmtId="0" fontId="35" fillId="34" borderId="336">
      <alignment horizontal="left" vertical="center" wrapText="1" indent="2"/>
    </xf>
    <xf numFmtId="0" fontId="35" fillId="0" borderId="336">
      <alignment horizontal="left" vertical="center" wrapText="1" indent="2"/>
    </xf>
    <xf numFmtId="0" fontId="35" fillId="34" borderId="336">
      <alignment horizontal="left" vertical="center" wrapText="1" indent="2"/>
    </xf>
    <xf numFmtId="0" fontId="35" fillId="0" borderId="336">
      <alignment horizontal="left" vertical="center" wrapText="1" indent="2"/>
    </xf>
    <xf numFmtId="0" fontId="44" fillId="56" borderId="329" applyNumberFormat="0" applyAlignment="0" applyProtection="0"/>
    <xf numFmtId="0" fontId="46" fillId="56" borderId="330" applyNumberFormat="0" applyAlignment="0" applyProtection="0"/>
    <xf numFmtId="0" fontId="47" fillId="56" borderId="330" applyNumberFormat="0" applyAlignment="0" applyProtection="0"/>
    <xf numFmtId="0" fontId="50" fillId="43" borderId="330" applyNumberFormat="0" applyAlignment="0" applyProtection="0"/>
    <xf numFmtId="0" fontId="51" fillId="0" borderId="331" applyNumberFormat="0" applyFill="0" applyAlignment="0" applyProtection="0"/>
    <xf numFmtId="0" fontId="59" fillId="43" borderId="330" applyNumberFormat="0" applyAlignment="0" applyProtection="0"/>
    <xf numFmtId="0" fontId="41" fillId="59" borderId="332" applyNumberFormat="0" applyFont="0" applyAlignment="0" applyProtection="0"/>
    <xf numFmtId="0" fontId="5" fillId="59" borderId="332" applyNumberFormat="0" applyFont="0" applyAlignment="0" applyProtection="0"/>
    <xf numFmtId="0" fontId="63" fillId="56" borderId="329" applyNumberFormat="0" applyAlignment="0" applyProtection="0"/>
    <xf numFmtId="0" fontId="66" fillId="0" borderId="331" applyNumberFormat="0" applyFill="0" applyAlignment="0" applyProtection="0"/>
    <xf numFmtId="0" fontId="47" fillId="56" borderId="330" applyNumberFormat="0" applyAlignment="0" applyProtection="0"/>
    <xf numFmtId="0" fontId="59" fillId="43" borderId="330" applyNumberFormat="0" applyAlignment="0" applyProtection="0"/>
    <xf numFmtId="0" fontId="41" fillId="59" borderId="332" applyNumberFormat="0" applyFont="0" applyAlignment="0" applyProtection="0"/>
    <xf numFmtId="0" fontId="63" fillId="56" borderId="329" applyNumberFormat="0" applyAlignment="0" applyProtection="0"/>
    <xf numFmtId="0" fontId="66" fillId="0" borderId="331" applyNumberFormat="0" applyFill="0" applyAlignment="0" applyProtection="0"/>
    <xf numFmtId="4" fontId="35" fillId="0" borderId="341">
      <alignment horizontal="right" vertical="center"/>
    </xf>
    <xf numFmtId="4" fontId="33" fillId="34" borderId="346">
      <alignment horizontal="right" vertical="center"/>
    </xf>
    <xf numFmtId="4" fontId="33" fillId="34" borderId="341">
      <alignment horizontal="right" vertical="center"/>
    </xf>
    <xf numFmtId="4" fontId="37" fillId="32" borderId="341">
      <alignment horizontal="right" vertical="center"/>
    </xf>
    <xf numFmtId="0" fontId="47" fillId="56" borderId="330" applyNumberFormat="0" applyAlignment="0" applyProtection="0"/>
    <xf numFmtId="0" fontId="59" fillId="43" borderId="351" applyNumberFormat="0" applyAlignment="0" applyProtection="0"/>
    <xf numFmtId="0" fontId="66" fillId="0" borderId="339" applyNumberFormat="0" applyFill="0" applyAlignment="0" applyProtection="0"/>
    <xf numFmtId="0" fontId="33" fillId="32" borderId="341">
      <alignment horizontal="right" vertical="center"/>
    </xf>
    <xf numFmtId="0" fontId="59" fillId="43" borderId="330" applyNumberFormat="0" applyAlignment="0" applyProtection="0"/>
    <xf numFmtId="0" fontId="63" fillId="56" borderId="329" applyNumberFormat="0" applyAlignment="0" applyProtection="0"/>
    <xf numFmtId="0" fontId="66" fillId="0" borderId="331" applyNumberFormat="0" applyFill="0" applyAlignment="0" applyProtection="0"/>
    <xf numFmtId="0" fontId="12" fillId="19" borderId="0" applyNumberFormat="0" applyBorder="0" applyAlignment="0" applyProtection="0"/>
    <xf numFmtId="0" fontId="44" fillId="56" borderId="329" applyNumberFormat="0" applyAlignment="0" applyProtection="0"/>
    <xf numFmtId="0" fontId="46" fillId="56" borderId="330" applyNumberFormat="0" applyAlignment="0" applyProtection="0"/>
    <xf numFmtId="0" fontId="51" fillId="0" borderId="331" applyNumberFormat="0" applyFill="0" applyAlignment="0" applyProtection="0"/>
    <xf numFmtId="49" fontId="35" fillId="0" borderId="333" applyNumberFormat="0" applyFont="0" applyFill="0" applyBorder="0" applyProtection="0">
      <alignment horizontal="left" vertical="center" indent="2"/>
    </xf>
    <xf numFmtId="0" fontId="33" fillId="32" borderId="333">
      <alignment horizontal="right" vertical="center"/>
    </xf>
    <xf numFmtId="4" fontId="33" fillId="32" borderId="333">
      <alignment horizontal="right" vertical="center"/>
    </xf>
    <xf numFmtId="0" fontId="37" fillId="32" borderId="333">
      <alignment horizontal="right" vertical="center"/>
    </xf>
    <xf numFmtId="4" fontId="37" fillId="32" borderId="333">
      <alignment horizontal="right" vertical="center"/>
    </xf>
    <xf numFmtId="0" fontId="33" fillId="34" borderId="333">
      <alignment horizontal="right" vertical="center"/>
    </xf>
    <xf numFmtId="4" fontId="33" fillId="34" borderId="333">
      <alignment horizontal="right" vertical="center"/>
    </xf>
    <xf numFmtId="0" fontId="33" fillId="34" borderId="333">
      <alignment horizontal="right" vertical="center"/>
    </xf>
    <xf numFmtId="4" fontId="33" fillId="34" borderId="333">
      <alignment horizontal="right" vertical="center"/>
    </xf>
    <xf numFmtId="0" fontId="50" fillId="43" borderId="330" applyNumberFormat="0" applyAlignment="0" applyProtection="0"/>
    <xf numFmtId="0" fontId="35" fillId="0" borderId="333">
      <alignment horizontal="right" vertical="center"/>
    </xf>
    <xf numFmtId="4" fontId="35" fillId="0" borderId="333">
      <alignment horizontal="right" vertical="center"/>
    </xf>
    <xf numFmtId="4" fontId="35" fillId="0" borderId="333" applyFill="0" applyBorder="0" applyProtection="0">
      <alignment horizontal="right" vertical="center"/>
    </xf>
    <xf numFmtId="49" fontId="34" fillId="0" borderId="333" applyNumberFormat="0" applyFill="0" applyBorder="0" applyProtection="0">
      <alignment horizontal="left" vertical="center"/>
    </xf>
    <xf numFmtId="0" fontId="35" fillId="0" borderId="333" applyNumberFormat="0" applyFill="0" applyAlignment="0" applyProtection="0"/>
    <xf numFmtId="173" fontId="35" fillId="60" borderId="333" applyNumberFormat="0" applyFont="0" applyBorder="0" applyAlignment="0" applyProtection="0">
      <alignment horizontal="right" vertical="center"/>
    </xf>
    <xf numFmtId="0" fontId="35" fillId="33" borderId="333"/>
    <xf numFmtId="4" fontId="35" fillId="33" borderId="333"/>
    <xf numFmtId="4" fontId="33" fillId="34" borderId="333">
      <alignment horizontal="right" vertical="center"/>
    </xf>
    <xf numFmtId="0" fontId="35" fillId="33" borderId="333"/>
    <xf numFmtId="0" fontId="46" fillId="56" borderId="330" applyNumberFormat="0" applyAlignment="0" applyProtection="0"/>
    <xf numFmtId="0" fontId="33" fillId="32" borderId="333">
      <alignment horizontal="right" vertical="center"/>
    </xf>
    <xf numFmtId="0" fontId="35" fillId="0" borderId="333">
      <alignment horizontal="right" vertical="center"/>
    </xf>
    <xf numFmtId="0" fontId="66" fillId="0" borderId="331" applyNumberFormat="0" applyFill="0" applyAlignment="0" applyProtection="0"/>
    <xf numFmtId="0" fontId="35" fillId="32" borderId="334">
      <alignment horizontal="left" vertical="center"/>
    </xf>
    <xf numFmtId="0" fontId="59" fillId="43" borderId="330" applyNumberFormat="0" applyAlignment="0" applyProtection="0"/>
    <xf numFmtId="173" fontId="35" fillId="60" borderId="333" applyNumberFormat="0" applyFont="0" applyBorder="0" applyAlignment="0" applyProtection="0">
      <alignment horizontal="right" vertical="center"/>
    </xf>
    <xf numFmtId="0" fontId="41" fillId="59" borderId="332" applyNumberFormat="0" applyFont="0" applyAlignment="0" applyProtection="0"/>
    <xf numFmtId="0" fontId="35" fillId="0" borderId="336">
      <alignment horizontal="left" vertical="center" wrapText="1" indent="2"/>
    </xf>
    <xf numFmtId="4" fontId="35" fillId="33" borderId="333"/>
    <xf numFmtId="49" fontId="34" fillId="0" borderId="333" applyNumberFormat="0" applyFill="0" applyBorder="0" applyProtection="0">
      <alignment horizontal="left" vertical="center"/>
    </xf>
    <xf numFmtId="0" fontId="35" fillId="0" borderId="333">
      <alignment horizontal="right" vertical="center"/>
    </xf>
    <xf numFmtId="4" fontId="33" fillId="34" borderId="335">
      <alignment horizontal="right" vertical="center"/>
    </xf>
    <xf numFmtId="4" fontId="33" fillId="34" borderId="333">
      <alignment horizontal="right" vertical="center"/>
    </xf>
    <xf numFmtId="4" fontId="33" fillId="34" borderId="333">
      <alignment horizontal="right" vertical="center"/>
    </xf>
    <xf numFmtId="0" fontId="37" fillId="32" borderId="333">
      <alignment horizontal="right" vertical="center"/>
    </xf>
    <xf numFmtId="0" fontId="33" fillId="32" borderId="333">
      <alignment horizontal="right" vertical="center"/>
    </xf>
    <xf numFmtId="49" fontId="35" fillId="0" borderId="333" applyNumberFormat="0" applyFont="0" applyFill="0" applyBorder="0" applyProtection="0">
      <alignment horizontal="left" vertical="center" indent="2"/>
    </xf>
    <xf numFmtId="0" fontId="59" fillId="43" borderId="330" applyNumberFormat="0" applyAlignment="0" applyProtection="0"/>
    <xf numFmtId="0" fontId="44" fillId="56" borderId="329" applyNumberFormat="0" applyAlignment="0" applyProtection="0"/>
    <xf numFmtId="49" fontId="35" fillId="0" borderId="333" applyNumberFormat="0" applyFont="0" applyFill="0" applyBorder="0" applyProtection="0">
      <alignment horizontal="left" vertical="center" indent="2"/>
    </xf>
    <xf numFmtId="0" fontId="50" fillId="43" borderId="330" applyNumberFormat="0" applyAlignment="0" applyProtection="0"/>
    <xf numFmtId="4" fontId="35" fillId="0" borderId="333" applyFill="0" applyBorder="0" applyProtection="0">
      <alignment horizontal="right" vertical="center"/>
    </xf>
    <xf numFmtId="0" fontId="47" fillId="56" borderId="330" applyNumberFormat="0" applyAlignment="0" applyProtection="0"/>
    <xf numFmtId="0" fontId="66" fillId="0" borderId="331" applyNumberFormat="0" applyFill="0" applyAlignment="0" applyProtection="0"/>
    <xf numFmtId="0" fontId="63" fillId="56" borderId="329" applyNumberFormat="0" applyAlignment="0" applyProtection="0"/>
    <xf numFmtId="0" fontId="35" fillId="0" borderId="333" applyNumberFormat="0" applyFill="0" applyAlignment="0" applyProtection="0"/>
    <xf numFmtId="4" fontId="35" fillId="0" borderId="333">
      <alignment horizontal="right" vertical="center"/>
    </xf>
    <xf numFmtId="0" fontId="35" fillId="0" borderId="333">
      <alignment horizontal="right" vertical="center"/>
    </xf>
    <xf numFmtId="0" fontId="59" fillId="43" borderId="330" applyNumberFormat="0" applyAlignment="0" applyProtection="0"/>
    <xf numFmtId="0" fontId="44" fillId="56" borderId="329" applyNumberFormat="0" applyAlignment="0" applyProtection="0"/>
    <xf numFmtId="0" fontId="46" fillId="56" borderId="330" applyNumberFormat="0" applyAlignment="0" applyProtection="0"/>
    <xf numFmtId="0" fontId="35" fillId="34" borderId="336">
      <alignment horizontal="left" vertical="center" wrapText="1" indent="2"/>
    </xf>
    <xf numFmtId="0" fontId="47" fillId="56" borderId="330" applyNumberFormat="0" applyAlignment="0" applyProtection="0"/>
    <xf numFmtId="0" fontId="47" fillId="56" borderId="330" applyNumberFormat="0" applyAlignment="0" applyProtection="0"/>
    <xf numFmtId="4" fontId="33" fillId="34" borderId="334">
      <alignment horizontal="right" vertical="center"/>
    </xf>
    <xf numFmtId="0" fontId="33" fillId="34" borderId="334">
      <alignment horizontal="right" vertical="center"/>
    </xf>
    <xf numFmtId="0" fontId="33" fillId="34" borderId="333">
      <alignment horizontal="right" vertical="center"/>
    </xf>
    <xf numFmtId="4" fontId="37" fillId="32" borderId="333">
      <alignment horizontal="right" vertical="center"/>
    </xf>
    <xf numFmtId="0" fontId="50" fillId="43" borderId="330" applyNumberFormat="0" applyAlignment="0" applyProtection="0"/>
    <xf numFmtId="0" fontId="51" fillId="0" borderId="331" applyNumberFormat="0" applyFill="0" applyAlignment="0" applyProtection="0"/>
    <xf numFmtId="0" fontId="66" fillId="0" borderId="331" applyNumberFormat="0" applyFill="0" applyAlignment="0" applyProtection="0"/>
    <xf numFmtId="0" fontId="41" fillId="59" borderId="332" applyNumberFormat="0" applyFont="0" applyAlignment="0" applyProtection="0"/>
    <xf numFmtId="0" fontId="59" fillId="43" borderId="330" applyNumberFormat="0" applyAlignment="0" applyProtection="0"/>
    <xf numFmtId="49" fontId="34" fillId="0" borderId="333" applyNumberFormat="0" applyFill="0" applyBorder="0" applyProtection="0">
      <alignment horizontal="left" vertical="center"/>
    </xf>
    <xf numFmtId="0" fontId="35" fillId="34" borderId="336">
      <alignment horizontal="left" vertical="center" wrapText="1" indent="2"/>
    </xf>
    <xf numFmtId="0" fontId="47" fillId="56" borderId="330" applyNumberFormat="0" applyAlignment="0" applyProtection="0"/>
    <xf numFmtId="0" fontId="35" fillId="0" borderId="336">
      <alignment horizontal="left" vertical="center" wrapText="1" indent="2"/>
    </xf>
    <xf numFmtId="0" fontId="41" fillId="59" borderId="332" applyNumberFormat="0" applyFont="0" applyAlignment="0" applyProtection="0"/>
    <xf numFmtId="0" fontId="5" fillId="59" borderId="332" applyNumberFormat="0" applyFont="0" applyAlignment="0" applyProtection="0"/>
    <xf numFmtId="0" fontId="63" fillId="56" borderId="329" applyNumberFormat="0" applyAlignment="0" applyProtection="0"/>
    <xf numFmtId="0" fontId="66" fillId="0" borderId="331" applyNumberFormat="0" applyFill="0" applyAlignment="0" applyProtection="0"/>
    <xf numFmtId="4" fontId="35" fillId="33" borderId="333"/>
    <xf numFmtId="0" fontId="33" fillId="34" borderId="333">
      <alignment horizontal="right" vertical="center"/>
    </xf>
    <xf numFmtId="0" fontId="66" fillId="0" borderId="331" applyNumberFormat="0" applyFill="0" applyAlignment="0" applyProtection="0"/>
    <xf numFmtId="4" fontId="33" fillId="34" borderId="335">
      <alignment horizontal="right" vertical="center"/>
    </xf>
    <xf numFmtId="0" fontId="46" fillId="56" borderId="330" applyNumberFormat="0" applyAlignment="0" applyProtection="0"/>
    <xf numFmtId="0" fontId="33" fillId="34" borderId="334">
      <alignment horizontal="right" vertical="center"/>
    </xf>
    <xf numFmtId="0" fontId="47" fillId="56" borderId="330" applyNumberFormat="0" applyAlignment="0" applyProtection="0"/>
    <xf numFmtId="0" fontId="51" fillId="0" borderId="331" applyNumberFormat="0" applyFill="0" applyAlignment="0" applyProtection="0"/>
    <xf numFmtId="0" fontId="41" fillId="59" borderId="332" applyNumberFormat="0" applyFont="0" applyAlignment="0" applyProtection="0"/>
    <xf numFmtId="4" fontId="33" fillId="34" borderId="334">
      <alignment horizontal="right" vertical="center"/>
    </xf>
    <xf numFmtId="0" fontId="35" fillId="34" borderId="336">
      <alignment horizontal="left" vertical="center" wrapText="1" indent="2"/>
    </xf>
    <xf numFmtId="0" fontId="35" fillId="33" borderId="333"/>
    <xf numFmtId="173" fontId="35" fillId="60" borderId="333" applyNumberFormat="0" applyFont="0" applyBorder="0" applyAlignment="0" applyProtection="0">
      <alignment horizontal="right" vertical="center"/>
    </xf>
    <xf numFmtId="0" fontId="35" fillId="0" borderId="333" applyNumberFormat="0" applyFill="0" applyAlignment="0" applyProtection="0"/>
    <xf numFmtId="4" fontId="35" fillId="0" borderId="333" applyFill="0" applyBorder="0" applyProtection="0">
      <alignment horizontal="right" vertical="center"/>
    </xf>
    <xf numFmtId="4" fontId="33" fillId="32" borderId="333">
      <alignment horizontal="right" vertical="center"/>
    </xf>
    <xf numFmtId="0" fontId="51" fillId="0" borderId="331" applyNumberFormat="0" applyFill="0" applyAlignment="0" applyProtection="0"/>
    <xf numFmtId="49" fontId="34" fillId="0" borderId="333" applyNumberFormat="0" applyFill="0" applyBorder="0" applyProtection="0">
      <alignment horizontal="left" vertical="center"/>
    </xf>
    <xf numFmtId="49" fontId="35" fillId="0" borderId="334" applyNumberFormat="0" applyFont="0" applyFill="0" applyBorder="0" applyProtection="0">
      <alignment horizontal="left" vertical="center" indent="5"/>
    </xf>
    <xf numFmtId="0" fontId="35" fillId="32" borderId="334">
      <alignment horizontal="left" vertical="center"/>
    </xf>
    <xf numFmtId="0" fontId="47" fillId="56" borderId="330" applyNumberFormat="0" applyAlignment="0" applyProtection="0"/>
    <xf numFmtId="4" fontId="33" fillId="34" borderId="335">
      <alignment horizontal="right" vertical="center"/>
    </xf>
    <xf numFmtId="0" fontId="59" fillId="43" borderId="330" applyNumberFormat="0" applyAlignment="0" applyProtection="0"/>
    <xf numFmtId="0" fontId="59" fillId="43" borderId="330" applyNumberFormat="0" applyAlignment="0" applyProtection="0"/>
    <xf numFmtId="0" fontId="41" fillId="59" borderId="332" applyNumberFormat="0" applyFont="0" applyAlignment="0" applyProtection="0"/>
    <xf numFmtId="0" fontId="63" fillId="56" borderId="329" applyNumberFormat="0" applyAlignment="0" applyProtection="0"/>
    <xf numFmtId="0" fontId="66" fillId="0" borderId="331" applyNumberFormat="0" applyFill="0" applyAlignment="0" applyProtection="0"/>
    <xf numFmtId="0" fontId="33" fillId="34" borderId="333">
      <alignment horizontal="right" vertical="center"/>
    </xf>
    <xf numFmtId="0" fontId="5" fillId="59" borderId="332" applyNumberFormat="0" applyFont="0" applyAlignment="0" applyProtection="0"/>
    <xf numFmtId="4" fontId="35" fillId="0" borderId="333">
      <alignment horizontal="right" vertical="center"/>
    </xf>
    <xf numFmtId="0" fontId="66" fillId="0" borderId="331" applyNumberFormat="0" applyFill="0" applyAlignment="0" applyProtection="0"/>
    <xf numFmtId="0" fontId="33" fillId="34" borderId="333">
      <alignment horizontal="right" vertical="center"/>
    </xf>
    <xf numFmtId="0" fontId="33" fillId="34" borderId="333">
      <alignment horizontal="right" vertical="center"/>
    </xf>
    <xf numFmtId="4" fontId="37" fillId="32" borderId="333">
      <alignment horizontal="right" vertical="center"/>
    </xf>
    <xf numFmtId="0" fontId="33" fillId="32" borderId="333">
      <alignment horizontal="right" vertical="center"/>
    </xf>
    <xf numFmtId="4" fontId="33" fillId="32" borderId="333">
      <alignment horizontal="right" vertical="center"/>
    </xf>
    <xf numFmtId="0" fontId="37" fillId="32" borderId="333">
      <alignment horizontal="right" vertical="center"/>
    </xf>
    <xf numFmtId="4" fontId="37" fillId="32" borderId="333">
      <alignment horizontal="right" vertical="center"/>
    </xf>
    <xf numFmtId="0" fontId="33" fillId="34" borderId="333">
      <alignment horizontal="right" vertical="center"/>
    </xf>
    <xf numFmtId="4" fontId="33" fillId="34" borderId="333">
      <alignment horizontal="right" vertical="center"/>
    </xf>
    <xf numFmtId="0" fontId="33" fillId="34" borderId="333">
      <alignment horizontal="right" vertical="center"/>
    </xf>
    <xf numFmtId="4" fontId="33" fillId="34" borderId="333">
      <alignment horizontal="right" vertical="center"/>
    </xf>
    <xf numFmtId="0" fontId="33" fillId="34" borderId="334">
      <alignment horizontal="right" vertical="center"/>
    </xf>
    <xf numFmtId="4" fontId="33" fillId="34" borderId="334">
      <alignment horizontal="right" vertical="center"/>
    </xf>
    <xf numFmtId="0" fontId="33" fillId="34" borderId="335">
      <alignment horizontal="right" vertical="center"/>
    </xf>
    <xf numFmtId="4" fontId="33" fillId="34" borderId="335">
      <alignment horizontal="right" vertical="center"/>
    </xf>
    <xf numFmtId="0" fontId="47" fillId="56" borderId="330" applyNumberFormat="0" applyAlignment="0" applyProtection="0"/>
    <xf numFmtId="0" fontId="35" fillId="34" borderId="336">
      <alignment horizontal="left" vertical="center" wrapText="1" indent="2"/>
    </xf>
    <xf numFmtId="0" fontId="35" fillId="0" borderId="336">
      <alignment horizontal="left" vertical="center" wrapText="1" indent="2"/>
    </xf>
    <xf numFmtId="0" fontId="35" fillId="32" borderId="334">
      <alignment horizontal="left" vertical="center"/>
    </xf>
    <xf numFmtId="0" fontId="59" fillId="43" borderId="330" applyNumberFormat="0" applyAlignment="0" applyProtection="0"/>
    <xf numFmtId="0" fontId="35" fillId="0" borderId="333">
      <alignment horizontal="right" vertical="center"/>
    </xf>
    <xf numFmtId="4" fontId="35" fillId="0" borderId="333">
      <alignment horizontal="right" vertical="center"/>
    </xf>
    <xf numFmtId="0" fontId="35" fillId="0" borderId="333" applyNumberFormat="0" applyFill="0" applyAlignment="0" applyProtection="0"/>
    <xf numFmtId="0" fontId="63" fillId="56" borderId="329" applyNumberFormat="0" applyAlignment="0" applyProtection="0"/>
    <xf numFmtId="173" fontId="35" fillId="60" borderId="333" applyNumberFormat="0" applyFont="0" applyBorder="0" applyAlignment="0" applyProtection="0">
      <alignment horizontal="right" vertical="center"/>
    </xf>
    <xf numFmtId="0" fontId="35" fillId="33" borderId="333"/>
    <xf numFmtId="4" fontId="35" fillId="33" borderId="333"/>
    <xf numFmtId="0" fontId="66" fillId="0" borderId="331" applyNumberFormat="0" applyFill="0" applyAlignment="0" applyProtection="0"/>
    <xf numFmtId="0" fontId="5" fillId="59" borderId="332" applyNumberFormat="0" applyFont="0" applyAlignment="0" applyProtection="0"/>
    <xf numFmtId="0" fontId="41" fillId="59" borderId="332" applyNumberFormat="0" applyFont="0" applyAlignment="0" applyProtection="0"/>
    <xf numFmtId="0" fontId="35" fillId="0" borderId="333" applyNumberFormat="0" applyFill="0" applyAlignment="0" applyProtection="0"/>
    <xf numFmtId="0" fontId="51" fillId="0" borderId="331" applyNumberFormat="0" applyFill="0" applyAlignment="0" applyProtection="0"/>
    <xf numFmtId="0" fontId="66" fillId="0" borderId="331" applyNumberFormat="0" applyFill="0" applyAlignment="0" applyProtection="0"/>
    <xf numFmtId="0" fontId="50" fillId="43" borderId="330" applyNumberFormat="0" applyAlignment="0" applyProtection="0"/>
    <xf numFmtId="0" fontId="47" fillId="56" borderId="330" applyNumberFormat="0" applyAlignment="0" applyProtection="0"/>
    <xf numFmtId="4" fontId="37" fillId="32" borderId="333">
      <alignment horizontal="right" vertical="center"/>
    </xf>
    <xf numFmtId="0" fontId="33" fillId="32" borderId="333">
      <alignment horizontal="right" vertical="center"/>
    </xf>
    <xf numFmtId="173" fontId="35" fillId="60" borderId="333" applyNumberFormat="0" applyFont="0" applyBorder="0" applyAlignment="0" applyProtection="0">
      <alignment horizontal="right" vertical="center"/>
    </xf>
    <xf numFmtId="0" fontId="51" fillId="0" borderId="331" applyNumberFormat="0" applyFill="0" applyAlignment="0" applyProtection="0"/>
    <xf numFmtId="49" fontId="35" fillId="0" borderId="333" applyNumberFormat="0" applyFont="0" applyFill="0" applyBorder="0" applyProtection="0">
      <alignment horizontal="left" vertical="center" indent="2"/>
    </xf>
    <xf numFmtId="49" fontId="35" fillId="0" borderId="334" applyNumberFormat="0" applyFont="0" applyFill="0" applyBorder="0" applyProtection="0">
      <alignment horizontal="left" vertical="center" indent="5"/>
    </xf>
    <xf numFmtId="49" fontId="35" fillId="0" borderId="333" applyNumberFormat="0" applyFont="0" applyFill="0" applyBorder="0" applyProtection="0">
      <alignment horizontal="left" vertical="center" indent="2"/>
    </xf>
    <xf numFmtId="4" fontId="35" fillId="0" borderId="333" applyFill="0" applyBorder="0" applyProtection="0">
      <alignment horizontal="right" vertical="center"/>
    </xf>
    <xf numFmtId="49" fontId="34" fillId="0" borderId="333" applyNumberFormat="0" applyFill="0" applyBorder="0" applyProtection="0">
      <alignment horizontal="left" vertical="center"/>
    </xf>
    <xf numFmtId="0" fontId="35" fillId="0" borderId="336">
      <alignment horizontal="left" vertical="center" wrapText="1" indent="2"/>
    </xf>
    <xf numFmtId="0" fontId="63" fillId="56" borderId="329" applyNumberFormat="0" applyAlignment="0" applyProtection="0"/>
    <xf numFmtId="0" fontId="33" fillId="34" borderId="335">
      <alignment horizontal="right" vertical="center"/>
    </xf>
    <xf numFmtId="0" fontId="50" fillId="43" borderId="330" applyNumberFormat="0" applyAlignment="0" applyProtection="0"/>
    <xf numFmtId="0" fontId="33" fillId="34" borderId="335">
      <alignment horizontal="right" vertical="center"/>
    </xf>
    <xf numFmtId="4" fontId="33" fillId="34" borderId="333">
      <alignment horizontal="right" vertical="center"/>
    </xf>
    <xf numFmtId="0" fontId="33" fillId="34" borderId="333">
      <alignment horizontal="right" vertical="center"/>
    </xf>
    <xf numFmtId="0" fontId="44" fillId="56" borderId="329" applyNumberFormat="0" applyAlignment="0" applyProtection="0"/>
    <xf numFmtId="0" fontId="46" fillId="56" borderId="330" applyNumberFormat="0" applyAlignment="0" applyProtection="0"/>
    <xf numFmtId="0" fontId="51" fillId="0" borderId="331" applyNumberFormat="0" applyFill="0" applyAlignment="0" applyProtection="0"/>
    <xf numFmtId="0" fontId="35" fillId="33" borderId="333"/>
    <xf numFmtId="4" fontId="35" fillId="33" borderId="333"/>
    <xf numFmtId="4" fontId="33" fillId="34" borderId="333">
      <alignment horizontal="right" vertical="center"/>
    </xf>
    <xf numFmtId="0" fontId="37" fillId="32" borderId="333">
      <alignment horizontal="right" vertical="center"/>
    </xf>
    <xf numFmtId="0" fontId="50" fillId="43" borderId="330" applyNumberFormat="0" applyAlignment="0" applyProtection="0"/>
    <xf numFmtId="0" fontId="47" fillId="56" borderId="330" applyNumberFormat="0" applyAlignment="0" applyProtection="0"/>
    <xf numFmtId="4" fontId="35" fillId="0" borderId="333">
      <alignment horizontal="right" vertical="center"/>
    </xf>
    <xf numFmtId="0" fontId="35" fillId="34" borderId="336">
      <alignment horizontal="left" vertical="center" wrapText="1" indent="2"/>
    </xf>
    <xf numFmtId="0" fontId="35" fillId="0" borderId="336">
      <alignment horizontal="left" vertical="center" wrapText="1" indent="2"/>
    </xf>
    <xf numFmtId="0" fontId="63" fillId="56" borderId="329" applyNumberFormat="0" applyAlignment="0" applyProtection="0"/>
    <xf numFmtId="0" fontId="59" fillId="43" borderId="330" applyNumberFormat="0" applyAlignment="0" applyProtection="0"/>
    <xf numFmtId="0" fontId="46" fillId="56" borderId="330" applyNumberFormat="0" applyAlignment="0" applyProtection="0"/>
    <xf numFmtId="0" fontId="44" fillId="56" borderId="329" applyNumberFormat="0" applyAlignment="0" applyProtection="0"/>
    <xf numFmtId="0" fontId="33" fillId="34" borderId="335">
      <alignment horizontal="right" vertical="center"/>
    </xf>
    <xf numFmtId="0" fontId="37" fillId="32" borderId="333">
      <alignment horizontal="right" vertical="center"/>
    </xf>
    <xf numFmtId="4" fontId="33" fillId="32" borderId="333">
      <alignment horizontal="right" vertical="center"/>
    </xf>
    <xf numFmtId="4" fontId="33" fillId="34" borderId="333">
      <alignment horizontal="right" vertical="center"/>
    </xf>
    <xf numFmtId="49" fontId="35" fillId="0" borderId="334" applyNumberFormat="0" applyFont="0" applyFill="0" applyBorder="0" applyProtection="0">
      <alignment horizontal="left" vertical="center" indent="5"/>
    </xf>
    <xf numFmtId="4" fontId="35" fillId="0" borderId="333" applyFill="0" applyBorder="0" applyProtection="0">
      <alignment horizontal="right" vertical="center"/>
    </xf>
    <xf numFmtId="4" fontId="33" fillId="32" borderId="333">
      <alignment horizontal="right" vertical="center"/>
    </xf>
    <xf numFmtId="0" fontId="59" fillId="43" borderId="330" applyNumberFormat="0" applyAlignment="0" applyProtection="0"/>
    <xf numFmtId="0" fontId="50" fillId="43" borderId="330" applyNumberFormat="0" applyAlignment="0" applyProtection="0"/>
    <xf numFmtId="0" fontId="46" fillId="56" borderId="330" applyNumberFormat="0" applyAlignment="0" applyProtection="0"/>
    <xf numFmtId="0" fontId="35" fillId="34" borderId="336">
      <alignment horizontal="left" vertical="center" wrapText="1" indent="2"/>
    </xf>
    <xf numFmtId="0" fontId="35" fillId="0" borderId="336">
      <alignment horizontal="left" vertical="center" wrapText="1" indent="2"/>
    </xf>
    <xf numFmtId="0" fontId="35" fillId="34" borderId="336">
      <alignment horizontal="left" vertical="center" wrapText="1" indent="2"/>
    </xf>
    <xf numFmtId="4" fontId="33" fillId="32" borderId="341">
      <alignment horizontal="right" vertical="center"/>
    </xf>
    <xf numFmtId="0" fontId="30" fillId="13" borderId="13" applyNumberFormat="0" applyAlignment="0" applyProtection="0"/>
    <xf numFmtId="0" fontId="66" fillId="0" borderId="339" applyNumberFormat="0" applyFill="0" applyAlignment="0" applyProtection="0"/>
    <xf numFmtId="0" fontId="41" fillId="59" borderId="340" applyNumberFormat="0" applyFont="0" applyAlignment="0" applyProtection="0"/>
    <xf numFmtId="4" fontId="33" fillId="34" borderId="334">
      <alignment horizontal="right" vertical="center"/>
    </xf>
    <xf numFmtId="0" fontId="44" fillId="56" borderId="350" applyNumberFormat="0" applyAlignment="0" applyProtection="0"/>
    <xf numFmtId="0" fontId="33" fillId="34" borderId="346">
      <alignment horizontal="right" vertical="center"/>
    </xf>
    <xf numFmtId="0" fontId="50" fillId="43" borderId="338" applyNumberFormat="0" applyAlignment="0" applyProtection="0"/>
    <xf numFmtId="0" fontId="47" fillId="56" borderId="338" applyNumberFormat="0" applyAlignment="0" applyProtection="0"/>
    <xf numFmtId="0" fontId="33" fillId="34" borderId="346">
      <alignment horizontal="right" vertical="center"/>
    </xf>
    <xf numFmtId="0" fontId="35" fillId="32" borderId="334">
      <alignment horizontal="left" vertical="center"/>
    </xf>
    <xf numFmtId="0" fontId="33" fillId="34" borderId="341">
      <alignment horizontal="right" vertical="center"/>
    </xf>
    <xf numFmtId="4" fontId="35" fillId="33" borderId="341"/>
    <xf numFmtId="0" fontId="27" fillId="15" borderId="0" applyNumberFormat="0" applyBorder="0" applyAlignment="0" applyProtection="0"/>
    <xf numFmtId="0" fontId="33" fillId="34" borderId="346">
      <alignment horizontal="right" vertical="center"/>
    </xf>
    <xf numFmtId="0" fontId="47" fillId="56" borderId="338" applyNumberFormat="0" applyAlignment="0" applyProtection="0"/>
    <xf numFmtId="0" fontId="47" fillId="56" borderId="338" applyNumberFormat="0" applyAlignment="0" applyProtection="0"/>
    <xf numFmtId="0" fontId="33" fillId="34" borderId="341">
      <alignment horizontal="right" vertical="center"/>
    </xf>
    <xf numFmtId="0" fontId="35" fillId="34" borderId="344">
      <alignment horizontal="left" vertical="center" wrapText="1" indent="2"/>
    </xf>
    <xf numFmtId="0" fontId="47" fillId="56" borderId="351" applyNumberFormat="0" applyAlignment="0" applyProtection="0"/>
    <xf numFmtId="0" fontId="59" fillId="43" borderId="338" applyNumberFormat="0" applyAlignment="0" applyProtection="0"/>
    <xf numFmtId="0" fontId="27" fillId="30" borderId="0" applyNumberFormat="0" applyBorder="0" applyAlignment="0" applyProtection="0"/>
    <xf numFmtId="0" fontId="50" fillId="43" borderId="351" applyNumberFormat="0" applyAlignment="0" applyProtection="0"/>
    <xf numFmtId="0" fontId="59" fillId="43" borderId="338" applyNumberFormat="0" applyAlignment="0" applyProtection="0"/>
    <xf numFmtId="0" fontId="41" fillId="59" borderId="340" applyNumberFormat="0" applyFont="0" applyAlignment="0" applyProtection="0"/>
    <xf numFmtId="0" fontId="33" fillId="34" borderId="346">
      <alignment horizontal="right" vertical="center"/>
    </xf>
    <xf numFmtId="0" fontId="12" fillId="19" borderId="0" applyNumberFormat="0" applyBorder="0" applyAlignment="0" applyProtection="0"/>
    <xf numFmtId="0" fontId="35" fillId="0" borderId="341">
      <alignment horizontal="right" vertical="center"/>
    </xf>
    <xf numFmtId="0" fontId="41" fillId="59" borderId="345" applyNumberFormat="0" applyFont="0" applyAlignment="0" applyProtection="0"/>
    <xf numFmtId="0" fontId="37" fillId="32" borderId="341">
      <alignment horizontal="right" vertical="center"/>
    </xf>
    <xf numFmtId="0" fontId="44" fillId="56" borderId="337" applyNumberFormat="0" applyAlignment="0" applyProtection="0"/>
    <xf numFmtId="0" fontId="37" fillId="32" borderId="346">
      <alignment horizontal="right" vertical="center"/>
    </xf>
    <xf numFmtId="0" fontId="51" fillId="0" borderId="339" applyNumberFormat="0" applyFill="0" applyAlignment="0" applyProtection="0"/>
    <xf numFmtId="0" fontId="35" fillId="32" borderId="342">
      <alignment horizontal="left" vertical="center"/>
    </xf>
    <xf numFmtId="0" fontId="12" fillId="25" borderId="0" applyNumberFormat="0" applyBorder="0" applyAlignment="0" applyProtection="0"/>
    <xf numFmtId="0" fontId="59" fillId="43" borderId="338" applyNumberFormat="0" applyAlignment="0" applyProtection="0"/>
    <xf numFmtId="0" fontId="41" fillId="59" borderId="340" applyNumberFormat="0" applyFont="0" applyAlignment="0" applyProtection="0"/>
    <xf numFmtId="0" fontId="27" fillId="27" borderId="0" applyNumberFormat="0" applyBorder="0" applyAlignment="0" applyProtection="0"/>
    <xf numFmtId="0" fontId="27" fillId="18" borderId="0" applyNumberFormat="0" applyBorder="0" applyAlignment="0" applyProtection="0"/>
    <xf numFmtId="0" fontId="51" fillId="0" borderId="339" applyNumberFormat="0" applyFill="0" applyAlignment="0" applyProtection="0"/>
    <xf numFmtId="49" fontId="35" fillId="0" borderId="341" applyNumberFormat="0" applyFont="0" applyFill="0" applyBorder="0" applyProtection="0">
      <alignment horizontal="left" vertical="center" indent="2"/>
    </xf>
    <xf numFmtId="0" fontId="47" fillId="56" borderId="338" applyNumberFormat="0" applyAlignment="0" applyProtection="0"/>
    <xf numFmtId="0" fontId="35" fillId="0" borderId="344">
      <alignment horizontal="left" vertical="center" wrapText="1" indent="2"/>
    </xf>
    <xf numFmtId="4" fontId="33" fillId="34" borderId="346">
      <alignment horizontal="right" vertical="center"/>
    </xf>
    <xf numFmtId="0" fontId="35" fillId="34" borderId="344">
      <alignment horizontal="left" vertical="center" wrapText="1" indent="2"/>
    </xf>
    <xf numFmtId="4" fontId="35" fillId="0" borderId="341" applyFill="0" applyBorder="0" applyProtection="0">
      <alignment horizontal="right" vertical="center"/>
    </xf>
    <xf numFmtId="0" fontId="41" fillId="59" borderId="345" applyNumberFormat="0" applyFont="0" applyAlignment="0" applyProtection="0"/>
    <xf numFmtId="0" fontId="33" fillId="34" borderId="341">
      <alignment horizontal="right" vertical="center"/>
    </xf>
    <xf numFmtId="0" fontId="33" fillId="34" borderId="341">
      <alignment horizontal="right" vertical="center"/>
    </xf>
    <xf numFmtId="0" fontId="50" fillId="43" borderId="338" applyNumberFormat="0" applyAlignment="0" applyProtection="0"/>
    <xf numFmtId="0" fontId="35" fillId="0" borderId="349">
      <alignment horizontal="left" vertical="center" wrapText="1" indent="2"/>
    </xf>
    <xf numFmtId="4" fontId="37" fillId="32" borderId="341">
      <alignment horizontal="right" vertical="center"/>
    </xf>
    <xf numFmtId="0" fontId="27" fillId="21" borderId="0" applyNumberFormat="0" applyBorder="0" applyAlignment="0" applyProtection="0"/>
    <xf numFmtId="0" fontId="2" fillId="0" borderId="15" applyNumberFormat="0" applyFill="0" applyAlignment="0" applyProtection="0"/>
    <xf numFmtId="0" fontId="66" fillId="0" borderId="339" applyNumberFormat="0" applyFill="0" applyAlignment="0" applyProtection="0"/>
    <xf numFmtId="4" fontId="33" fillId="34" borderId="348">
      <alignment horizontal="right" vertical="center"/>
    </xf>
    <xf numFmtId="49" fontId="34" fillId="0" borderId="341" applyNumberFormat="0" applyFill="0" applyBorder="0" applyProtection="0">
      <alignment horizontal="left" vertical="center"/>
    </xf>
    <xf numFmtId="0" fontId="27" fillId="24" borderId="0" applyNumberFormat="0" applyBorder="0" applyAlignment="0" applyProtection="0"/>
    <xf numFmtId="0" fontId="27" fillId="15" borderId="0" applyNumberFormat="0" applyBorder="0" applyAlignment="0" applyProtection="0"/>
    <xf numFmtId="0" fontId="12" fillId="28" borderId="0" applyNumberFormat="0" applyBorder="0" applyAlignment="0" applyProtection="0"/>
    <xf numFmtId="0" fontId="33" fillId="34" borderId="341">
      <alignment horizontal="right" vertical="center"/>
    </xf>
    <xf numFmtId="0" fontId="33" fillId="34" borderId="347">
      <alignment horizontal="right" vertical="center"/>
    </xf>
    <xf numFmtId="49" fontId="34" fillId="0" borderId="346" applyNumberFormat="0" applyFill="0" applyBorder="0" applyProtection="0">
      <alignment horizontal="left" vertical="center"/>
    </xf>
    <xf numFmtId="0" fontId="27" fillId="17" borderId="0" applyNumberFormat="0" applyBorder="0" applyAlignment="0" applyProtection="0"/>
    <xf numFmtId="4" fontId="33" fillId="34" borderId="346">
      <alignment horizontal="right" vertical="center"/>
    </xf>
    <xf numFmtId="0" fontId="27" fillId="21" borderId="0" applyNumberFormat="0" applyBorder="0" applyAlignment="0" applyProtection="0"/>
    <xf numFmtId="0" fontId="63" fillId="56" borderId="337" applyNumberFormat="0" applyAlignment="0" applyProtection="0"/>
    <xf numFmtId="4" fontId="33" fillId="32" borderId="346">
      <alignment horizontal="right" vertical="center"/>
    </xf>
    <xf numFmtId="4" fontId="35" fillId="33" borderId="341"/>
    <xf numFmtId="0" fontId="66" fillId="0" borderId="339" applyNumberFormat="0" applyFill="0" applyAlignment="0" applyProtection="0"/>
    <xf numFmtId="0" fontId="27" fillId="26" borderId="0" applyNumberFormat="0" applyBorder="0" applyAlignment="0" applyProtection="0"/>
    <xf numFmtId="4" fontId="33" fillId="34" borderId="341">
      <alignment horizontal="right" vertical="center"/>
    </xf>
    <xf numFmtId="0" fontId="50" fillId="43" borderId="338" applyNumberFormat="0" applyAlignment="0" applyProtection="0"/>
    <xf numFmtId="49" fontId="35" fillId="0" borderId="341" applyNumberFormat="0" applyFont="0" applyFill="0" applyBorder="0" applyProtection="0">
      <alignment horizontal="left" vertical="center" indent="2"/>
    </xf>
    <xf numFmtId="49" fontId="35" fillId="0" borderId="342" applyNumberFormat="0" applyFont="0" applyFill="0" applyBorder="0" applyProtection="0">
      <alignment horizontal="left" vertical="center" indent="5"/>
    </xf>
    <xf numFmtId="0" fontId="35" fillId="34" borderId="344">
      <alignment horizontal="left" vertical="center" wrapText="1" indent="2"/>
    </xf>
    <xf numFmtId="0" fontId="41" fillId="59" borderId="345" applyNumberFormat="0" applyFont="0" applyAlignment="0" applyProtection="0"/>
    <xf numFmtId="0" fontId="33" fillId="34" borderId="348">
      <alignment horizontal="right" vertical="center"/>
    </xf>
    <xf numFmtId="4" fontId="35" fillId="0" borderId="341" applyFill="0" applyBorder="0" applyProtection="0">
      <alignment horizontal="right" vertical="center"/>
    </xf>
    <xf numFmtId="0" fontId="12" fillId="31" borderId="0" applyNumberFormat="0" applyBorder="0" applyAlignment="0" applyProtection="0"/>
    <xf numFmtId="4" fontId="37" fillId="32" borderId="341">
      <alignment horizontal="right" vertical="center"/>
    </xf>
    <xf numFmtId="0" fontId="51" fillId="0" borderId="339" applyNumberFormat="0" applyFill="0" applyAlignment="0" applyProtection="0"/>
    <xf numFmtId="0" fontId="33" fillId="34" borderId="335">
      <alignment horizontal="right" vertical="center"/>
    </xf>
    <xf numFmtId="49" fontId="34" fillId="0" borderId="341" applyNumberFormat="0" applyFill="0" applyBorder="0" applyProtection="0">
      <alignment horizontal="left" vertical="center"/>
    </xf>
    <xf numFmtId="4" fontId="35" fillId="33" borderId="346"/>
    <xf numFmtId="4" fontId="35" fillId="0" borderId="341" applyFill="0" applyBorder="0" applyProtection="0">
      <alignment horizontal="right" vertical="center"/>
    </xf>
    <xf numFmtId="0" fontId="33" fillId="34" borderId="347">
      <alignment horizontal="right" vertical="center"/>
    </xf>
    <xf numFmtId="0" fontId="50" fillId="43" borderId="338" applyNumberFormat="0" applyAlignment="0" applyProtection="0"/>
    <xf numFmtId="0" fontId="35" fillId="33" borderId="341"/>
    <xf numFmtId="0" fontId="35" fillId="0" borderId="344">
      <alignment horizontal="left" vertical="center" wrapText="1" indent="2"/>
    </xf>
    <xf numFmtId="0" fontId="63" fillId="56" borderId="350" applyNumberFormat="0" applyAlignment="0" applyProtection="0"/>
    <xf numFmtId="0" fontId="33" fillId="34" borderId="341">
      <alignment horizontal="right" vertical="center"/>
    </xf>
    <xf numFmtId="0" fontId="35" fillId="33" borderId="341"/>
    <xf numFmtId="4" fontId="35" fillId="33" borderId="341"/>
    <xf numFmtId="0" fontId="66" fillId="0" borderId="339" applyNumberFormat="0" applyFill="0" applyAlignment="0" applyProtection="0"/>
    <xf numFmtId="0" fontId="44" fillId="56" borderId="337" applyNumberFormat="0" applyAlignment="0" applyProtection="0"/>
    <xf numFmtId="49" fontId="35" fillId="0" borderId="346" applyNumberFormat="0" applyFont="0" applyFill="0" applyBorder="0" applyProtection="0">
      <alignment horizontal="left" vertical="center" indent="2"/>
    </xf>
    <xf numFmtId="0" fontId="59" fillId="43" borderId="338" applyNumberFormat="0" applyAlignment="0" applyProtection="0"/>
    <xf numFmtId="4" fontId="33" fillId="34" borderId="343">
      <alignment horizontal="right" vertical="center"/>
    </xf>
    <xf numFmtId="0" fontId="33" fillId="32" borderId="346">
      <alignment horizontal="right" vertical="center"/>
    </xf>
    <xf numFmtId="4" fontId="37" fillId="32" borderId="341">
      <alignment horizontal="right" vertical="center"/>
    </xf>
    <xf numFmtId="0" fontId="33" fillId="34" borderId="342">
      <alignment horizontal="right" vertical="center"/>
    </xf>
    <xf numFmtId="0" fontId="33" fillId="34" borderId="341">
      <alignment horizontal="right" vertical="center"/>
    </xf>
    <xf numFmtId="0" fontId="33" fillId="34" borderId="341">
      <alignment horizontal="right" vertical="center"/>
    </xf>
    <xf numFmtId="0" fontId="12" fillId="31" borderId="0" applyNumberFormat="0" applyBorder="0" applyAlignment="0" applyProtection="0"/>
    <xf numFmtId="0" fontId="66" fillId="0" borderId="352" applyNumberFormat="0" applyFill="0" applyAlignment="0" applyProtection="0"/>
    <xf numFmtId="173" fontId="35" fillId="60" borderId="346" applyNumberFormat="0" applyFont="0" applyBorder="0" applyAlignment="0" applyProtection="0">
      <alignment horizontal="right" vertical="center"/>
    </xf>
    <xf numFmtId="0" fontId="35" fillId="34" borderId="336">
      <alignment horizontal="left" vertical="center" wrapText="1" indent="2"/>
    </xf>
    <xf numFmtId="0" fontId="35" fillId="33" borderId="346"/>
    <xf numFmtId="0" fontId="33" fillId="34" borderId="334">
      <alignment horizontal="right" vertical="center"/>
    </xf>
    <xf numFmtId="0" fontId="44" fillId="56" borderId="337" applyNumberFormat="0" applyAlignment="0" applyProtection="0"/>
    <xf numFmtId="0" fontId="12" fillId="19" borderId="0" applyNumberFormat="0" applyBorder="0" applyAlignment="0" applyProtection="0"/>
    <xf numFmtId="0" fontId="1" fillId="0" borderId="0" applyNumberFormat="0" applyFill="0" applyBorder="0" applyAlignment="0" applyProtection="0"/>
    <xf numFmtId="0" fontId="63" fillId="56" borderId="337" applyNumberFormat="0" applyAlignment="0" applyProtection="0"/>
    <xf numFmtId="0" fontId="33" fillId="34" borderId="346">
      <alignment horizontal="right" vertical="center"/>
    </xf>
    <xf numFmtId="0" fontId="27" fillId="29" borderId="0" applyNumberFormat="0" applyBorder="0" applyAlignment="0" applyProtection="0"/>
    <xf numFmtId="0" fontId="51" fillId="0" borderId="339" applyNumberFormat="0" applyFill="0" applyAlignment="0" applyProtection="0"/>
    <xf numFmtId="0" fontId="41" fillId="59" borderId="340" applyNumberFormat="0" applyFont="0" applyAlignment="0" applyProtection="0"/>
    <xf numFmtId="0" fontId="66" fillId="0" borderId="339" applyNumberFormat="0" applyFill="0" applyAlignment="0" applyProtection="0"/>
    <xf numFmtId="4" fontId="33" fillId="32" borderId="341">
      <alignment horizontal="right" vertical="center"/>
    </xf>
    <xf numFmtId="49" fontId="35" fillId="0" borderId="341" applyNumberFormat="0" applyFont="0" applyFill="0" applyBorder="0" applyProtection="0">
      <alignment horizontal="left" vertical="center" indent="2"/>
    </xf>
    <xf numFmtId="4" fontId="35" fillId="0" borderId="346">
      <alignment horizontal="right" vertical="center"/>
    </xf>
    <xf numFmtId="4" fontId="37" fillId="32" borderId="341">
      <alignment horizontal="right" vertical="center"/>
    </xf>
    <xf numFmtId="0" fontId="35" fillId="32" borderId="347">
      <alignment horizontal="left" vertical="center"/>
    </xf>
    <xf numFmtId="0" fontId="33" fillId="34" borderId="348">
      <alignment horizontal="right" vertical="center"/>
    </xf>
    <xf numFmtId="0" fontId="27" fillId="20" borderId="0" applyNumberFormat="0" applyBorder="0" applyAlignment="0" applyProtection="0"/>
    <xf numFmtId="0" fontId="37" fillId="32" borderId="346">
      <alignment horizontal="right" vertical="center"/>
    </xf>
    <xf numFmtId="0" fontId="63" fillId="56" borderId="337" applyNumberFormat="0" applyAlignment="0" applyProtection="0"/>
    <xf numFmtId="0" fontId="59" fillId="43" borderId="338" applyNumberFormat="0" applyAlignment="0" applyProtection="0"/>
    <xf numFmtId="0" fontId="35" fillId="0" borderId="341" applyNumberFormat="0" applyFill="0" applyAlignment="0" applyProtection="0"/>
    <xf numFmtId="0" fontId="5" fillId="59" borderId="345" applyNumberFormat="0" applyFont="0" applyAlignment="0" applyProtection="0"/>
    <xf numFmtId="0" fontId="66" fillId="0" borderId="339" applyNumberFormat="0" applyFill="0" applyAlignment="0" applyProtection="0"/>
    <xf numFmtId="0" fontId="33" fillId="32" borderId="341">
      <alignment horizontal="right" vertical="center"/>
    </xf>
    <xf numFmtId="49" fontId="34" fillId="0" borderId="346" applyNumberFormat="0" applyFill="0" applyBorder="0" applyProtection="0">
      <alignment horizontal="left" vertical="center"/>
    </xf>
    <xf numFmtId="0" fontId="12" fillId="22" borderId="0" applyNumberFormat="0" applyBorder="0" applyAlignment="0" applyProtection="0"/>
    <xf numFmtId="0" fontId="44" fillId="56" borderId="350" applyNumberFormat="0" applyAlignment="0" applyProtection="0"/>
    <xf numFmtId="4" fontId="33" fillId="34" borderId="341">
      <alignment horizontal="right" vertical="center"/>
    </xf>
    <xf numFmtId="0" fontId="46" fillId="56" borderId="338" applyNumberFormat="0" applyAlignment="0" applyProtection="0"/>
    <xf numFmtId="49" fontId="34" fillId="0" borderId="341" applyNumberFormat="0" applyFill="0" applyBorder="0" applyProtection="0">
      <alignment horizontal="left" vertical="center"/>
    </xf>
    <xf numFmtId="4" fontId="33" fillId="34" borderId="341">
      <alignment horizontal="right" vertical="center"/>
    </xf>
    <xf numFmtId="0" fontId="31" fillId="0" borderId="0" applyNumberFormat="0" applyFill="0" applyBorder="0" applyAlignment="0" applyProtection="0"/>
    <xf numFmtId="0" fontId="63" fillId="56" borderId="337" applyNumberFormat="0" applyAlignment="0" applyProtection="0"/>
    <xf numFmtId="0" fontId="27" fillId="29" borderId="0" applyNumberFormat="0" applyBorder="0" applyAlignment="0" applyProtection="0"/>
    <xf numFmtId="0" fontId="46" fillId="56" borderId="351" applyNumberFormat="0" applyAlignment="0" applyProtection="0"/>
    <xf numFmtId="4" fontId="33" fillId="34" borderId="343">
      <alignment horizontal="right" vertical="center"/>
    </xf>
    <xf numFmtId="0" fontId="33" fillId="34" borderId="334">
      <alignment horizontal="right" vertical="center"/>
    </xf>
    <xf numFmtId="4" fontId="33" fillId="34" borderId="341">
      <alignment horizontal="right" vertical="center"/>
    </xf>
    <xf numFmtId="4" fontId="35" fillId="0" borderId="341">
      <alignment horizontal="right" vertical="center"/>
    </xf>
    <xf numFmtId="0" fontId="33" fillId="32" borderId="341">
      <alignment horizontal="right" vertical="center"/>
    </xf>
    <xf numFmtId="4" fontId="35" fillId="33" borderId="341"/>
    <xf numFmtId="0" fontId="46" fillId="56" borderId="338" applyNumberFormat="0" applyAlignment="0" applyProtection="0"/>
    <xf numFmtId="0" fontId="30" fillId="13" borderId="13" applyNumberFormat="0" applyAlignment="0" applyProtection="0"/>
    <xf numFmtId="0" fontId="12" fillId="25" borderId="0" applyNumberFormat="0" applyBorder="0" applyAlignment="0" applyProtection="0"/>
    <xf numFmtId="0" fontId="5" fillId="59" borderId="340" applyNumberFormat="0" applyFont="0" applyAlignment="0" applyProtection="0"/>
    <xf numFmtId="173" fontId="35" fillId="60" borderId="346" applyNumberFormat="0" applyFont="0" applyBorder="0" applyAlignment="0" applyProtection="0">
      <alignment horizontal="right" vertical="center"/>
    </xf>
    <xf numFmtId="4" fontId="35" fillId="0" borderId="346">
      <alignment horizontal="right" vertical="center"/>
    </xf>
    <xf numFmtId="0" fontId="33" fillId="32" borderId="341">
      <alignment horizontal="right" vertical="center"/>
    </xf>
    <xf numFmtId="4" fontId="35" fillId="33" borderId="341"/>
    <xf numFmtId="0" fontId="33" fillId="34" borderId="346">
      <alignment horizontal="right" vertical="center"/>
    </xf>
    <xf numFmtId="4" fontId="35" fillId="0" borderId="346" applyFill="0" applyBorder="0" applyProtection="0">
      <alignment horizontal="right" vertical="center"/>
    </xf>
    <xf numFmtId="4" fontId="35" fillId="0" borderId="341">
      <alignment horizontal="right" vertical="center"/>
    </xf>
    <xf numFmtId="0" fontId="27" fillId="24" borderId="0" applyNumberFormat="0" applyBorder="0" applyAlignment="0" applyProtection="0"/>
    <xf numFmtId="0" fontId="50" fillId="43" borderId="338" applyNumberFormat="0" applyAlignment="0" applyProtection="0"/>
    <xf numFmtId="4" fontId="33" fillId="34" borderId="342">
      <alignment horizontal="right" vertical="center"/>
    </xf>
    <xf numFmtId="0" fontId="12" fillId="28" borderId="0" applyNumberFormat="0" applyBorder="0" applyAlignment="0" applyProtection="0"/>
    <xf numFmtId="0" fontId="63" fillId="56" borderId="337" applyNumberFormat="0" applyAlignment="0" applyProtection="0"/>
    <xf numFmtId="4" fontId="33" fillId="32" borderId="346">
      <alignment horizontal="right" vertical="center"/>
    </xf>
    <xf numFmtId="0" fontId="1" fillId="0" borderId="0" applyNumberFormat="0" applyFill="0" applyBorder="0" applyAlignment="0" applyProtection="0"/>
    <xf numFmtId="173" fontId="35" fillId="60" borderId="341" applyNumberFormat="0" applyFont="0" applyBorder="0" applyAlignment="0" applyProtection="0">
      <alignment horizontal="right" vertical="center"/>
    </xf>
    <xf numFmtId="0" fontId="35" fillId="0" borderId="344">
      <alignment horizontal="left" vertical="center" wrapText="1" indent="2"/>
    </xf>
    <xf numFmtId="0" fontId="33" fillId="34" borderId="343">
      <alignment horizontal="right" vertical="center"/>
    </xf>
    <xf numFmtId="0" fontId="37" fillId="32" borderId="341">
      <alignment horizontal="right" vertical="center"/>
    </xf>
    <xf numFmtId="4" fontId="33" fillId="34" borderId="342">
      <alignment horizontal="right" vertical="center"/>
    </xf>
    <xf numFmtId="4" fontId="37" fillId="32" borderId="341">
      <alignment horizontal="right" vertical="center"/>
    </xf>
    <xf numFmtId="0" fontId="33" fillId="32" borderId="341">
      <alignment horizontal="right" vertical="center"/>
    </xf>
    <xf numFmtId="0" fontId="12" fillId="28" borderId="0" applyNumberFormat="0" applyBorder="0" applyAlignment="0" applyProtection="0"/>
    <xf numFmtId="0" fontId="66" fillId="0" borderId="339" applyNumberFormat="0" applyFill="0" applyAlignment="0" applyProtection="0"/>
    <xf numFmtId="0" fontId="30" fillId="13" borderId="13" applyNumberFormat="0" applyAlignment="0" applyProtection="0"/>
    <xf numFmtId="0" fontId="33" fillId="32" borderId="341">
      <alignment horizontal="right" vertical="center"/>
    </xf>
    <xf numFmtId="0" fontId="59" fillId="43" borderId="338" applyNumberFormat="0" applyAlignment="0" applyProtection="0"/>
    <xf numFmtId="4" fontId="37" fillId="32" borderId="341">
      <alignment horizontal="right" vertical="center"/>
    </xf>
    <xf numFmtId="0" fontId="2" fillId="0" borderId="15" applyNumberFormat="0" applyFill="0" applyAlignment="0" applyProtection="0"/>
    <xf numFmtId="0" fontId="12" fillId="25" borderId="0" applyNumberFormat="0" applyBorder="0" applyAlignment="0" applyProtection="0"/>
    <xf numFmtId="0" fontId="27" fillId="20" borderId="0" applyNumberFormat="0" applyBorder="0" applyAlignment="0" applyProtection="0"/>
    <xf numFmtId="0" fontId="46" fillId="56" borderId="351" applyNumberFormat="0" applyAlignment="0" applyProtection="0"/>
    <xf numFmtId="0" fontId="41" fillId="59" borderId="345" applyNumberFormat="0" applyFont="0" applyAlignment="0" applyProtection="0"/>
    <xf numFmtId="0" fontId="66" fillId="0" borderId="352" applyNumberFormat="0" applyFill="0" applyAlignment="0" applyProtection="0"/>
    <xf numFmtId="4" fontId="35" fillId="0" borderId="341">
      <alignment horizontal="right" vertical="center"/>
    </xf>
    <xf numFmtId="0" fontId="66" fillId="0" borderId="352" applyNumberFormat="0" applyFill="0" applyAlignment="0" applyProtection="0"/>
    <xf numFmtId="0" fontId="35" fillId="33" borderId="341"/>
    <xf numFmtId="49" fontId="35" fillId="0" borderId="346" applyNumberFormat="0" applyFont="0" applyFill="0" applyBorder="0" applyProtection="0">
      <alignment horizontal="left" vertical="center" indent="2"/>
    </xf>
    <xf numFmtId="0" fontId="66" fillId="0" borderId="339" applyNumberFormat="0" applyFill="0" applyAlignment="0" applyProtection="0"/>
    <xf numFmtId="4" fontId="37" fillId="32" borderId="346">
      <alignment horizontal="right" vertical="center"/>
    </xf>
    <xf numFmtId="0" fontId="35" fillId="33" borderId="341"/>
    <xf numFmtId="0" fontId="47" fillId="56" borderId="351" applyNumberFormat="0" applyAlignment="0" applyProtection="0"/>
    <xf numFmtId="0" fontId="46" fillId="56" borderId="338" applyNumberFormat="0" applyAlignment="0" applyProtection="0"/>
    <xf numFmtId="0" fontId="27" fillId="24" borderId="0" applyNumberFormat="0" applyBorder="0" applyAlignment="0" applyProtection="0"/>
    <xf numFmtId="0" fontId="46" fillId="56" borderId="351" applyNumberFormat="0" applyAlignment="0" applyProtection="0"/>
    <xf numFmtId="0" fontId="47" fillId="56" borderId="351" applyNumberFormat="0" applyAlignment="0" applyProtection="0"/>
    <xf numFmtId="4" fontId="33" fillId="34" borderId="343">
      <alignment horizontal="right" vertical="center"/>
    </xf>
    <xf numFmtId="4" fontId="35" fillId="33" borderId="341"/>
    <xf numFmtId="49" fontId="35" fillId="0" borderId="346" applyNumberFormat="0" applyFont="0" applyFill="0" applyBorder="0" applyProtection="0">
      <alignment horizontal="left" vertical="center" indent="2"/>
    </xf>
    <xf numFmtId="0" fontId="5" fillId="59" borderId="340" applyNumberFormat="0" applyFont="0" applyAlignment="0" applyProtection="0"/>
    <xf numFmtId="0" fontId="35" fillId="0" borderId="349">
      <alignment horizontal="left" vertical="center" wrapText="1" indent="2"/>
    </xf>
    <xf numFmtId="49" fontId="34" fillId="0" borderId="346" applyNumberFormat="0" applyFill="0" applyBorder="0" applyProtection="0">
      <alignment horizontal="left" vertical="center"/>
    </xf>
    <xf numFmtId="0" fontId="27" fillId="20" borderId="0" applyNumberFormat="0" applyBorder="0" applyAlignment="0" applyProtection="0"/>
    <xf numFmtId="0" fontId="33" fillId="32" borderId="333">
      <alignment horizontal="right" vertical="center"/>
    </xf>
    <xf numFmtId="0" fontId="47" fillId="56" borderId="338" applyNumberFormat="0" applyAlignment="0" applyProtection="0"/>
    <xf numFmtId="0" fontId="31" fillId="0" borderId="0" applyNumberFormat="0" applyFill="0" applyBorder="0" applyAlignment="0" applyProtection="0"/>
    <xf numFmtId="4" fontId="33" fillId="34" borderId="342">
      <alignment horizontal="right" vertical="center"/>
    </xf>
    <xf numFmtId="0" fontId="41" fillId="59" borderId="340" applyNumberFormat="0" applyFont="0" applyAlignment="0" applyProtection="0"/>
    <xf numFmtId="0" fontId="44" fillId="56" borderId="350" applyNumberFormat="0" applyAlignment="0" applyProtection="0"/>
    <xf numFmtId="0" fontId="47" fillId="56" borderId="351" applyNumberFormat="0" applyAlignment="0" applyProtection="0"/>
    <xf numFmtId="0" fontId="33" fillId="32" borderId="341">
      <alignment horizontal="right" vertical="center"/>
    </xf>
    <xf numFmtId="0" fontId="27" fillId="29" borderId="0" applyNumberFormat="0" applyBorder="0" applyAlignment="0" applyProtection="0"/>
    <xf numFmtId="0" fontId="37" fillId="32" borderId="346">
      <alignment horizontal="right" vertical="center"/>
    </xf>
    <xf numFmtId="0" fontId="51" fillId="0" borderId="352" applyNumberFormat="0" applyFill="0" applyAlignment="0" applyProtection="0"/>
    <xf numFmtId="49" fontId="35" fillId="0" borderId="342" applyNumberFormat="0" applyFont="0" applyFill="0" applyBorder="0" applyProtection="0">
      <alignment horizontal="left" vertical="center" indent="5"/>
    </xf>
    <xf numFmtId="4" fontId="33" fillId="34" borderId="342">
      <alignment horizontal="right" vertical="center"/>
    </xf>
    <xf numFmtId="0" fontId="47" fillId="56" borderId="338" applyNumberFormat="0" applyAlignment="0" applyProtection="0"/>
    <xf numFmtId="0" fontId="59" fillId="43" borderId="351" applyNumberFormat="0" applyAlignment="0" applyProtection="0"/>
    <xf numFmtId="0" fontId="50" fillId="43" borderId="338" applyNumberFormat="0" applyAlignment="0" applyProtection="0"/>
    <xf numFmtId="0" fontId="59" fillId="43" borderId="351" applyNumberFormat="0" applyAlignment="0" applyProtection="0"/>
    <xf numFmtId="0" fontId="35" fillId="0" borderId="344">
      <alignment horizontal="left" vertical="center" wrapText="1" indent="2"/>
    </xf>
    <xf numFmtId="0" fontId="35" fillId="34" borderId="344">
      <alignment horizontal="left" vertical="center" wrapText="1" indent="2"/>
    </xf>
    <xf numFmtId="0" fontId="41" fillId="59" borderId="340" applyNumberFormat="0" applyFont="0" applyAlignment="0" applyProtection="0"/>
    <xf numFmtId="0" fontId="33" fillId="34" borderId="346">
      <alignment horizontal="right" vertical="center"/>
    </xf>
    <xf numFmtId="0" fontId="33" fillId="34" borderId="341">
      <alignment horizontal="right" vertical="center"/>
    </xf>
    <xf numFmtId="0" fontId="2" fillId="0" borderId="15" applyNumberFormat="0" applyFill="0" applyAlignment="0" applyProtection="0"/>
    <xf numFmtId="0" fontId="27" fillId="21" borderId="0" applyNumberFormat="0" applyBorder="0" applyAlignment="0" applyProtection="0"/>
    <xf numFmtId="4" fontId="33" fillId="34" borderId="346">
      <alignment horizontal="right" vertical="center"/>
    </xf>
    <xf numFmtId="0" fontId="27" fillId="29" borderId="0" applyNumberFormat="0" applyBorder="0" applyAlignment="0" applyProtection="0"/>
    <xf numFmtId="0" fontId="47" fillId="56" borderId="338" applyNumberFormat="0" applyAlignment="0" applyProtection="0"/>
    <xf numFmtId="0" fontId="33" fillId="34" borderId="348">
      <alignment horizontal="right" vertical="center"/>
    </xf>
    <xf numFmtId="0" fontId="27" fillId="17" borderId="0" applyNumberFormat="0" applyBorder="0" applyAlignment="0" applyProtection="0"/>
    <xf numFmtId="4" fontId="33" fillId="34" borderId="341">
      <alignment horizontal="right" vertical="center"/>
    </xf>
    <xf numFmtId="0" fontId="33" fillId="34" borderId="348">
      <alignment horizontal="right" vertical="center"/>
    </xf>
    <xf numFmtId="0" fontId="66" fillId="0" borderId="339" applyNumberFormat="0" applyFill="0" applyAlignment="0" applyProtection="0"/>
    <xf numFmtId="4" fontId="33" fillId="32" borderId="346">
      <alignment horizontal="right" vertical="center"/>
    </xf>
    <xf numFmtId="0" fontId="5" fillId="59" borderId="340" applyNumberFormat="0" applyFont="0" applyAlignment="0" applyProtection="0"/>
    <xf numFmtId="0" fontId="27" fillId="27" borderId="0" applyNumberFormat="0" applyBorder="0" applyAlignment="0" applyProtection="0"/>
    <xf numFmtId="0" fontId="35" fillId="0" borderId="349">
      <alignment horizontal="left" vertical="center" wrapText="1" indent="2"/>
    </xf>
    <xf numFmtId="0" fontId="33" fillId="34" borderId="341">
      <alignment horizontal="right" vertical="center"/>
    </xf>
    <xf numFmtId="0" fontId="27" fillId="23" borderId="0" applyNumberFormat="0" applyBorder="0" applyAlignment="0" applyProtection="0"/>
    <xf numFmtId="0" fontId="37" fillId="32" borderId="341">
      <alignment horizontal="right" vertical="center"/>
    </xf>
    <xf numFmtId="0" fontId="12" fillId="31" borderId="0" applyNumberFormat="0" applyBorder="0" applyAlignment="0" applyProtection="0"/>
    <xf numFmtId="0" fontId="27" fillId="26" borderId="0" applyNumberFormat="0" applyBorder="0" applyAlignment="0" applyProtection="0"/>
    <xf numFmtId="0" fontId="37" fillId="32" borderId="341">
      <alignment horizontal="right" vertical="center"/>
    </xf>
    <xf numFmtId="4" fontId="33" fillId="34" borderId="341">
      <alignment horizontal="right" vertical="center"/>
    </xf>
    <xf numFmtId="0" fontId="41" fillId="59" borderId="340" applyNumberFormat="0" applyFont="0" applyAlignment="0" applyProtection="0"/>
    <xf numFmtId="0" fontId="66" fillId="0" borderId="339" applyNumberFormat="0" applyFill="0" applyAlignment="0" applyProtection="0"/>
    <xf numFmtId="4" fontId="35" fillId="33" borderId="346"/>
    <xf numFmtId="0" fontId="12" fillId="25" borderId="0" applyNumberFormat="0" applyBorder="0" applyAlignment="0" applyProtection="0"/>
    <xf numFmtId="0" fontId="33" fillId="34" borderId="341">
      <alignment horizontal="right" vertical="center"/>
    </xf>
    <xf numFmtId="0" fontId="47" fillId="56" borderId="338" applyNumberFormat="0" applyAlignment="0" applyProtection="0"/>
    <xf numFmtId="0" fontId="44" fillId="56" borderId="337" applyNumberFormat="0" applyAlignment="0" applyProtection="0"/>
    <xf numFmtId="0" fontId="41" fillId="59" borderId="340" applyNumberFormat="0" applyFont="0" applyAlignment="0" applyProtection="0"/>
    <xf numFmtId="0" fontId="59" fillId="43" borderId="351" applyNumberFormat="0" applyAlignment="0" applyProtection="0"/>
    <xf numFmtId="0" fontId="46" fillId="56" borderId="338" applyNumberFormat="0" applyAlignment="0" applyProtection="0"/>
    <xf numFmtId="0" fontId="35" fillId="34" borderId="344">
      <alignment horizontal="left" vertical="center" wrapText="1" indent="2"/>
    </xf>
    <xf numFmtId="0" fontId="35" fillId="32" borderId="334">
      <alignment horizontal="left" vertical="center"/>
    </xf>
    <xf numFmtId="0" fontId="33" fillId="32" borderId="346">
      <alignment horizontal="right" vertical="center"/>
    </xf>
    <xf numFmtId="49" fontId="35" fillId="0" borderId="341" applyNumberFormat="0" applyFont="0" applyFill="0" applyBorder="0" applyProtection="0">
      <alignment horizontal="left" vertical="center" indent="2"/>
    </xf>
    <xf numFmtId="0" fontId="41" fillId="59" borderId="340" applyNumberFormat="0" applyFont="0" applyAlignment="0" applyProtection="0"/>
    <xf numFmtId="0" fontId="63" fillId="56" borderId="337" applyNumberFormat="0" applyAlignment="0" applyProtection="0"/>
    <xf numFmtId="0" fontId="27" fillId="30" borderId="0" applyNumberFormat="0" applyBorder="0" applyAlignment="0" applyProtection="0"/>
    <xf numFmtId="4" fontId="37" fillId="32" borderId="341">
      <alignment horizontal="right" vertical="center"/>
    </xf>
    <xf numFmtId="0" fontId="41" fillId="59" borderId="345" applyNumberFormat="0" applyFont="0" applyAlignment="0" applyProtection="0"/>
    <xf numFmtId="0" fontId="35" fillId="33" borderId="341"/>
    <xf numFmtId="0" fontId="12" fillId="22" borderId="0" applyNumberFormat="0" applyBorder="0" applyAlignment="0" applyProtection="0"/>
    <xf numFmtId="0" fontId="47" fillId="56" borderId="338" applyNumberFormat="0" applyAlignment="0" applyProtection="0"/>
    <xf numFmtId="0" fontId="59" fillId="43" borderId="338" applyNumberFormat="0" applyAlignment="0" applyProtection="0"/>
    <xf numFmtId="4" fontId="33" fillId="34" borderId="346">
      <alignment horizontal="right" vertical="center"/>
    </xf>
    <xf numFmtId="0" fontId="59" fillId="43" borderId="338" applyNumberFormat="0" applyAlignment="0" applyProtection="0"/>
    <xf numFmtId="0" fontId="35" fillId="34" borderId="349">
      <alignment horizontal="left" vertical="center" wrapText="1" indent="2"/>
    </xf>
    <xf numFmtId="0" fontId="5" fillId="59" borderId="340" applyNumberFormat="0" applyFont="0" applyAlignment="0" applyProtection="0"/>
    <xf numFmtId="0" fontId="59" fillId="43" borderId="338" applyNumberFormat="0" applyAlignment="0" applyProtection="0"/>
    <xf numFmtId="0" fontId="66" fillId="0" borderId="339" applyNumberFormat="0" applyFill="0" applyAlignment="0" applyProtection="0"/>
    <xf numFmtId="0" fontId="33" fillId="34" borderId="348">
      <alignment horizontal="right" vertical="center"/>
    </xf>
    <xf numFmtId="49" fontId="34" fillId="0" borderId="346" applyNumberFormat="0" applyFill="0" applyBorder="0" applyProtection="0">
      <alignment horizontal="left" vertical="center"/>
    </xf>
    <xf numFmtId="4" fontId="33" fillId="34" borderId="347">
      <alignment horizontal="right" vertical="center"/>
    </xf>
    <xf numFmtId="173" fontId="35" fillId="60" borderId="341" applyNumberFormat="0" applyFont="0" applyBorder="0" applyAlignment="0" applyProtection="0">
      <alignment horizontal="right" vertical="center"/>
    </xf>
    <xf numFmtId="0" fontId="27" fillId="18" borderId="0" applyNumberFormat="0" applyBorder="0" applyAlignment="0" applyProtection="0"/>
    <xf numFmtId="0" fontId="35" fillId="32" borderId="342">
      <alignment horizontal="left" vertical="center"/>
    </xf>
    <xf numFmtId="4" fontId="35" fillId="0" borderId="341" applyFill="0" applyBorder="0" applyProtection="0">
      <alignment horizontal="right" vertical="center"/>
    </xf>
    <xf numFmtId="173" fontId="35" fillId="60" borderId="341" applyNumberFormat="0" applyFont="0" applyBorder="0" applyAlignment="0" applyProtection="0">
      <alignment horizontal="right" vertical="center"/>
    </xf>
    <xf numFmtId="0" fontId="44" fillId="56" borderId="337" applyNumberFormat="0" applyAlignment="0" applyProtection="0"/>
    <xf numFmtId="0" fontId="63" fillId="56" borderId="337" applyNumberFormat="0" applyAlignment="0" applyProtection="0"/>
    <xf numFmtId="0" fontId="27" fillId="17" borderId="0" applyNumberFormat="0" applyBorder="0" applyAlignment="0" applyProtection="0"/>
    <xf numFmtId="4" fontId="35" fillId="0" borderId="341">
      <alignment horizontal="right" vertical="center"/>
    </xf>
    <xf numFmtId="0" fontId="27" fillId="15" borderId="0" applyNumberFormat="0" applyBorder="0" applyAlignment="0" applyProtection="0"/>
    <xf numFmtId="0" fontId="35" fillId="32" borderId="342">
      <alignment horizontal="left" vertical="center"/>
    </xf>
    <xf numFmtId="0" fontId="12" fillId="22" borderId="0" applyNumberFormat="0" applyBorder="0" applyAlignment="0" applyProtection="0"/>
    <xf numFmtId="0" fontId="46" fillId="56" borderId="351" applyNumberFormat="0" applyAlignment="0" applyProtection="0"/>
    <xf numFmtId="0" fontId="47" fillId="56" borderId="351" applyNumberFormat="0" applyAlignment="0" applyProtection="0"/>
    <xf numFmtId="4" fontId="33" fillId="34" borderId="341">
      <alignment horizontal="right" vertical="center"/>
    </xf>
    <xf numFmtId="0" fontId="41" fillId="59" borderId="345" applyNumberFormat="0" applyFont="0" applyAlignment="0" applyProtection="0"/>
    <xf numFmtId="4" fontId="33" fillId="34" borderId="341">
      <alignment horizontal="right" vertical="center"/>
    </xf>
    <xf numFmtId="0" fontId="37" fillId="32" borderId="346">
      <alignment horizontal="right" vertical="center"/>
    </xf>
    <xf numFmtId="0" fontId="51" fillId="0" borderId="339" applyNumberFormat="0" applyFill="0" applyAlignment="0" applyProtection="0"/>
    <xf numFmtId="0" fontId="35" fillId="33" borderId="346"/>
    <xf numFmtId="0" fontId="66" fillId="0" borderId="339" applyNumberFormat="0" applyFill="0" applyAlignment="0" applyProtection="0"/>
    <xf numFmtId="0" fontId="44" fillId="56" borderId="337" applyNumberFormat="0" applyAlignment="0" applyProtection="0"/>
    <xf numFmtId="0" fontId="50" fillId="43" borderId="338" applyNumberFormat="0" applyAlignment="0" applyProtection="0"/>
    <xf numFmtId="0" fontId="12" fillId="19" borderId="0" applyNumberFormat="0" applyBorder="0" applyAlignment="0" applyProtection="0"/>
    <xf numFmtId="49" fontId="34" fillId="0" borderId="341" applyNumberFormat="0" applyFill="0" applyBorder="0" applyProtection="0">
      <alignment horizontal="left" vertical="center"/>
    </xf>
    <xf numFmtId="4" fontId="33" fillId="34" borderId="342">
      <alignment horizontal="right" vertical="center"/>
    </xf>
    <xf numFmtId="0" fontId="31" fillId="0" borderId="0" applyNumberFormat="0" applyFill="0" applyBorder="0" applyAlignment="0" applyProtection="0"/>
    <xf numFmtId="0" fontId="35" fillId="0" borderId="349">
      <alignment horizontal="left" vertical="center" wrapText="1" indent="2"/>
    </xf>
    <xf numFmtId="0" fontId="63" fillId="56" borderId="350" applyNumberFormat="0" applyAlignment="0" applyProtection="0"/>
    <xf numFmtId="0" fontId="50" fillId="43" borderId="338" applyNumberFormat="0" applyAlignment="0" applyProtection="0"/>
    <xf numFmtId="0" fontId="37" fillId="32" borderId="341">
      <alignment horizontal="right" vertical="center"/>
    </xf>
    <xf numFmtId="0" fontId="47" fillId="56" borderId="351" applyNumberFormat="0" applyAlignment="0" applyProtection="0"/>
    <xf numFmtId="0" fontId="50" fillId="43" borderId="351" applyNumberFormat="0" applyAlignment="0" applyProtection="0"/>
    <xf numFmtId="0" fontId="5" fillId="59" borderId="340" applyNumberFormat="0" applyFont="0" applyAlignment="0" applyProtection="0"/>
    <xf numFmtId="0" fontId="47" fillId="56" borderId="351" applyNumberFormat="0" applyAlignment="0" applyProtection="0"/>
    <xf numFmtId="0" fontId="37" fillId="32" borderId="341">
      <alignment horizontal="right" vertical="center"/>
    </xf>
    <xf numFmtId="0" fontId="50" fillId="43" borderId="351" applyNumberFormat="0" applyAlignment="0" applyProtection="0"/>
    <xf numFmtId="0" fontId="29" fillId="13" borderId="14" applyNumberFormat="0" applyAlignment="0" applyProtection="0"/>
    <xf numFmtId="0" fontId="66" fillId="0" borderId="339" applyNumberFormat="0" applyFill="0" applyAlignment="0" applyProtection="0"/>
    <xf numFmtId="0" fontId="33" fillId="34" borderId="346">
      <alignment horizontal="right" vertical="center"/>
    </xf>
    <xf numFmtId="0" fontId="12" fillId="16" borderId="0" applyNumberFormat="0" applyBorder="0" applyAlignment="0" applyProtection="0"/>
    <xf numFmtId="0" fontId="35" fillId="0" borderId="341">
      <alignment horizontal="right" vertical="center"/>
    </xf>
    <xf numFmtId="0" fontId="47" fillId="56" borderId="351" applyNumberFormat="0" applyAlignment="0" applyProtection="0"/>
    <xf numFmtId="0" fontId="27" fillId="21" borderId="0" applyNumberFormat="0" applyBorder="0" applyAlignment="0" applyProtection="0"/>
    <xf numFmtId="0" fontId="50" fillId="43" borderId="338" applyNumberFormat="0" applyAlignment="0" applyProtection="0"/>
    <xf numFmtId="0" fontId="37" fillId="32" borderId="346">
      <alignment horizontal="right" vertical="center"/>
    </xf>
    <xf numFmtId="0" fontId="35" fillId="0" borderId="341">
      <alignment horizontal="right" vertical="center"/>
    </xf>
    <xf numFmtId="0" fontId="46" fillId="56" borderId="338" applyNumberFormat="0" applyAlignment="0" applyProtection="0"/>
    <xf numFmtId="0" fontId="33" fillId="32" borderId="346">
      <alignment horizontal="right" vertical="center"/>
    </xf>
    <xf numFmtId="0" fontId="35" fillId="0" borderId="346" applyNumberFormat="0" applyFill="0" applyAlignment="0" applyProtection="0"/>
    <xf numFmtId="4" fontId="33" fillId="32" borderId="341">
      <alignment horizontal="right" vertical="center"/>
    </xf>
    <xf numFmtId="0" fontId="33" fillId="34" borderId="342">
      <alignment horizontal="right" vertical="center"/>
    </xf>
    <xf numFmtId="4" fontId="37" fillId="32" borderId="346">
      <alignment horizontal="right" vertical="center"/>
    </xf>
    <xf numFmtId="0" fontId="47" fillId="56" borderId="338" applyNumberFormat="0" applyAlignment="0" applyProtection="0"/>
    <xf numFmtId="0" fontId="33" fillId="34" borderId="343">
      <alignment horizontal="right" vertical="center"/>
    </xf>
    <xf numFmtId="0" fontId="46" fillId="56" borderId="351" applyNumberFormat="0" applyAlignment="0" applyProtection="0"/>
    <xf numFmtId="0" fontId="66" fillId="0" borderId="352" applyNumberFormat="0" applyFill="0" applyAlignment="0" applyProtection="0"/>
    <xf numFmtId="0" fontId="51" fillId="0" borderId="339" applyNumberFormat="0" applyFill="0" applyAlignment="0" applyProtection="0"/>
    <xf numFmtId="0" fontId="33" fillId="34" borderId="348">
      <alignment horizontal="right" vertical="center"/>
    </xf>
    <xf numFmtId="0" fontId="35" fillId="0" borderId="333" applyNumberFormat="0" applyFill="0" applyAlignment="0" applyProtection="0"/>
    <xf numFmtId="0" fontId="35" fillId="34" borderId="344">
      <alignment horizontal="left" vertical="center" wrapText="1" indent="2"/>
    </xf>
    <xf numFmtId="0" fontId="12" fillId="22" borderId="0" applyNumberFormat="0" applyBorder="0" applyAlignment="0" applyProtection="0"/>
    <xf numFmtId="4" fontId="35" fillId="0" borderId="341">
      <alignment horizontal="right" vertical="center"/>
    </xf>
    <xf numFmtId="0" fontId="35" fillId="0" borderId="341">
      <alignment horizontal="right" vertical="center"/>
    </xf>
    <xf numFmtId="0" fontId="50" fillId="43" borderId="351" applyNumberFormat="0" applyAlignment="0" applyProtection="0"/>
    <xf numFmtId="49" fontId="35" fillId="0" borderId="342" applyNumberFormat="0" applyFont="0" applyFill="0" applyBorder="0" applyProtection="0">
      <alignment horizontal="left" vertical="center" indent="5"/>
    </xf>
    <xf numFmtId="0" fontId="35" fillId="32" borderId="342">
      <alignment horizontal="left" vertical="center"/>
    </xf>
    <xf numFmtId="0" fontId="35" fillId="0" borderId="344">
      <alignment horizontal="left" vertical="center" wrapText="1" indent="2"/>
    </xf>
    <xf numFmtId="0" fontId="29" fillId="13" borderId="14" applyNumberFormat="0" applyAlignment="0" applyProtection="0"/>
    <xf numFmtId="0" fontId="63" fillId="56" borderId="337" applyNumberFormat="0" applyAlignment="0" applyProtection="0"/>
    <xf numFmtId="0" fontId="27" fillId="26" borderId="0" applyNumberFormat="0" applyBorder="0" applyAlignment="0" applyProtection="0"/>
    <xf numFmtId="0" fontId="63" fillId="56" borderId="350" applyNumberFormat="0" applyAlignment="0" applyProtection="0"/>
    <xf numFmtId="0" fontId="33" fillId="34" borderId="333">
      <alignment horizontal="right" vertical="center"/>
    </xf>
    <xf numFmtId="0" fontId="33" fillId="32" borderId="341">
      <alignment horizontal="right" vertical="center"/>
    </xf>
    <xf numFmtId="0" fontId="51" fillId="0" borderId="339" applyNumberFormat="0" applyFill="0" applyAlignment="0" applyProtection="0"/>
    <xf numFmtId="0" fontId="35" fillId="0" borderId="341" applyNumberFormat="0" applyFill="0" applyAlignment="0" applyProtection="0"/>
    <xf numFmtId="0" fontId="51" fillId="0" borderId="339" applyNumberFormat="0" applyFill="0" applyAlignment="0" applyProtection="0"/>
    <xf numFmtId="4" fontId="35" fillId="0" borderId="341" applyFill="0" applyBorder="0" applyProtection="0">
      <alignment horizontal="right" vertical="center"/>
    </xf>
    <xf numFmtId="49" fontId="35" fillId="0" borderId="342" applyNumberFormat="0" applyFont="0" applyFill="0" applyBorder="0" applyProtection="0">
      <alignment horizontal="left" vertical="center" indent="5"/>
    </xf>
    <xf numFmtId="0" fontId="35" fillId="0" borderId="341" applyNumberFormat="0" applyFill="0" applyAlignment="0" applyProtection="0"/>
    <xf numFmtId="0" fontId="35" fillId="0" borderId="349">
      <alignment horizontal="left" vertical="center" wrapText="1" indent="2"/>
    </xf>
    <xf numFmtId="0" fontId="35" fillId="0" borderId="341" applyNumberFormat="0" applyFill="0" applyAlignment="0" applyProtection="0"/>
    <xf numFmtId="4" fontId="33" fillId="34" borderId="341">
      <alignment horizontal="right" vertical="center"/>
    </xf>
    <xf numFmtId="0" fontId="44" fillId="56" borderId="350" applyNumberFormat="0" applyAlignment="0" applyProtection="0"/>
    <xf numFmtId="0" fontId="50" fillId="43" borderId="338" applyNumberFormat="0" applyAlignment="0" applyProtection="0"/>
    <xf numFmtId="0" fontId="47" fillId="56" borderId="338" applyNumberFormat="0" applyAlignment="0" applyProtection="0"/>
    <xf numFmtId="4" fontId="35" fillId="0" borderId="341">
      <alignment horizontal="right" vertical="center"/>
    </xf>
    <xf numFmtId="0" fontId="35" fillId="34" borderId="344">
      <alignment horizontal="left" vertical="center" wrapText="1" indent="2"/>
    </xf>
    <xf numFmtId="0" fontId="35" fillId="0" borderId="344">
      <alignment horizontal="left" vertical="center" wrapText="1" indent="2"/>
    </xf>
    <xf numFmtId="0" fontId="63" fillId="56" borderId="337" applyNumberFormat="0" applyAlignment="0" applyProtection="0"/>
    <xf numFmtId="0" fontId="59" fillId="43" borderId="338" applyNumberFormat="0" applyAlignment="0" applyProtection="0"/>
    <xf numFmtId="0" fontId="46" fillId="56" borderId="338" applyNumberFormat="0" applyAlignment="0" applyProtection="0"/>
    <xf numFmtId="0" fontId="44" fillId="56" borderId="337" applyNumberFormat="0" applyAlignment="0" applyProtection="0"/>
    <xf numFmtId="0" fontId="33" fillId="34" borderId="343">
      <alignment horizontal="right" vertical="center"/>
    </xf>
    <xf numFmtId="0" fontId="37" fillId="32" borderId="341">
      <alignment horizontal="right" vertical="center"/>
    </xf>
    <xf numFmtId="4" fontId="33" fillId="32" borderId="341">
      <alignment horizontal="right" vertical="center"/>
    </xf>
    <xf numFmtId="4" fontId="33" fillId="34" borderId="341">
      <alignment horizontal="right" vertical="center"/>
    </xf>
    <xf numFmtId="49" fontId="35" fillId="0" borderId="342" applyNumberFormat="0" applyFont="0" applyFill="0" applyBorder="0" applyProtection="0">
      <alignment horizontal="left" vertical="center" indent="5"/>
    </xf>
    <xf numFmtId="4" fontId="35" fillId="0" borderId="341" applyFill="0" applyBorder="0" applyProtection="0">
      <alignment horizontal="right" vertical="center"/>
    </xf>
    <xf numFmtId="4" fontId="33" fillId="32" borderId="341">
      <alignment horizontal="right" vertical="center"/>
    </xf>
    <xf numFmtId="0" fontId="59" fillId="43" borderId="338" applyNumberFormat="0" applyAlignment="0" applyProtection="0"/>
    <xf numFmtId="0" fontId="50" fillId="43" borderId="338" applyNumberFormat="0" applyAlignment="0" applyProtection="0"/>
    <xf numFmtId="0" fontId="46" fillId="56" borderId="338" applyNumberFormat="0" applyAlignment="0" applyProtection="0"/>
    <xf numFmtId="0" fontId="35" fillId="34" borderId="344">
      <alignment horizontal="left" vertical="center" wrapText="1" indent="2"/>
    </xf>
    <xf numFmtId="0" fontId="35" fillId="0" borderId="344">
      <alignment horizontal="left" vertical="center" wrapText="1" indent="2"/>
    </xf>
    <xf numFmtId="0" fontId="35" fillId="34" borderId="344">
      <alignment horizontal="left" vertical="center" wrapText="1" indent="2"/>
    </xf>
    <xf numFmtId="173" fontId="35" fillId="60" borderId="346" applyNumberFormat="0" applyFont="0" applyBorder="0" applyAlignment="0" applyProtection="0">
      <alignment horizontal="right" vertical="center"/>
    </xf>
    <xf numFmtId="4" fontId="37" fillId="32" borderId="346">
      <alignment horizontal="right" vertical="center"/>
    </xf>
    <xf numFmtId="0" fontId="35" fillId="34" borderId="349">
      <alignment horizontal="left" vertical="center" wrapText="1" indent="2"/>
    </xf>
    <xf numFmtId="0" fontId="27" fillId="26" borderId="0" applyNumberFormat="0" applyBorder="0" applyAlignment="0" applyProtection="0"/>
    <xf numFmtId="0" fontId="27" fillId="17" borderId="0" applyNumberFormat="0" applyBorder="0" applyAlignment="0" applyProtection="0"/>
    <xf numFmtId="4" fontId="33" fillId="34" borderId="348">
      <alignment horizontal="right" vertical="center"/>
    </xf>
    <xf numFmtId="0" fontId="5" fillId="59" borderId="345" applyNumberFormat="0" applyFont="0" applyAlignment="0" applyProtection="0"/>
    <xf numFmtId="0" fontId="1" fillId="0" borderId="0" applyNumberFormat="0" applyFill="0" applyBorder="0" applyAlignment="0" applyProtection="0"/>
    <xf numFmtId="0" fontId="27" fillId="23" borderId="0" applyNumberFormat="0" applyBorder="0" applyAlignment="0" applyProtection="0"/>
    <xf numFmtId="0" fontId="35" fillId="34" borderId="349">
      <alignment horizontal="left" vertical="center" wrapText="1" indent="2"/>
    </xf>
    <xf numFmtId="4" fontId="33" fillId="34" borderId="348">
      <alignment horizontal="right" vertical="center"/>
    </xf>
    <xf numFmtId="0" fontId="63" fillId="56" borderId="350" applyNumberFormat="0" applyAlignment="0" applyProtection="0"/>
    <xf numFmtId="4" fontId="37" fillId="32" borderId="346">
      <alignment horizontal="right" vertical="center"/>
    </xf>
    <xf numFmtId="4" fontId="33" fillId="34" borderId="346">
      <alignment horizontal="right" vertical="center"/>
    </xf>
    <xf numFmtId="0" fontId="47" fillId="56" borderId="351" applyNumberFormat="0" applyAlignment="0" applyProtection="0"/>
    <xf numFmtId="0" fontId="66" fillId="0" borderId="352" applyNumberFormat="0" applyFill="0" applyAlignment="0" applyProtection="0"/>
    <xf numFmtId="4" fontId="33" fillId="34" borderId="346">
      <alignment horizontal="right" vertical="center"/>
    </xf>
    <xf numFmtId="4" fontId="37" fillId="32" borderId="346">
      <alignment horizontal="right" vertical="center"/>
    </xf>
    <xf numFmtId="0" fontId="51" fillId="0" borderId="352" applyNumberFormat="0" applyFill="0" applyAlignment="0" applyProtection="0"/>
    <xf numFmtId="0" fontId="50" fillId="43" borderId="351" applyNumberFormat="0" applyAlignment="0" applyProtection="0"/>
    <xf numFmtId="0" fontId="63" fillId="56" borderId="350" applyNumberFormat="0" applyAlignment="0" applyProtection="0"/>
    <xf numFmtId="0" fontId="44" fillId="56" borderId="350" applyNumberFormat="0" applyAlignment="0" applyProtection="0"/>
    <xf numFmtId="0" fontId="47" fillId="56" borderId="351" applyNumberFormat="0" applyAlignment="0" applyProtection="0"/>
    <xf numFmtId="0" fontId="63" fillId="56" borderId="350" applyNumberFormat="0" applyAlignment="0" applyProtection="0"/>
    <xf numFmtId="4" fontId="35" fillId="0" borderId="346" applyFill="0" applyBorder="0" applyProtection="0">
      <alignment horizontal="right" vertical="center"/>
    </xf>
    <xf numFmtId="0" fontId="46" fillId="56" borderId="351" applyNumberFormat="0" applyAlignment="0" applyProtection="0"/>
    <xf numFmtId="0" fontId="63" fillId="56" borderId="350" applyNumberFormat="0" applyAlignment="0" applyProtection="0"/>
    <xf numFmtId="0" fontId="35" fillId="34" borderId="349">
      <alignment horizontal="left" vertical="center" wrapText="1" indent="2"/>
    </xf>
    <xf numFmtId="0" fontId="59" fillId="43" borderId="351" applyNumberFormat="0" applyAlignment="0" applyProtection="0"/>
    <xf numFmtId="0" fontId="5" fillId="59" borderId="345" applyNumberFormat="0" applyFont="0" applyAlignment="0" applyProtection="0"/>
    <xf numFmtId="4" fontId="37" fillId="32" borderId="346">
      <alignment horizontal="right" vertical="center"/>
    </xf>
    <xf numFmtId="0" fontId="33" fillId="34" borderId="346">
      <alignment horizontal="right" vertical="center"/>
    </xf>
    <xf numFmtId="0" fontId="50" fillId="43" borderId="351" applyNumberFormat="0" applyAlignment="0" applyProtection="0"/>
    <xf numFmtId="173" fontId="35" fillId="60" borderId="346" applyNumberFormat="0" applyFont="0" applyBorder="0" applyAlignment="0" applyProtection="0">
      <alignment horizontal="right" vertical="center"/>
    </xf>
    <xf numFmtId="49" fontId="35" fillId="0" borderId="346" applyNumberFormat="0" applyFont="0" applyFill="0" applyBorder="0" applyProtection="0">
      <alignment horizontal="left" vertical="center" indent="2"/>
    </xf>
    <xf numFmtId="0" fontId="35" fillId="33" borderId="346"/>
    <xf numFmtId="0" fontId="35" fillId="0" borderId="346">
      <alignment horizontal="right" vertical="center"/>
    </xf>
    <xf numFmtId="0" fontId="27" fillId="27" borderId="0" applyNumberFormat="0" applyBorder="0" applyAlignment="0" applyProtection="0"/>
    <xf numFmtId="0" fontId="27" fillId="18" borderId="0" applyNumberFormat="0" applyBorder="0" applyAlignment="0" applyProtection="0"/>
    <xf numFmtId="4" fontId="33" fillId="34" borderId="346">
      <alignment horizontal="right" vertical="center"/>
    </xf>
    <xf numFmtId="49" fontId="35" fillId="0" borderId="346" applyNumberFormat="0" applyFont="0" applyFill="0" applyBorder="0" applyProtection="0">
      <alignment horizontal="left" vertical="center" indent="2"/>
    </xf>
    <xf numFmtId="0" fontId="35" fillId="0" borderId="346">
      <alignment horizontal="right" vertical="center"/>
    </xf>
    <xf numFmtId="0" fontId="51" fillId="0" borderId="352" applyNumberFormat="0" applyFill="0" applyAlignment="0" applyProtection="0"/>
    <xf numFmtId="0" fontId="35" fillId="0" borderId="346">
      <alignment horizontal="right" vertical="center"/>
    </xf>
    <xf numFmtId="0" fontId="27" fillId="21" borderId="0" applyNumberFormat="0" applyBorder="0" applyAlignment="0" applyProtection="0"/>
    <xf numFmtId="0" fontId="66" fillId="0" borderId="352" applyNumberFormat="0" applyFill="0" applyAlignment="0" applyProtection="0"/>
    <xf numFmtId="0" fontId="2" fillId="0" borderId="15" applyNumberFormat="0" applyFill="0" applyAlignment="0" applyProtection="0"/>
    <xf numFmtId="49" fontId="35" fillId="0" borderId="347" applyNumberFormat="0" applyFont="0" applyFill="0" applyBorder="0" applyProtection="0">
      <alignment horizontal="left" vertical="center" indent="5"/>
    </xf>
    <xf numFmtId="0" fontId="59" fillId="43" borderId="351" applyNumberFormat="0" applyAlignment="0" applyProtection="0"/>
    <xf numFmtId="4" fontId="35" fillId="0" borderId="346">
      <alignment horizontal="right" vertical="center"/>
    </xf>
    <xf numFmtId="0" fontId="66" fillId="0" borderId="352" applyNumberFormat="0" applyFill="0" applyAlignment="0" applyProtection="0"/>
    <xf numFmtId="4" fontId="33" fillId="32" borderId="346">
      <alignment horizontal="right" vertical="center"/>
    </xf>
    <xf numFmtId="0" fontId="35" fillId="0" borderId="346">
      <alignment horizontal="right" vertical="center"/>
    </xf>
    <xf numFmtId="0" fontId="44" fillId="56" borderId="350" applyNumberFormat="0" applyAlignment="0" applyProtection="0"/>
    <xf numFmtId="0" fontId="12" fillId="28" borderId="0" applyNumberFormat="0" applyBorder="0" applyAlignment="0" applyProtection="0"/>
    <xf numFmtId="0" fontId="41" fillId="59" borderId="345" applyNumberFormat="0" applyFont="0" applyAlignment="0" applyProtection="0"/>
    <xf numFmtId="0" fontId="5" fillId="59" borderId="345" applyNumberFormat="0" applyFont="0" applyAlignment="0" applyProtection="0"/>
    <xf numFmtId="4" fontId="35" fillId="33" borderId="346"/>
    <xf numFmtId="0" fontId="41" fillId="59" borderId="345" applyNumberFormat="0" applyFont="0" applyAlignment="0" applyProtection="0"/>
    <xf numFmtId="4" fontId="35" fillId="33" borderId="346"/>
    <xf numFmtId="0" fontId="63" fillId="56" borderId="350" applyNumberFormat="0" applyAlignment="0" applyProtection="0"/>
    <xf numFmtId="49" fontId="35" fillId="0" borderId="347" applyNumberFormat="0" applyFont="0" applyFill="0" applyBorder="0" applyProtection="0">
      <alignment horizontal="left" vertical="center" indent="5"/>
    </xf>
    <xf numFmtId="0" fontId="35" fillId="0" borderId="346">
      <alignment horizontal="right" vertical="center"/>
    </xf>
    <xf numFmtId="0" fontId="5" fillId="59" borderId="345" applyNumberFormat="0" applyFont="0" applyAlignment="0" applyProtection="0"/>
    <xf numFmtId="0" fontId="33" fillId="32" borderId="346">
      <alignment horizontal="right" vertical="center"/>
    </xf>
    <xf numFmtId="0" fontId="66" fillId="0" borderId="352" applyNumberFormat="0" applyFill="0" applyAlignment="0" applyProtection="0"/>
    <xf numFmtId="173" fontId="35" fillId="60" borderId="346" applyNumberFormat="0" applyFont="0" applyBorder="0" applyAlignment="0" applyProtection="0">
      <alignment horizontal="right" vertical="center"/>
    </xf>
    <xf numFmtId="0" fontId="51" fillId="0" borderId="352" applyNumberFormat="0" applyFill="0" applyAlignment="0" applyProtection="0"/>
    <xf numFmtId="0" fontId="66" fillId="0" borderId="352" applyNumberFormat="0" applyFill="0" applyAlignment="0" applyProtection="0"/>
    <xf numFmtId="0" fontId="46" fillId="56" borderId="351" applyNumberFormat="0" applyAlignment="0" applyProtection="0"/>
    <xf numFmtId="0" fontId="27" fillId="24" borderId="0" applyNumberFormat="0" applyBorder="0" applyAlignment="0" applyProtection="0"/>
    <xf numFmtId="0" fontId="33" fillId="32" borderId="346">
      <alignment horizontal="right" vertical="center"/>
    </xf>
    <xf numFmtId="0" fontId="35" fillId="0" borderId="349">
      <alignment horizontal="left" vertical="center" wrapText="1" indent="2"/>
    </xf>
    <xf numFmtId="0" fontId="33" fillId="32" borderId="346">
      <alignment horizontal="right" vertical="center"/>
    </xf>
    <xf numFmtId="0" fontId="12" fillId="31" borderId="0" applyNumberFormat="0" applyBorder="0" applyAlignment="0" applyProtection="0"/>
    <xf numFmtId="0" fontId="35" fillId="33" borderId="346"/>
    <xf numFmtId="4" fontId="33" fillId="34" borderId="346">
      <alignment horizontal="right" vertical="center"/>
    </xf>
    <xf numFmtId="4" fontId="37" fillId="32" borderId="346">
      <alignment horizontal="right" vertical="center"/>
    </xf>
    <xf numFmtId="0" fontId="66" fillId="0" borderId="352" applyNumberFormat="0" applyFill="0" applyAlignment="0" applyProtection="0"/>
    <xf numFmtId="0" fontId="35" fillId="0" borderId="349">
      <alignment horizontal="left" vertical="center" wrapText="1" indent="2"/>
    </xf>
    <xf numFmtId="49" fontId="35" fillId="0" borderId="346" applyNumberFormat="0" applyFont="0" applyFill="0" applyBorder="0" applyProtection="0">
      <alignment horizontal="left" vertical="center" indent="2"/>
    </xf>
    <xf numFmtId="0" fontId="35" fillId="33" borderId="346"/>
    <xf numFmtId="0" fontId="33" fillId="34" borderId="346">
      <alignment horizontal="right" vertical="center"/>
    </xf>
    <xf numFmtId="4" fontId="35" fillId="0" borderId="346">
      <alignment horizontal="right" vertical="center"/>
    </xf>
    <xf numFmtId="0" fontId="47" fillId="56" borderId="351" applyNumberFormat="0" applyAlignment="0" applyProtection="0"/>
    <xf numFmtId="173" fontId="35" fillId="60" borderId="346" applyNumberFormat="0" applyFont="0" applyBorder="0" applyAlignment="0" applyProtection="0">
      <alignment horizontal="right" vertical="center"/>
    </xf>
    <xf numFmtId="4" fontId="33" fillId="34" borderId="346">
      <alignment horizontal="right" vertical="center"/>
    </xf>
    <xf numFmtId="0" fontId="41" fillId="59" borderId="345" applyNumberFormat="0" applyFont="0" applyAlignment="0" applyProtection="0"/>
    <xf numFmtId="0" fontId="59" fillId="43" borderId="351" applyNumberFormat="0" applyAlignment="0" applyProtection="0"/>
    <xf numFmtId="0" fontId="44" fillId="56" borderId="350" applyNumberFormat="0" applyAlignment="0" applyProtection="0"/>
    <xf numFmtId="0" fontId="35" fillId="0" borderId="349">
      <alignment horizontal="left" vertical="center" wrapText="1" indent="2"/>
    </xf>
    <xf numFmtId="0" fontId="59" fillId="43" borderId="351" applyNumberFormat="0" applyAlignment="0" applyProtection="0"/>
    <xf numFmtId="0" fontId="44" fillId="56" borderId="350" applyNumberFormat="0" applyAlignment="0" applyProtection="0"/>
    <xf numFmtId="0" fontId="35" fillId="34" borderId="349">
      <alignment horizontal="left" vertical="center" wrapText="1" indent="2"/>
    </xf>
    <xf numFmtId="0" fontId="35" fillId="32" borderId="347">
      <alignment horizontal="left" vertical="center"/>
    </xf>
    <xf numFmtId="173" fontId="35" fillId="60" borderId="346" applyNumberFormat="0" applyFont="0" applyBorder="0" applyAlignment="0" applyProtection="0">
      <alignment horizontal="right" vertical="center"/>
    </xf>
    <xf numFmtId="4" fontId="35" fillId="0" borderId="346">
      <alignment horizontal="right" vertical="center"/>
    </xf>
    <xf numFmtId="0" fontId="27" fillId="29" borderId="0" applyNumberFormat="0" applyBorder="0" applyAlignment="0" applyProtection="0"/>
    <xf numFmtId="0" fontId="27" fillId="29" borderId="0" applyNumberFormat="0" applyBorder="0" applyAlignment="0" applyProtection="0"/>
    <xf numFmtId="49" fontId="35" fillId="0" borderId="346" applyNumberFormat="0" applyFont="0" applyFill="0" applyBorder="0" applyProtection="0">
      <alignment horizontal="left" vertical="center" indent="2"/>
    </xf>
    <xf numFmtId="0" fontId="44" fillId="56" borderId="350" applyNumberFormat="0" applyAlignment="0" applyProtection="0"/>
    <xf numFmtId="0" fontId="30" fillId="13" borderId="13" applyNumberFormat="0" applyAlignment="0" applyProtection="0"/>
    <xf numFmtId="0" fontId="63" fillId="56" borderId="350" applyNumberFormat="0" applyAlignment="0" applyProtection="0"/>
    <xf numFmtId="0" fontId="35" fillId="32" borderId="347">
      <alignment horizontal="left" vertical="center"/>
    </xf>
    <xf numFmtId="0" fontId="35" fillId="0" borderId="349">
      <alignment horizontal="left" vertical="center" wrapText="1" indent="2"/>
    </xf>
    <xf numFmtId="0" fontId="50" fillId="43" borderId="351" applyNumberFormat="0" applyAlignment="0" applyProtection="0"/>
    <xf numFmtId="0" fontId="33" fillId="32" borderId="346">
      <alignment horizontal="right" vertical="center"/>
    </xf>
    <xf numFmtId="0" fontId="35" fillId="34" borderId="349">
      <alignment horizontal="left" vertical="center" wrapText="1" indent="2"/>
    </xf>
    <xf numFmtId="4" fontId="37" fillId="32" borderId="346">
      <alignment horizontal="right" vertical="center"/>
    </xf>
    <xf numFmtId="0" fontId="33" fillId="34" borderId="347">
      <alignment horizontal="right" vertical="center"/>
    </xf>
    <xf numFmtId="4" fontId="37" fillId="32" borderId="346">
      <alignment horizontal="right" vertical="center"/>
    </xf>
    <xf numFmtId="0" fontId="66" fillId="0" borderId="352" applyNumberFormat="0" applyFill="0" applyAlignment="0" applyProtection="0"/>
    <xf numFmtId="0" fontId="5" fillId="59" borderId="345" applyNumberFormat="0" applyFont="0" applyAlignment="0" applyProtection="0"/>
    <xf numFmtId="0" fontId="33" fillId="32" borderId="346">
      <alignment horizontal="right" vertical="center"/>
    </xf>
    <xf numFmtId="0" fontId="12" fillId="28" borderId="0" applyNumberFormat="0" applyBorder="0" applyAlignment="0" applyProtection="0"/>
    <xf numFmtId="4" fontId="33" fillId="34" borderId="346">
      <alignment horizontal="right" vertical="center"/>
    </xf>
    <xf numFmtId="0" fontId="35" fillId="0" borderId="346" applyNumberFormat="0" applyFill="0" applyAlignment="0" applyProtection="0"/>
    <xf numFmtId="0" fontId="35" fillId="0" borderId="346">
      <alignment horizontal="right" vertical="center"/>
    </xf>
    <xf numFmtId="0" fontId="66" fillId="0" borderId="352" applyNumberFormat="0" applyFill="0" applyAlignment="0" applyProtection="0"/>
    <xf numFmtId="0" fontId="37" fillId="32" borderId="346">
      <alignment horizontal="right" vertical="center"/>
    </xf>
    <xf numFmtId="0" fontId="47" fillId="56" borderId="351" applyNumberFormat="0" applyAlignment="0" applyProtection="0"/>
    <xf numFmtId="4" fontId="33" fillId="34" borderId="346">
      <alignment horizontal="right" vertical="center"/>
    </xf>
    <xf numFmtId="0" fontId="47" fillId="56" borderId="351" applyNumberFormat="0" applyAlignment="0" applyProtection="0"/>
    <xf numFmtId="0" fontId="33" fillId="34" borderId="346">
      <alignment horizontal="right" vertical="center"/>
    </xf>
    <xf numFmtId="0" fontId="35" fillId="33" borderId="346"/>
    <xf numFmtId="173" fontId="35" fillId="60" borderId="346" applyNumberFormat="0" applyFont="0" applyBorder="0" applyAlignment="0" applyProtection="0">
      <alignment horizontal="right" vertical="center"/>
    </xf>
    <xf numFmtId="0" fontId="27" fillId="17" borderId="0" applyNumberFormat="0" applyBorder="0" applyAlignment="0" applyProtection="0"/>
    <xf numFmtId="49" fontId="34" fillId="0" borderId="346" applyNumberFormat="0" applyFill="0" applyBorder="0" applyProtection="0">
      <alignment horizontal="left" vertical="center"/>
    </xf>
    <xf numFmtId="0" fontId="47" fillId="56" borderId="351" applyNumberFormat="0" applyAlignment="0" applyProtection="0"/>
    <xf numFmtId="0" fontId="27" fillId="24" borderId="0" applyNumberFormat="0" applyBorder="0" applyAlignment="0" applyProtection="0"/>
    <xf numFmtId="49" fontId="34" fillId="0" borderId="346" applyNumberFormat="0" applyFill="0" applyBorder="0" applyProtection="0">
      <alignment horizontal="left" vertical="center"/>
    </xf>
    <xf numFmtId="0" fontId="63" fillId="56" borderId="350" applyNumberFormat="0" applyAlignment="0" applyProtection="0"/>
    <xf numFmtId="0" fontId="37" fillId="32" borderId="346">
      <alignment horizontal="right" vertical="center"/>
    </xf>
    <xf numFmtId="173" fontId="35" fillId="60" borderId="346" applyNumberFormat="0" applyFont="0" applyBorder="0" applyAlignment="0" applyProtection="0">
      <alignment horizontal="right" vertical="center"/>
    </xf>
    <xf numFmtId="0" fontId="27" fillId="20" borderId="0" applyNumberFormat="0" applyBorder="0" applyAlignment="0" applyProtection="0"/>
    <xf numFmtId="0" fontId="5" fillId="59" borderId="345" applyNumberFormat="0" applyFont="0" applyAlignment="0" applyProtection="0"/>
    <xf numFmtId="0" fontId="31" fillId="0" borderId="0" applyNumberFormat="0" applyFill="0" applyBorder="0" applyAlignment="0" applyProtection="0"/>
    <xf numFmtId="4" fontId="35" fillId="0" borderId="346" applyFill="0" applyBorder="0" applyProtection="0">
      <alignment horizontal="right" vertical="center"/>
    </xf>
    <xf numFmtId="0" fontId="59" fillId="43" borderId="351" applyNumberFormat="0" applyAlignment="0" applyProtection="0"/>
    <xf numFmtId="4" fontId="33" fillId="34" borderId="347">
      <alignment horizontal="right" vertical="center"/>
    </xf>
    <xf numFmtId="0" fontId="66" fillId="0" borderId="352" applyNumberFormat="0" applyFill="0" applyAlignment="0" applyProtection="0"/>
    <xf numFmtId="0" fontId="35" fillId="33" borderId="346"/>
    <xf numFmtId="0" fontId="63" fillId="56" borderId="350" applyNumberFormat="0" applyAlignment="0" applyProtection="0"/>
    <xf numFmtId="0" fontId="27" fillId="21" borderId="0" applyNumberFormat="0" applyBorder="0" applyAlignment="0" applyProtection="0"/>
    <xf numFmtId="0" fontId="59" fillId="43" borderId="351" applyNumberFormat="0" applyAlignment="0" applyProtection="0"/>
    <xf numFmtId="0" fontId="35" fillId="0" borderId="346" applyNumberFormat="0" applyFill="0" applyAlignment="0" applyProtection="0"/>
    <xf numFmtId="0" fontId="47" fillId="56" borderId="351" applyNumberFormat="0" applyAlignment="0" applyProtection="0"/>
    <xf numFmtId="0" fontId="35" fillId="0" borderId="346" applyNumberFormat="0" applyFill="0" applyAlignment="0" applyProtection="0"/>
    <xf numFmtId="0" fontId="35" fillId="0" borderId="346">
      <alignment horizontal="right" vertical="center"/>
    </xf>
    <xf numFmtId="49" fontId="34" fillId="0" borderId="346" applyNumberFormat="0" applyFill="0" applyBorder="0" applyProtection="0">
      <alignment horizontal="left" vertical="center"/>
    </xf>
    <xf numFmtId="4" fontId="33" fillId="34" borderId="348">
      <alignment horizontal="right" vertical="center"/>
    </xf>
    <xf numFmtId="4" fontId="35" fillId="0" borderId="346" applyFill="0" applyBorder="0" applyProtection="0">
      <alignment horizontal="right" vertical="center"/>
    </xf>
    <xf numFmtId="0" fontId="35" fillId="33" borderId="346"/>
    <xf numFmtId="4" fontId="35" fillId="0" borderId="346">
      <alignment horizontal="right" vertical="center"/>
    </xf>
    <xf numFmtId="49" fontId="34" fillId="0" borderId="346" applyNumberFormat="0" applyFill="0" applyBorder="0" applyProtection="0">
      <alignment horizontal="left" vertical="center"/>
    </xf>
    <xf numFmtId="0" fontId="5" fillId="59" borderId="345" applyNumberFormat="0" applyFont="0" applyAlignment="0" applyProtection="0"/>
    <xf numFmtId="4" fontId="35" fillId="33" borderId="346"/>
    <xf numFmtId="0" fontId="47" fillId="56" borderId="351" applyNumberFormat="0" applyAlignment="0" applyProtection="0"/>
    <xf numFmtId="0" fontId="47" fillId="56" borderId="351" applyNumberFormat="0" applyAlignment="0" applyProtection="0"/>
    <xf numFmtId="49" fontId="35" fillId="0" borderId="347" applyNumberFormat="0" applyFont="0" applyFill="0" applyBorder="0" applyProtection="0">
      <alignment horizontal="left" vertical="center" indent="5"/>
    </xf>
    <xf numFmtId="0" fontId="12" fillId="25" borderId="0" applyNumberFormat="0" applyBorder="0" applyAlignment="0" applyProtection="0"/>
    <xf numFmtId="0" fontId="33" fillId="34" borderId="347">
      <alignment horizontal="right" vertical="center"/>
    </xf>
    <xf numFmtId="0" fontId="59" fillId="43" borderId="351" applyNumberFormat="0" applyAlignment="0" applyProtection="0"/>
    <xf numFmtId="4" fontId="35" fillId="0" borderId="346">
      <alignment horizontal="right" vertical="center"/>
    </xf>
    <xf numFmtId="0" fontId="59" fillId="43" borderId="351" applyNumberFormat="0" applyAlignment="0" applyProtection="0"/>
    <xf numFmtId="0" fontId="37" fillId="32" borderId="346">
      <alignment horizontal="right" vertical="center"/>
    </xf>
    <xf numFmtId="0" fontId="27" fillId="30" borderId="0" applyNumberFormat="0" applyBorder="0" applyAlignment="0" applyProtection="0"/>
    <xf numFmtId="49" fontId="35" fillId="0" borderId="346" applyNumberFormat="0" applyFont="0" applyFill="0" applyBorder="0" applyProtection="0">
      <alignment horizontal="left" vertical="center" indent="2"/>
    </xf>
    <xf numFmtId="173" fontId="35" fillId="60" borderId="346" applyNumberFormat="0" applyFont="0" applyBorder="0" applyAlignment="0" applyProtection="0">
      <alignment horizontal="right" vertical="center"/>
    </xf>
    <xf numFmtId="0" fontId="41" fillId="59" borderId="345" applyNumberFormat="0" applyFont="0" applyAlignment="0" applyProtection="0"/>
    <xf numFmtId="4" fontId="35" fillId="0" borderId="346" applyFill="0" applyBorder="0" applyProtection="0">
      <alignment horizontal="right" vertical="center"/>
    </xf>
    <xf numFmtId="49" fontId="35" fillId="0" borderId="347" applyNumberFormat="0" applyFont="0" applyFill="0" applyBorder="0" applyProtection="0">
      <alignment horizontal="left" vertical="center" indent="5"/>
    </xf>
    <xf numFmtId="0" fontId="46" fillId="56" borderId="351" applyNumberFormat="0" applyAlignment="0" applyProtection="0"/>
    <xf numFmtId="0" fontId="12" fillId="31" borderId="0" applyNumberFormat="0" applyBorder="0" applyAlignment="0" applyProtection="0"/>
    <xf numFmtId="0" fontId="35" fillId="0" borderId="349">
      <alignment horizontal="left" vertical="center" wrapText="1" indent="2"/>
    </xf>
    <xf numFmtId="4" fontId="33" fillId="34" borderId="347">
      <alignment horizontal="right" vertical="center"/>
    </xf>
    <xf numFmtId="0" fontId="12" fillId="22" borderId="0" applyNumberFormat="0" applyBorder="0" applyAlignment="0" applyProtection="0"/>
    <xf numFmtId="49" fontId="35" fillId="0" borderId="347" applyNumberFormat="0" applyFont="0" applyFill="0" applyBorder="0" applyProtection="0">
      <alignment horizontal="left" vertical="center" indent="5"/>
    </xf>
    <xf numFmtId="0" fontId="59" fillId="43" borderId="351" applyNumberFormat="0" applyAlignment="0" applyProtection="0"/>
    <xf numFmtId="0" fontId="46" fillId="56" borderId="351" applyNumberFormat="0" applyAlignment="0" applyProtection="0"/>
    <xf numFmtId="0" fontId="12" fillId="19" borderId="0" applyNumberFormat="0" applyBorder="0" applyAlignment="0" applyProtection="0"/>
    <xf numFmtId="0" fontId="63" fillId="56" borderId="350" applyNumberFormat="0" applyAlignment="0" applyProtection="0"/>
    <xf numFmtId="49" fontId="34" fillId="0" borderId="346" applyNumberFormat="0" applyFill="0" applyBorder="0" applyProtection="0">
      <alignment horizontal="left" vertical="center"/>
    </xf>
    <xf numFmtId="0" fontId="59" fillId="43" borderId="351" applyNumberFormat="0" applyAlignment="0" applyProtection="0"/>
    <xf numFmtId="0" fontId="29" fillId="13" borderId="14" applyNumberFormat="0" applyAlignment="0" applyProtection="0"/>
    <xf numFmtId="4" fontId="33" fillId="34" borderId="346">
      <alignment horizontal="right" vertical="center"/>
    </xf>
    <xf numFmtId="4" fontId="35" fillId="0" borderId="346">
      <alignment horizontal="right" vertical="center"/>
    </xf>
    <xf numFmtId="4" fontId="33" fillId="32" borderId="346">
      <alignment horizontal="right" vertical="center"/>
    </xf>
    <xf numFmtId="0" fontId="66" fillId="0" borderId="352" applyNumberFormat="0" applyFill="0" applyAlignment="0" applyProtection="0"/>
    <xf numFmtId="0" fontId="35" fillId="32" borderId="347">
      <alignment horizontal="left" vertical="center"/>
    </xf>
    <xf numFmtId="0" fontId="35" fillId="0" borderId="349">
      <alignment horizontal="left" vertical="center" wrapText="1" indent="2"/>
    </xf>
    <xf numFmtId="4" fontId="33" fillId="32" borderId="346">
      <alignment horizontal="right" vertical="center"/>
    </xf>
    <xf numFmtId="0" fontId="35" fillId="33" borderId="346"/>
    <xf numFmtId="0" fontId="50" fillId="43" borderId="351" applyNumberFormat="0" applyAlignment="0" applyProtection="0"/>
    <xf numFmtId="0" fontId="33" fillId="34" borderId="346">
      <alignment horizontal="right" vertical="center"/>
    </xf>
    <xf numFmtId="0" fontId="47" fillId="56" borderId="351" applyNumberFormat="0" applyAlignment="0" applyProtection="0"/>
    <xf numFmtId="0" fontId="29" fillId="13" borderId="14" applyNumberFormat="0" applyAlignment="0" applyProtection="0"/>
    <xf numFmtId="4" fontId="35" fillId="0" borderId="346" applyFill="0" applyBorder="0" applyProtection="0">
      <alignment horizontal="right" vertical="center"/>
    </xf>
    <xf numFmtId="0" fontId="41" fillId="59" borderId="345" applyNumberFormat="0" applyFont="0" applyAlignment="0" applyProtection="0"/>
    <xf numFmtId="0" fontId="33" fillId="32" borderId="346">
      <alignment horizontal="right" vertical="center"/>
    </xf>
    <xf numFmtId="0" fontId="51" fillId="0" borderId="352" applyNumberFormat="0" applyFill="0" applyAlignment="0" applyProtection="0"/>
    <xf numFmtId="0" fontId="35" fillId="0" borderId="346" applyNumberFormat="0" applyFill="0" applyAlignment="0" applyProtection="0"/>
    <xf numFmtId="0" fontId="51" fillId="0" borderId="352" applyNumberFormat="0" applyFill="0" applyAlignment="0" applyProtection="0"/>
    <xf numFmtId="4" fontId="35" fillId="0" borderId="346" applyFill="0" applyBorder="0" applyProtection="0">
      <alignment horizontal="right" vertical="center"/>
    </xf>
    <xf numFmtId="49" fontId="35" fillId="0" borderId="347" applyNumberFormat="0" applyFont="0" applyFill="0" applyBorder="0" applyProtection="0">
      <alignment horizontal="left" vertical="center" indent="5"/>
    </xf>
    <xf numFmtId="0" fontId="35" fillId="0" borderId="346" applyNumberFormat="0" applyFill="0" applyAlignment="0" applyProtection="0"/>
    <xf numFmtId="0" fontId="35" fillId="0" borderId="346" applyNumberFormat="0" applyFill="0" applyAlignment="0" applyProtection="0"/>
    <xf numFmtId="4" fontId="33" fillId="34" borderId="346">
      <alignment horizontal="right" vertical="center"/>
    </xf>
    <xf numFmtId="0" fontId="50" fillId="43" borderId="351" applyNumberFormat="0" applyAlignment="0" applyProtection="0"/>
    <xf numFmtId="0" fontId="47" fillId="56" borderId="351" applyNumberFormat="0" applyAlignment="0" applyProtection="0"/>
    <xf numFmtId="4" fontId="35" fillId="0" borderId="346">
      <alignment horizontal="right" vertical="center"/>
    </xf>
    <xf numFmtId="0" fontId="35" fillId="34" borderId="349">
      <alignment horizontal="left" vertical="center" wrapText="1" indent="2"/>
    </xf>
    <xf numFmtId="0" fontId="35" fillId="0" borderId="349">
      <alignment horizontal="left" vertical="center" wrapText="1" indent="2"/>
    </xf>
    <xf numFmtId="0" fontId="63" fillId="56" borderId="350" applyNumberFormat="0" applyAlignment="0" applyProtection="0"/>
    <xf numFmtId="0" fontId="59" fillId="43" borderId="351" applyNumberFormat="0" applyAlignment="0" applyProtection="0"/>
    <xf numFmtId="0" fontId="46" fillId="56" borderId="351" applyNumberFormat="0" applyAlignment="0" applyProtection="0"/>
    <xf numFmtId="0" fontId="44" fillId="56" borderId="350" applyNumberFormat="0" applyAlignment="0" applyProtection="0"/>
    <xf numFmtId="0" fontId="33" fillId="34" borderId="348">
      <alignment horizontal="right" vertical="center"/>
    </xf>
    <xf numFmtId="0" fontId="37" fillId="32" borderId="346">
      <alignment horizontal="right" vertical="center"/>
    </xf>
    <xf numFmtId="4" fontId="33" fillId="32" borderId="346">
      <alignment horizontal="right" vertical="center"/>
    </xf>
    <xf numFmtId="4" fontId="33" fillId="34" borderId="346">
      <alignment horizontal="right" vertical="center"/>
    </xf>
    <xf numFmtId="49" fontId="35" fillId="0" borderId="347" applyNumberFormat="0" applyFont="0" applyFill="0" applyBorder="0" applyProtection="0">
      <alignment horizontal="left" vertical="center" indent="5"/>
    </xf>
    <xf numFmtId="4" fontId="35" fillId="0" borderId="346" applyFill="0" applyBorder="0" applyProtection="0">
      <alignment horizontal="right" vertical="center"/>
    </xf>
    <xf numFmtId="4" fontId="33" fillId="32" borderId="346">
      <alignment horizontal="right" vertical="center"/>
    </xf>
    <xf numFmtId="0" fontId="59" fillId="43" borderId="351" applyNumberFormat="0" applyAlignment="0" applyProtection="0"/>
    <xf numFmtId="0" fontId="50" fillId="43" borderId="351" applyNumberFormat="0" applyAlignment="0" applyProtection="0"/>
    <xf numFmtId="0" fontId="46" fillId="56" borderId="351" applyNumberFormat="0" applyAlignment="0" applyProtection="0"/>
    <xf numFmtId="0" fontId="35" fillId="34" borderId="349">
      <alignment horizontal="left" vertical="center" wrapText="1" indent="2"/>
    </xf>
    <xf numFmtId="0" fontId="35" fillId="0" borderId="349">
      <alignment horizontal="left" vertical="center" wrapText="1" indent="2"/>
    </xf>
    <xf numFmtId="0" fontId="35" fillId="34" borderId="349">
      <alignment horizontal="left" vertical="center" wrapText="1" indent="2"/>
    </xf>
    <xf numFmtId="0" fontId="35" fillId="33" borderId="364"/>
    <xf numFmtId="0" fontId="30" fillId="13" borderId="13" applyNumberFormat="0" applyAlignment="0" applyProtection="0"/>
    <xf numFmtId="0" fontId="35" fillId="0" borderId="367">
      <alignment horizontal="left" vertical="center" wrapText="1" indent="2"/>
    </xf>
    <xf numFmtId="0" fontId="35" fillId="34" borderId="367">
      <alignment horizontal="left" vertical="center" wrapText="1" indent="2"/>
    </xf>
    <xf numFmtId="0" fontId="41" fillId="59" borderId="377" applyNumberFormat="0" applyFont="0" applyAlignment="0" applyProtection="0"/>
    <xf numFmtId="0" fontId="41" fillId="59" borderId="385" applyNumberFormat="0" applyFont="0" applyAlignment="0" applyProtection="0"/>
    <xf numFmtId="4" fontId="33" fillId="34" borderId="366">
      <alignment horizontal="right" vertical="center"/>
    </xf>
    <xf numFmtId="0" fontId="12" fillId="31" borderId="0" applyNumberFormat="0" applyBorder="0" applyAlignment="0" applyProtection="0"/>
    <xf numFmtId="0" fontId="35" fillId="34" borderId="367">
      <alignment horizontal="left" vertical="center" wrapText="1" indent="2"/>
    </xf>
    <xf numFmtId="0" fontId="59" fillId="43" borderId="361" applyNumberFormat="0" applyAlignment="0" applyProtection="0"/>
    <xf numFmtId="0" fontId="33" fillId="34" borderId="364">
      <alignment horizontal="right" vertical="center"/>
    </xf>
    <xf numFmtId="4" fontId="33" fillId="34" borderId="380">
      <alignment horizontal="right" vertical="center"/>
    </xf>
    <xf numFmtId="0" fontId="33" fillId="34" borderId="370">
      <alignment horizontal="right" vertical="center"/>
    </xf>
    <xf numFmtId="0" fontId="27" fillId="18" borderId="0" applyNumberFormat="0" applyBorder="0" applyAlignment="0" applyProtection="0"/>
    <xf numFmtId="0" fontId="47" fillId="56" borderId="375" applyNumberFormat="0" applyAlignment="0" applyProtection="0"/>
    <xf numFmtId="0" fontId="33" fillId="34" borderId="372">
      <alignment horizontal="right" vertical="center"/>
    </xf>
    <xf numFmtId="0" fontId="1" fillId="0" borderId="0" applyNumberFormat="0" applyFill="0" applyBorder="0" applyAlignment="0" applyProtection="0"/>
    <xf numFmtId="0" fontId="51" fillId="0" borderId="362" applyNumberFormat="0" applyFill="0" applyAlignment="0" applyProtection="0"/>
    <xf numFmtId="4" fontId="33" fillId="34" borderId="366">
      <alignment horizontal="right" vertical="center"/>
    </xf>
    <xf numFmtId="0" fontId="50" fillId="43" borderId="361" applyNumberFormat="0" applyAlignment="0" applyProtection="0"/>
    <xf numFmtId="0" fontId="12" fillId="25" borderId="0" applyNumberFormat="0" applyBorder="0" applyAlignment="0" applyProtection="0"/>
    <xf numFmtId="0" fontId="27" fillId="30" borderId="0" applyNumberFormat="0" applyBorder="0" applyAlignment="0" applyProtection="0"/>
    <xf numFmtId="4" fontId="35" fillId="33" borderId="364"/>
    <xf numFmtId="0" fontId="66" fillId="0" borderId="392" applyNumberFormat="0" applyFill="0" applyAlignment="0" applyProtection="0"/>
    <xf numFmtId="0" fontId="47" fillId="56" borderId="375" applyNumberFormat="0" applyAlignment="0" applyProtection="0"/>
    <xf numFmtId="49" fontId="35" fillId="0" borderId="364" applyNumberFormat="0" applyFont="0" applyFill="0" applyBorder="0" applyProtection="0">
      <alignment horizontal="left" vertical="center" indent="2"/>
    </xf>
    <xf numFmtId="0" fontId="33" fillId="32" borderId="364">
      <alignment horizontal="right" vertical="center"/>
    </xf>
    <xf numFmtId="0" fontId="33" fillId="32" borderId="370">
      <alignment horizontal="right" vertical="center"/>
    </xf>
    <xf numFmtId="0" fontId="46" fillId="56" borderId="383" applyNumberFormat="0" applyAlignment="0" applyProtection="0"/>
    <xf numFmtId="0" fontId="35" fillId="0" borderId="378" applyNumberFormat="0" applyFill="0" applyAlignment="0" applyProtection="0"/>
    <xf numFmtId="0" fontId="66" fillId="0" borderId="384" applyNumberFormat="0" applyFill="0" applyAlignment="0" applyProtection="0"/>
    <xf numFmtId="4" fontId="35" fillId="33" borderId="370"/>
    <xf numFmtId="49" fontId="35" fillId="0" borderId="370" applyNumberFormat="0" applyFont="0" applyFill="0" applyBorder="0" applyProtection="0">
      <alignment horizontal="left" vertical="center" indent="2"/>
    </xf>
    <xf numFmtId="0" fontId="29" fillId="13" borderId="14" applyNumberFormat="0" applyAlignment="0" applyProtection="0"/>
    <xf numFmtId="0" fontId="33" fillId="34" borderId="406">
      <alignment horizontal="right" vertical="center"/>
    </xf>
    <xf numFmtId="0" fontId="47" fillId="56" borderId="361" applyNumberFormat="0" applyAlignment="0" applyProtection="0"/>
    <xf numFmtId="0" fontId="35" fillId="32" borderId="430">
      <alignment horizontal="left" vertical="center"/>
    </xf>
    <xf numFmtId="0" fontId="12" fillId="16" borderId="0" applyNumberFormat="0" applyBorder="0" applyAlignment="0" applyProtection="0"/>
    <xf numFmtId="0" fontId="47" fillId="56" borderId="383" applyNumberFormat="0" applyAlignment="0" applyProtection="0"/>
    <xf numFmtId="0" fontId="5" fillId="59" borderId="363" applyNumberFormat="0" applyFont="0" applyAlignment="0" applyProtection="0"/>
    <xf numFmtId="0" fontId="47" fillId="56" borderId="361" applyNumberFormat="0" applyAlignment="0" applyProtection="0"/>
    <xf numFmtId="0" fontId="33" fillId="34" borderId="366">
      <alignment horizontal="right" vertical="center"/>
    </xf>
    <xf numFmtId="0" fontId="33" fillId="34" borderId="370">
      <alignment horizontal="right" vertical="center"/>
    </xf>
    <xf numFmtId="0" fontId="41" fillId="59" borderId="363" applyNumberFormat="0" applyFont="0" applyAlignment="0" applyProtection="0"/>
    <xf numFmtId="0" fontId="33" fillId="34" borderId="411">
      <alignment horizontal="right" vertical="center"/>
    </xf>
    <xf numFmtId="0" fontId="35" fillId="0" borderId="373">
      <alignment horizontal="left" vertical="center" wrapText="1" indent="2"/>
    </xf>
    <xf numFmtId="4" fontId="33" fillId="34" borderId="372">
      <alignment horizontal="right" vertical="center"/>
    </xf>
    <xf numFmtId="0" fontId="59" fillId="43" borderId="383" applyNumberFormat="0" applyAlignment="0" applyProtection="0"/>
    <xf numFmtId="4" fontId="35" fillId="33" borderId="364"/>
    <xf numFmtId="0" fontId="66" fillId="0" borderId="362" applyNumberFormat="0" applyFill="0" applyAlignment="0" applyProtection="0"/>
    <xf numFmtId="0" fontId="29" fillId="13" borderId="14" applyNumberFormat="0" applyAlignment="0" applyProtection="0"/>
    <xf numFmtId="0" fontId="30" fillId="13" borderId="13" applyNumberFormat="0" applyAlignment="0" applyProtection="0"/>
    <xf numFmtId="0" fontId="51" fillId="0" borderId="416" applyNumberFormat="0" applyFill="0" applyAlignment="0" applyProtection="0"/>
    <xf numFmtId="0" fontId="59" fillId="43" borderId="361" applyNumberFormat="0" applyAlignment="0" applyProtection="0"/>
    <xf numFmtId="0" fontId="1" fillId="0" borderId="0" applyNumberFormat="0" applyFill="0" applyBorder="0" applyAlignment="0" applyProtection="0"/>
    <xf numFmtId="4" fontId="33" fillId="34" borderId="364">
      <alignment horizontal="right" vertical="center"/>
    </xf>
    <xf numFmtId="0" fontId="31" fillId="0" borderId="0" applyNumberFormat="0" applyFill="0" applyBorder="0" applyAlignment="0" applyProtection="0"/>
    <xf numFmtId="0" fontId="2" fillId="0" borderId="15" applyNumberFormat="0" applyFill="0" applyAlignment="0" applyProtection="0"/>
    <xf numFmtId="0" fontId="47" fillId="56" borderId="391" applyNumberFormat="0" applyAlignment="0" applyProtection="0"/>
    <xf numFmtId="0" fontId="27" fillId="14" borderId="0" applyNumberFormat="0" applyBorder="0" applyAlignment="0" applyProtection="0"/>
    <xf numFmtId="0" fontId="27" fillId="15" borderId="0" applyNumberFormat="0" applyBorder="0" applyAlignment="0" applyProtection="0"/>
    <xf numFmtId="0" fontId="12" fillId="16" borderId="0" applyNumberFormat="0" applyBorder="0" applyAlignment="0" applyProtection="0"/>
    <xf numFmtId="0" fontId="35" fillId="0" borderId="373">
      <alignment horizontal="left" vertical="center" wrapText="1" indent="2"/>
    </xf>
    <xf numFmtId="0" fontId="27" fillId="17" borderId="0" applyNumberFormat="0" applyBorder="0" applyAlignment="0" applyProtection="0"/>
    <xf numFmtId="0" fontId="27" fillId="18" borderId="0" applyNumberFormat="0" applyBorder="0" applyAlignment="0" applyProtection="0"/>
    <xf numFmtId="0" fontId="12" fillId="19" borderId="0" applyNumberFormat="0" applyBorder="0" applyAlignment="0" applyProtection="0"/>
    <xf numFmtId="0" fontId="27" fillId="21" borderId="0" applyNumberFormat="0" applyBorder="0" applyAlignment="0" applyProtection="0"/>
    <xf numFmtId="0" fontId="27" fillId="20" borderId="0" applyNumberFormat="0" applyBorder="0" applyAlignment="0" applyProtection="0"/>
    <xf numFmtId="0" fontId="27" fillId="21" borderId="0" applyNumberFormat="0" applyBorder="0" applyAlignment="0" applyProtection="0"/>
    <xf numFmtId="0" fontId="12" fillId="22" borderId="0" applyNumberFormat="0" applyBorder="0" applyAlignment="0" applyProtection="0"/>
    <xf numFmtId="4" fontId="33" fillId="34" borderId="397">
      <alignment horizontal="right" vertical="center"/>
    </xf>
    <xf numFmtId="0" fontId="27" fillId="23" borderId="0" applyNumberFormat="0" applyBorder="0" applyAlignment="0" applyProtection="0"/>
    <xf numFmtId="0" fontId="27" fillId="24" borderId="0" applyNumberFormat="0" applyBorder="0" applyAlignment="0" applyProtection="0"/>
    <xf numFmtId="0" fontId="12" fillId="25" borderId="0" applyNumberFormat="0" applyBorder="0" applyAlignment="0" applyProtection="0"/>
    <xf numFmtId="0" fontId="41" fillId="59" borderId="385" applyNumberFormat="0" applyFont="0" applyAlignment="0" applyProtection="0"/>
    <xf numFmtId="0" fontId="27" fillId="26" borderId="0" applyNumberFormat="0" applyBorder="0" applyAlignment="0" applyProtection="0"/>
    <xf numFmtId="0" fontId="27" fillId="27" borderId="0" applyNumberFormat="0" applyBorder="0" applyAlignment="0" applyProtection="0"/>
    <xf numFmtId="0" fontId="12" fillId="28" borderId="0" applyNumberFormat="0" applyBorder="0" applyAlignment="0" applyProtection="0"/>
    <xf numFmtId="0" fontId="66" fillId="0" borderId="416" applyNumberFormat="0" applyFill="0" applyAlignment="0" applyProtection="0"/>
    <xf numFmtId="0" fontId="27" fillId="29" borderId="0" applyNumberFormat="0" applyBorder="0" applyAlignment="0" applyProtection="0"/>
    <xf numFmtId="0" fontId="27" fillId="30" borderId="0" applyNumberFormat="0" applyBorder="0" applyAlignment="0" applyProtection="0"/>
    <xf numFmtId="0" fontId="12" fillId="31" borderId="0" applyNumberFormat="0" applyBorder="0" applyAlignment="0" applyProtection="0"/>
    <xf numFmtId="0" fontId="35" fillId="0" borderId="346" applyNumberFormat="0" applyFill="0" applyAlignment="0" applyProtection="0"/>
    <xf numFmtId="0" fontId="33" fillId="34" borderId="346">
      <alignment horizontal="right" vertical="center"/>
    </xf>
    <xf numFmtId="0" fontId="33" fillId="34" borderId="346">
      <alignment horizontal="right" vertical="center"/>
    </xf>
    <xf numFmtId="0" fontId="35" fillId="0" borderId="349">
      <alignment horizontal="left" vertical="center" wrapText="1" indent="2"/>
    </xf>
    <xf numFmtId="0" fontId="33" fillId="34" borderId="348">
      <alignment horizontal="right" vertical="center"/>
    </xf>
    <xf numFmtId="0" fontId="35" fillId="0" borderId="346">
      <alignment horizontal="right" vertical="center"/>
    </xf>
    <xf numFmtId="0" fontId="37" fillId="32" borderId="346">
      <alignment horizontal="right" vertical="center"/>
    </xf>
    <xf numFmtId="0" fontId="35" fillId="33" borderId="346"/>
    <xf numFmtId="0" fontId="33" fillId="32" borderId="346">
      <alignment horizontal="right" vertical="center"/>
    </xf>
    <xf numFmtId="0" fontId="63" fillId="56" borderId="368" applyNumberFormat="0" applyAlignment="0" applyProtection="0"/>
    <xf numFmtId="0" fontId="37" fillId="32" borderId="364">
      <alignment horizontal="right" vertical="center"/>
    </xf>
    <xf numFmtId="4" fontId="37" fillId="32" borderId="370">
      <alignment horizontal="right" vertical="center"/>
    </xf>
    <xf numFmtId="0" fontId="31" fillId="0" borderId="0" applyNumberFormat="0" applyFill="0" applyBorder="0" applyAlignment="0" applyProtection="0"/>
    <xf numFmtId="0" fontId="5" fillId="59" borderId="369" applyNumberFormat="0" applyFont="0" applyAlignment="0" applyProtection="0"/>
    <xf numFmtId="4" fontId="33" fillId="34" borderId="366">
      <alignment horizontal="right" vertical="center"/>
    </xf>
    <xf numFmtId="0" fontId="66" fillId="0" borderId="362" applyNumberFormat="0" applyFill="0" applyAlignment="0" applyProtection="0"/>
    <xf numFmtId="0" fontId="47" fillId="56" borderId="361" applyNumberFormat="0" applyAlignment="0" applyProtection="0"/>
    <xf numFmtId="0" fontId="33" fillId="34" borderId="364">
      <alignment horizontal="right" vertical="center"/>
    </xf>
    <xf numFmtId="0" fontId="33" fillId="34" borderId="364">
      <alignment horizontal="right" vertical="center"/>
    </xf>
    <xf numFmtId="0" fontId="33" fillId="34" borderId="365">
      <alignment horizontal="right" vertical="center"/>
    </xf>
    <xf numFmtId="4" fontId="35" fillId="33" borderId="386"/>
    <xf numFmtId="0" fontId="12" fillId="28" borderId="0" applyNumberFormat="0" applyBorder="0" applyAlignment="0" applyProtection="0"/>
    <xf numFmtId="0" fontId="33" fillId="34" borderId="370">
      <alignment horizontal="right" vertical="center"/>
    </xf>
    <xf numFmtId="49" fontId="34" fillId="0" borderId="370" applyNumberFormat="0" applyFill="0" applyBorder="0" applyProtection="0">
      <alignment horizontal="left" vertical="center"/>
    </xf>
    <xf numFmtId="49" fontId="34" fillId="0" borderId="370" applyNumberFormat="0" applyFill="0" applyBorder="0" applyProtection="0">
      <alignment horizontal="left" vertical="center"/>
    </xf>
    <xf numFmtId="0" fontId="33" fillId="34" borderId="372">
      <alignment horizontal="right" vertical="center"/>
    </xf>
    <xf numFmtId="0" fontId="50" fillId="43" borderId="361" applyNumberFormat="0" applyAlignment="0" applyProtection="0"/>
    <xf numFmtId="0" fontId="66" fillId="0" borderId="362" applyNumberFormat="0" applyFill="0" applyAlignment="0" applyProtection="0"/>
    <xf numFmtId="4" fontId="35" fillId="0" borderId="364">
      <alignment horizontal="right" vertical="center"/>
    </xf>
    <xf numFmtId="4" fontId="33" fillId="32" borderId="386">
      <alignment horizontal="right" vertical="center"/>
    </xf>
    <xf numFmtId="0" fontId="44" fillId="56" borderId="374" applyNumberFormat="0" applyAlignment="0" applyProtection="0"/>
    <xf numFmtId="0" fontId="33" fillId="34" borderId="399">
      <alignment horizontal="right" vertical="center"/>
    </xf>
    <xf numFmtId="0" fontId="33" fillId="34" borderId="386">
      <alignment horizontal="right" vertical="center"/>
    </xf>
    <xf numFmtId="0" fontId="33" fillId="32" borderId="386">
      <alignment horizontal="right" vertical="center"/>
    </xf>
    <xf numFmtId="0" fontId="44" fillId="56" borderId="374" applyNumberFormat="0" applyAlignment="0" applyProtection="0"/>
    <xf numFmtId="0" fontId="33" fillId="34" borderId="397">
      <alignment horizontal="right" vertical="center"/>
    </xf>
    <xf numFmtId="0" fontId="66" fillId="0" borderId="376" applyNumberFormat="0" applyFill="0" applyAlignment="0" applyProtection="0"/>
    <xf numFmtId="4" fontId="33" fillId="34" borderId="364">
      <alignment horizontal="right" vertical="center"/>
    </xf>
    <xf numFmtId="0" fontId="35" fillId="33" borderId="364"/>
    <xf numFmtId="0" fontId="47" fillId="56" borderId="375" applyNumberFormat="0" applyAlignment="0" applyProtection="0"/>
    <xf numFmtId="0" fontId="46" fillId="56" borderId="383" applyNumberFormat="0" applyAlignment="0" applyProtection="0"/>
    <xf numFmtId="0" fontId="47" fillId="56" borderId="361" applyNumberFormat="0" applyAlignment="0" applyProtection="0"/>
    <xf numFmtId="0" fontId="33" fillId="34" borderId="386">
      <alignment horizontal="right" vertical="center"/>
    </xf>
    <xf numFmtId="0" fontId="35" fillId="32" borderId="379">
      <alignment horizontal="left" vertical="center"/>
    </xf>
    <xf numFmtId="0" fontId="33" fillId="34" borderId="387">
      <alignment horizontal="right" vertical="center"/>
    </xf>
    <xf numFmtId="0" fontId="47" fillId="56" borderId="361" applyNumberFormat="0" applyAlignment="0" applyProtection="0"/>
    <xf numFmtId="0" fontId="29" fillId="13" borderId="14" applyNumberFormat="0" applyAlignment="0" applyProtection="0"/>
    <xf numFmtId="0" fontId="35" fillId="0" borderId="404">
      <alignment horizontal="right" vertical="center"/>
    </xf>
    <xf numFmtId="0" fontId="50" fillId="43" borderId="375" applyNumberFormat="0" applyAlignment="0" applyProtection="0"/>
    <xf numFmtId="0" fontId="51" fillId="0" borderId="376" applyNumberFormat="0" applyFill="0" applyAlignment="0" applyProtection="0"/>
    <xf numFmtId="0" fontId="33" fillId="34" borderId="366">
      <alignment horizontal="right" vertical="center"/>
    </xf>
    <xf numFmtId="4" fontId="37" fillId="32" borderId="370">
      <alignment horizontal="right" vertical="center"/>
    </xf>
    <xf numFmtId="0" fontId="47" fillId="56" borderId="361" applyNumberFormat="0" applyAlignment="0" applyProtection="0"/>
    <xf numFmtId="4" fontId="33" fillId="34" borderId="364">
      <alignment horizontal="right" vertical="center"/>
    </xf>
    <xf numFmtId="0" fontId="33" fillId="34" borderId="364">
      <alignment horizontal="right" vertical="center"/>
    </xf>
    <xf numFmtId="0" fontId="66" fillId="0" borderId="362" applyNumberFormat="0" applyFill="0" applyAlignment="0" applyProtection="0"/>
    <xf numFmtId="0" fontId="33" fillId="34" borderId="364">
      <alignment horizontal="right" vertical="center"/>
    </xf>
    <xf numFmtId="4" fontId="33" fillId="34" borderId="366">
      <alignment horizontal="right" vertical="center"/>
    </xf>
    <xf numFmtId="4" fontId="33" fillId="34" borderId="365">
      <alignment horizontal="right" vertical="center"/>
    </xf>
    <xf numFmtId="0" fontId="47" fillId="56" borderId="354" applyNumberFormat="0" applyAlignment="0" applyProtection="0"/>
    <xf numFmtId="4" fontId="37" fillId="32" borderId="364">
      <alignment horizontal="right" vertical="center"/>
    </xf>
    <xf numFmtId="43" fontId="38" fillId="0" borderId="0" applyFont="0" applyFill="0" applyBorder="0" applyAlignment="0" applyProtection="0"/>
    <xf numFmtId="4" fontId="33" fillId="34" borderId="365">
      <alignment horizontal="right" vertical="center"/>
    </xf>
    <xf numFmtId="43" fontId="38" fillId="0" borderId="0" applyFont="0" applyFill="0" applyBorder="0" applyAlignment="0" applyProtection="0"/>
    <xf numFmtId="0" fontId="50" fillId="43" borderId="361" applyNumberFormat="0" applyAlignment="0" applyProtection="0"/>
    <xf numFmtId="0" fontId="66" fillId="0" borderId="402" applyNumberFormat="0" applyFill="0" applyAlignment="0" applyProtection="0"/>
    <xf numFmtId="0" fontId="33" fillId="32" borderId="370">
      <alignment horizontal="right" vertical="center"/>
    </xf>
    <xf numFmtId="0" fontId="33" fillId="34" borderId="371">
      <alignment horizontal="right" vertical="center"/>
    </xf>
    <xf numFmtId="0" fontId="35" fillId="32" borderId="371">
      <alignment horizontal="left" vertical="center"/>
    </xf>
    <xf numFmtId="0" fontId="66" fillId="0" borderId="362" applyNumberFormat="0" applyFill="0" applyAlignment="0" applyProtection="0"/>
    <xf numFmtId="0" fontId="63" fillId="56" borderId="368" applyNumberFormat="0" applyAlignment="0" applyProtection="0"/>
    <xf numFmtId="0" fontId="47" fillId="56" borderId="361" applyNumberFormat="0" applyAlignment="0" applyProtection="0"/>
    <xf numFmtId="0" fontId="66" fillId="0" borderId="362" applyNumberFormat="0" applyFill="0" applyAlignment="0" applyProtection="0"/>
    <xf numFmtId="0" fontId="59" fillId="43" borderId="354" applyNumberFormat="0" applyAlignment="0" applyProtection="0"/>
    <xf numFmtId="4" fontId="35" fillId="0" borderId="364">
      <alignment horizontal="right" vertical="center"/>
    </xf>
    <xf numFmtId="4" fontId="33" fillId="32" borderId="364">
      <alignment horizontal="right" vertical="center"/>
    </xf>
    <xf numFmtId="4" fontId="37" fillId="32" borderId="364">
      <alignment horizontal="right" vertical="center"/>
    </xf>
    <xf numFmtId="49" fontId="34" fillId="0" borderId="364" applyNumberFormat="0" applyFill="0" applyBorder="0" applyProtection="0">
      <alignment horizontal="left" vertical="center"/>
    </xf>
    <xf numFmtId="0" fontId="59" fillId="43" borderId="375" applyNumberFormat="0" applyAlignment="0" applyProtection="0"/>
    <xf numFmtId="0" fontId="66" fillId="0" borderId="376" applyNumberFormat="0" applyFill="0" applyAlignment="0" applyProtection="0"/>
    <xf numFmtId="0" fontId="41" fillId="59" borderId="363" applyNumberFormat="0" applyFont="0" applyAlignment="0" applyProtection="0"/>
    <xf numFmtId="0" fontId="35" fillId="0" borderId="364">
      <alignment horizontal="right" vertical="center"/>
    </xf>
    <xf numFmtId="0" fontId="33" fillId="34" borderId="370">
      <alignment horizontal="right" vertical="center"/>
    </xf>
    <xf numFmtId="0" fontId="59" fillId="43" borderId="375" applyNumberFormat="0" applyAlignment="0" applyProtection="0"/>
    <xf numFmtId="0" fontId="33" fillId="32" borderId="370">
      <alignment horizontal="right" vertical="center"/>
    </xf>
    <xf numFmtId="0" fontId="27" fillId="14" borderId="0" applyNumberFormat="0" applyBorder="0" applyAlignment="0" applyProtection="0"/>
    <xf numFmtId="0" fontId="47" fillId="56" borderId="391" applyNumberFormat="0" applyAlignment="0" applyProtection="0"/>
    <xf numFmtId="0" fontId="46" fillId="56" borderId="391" applyNumberFormat="0" applyAlignment="0" applyProtection="0"/>
    <xf numFmtId="0" fontId="41" fillId="59" borderId="377" applyNumberFormat="0" applyFont="0" applyAlignment="0" applyProtection="0"/>
    <xf numFmtId="0" fontId="41" fillId="59" borderId="385" applyNumberFormat="0" applyFont="0" applyAlignment="0" applyProtection="0"/>
    <xf numFmtId="0" fontId="12" fillId="16" borderId="0" applyNumberFormat="0" applyBorder="0" applyAlignment="0" applyProtection="0"/>
    <xf numFmtId="0" fontId="33" fillId="34" borderId="397">
      <alignment horizontal="right" vertical="center"/>
    </xf>
    <xf numFmtId="0" fontId="51" fillId="0" borderId="376" applyNumberFormat="0" applyFill="0" applyAlignment="0" applyProtection="0"/>
    <xf numFmtId="4" fontId="35" fillId="0" borderId="346" applyFill="0" applyBorder="0" applyProtection="0">
      <alignment horizontal="right" vertical="center"/>
    </xf>
    <xf numFmtId="0" fontId="59" fillId="43" borderId="361" applyNumberFormat="0" applyAlignment="0" applyProtection="0"/>
    <xf numFmtId="0" fontId="59" fillId="43" borderId="375" applyNumberFormat="0" applyAlignment="0" applyProtection="0"/>
    <xf numFmtId="0" fontId="37" fillId="32" borderId="364">
      <alignment horizontal="right" vertical="center"/>
    </xf>
    <xf numFmtId="0" fontId="35" fillId="33" borderId="378"/>
    <xf numFmtId="0" fontId="35" fillId="0" borderId="381">
      <alignment horizontal="left" vertical="center" wrapText="1" indent="2"/>
    </xf>
    <xf numFmtId="4" fontId="33" fillId="34" borderId="364">
      <alignment horizontal="right" vertical="center"/>
    </xf>
    <xf numFmtId="0" fontId="37" fillId="32" borderId="364">
      <alignment horizontal="right" vertical="center"/>
    </xf>
    <xf numFmtId="0" fontId="35" fillId="34" borderId="373">
      <alignment horizontal="left" vertical="center" wrapText="1" indent="2"/>
    </xf>
    <xf numFmtId="0" fontId="41" fillId="59" borderId="356" applyNumberFormat="0" applyFont="0" applyAlignment="0" applyProtection="0"/>
    <xf numFmtId="0" fontId="5" fillId="59" borderId="356" applyNumberFormat="0" applyFont="0" applyAlignment="0" applyProtection="0"/>
    <xf numFmtId="0" fontId="63" fillId="56" borderId="353" applyNumberFormat="0" applyAlignment="0" applyProtection="0"/>
    <xf numFmtId="0" fontId="27" fillId="15" borderId="0" applyNumberFormat="0" applyBorder="0" applyAlignment="0" applyProtection="0"/>
    <xf numFmtId="0" fontId="35" fillId="0" borderId="389">
      <alignment horizontal="left" vertical="center" wrapText="1" indent="2"/>
    </xf>
    <xf numFmtId="0" fontId="33" fillId="34" borderId="379">
      <alignment horizontal="right" vertical="center"/>
    </xf>
    <xf numFmtId="0" fontId="35" fillId="33" borderId="364"/>
    <xf numFmtId="0" fontId="66" fillId="0" borderId="362" applyNumberFormat="0" applyFill="0" applyAlignment="0" applyProtection="0"/>
    <xf numFmtId="0" fontId="51" fillId="0" borderId="376" applyNumberFormat="0" applyFill="0" applyAlignment="0" applyProtection="0"/>
    <xf numFmtId="0" fontId="66" fillId="0" borderId="355" applyNumberFormat="0" applyFill="0" applyAlignment="0" applyProtection="0"/>
    <xf numFmtId="0" fontId="35" fillId="32" borderId="365">
      <alignment horizontal="left" vertical="center"/>
    </xf>
    <xf numFmtId="0" fontId="46" fillId="56" borderId="361" applyNumberFormat="0" applyAlignment="0" applyProtection="0"/>
    <xf numFmtId="4" fontId="33" fillId="34" borderId="364">
      <alignment horizontal="right" vertical="center"/>
    </xf>
    <xf numFmtId="4" fontId="37" fillId="32" borderId="404">
      <alignment horizontal="right" vertical="center"/>
    </xf>
    <xf numFmtId="0" fontId="35" fillId="33" borderId="370"/>
    <xf numFmtId="0" fontId="27" fillId="15" borderId="0" applyNumberFormat="0" applyBorder="0" applyAlignment="0" applyProtection="0"/>
    <xf numFmtId="0" fontId="47" fillId="56" borderId="375" applyNumberFormat="0" applyAlignment="0" applyProtection="0"/>
    <xf numFmtId="0" fontId="50" fillId="43" borderId="361" applyNumberFormat="0" applyAlignment="0" applyProtection="0"/>
    <xf numFmtId="0" fontId="37" fillId="32" borderId="364">
      <alignment horizontal="right" vertical="center"/>
    </xf>
    <xf numFmtId="0" fontId="59" fillId="43" borderId="375" applyNumberFormat="0" applyAlignment="0" applyProtection="0"/>
    <xf numFmtId="0" fontId="33" fillId="34" borderId="365">
      <alignment horizontal="right" vertical="center"/>
    </xf>
    <xf numFmtId="0" fontId="35" fillId="0" borderId="364" applyNumberFormat="0" applyFill="0" applyAlignment="0" applyProtection="0"/>
    <xf numFmtId="0" fontId="59" fillId="43" borderId="375" applyNumberFormat="0" applyAlignment="0" applyProtection="0"/>
    <xf numFmtId="0" fontId="33" fillId="34" borderId="364">
      <alignment horizontal="right" vertical="center"/>
    </xf>
    <xf numFmtId="0" fontId="27" fillId="18" borderId="0" applyNumberFormat="0" applyBorder="0" applyAlignment="0" applyProtection="0"/>
    <xf numFmtId="0" fontId="33" fillId="34" borderId="371">
      <alignment horizontal="right" vertical="center"/>
    </xf>
    <xf numFmtId="4" fontId="33" fillId="34" borderId="372">
      <alignment horizontal="right" vertical="center"/>
    </xf>
    <xf numFmtId="0" fontId="47" fillId="56" borderId="361" applyNumberFormat="0" applyAlignment="0" applyProtection="0"/>
    <xf numFmtId="0" fontId="35" fillId="33" borderId="397"/>
    <xf numFmtId="0" fontId="50" fillId="43" borderId="375" applyNumberFormat="0" applyAlignment="0" applyProtection="0"/>
    <xf numFmtId="4" fontId="33" fillId="34" borderId="365">
      <alignment horizontal="right" vertical="center"/>
    </xf>
    <xf numFmtId="4" fontId="35" fillId="33" borderId="364"/>
    <xf numFmtId="0" fontId="46" fillId="56" borderId="361" applyNumberFormat="0" applyAlignment="0" applyProtection="0"/>
    <xf numFmtId="0" fontId="41" fillId="59" borderId="363" applyNumberFormat="0" applyFont="0" applyAlignment="0" applyProtection="0"/>
    <xf numFmtId="0" fontId="35" fillId="34" borderId="381">
      <alignment horizontal="left" vertical="center" wrapText="1" indent="2"/>
    </xf>
    <xf numFmtId="0" fontId="33" fillId="34" borderId="370">
      <alignment horizontal="right" vertical="center"/>
    </xf>
    <xf numFmtId="0" fontId="33" fillId="34" borderId="365">
      <alignment horizontal="right" vertical="center"/>
    </xf>
    <xf numFmtId="4" fontId="33" fillId="34" borderId="370">
      <alignment horizontal="right" vertical="center"/>
    </xf>
    <xf numFmtId="0" fontId="47" fillId="56" borderId="391" applyNumberFormat="0" applyAlignment="0" applyProtection="0"/>
    <xf numFmtId="4" fontId="37" fillId="32" borderId="370">
      <alignment horizontal="right" vertical="center"/>
    </xf>
    <xf numFmtId="0" fontId="1" fillId="0" borderId="0" applyNumberFormat="0" applyFill="0" applyBorder="0" applyAlignment="0" applyProtection="0"/>
    <xf numFmtId="4" fontId="33" fillId="34" borderId="378">
      <alignment horizontal="right" vertical="center"/>
    </xf>
    <xf numFmtId="0" fontId="41" fillId="59" borderId="403" applyNumberFormat="0" applyFont="0" applyAlignment="0" applyProtection="0"/>
    <xf numFmtId="4" fontId="33" fillId="34" borderId="388">
      <alignment horizontal="right" vertical="center"/>
    </xf>
    <xf numFmtId="0" fontId="30" fillId="13" borderId="13" applyNumberFormat="0" applyAlignment="0" applyProtection="0"/>
    <xf numFmtId="0" fontId="47" fillId="56" borderId="375" applyNumberFormat="0" applyAlignment="0" applyProtection="0"/>
    <xf numFmtId="0" fontId="51" fillId="0" borderId="384" applyNumberFormat="0" applyFill="0" applyAlignment="0" applyProtection="0"/>
    <xf numFmtId="4" fontId="37" fillId="32" borderId="364">
      <alignment horizontal="right" vertical="center"/>
    </xf>
    <xf numFmtId="4" fontId="33" fillId="34" borderId="398">
      <alignment horizontal="right" vertical="center"/>
    </xf>
    <xf numFmtId="0" fontId="59" fillId="43" borderId="361" applyNumberFormat="0" applyAlignment="0" applyProtection="0"/>
    <xf numFmtId="0" fontId="33" fillId="34" borderId="370">
      <alignment horizontal="right" vertical="center"/>
    </xf>
    <xf numFmtId="0" fontId="33" fillId="34" borderId="371">
      <alignment horizontal="right" vertical="center"/>
    </xf>
    <xf numFmtId="0" fontId="33" fillId="34" borderId="365">
      <alignment horizontal="right" vertical="center"/>
    </xf>
    <xf numFmtId="0" fontId="47" fillId="56" borderId="354" applyNumberFormat="0" applyAlignment="0" applyProtection="0"/>
    <xf numFmtId="4" fontId="33" fillId="34" borderId="364">
      <alignment horizontal="right" vertical="center"/>
    </xf>
    <xf numFmtId="0" fontId="44" fillId="56" borderId="374" applyNumberFormat="0" applyAlignment="0" applyProtection="0"/>
    <xf numFmtId="0" fontId="59" fillId="43" borderId="383" applyNumberFormat="0" applyAlignment="0" applyProtection="0"/>
    <xf numFmtId="0" fontId="33" fillId="34" borderId="364">
      <alignment horizontal="right" vertical="center"/>
    </xf>
    <xf numFmtId="0" fontId="35" fillId="0" borderId="364">
      <alignment horizontal="right" vertical="center"/>
    </xf>
    <xf numFmtId="0" fontId="33" fillId="34" borderId="364">
      <alignment horizontal="right" vertical="center"/>
    </xf>
    <xf numFmtId="0" fontId="59" fillId="43" borderId="361" applyNumberFormat="0" applyAlignment="0" applyProtection="0"/>
    <xf numFmtId="0" fontId="59" fillId="43" borderId="354" applyNumberFormat="0" applyAlignment="0" applyProtection="0"/>
    <xf numFmtId="0" fontId="47" fillId="56" borderId="391" applyNumberFormat="0" applyAlignment="0" applyProtection="0"/>
    <xf numFmtId="173" fontId="35" fillId="60" borderId="370" applyNumberFormat="0" applyFont="0" applyBorder="0" applyAlignment="0" applyProtection="0">
      <alignment horizontal="right" vertical="center"/>
    </xf>
    <xf numFmtId="0" fontId="30" fillId="13" borderId="13" applyNumberFormat="0" applyAlignment="0" applyProtection="0"/>
    <xf numFmtId="0" fontId="41" fillId="59" borderId="356" applyNumberFormat="0" applyFont="0" applyAlignment="0" applyProtection="0"/>
    <xf numFmtId="0" fontId="63" fillId="56" borderId="353" applyNumberFormat="0" applyAlignment="0" applyProtection="0"/>
    <xf numFmtId="0" fontId="51" fillId="0" borderId="362" applyNumberFormat="0" applyFill="0" applyAlignment="0" applyProtection="0"/>
    <xf numFmtId="0" fontId="66" fillId="0" borderId="355" applyNumberFormat="0" applyFill="0" applyAlignment="0" applyProtection="0"/>
    <xf numFmtId="0" fontId="66" fillId="0" borderId="376" applyNumberFormat="0" applyFill="0" applyAlignment="0" applyProtection="0"/>
    <xf numFmtId="0" fontId="63" fillId="56" borderId="368" applyNumberFormat="0" applyAlignment="0" applyProtection="0"/>
    <xf numFmtId="49" fontId="35" fillId="0" borderId="364" applyNumberFormat="0" applyFont="0" applyFill="0" applyBorder="0" applyProtection="0">
      <alignment horizontal="left" vertical="center" indent="2"/>
    </xf>
    <xf numFmtId="49" fontId="35" fillId="0" borderId="365" applyNumberFormat="0" applyFont="0" applyFill="0" applyBorder="0" applyProtection="0">
      <alignment horizontal="left" vertical="center" indent="5"/>
    </xf>
    <xf numFmtId="0" fontId="66" fillId="0" borderId="362" applyNumberFormat="0" applyFill="0" applyAlignment="0" applyProtection="0"/>
    <xf numFmtId="4" fontId="35" fillId="0" borderId="364">
      <alignment horizontal="right" vertical="center"/>
    </xf>
    <xf numFmtId="0" fontId="5" fillId="59" borderId="363" applyNumberFormat="0" applyFont="0" applyAlignment="0" applyProtection="0"/>
    <xf numFmtId="0" fontId="29" fillId="13" borderId="14" applyNumberFormat="0" applyAlignment="0" applyProtection="0"/>
    <xf numFmtId="0" fontId="35" fillId="0" borderId="367">
      <alignment horizontal="left" vertical="center" wrapText="1" indent="2"/>
    </xf>
    <xf numFmtId="0" fontId="33" fillId="34" borderId="366">
      <alignment horizontal="right" vertical="center"/>
    </xf>
    <xf numFmtId="0" fontId="46" fillId="56" borderId="361" applyNumberFormat="0" applyAlignment="0" applyProtection="0"/>
    <xf numFmtId="4" fontId="33" fillId="34" borderId="364">
      <alignment horizontal="right" vertical="center"/>
    </xf>
    <xf numFmtId="0" fontId="29" fillId="13" borderId="14" applyNumberFormat="0" applyAlignment="0" applyProtection="0"/>
    <xf numFmtId="0" fontId="46" fillId="56" borderId="375" applyNumberFormat="0" applyAlignment="0" applyProtection="0"/>
    <xf numFmtId="173" fontId="35" fillId="60" borderId="364" applyNumberFormat="0" applyFont="0" applyBorder="0" applyAlignment="0" applyProtection="0">
      <alignment horizontal="right" vertical="center"/>
    </xf>
    <xf numFmtId="173" fontId="35" fillId="60" borderId="370" applyNumberFormat="0" applyFont="0" applyBorder="0" applyAlignment="0" applyProtection="0">
      <alignment horizontal="right" vertical="center"/>
    </xf>
    <xf numFmtId="49" fontId="34" fillId="0" borderId="364" applyNumberFormat="0" applyFill="0" applyBorder="0" applyProtection="0">
      <alignment horizontal="left" vertical="center"/>
    </xf>
    <xf numFmtId="0" fontId="44" fillId="56" borderId="382" applyNumberFormat="0" applyAlignment="0" applyProtection="0"/>
    <xf numFmtId="49" fontId="35" fillId="0" borderId="378" applyNumberFormat="0" applyFont="0" applyFill="0" applyBorder="0" applyProtection="0">
      <alignment horizontal="left" vertical="center" indent="2"/>
    </xf>
    <xf numFmtId="4" fontId="33" fillId="34" borderId="380">
      <alignment horizontal="right" vertical="center"/>
    </xf>
    <xf numFmtId="0" fontId="33" fillId="32" borderId="357">
      <alignment horizontal="right" vertical="center"/>
    </xf>
    <xf numFmtId="4" fontId="33" fillId="32" borderId="357">
      <alignment horizontal="right" vertical="center"/>
    </xf>
    <xf numFmtId="0" fontId="37" fillId="32" borderId="357">
      <alignment horizontal="right" vertical="center"/>
    </xf>
    <xf numFmtId="4" fontId="37" fillId="32" borderId="357">
      <alignment horizontal="right" vertical="center"/>
    </xf>
    <xf numFmtId="0" fontId="33" fillId="34" borderId="357">
      <alignment horizontal="right" vertical="center"/>
    </xf>
    <xf numFmtId="4" fontId="33" fillId="34" borderId="357">
      <alignment horizontal="right" vertical="center"/>
    </xf>
    <xf numFmtId="0" fontId="33" fillId="34" borderId="357">
      <alignment horizontal="right" vertical="center"/>
    </xf>
    <xf numFmtId="4" fontId="33" fillId="34" borderId="357">
      <alignment horizontal="right" vertical="center"/>
    </xf>
    <xf numFmtId="0" fontId="33" fillId="34" borderId="358">
      <alignment horizontal="right" vertical="center"/>
    </xf>
    <xf numFmtId="4" fontId="33" fillId="34" borderId="358">
      <alignment horizontal="right" vertical="center"/>
    </xf>
    <xf numFmtId="0" fontId="33" fillId="34" borderId="359">
      <alignment horizontal="right" vertical="center"/>
    </xf>
    <xf numFmtId="4" fontId="33" fillId="34" borderId="359">
      <alignment horizontal="right" vertical="center"/>
    </xf>
    <xf numFmtId="0" fontId="47" fillId="56" borderId="354" applyNumberFormat="0" applyAlignment="0" applyProtection="0"/>
    <xf numFmtId="0" fontId="35" fillId="34" borderId="360">
      <alignment horizontal="left" vertical="center" wrapText="1" indent="2"/>
    </xf>
    <xf numFmtId="0" fontId="35" fillId="0" borderId="360">
      <alignment horizontal="left" vertical="center" wrapText="1" indent="2"/>
    </xf>
    <xf numFmtId="0" fontId="35" fillId="32" borderId="358">
      <alignment horizontal="left" vertical="center"/>
    </xf>
    <xf numFmtId="4" fontId="33" fillId="34" borderId="378">
      <alignment horizontal="right" vertical="center"/>
    </xf>
    <xf numFmtId="0" fontId="59" fillId="43" borderId="354" applyNumberFormat="0" applyAlignment="0" applyProtection="0"/>
    <xf numFmtId="0" fontId="35" fillId="0" borderId="357">
      <alignment horizontal="right" vertical="center"/>
    </xf>
    <xf numFmtId="4" fontId="35" fillId="0" borderId="357">
      <alignment horizontal="right" vertical="center"/>
    </xf>
    <xf numFmtId="0" fontId="27" fillId="17" borderId="0" applyNumberFormat="0" applyBorder="0" applyAlignment="0" applyProtection="0"/>
    <xf numFmtId="0" fontId="35" fillId="0" borderId="357" applyNumberFormat="0" applyFill="0" applyAlignment="0" applyProtection="0"/>
    <xf numFmtId="0" fontId="63" fillId="56" borderId="353" applyNumberFormat="0" applyAlignment="0" applyProtection="0"/>
    <xf numFmtId="173" fontId="35" fillId="60" borderId="357" applyNumberFormat="0" applyFont="0" applyBorder="0" applyAlignment="0" applyProtection="0">
      <alignment horizontal="right" vertical="center"/>
    </xf>
    <xf numFmtId="0" fontId="35" fillId="33" borderId="357"/>
    <xf numFmtId="4" fontId="35" fillId="33" borderId="357"/>
    <xf numFmtId="0" fontId="66" fillId="0" borderId="355" applyNumberFormat="0" applyFill="0" applyAlignment="0" applyProtection="0"/>
    <xf numFmtId="0" fontId="12" fillId="16" borderId="0" applyNumberFormat="0" applyBorder="0" applyAlignment="0" applyProtection="0"/>
    <xf numFmtId="4" fontId="37" fillId="32" borderId="378">
      <alignment horizontal="right" vertical="center"/>
    </xf>
    <xf numFmtId="0" fontId="63" fillId="56" borderId="390" applyNumberFormat="0" applyAlignment="0" applyProtection="0"/>
    <xf numFmtId="4" fontId="33" fillId="34" borderId="366">
      <alignment horizontal="right" vertical="center"/>
    </xf>
    <xf numFmtId="0" fontId="35" fillId="33" borderId="364"/>
    <xf numFmtId="49" fontId="35" fillId="0" borderId="364" applyNumberFormat="0" applyFont="0" applyFill="0" applyBorder="0" applyProtection="0">
      <alignment horizontal="left" vertical="center" indent="2"/>
    </xf>
    <xf numFmtId="0" fontId="33" fillId="32" borderId="386">
      <alignment horizontal="right" vertical="center"/>
    </xf>
    <xf numFmtId="0" fontId="66" fillId="0" borderId="362" applyNumberFormat="0" applyFill="0" applyAlignment="0" applyProtection="0"/>
    <xf numFmtId="0" fontId="27" fillId="21" borderId="0" applyNumberFormat="0" applyBorder="0" applyAlignment="0" applyProtection="0"/>
    <xf numFmtId="0" fontId="46" fillId="56" borderId="383" applyNumberFormat="0" applyAlignment="0" applyProtection="0"/>
    <xf numFmtId="4" fontId="37" fillId="32" borderId="364">
      <alignment horizontal="right" vertical="center"/>
    </xf>
    <xf numFmtId="0" fontId="33" fillId="32" borderId="397">
      <alignment horizontal="right" vertical="center"/>
    </xf>
    <xf numFmtId="0" fontId="47" fillId="56" borderId="361" applyNumberFormat="0" applyAlignment="0" applyProtection="0"/>
    <xf numFmtId="173" fontId="35" fillId="60" borderId="370" applyNumberFormat="0" applyFont="0" applyBorder="0" applyAlignment="0" applyProtection="0">
      <alignment horizontal="right" vertical="center"/>
    </xf>
    <xf numFmtId="0" fontId="35" fillId="33" borderId="378"/>
    <xf numFmtId="4" fontId="33" fillId="34" borderId="378">
      <alignment horizontal="right" vertical="center"/>
    </xf>
    <xf numFmtId="0" fontId="41" fillId="59" borderId="369" applyNumberFormat="0" applyFont="0" applyAlignment="0" applyProtection="0"/>
    <xf numFmtId="0" fontId="51" fillId="0" borderId="362" applyNumberFormat="0" applyFill="0" applyAlignment="0" applyProtection="0"/>
    <xf numFmtId="0" fontId="35" fillId="33" borderId="364"/>
    <xf numFmtId="0" fontId="46" fillId="56" borderId="361" applyNumberFormat="0" applyAlignment="0" applyProtection="0"/>
    <xf numFmtId="49" fontId="34" fillId="0" borderId="364" applyNumberFormat="0" applyFill="0" applyBorder="0" applyProtection="0">
      <alignment horizontal="left" vertical="center"/>
    </xf>
    <xf numFmtId="0" fontId="35" fillId="0" borderId="364" applyNumberFormat="0" applyFill="0" applyAlignment="0" applyProtection="0"/>
    <xf numFmtId="0" fontId="5" fillId="59" borderId="363" applyNumberFormat="0" applyFont="0" applyAlignment="0" applyProtection="0"/>
    <xf numFmtId="0" fontId="27" fillId="15" borderId="0" applyNumberFormat="0" applyBorder="0" applyAlignment="0" applyProtection="0"/>
    <xf numFmtId="0" fontId="12" fillId="28" borderId="0" applyNumberFormat="0" applyBorder="0" applyAlignment="0" applyProtection="0"/>
    <xf numFmtId="4" fontId="35" fillId="0" borderId="364">
      <alignment horizontal="right" vertical="center"/>
    </xf>
    <xf numFmtId="0" fontId="27" fillId="20" borderId="0" applyNumberFormat="0" applyBorder="0" applyAlignment="0" applyProtection="0"/>
    <xf numFmtId="0" fontId="46" fillId="56" borderId="361" applyNumberFormat="0" applyAlignment="0" applyProtection="0"/>
    <xf numFmtId="0" fontId="33" fillId="34" borderId="371">
      <alignment horizontal="right" vertical="center"/>
    </xf>
    <xf numFmtId="0" fontId="27" fillId="15" borderId="0" applyNumberFormat="0" applyBorder="0" applyAlignment="0" applyProtection="0"/>
    <xf numFmtId="0" fontId="35" fillId="0" borderId="389">
      <alignment horizontal="left" vertical="center" wrapText="1" indent="2"/>
    </xf>
    <xf numFmtId="0" fontId="46" fillId="56" borderId="401" applyNumberFormat="0" applyAlignment="0" applyProtection="0"/>
    <xf numFmtId="0" fontId="27" fillId="23" borderId="0" applyNumberFormat="0" applyBorder="0" applyAlignment="0" applyProtection="0"/>
    <xf numFmtId="0" fontId="27" fillId="17" borderId="0" applyNumberFormat="0" applyBorder="0" applyAlignment="0" applyProtection="0"/>
    <xf numFmtId="0" fontId="41" fillId="59" borderId="369" applyNumberFormat="0" applyFont="0" applyAlignment="0" applyProtection="0"/>
    <xf numFmtId="49" fontId="35" fillId="0" borderId="365" applyNumberFormat="0" applyFont="0" applyFill="0" applyBorder="0" applyProtection="0">
      <alignment horizontal="left" vertical="center" indent="5"/>
    </xf>
    <xf numFmtId="0" fontId="66" fillId="0" borderId="362" applyNumberFormat="0" applyFill="0" applyAlignment="0" applyProtection="0"/>
    <xf numFmtId="0" fontId="41" fillId="59" borderId="363" applyNumberFormat="0" applyFont="0" applyAlignment="0" applyProtection="0"/>
    <xf numFmtId="0" fontId="33" fillId="34" borderId="365">
      <alignment horizontal="right" vertical="center"/>
    </xf>
    <xf numFmtId="0" fontId="44" fillId="56" borderId="368" applyNumberFormat="0" applyAlignment="0" applyProtection="0"/>
    <xf numFmtId="4" fontId="33" fillId="34" borderId="366">
      <alignment horizontal="right" vertical="center"/>
    </xf>
    <xf numFmtId="4" fontId="37" fillId="32" borderId="364">
      <alignment horizontal="right" vertical="center"/>
    </xf>
    <xf numFmtId="0" fontId="59" fillId="43" borderId="361" applyNumberFormat="0" applyAlignment="0" applyProtection="0"/>
    <xf numFmtId="0" fontId="47" fillId="56" borderId="361" applyNumberFormat="0" applyAlignment="0" applyProtection="0"/>
    <xf numFmtId="0" fontId="37" fillId="32" borderId="364">
      <alignment horizontal="right" vertical="center"/>
    </xf>
    <xf numFmtId="0" fontId="66" fillId="0" borderId="362" applyNumberFormat="0" applyFill="0" applyAlignment="0" applyProtection="0"/>
    <xf numFmtId="0" fontId="47" fillId="56" borderId="361" applyNumberFormat="0" applyAlignment="0" applyProtection="0"/>
    <xf numFmtId="0" fontId="31" fillId="0" borderId="0" applyNumberFormat="0" applyFill="0" applyBorder="0" applyAlignment="0" applyProtection="0"/>
    <xf numFmtId="0" fontId="12" fillId="25" borderId="0" applyNumberFormat="0" applyBorder="0" applyAlignment="0" applyProtection="0"/>
    <xf numFmtId="0" fontId="27" fillId="30" borderId="0" applyNumberFormat="0" applyBorder="0" applyAlignment="0" applyProtection="0"/>
    <xf numFmtId="0" fontId="5" fillId="59" borderId="363" applyNumberFormat="0" applyFont="0" applyAlignment="0" applyProtection="0"/>
    <xf numFmtId="0" fontId="27" fillId="27" borderId="0" applyNumberFormat="0" applyBorder="0" applyAlignment="0" applyProtection="0"/>
    <xf numFmtId="0" fontId="27" fillId="17" borderId="0" applyNumberFormat="0" applyBorder="0" applyAlignment="0" applyProtection="0"/>
    <xf numFmtId="0" fontId="46" fillId="56" borderId="375" applyNumberFormat="0" applyAlignment="0" applyProtection="0"/>
    <xf numFmtId="0" fontId="27" fillId="14" borderId="0" applyNumberFormat="0" applyBorder="0" applyAlignment="0" applyProtection="0"/>
    <xf numFmtId="0" fontId="47" fillId="56" borderId="401" applyNumberFormat="0" applyAlignment="0" applyProtection="0"/>
    <xf numFmtId="0" fontId="63" fillId="56" borderId="368" applyNumberFormat="0" applyAlignment="0" applyProtection="0"/>
    <xf numFmtId="0" fontId="33" fillId="34" borderId="364">
      <alignment horizontal="right" vertical="center"/>
    </xf>
    <xf numFmtId="0" fontId="35" fillId="33" borderId="397"/>
    <xf numFmtId="4" fontId="37" fillId="32" borderId="364">
      <alignment horizontal="right" vertical="center"/>
    </xf>
    <xf numFmtId="0" fontId="1" fillId="0" borderId="0" applyNumberFormat="0" applyFill="0" applyBorder="0" applyAlignment="0" applyProtection="0"/>
    <xf numFmtId="49" fontId="35" fillId="0" borderId="357" applyNumberFormat="0" applyFont="0" applyFill="0" applyBorder="0" applyProtection="0">
      <alignment horizontal="left" vertical="center" indent="2"/>
    </xf>
    <xf numFmtId="49" fontId="35" fillId="0" borderId="358" applyNumberFormat="0" applyFont="0" applyFill="0" applyBorder="0" applyProtection="0">
      <alignment horizontal="left" vertical="center" indent="5"/>
    </xf>
    <xf numFmtId="0" fontId="27" fillId="15" borderId="0" applyNumberFormat="0" applyBorder="0" applyAlignment="0" applyProtection="0"/>
    <xf numFmtId="0" fontId="33" fillId="34" borderId="366">
      <alignment horizontal="right" vertical="center"/>
    </xf>
    <xf numFmtId="0" fontId="37" fillId="32" borderId="370">
      <alignment horizontal="right" vertical="center"/>
    </xf>
    <xf numFmtId="0" fontId="33" fillId="32" borderId="364">
      <alignment horizontal="right" vertical="center"/>
    </xf>
    <xf numFmtId="0" fontId="46" fillId="56" borderId="394" applyNumberFormat="0" applyAlignment="0" applyProtection="0"/>
    <xf numFmtId="0" fontId="66" fillId="0" borderId="376" applyNumberFormat="0" applyFill="0" applyAlignment="0" applyProtection="0"/>
    <xf numFmtId="0" fontId="51" fillId="0" borderId="362" applyNumberFormat="0" applyFill="0" applyAlignment="0" applyProtection="0"/>
    <xf numFmtId="0" fontId="27" fillId="27" borderId="0" applyNumberFormat="0" applyBorder="0" applyAlignment="0" applyProtection="0"/>
    <xf numFmtId="0" fontId="33" fillId="34" borderId="404">
      <alignment horizontal="right" vertical="center"/>
    </xf>
    <xf numFmtId="0" fontId="35" fillId="0" borderId="367">
      <alignment horizontal="left" vertical="center" wrapText="1" indent="2"/>
    </xf>
    <xf numFmtId="4" fontId="35" fillId="0" borderId="357" applyFill="0" applyBorder="0" applyProtection="0">
      <alignment horizontal="right" vertical="center"/>
    </xf>
    <xf numFmtId="49" fontId="34" fillId="0" borderId="357" applyNumberFormat="0" applyFill="0" applyBorder="0" applyProtection="0">
      <alignment horizontal="left" vertical="center"/>
    </xf>
    <xf numFmtId="4" fontId="33" fillId="34" borderId="386">
      <alignment horizontal="right" vertical="center"/>
    </xf>
    <xf numFmtId="0" fontId="51" fillId="0" borderId="362" applyNumberFormat="0" applyFill="0" applyAlignment="0" applyProtection="0"/>
    <xf numFmtId="4" fontId="35" fillId="0" borderId="364" applyFill="0" applyBorder="0" applyProtection="0">
      <alignment horizontal="right" vertical="center"/>
    </xf>
    <xf numFmtId="0" fontId="46" fillId="56" borderId="361" applyNumberFormat="0" applyAlignment="0" applyProtection="0"/>
    <xf numFmtId="0" fontId="50" fillId="43" borderId="361" applyNumberFormat="0" applyAlignment="0" applyProtection="0"/>
    <xf numFmtId="0" fontId="35" fillId="34" borderId="367">
      <alignment horizontal="left" vertical="center" wrapText="1" indent="2"/>
    </xf>
    <xf numFmtId="4" fontId="33" fillId="34" borderId="387">
      <alignment horizontal="right" vertical="center"/>
    </xf>
    <xf numFmtId="4" fontId="33" fillId="34" borderId="364">
      <alignment horizontal="right" vertical="center"/>
    </xf>
    <xf numFmtId="0" fontId="46" fillId="56" borderId="361" applyNumberFormat="0" applyAlignment="0" applyProtection="0"/>
    <xf numFmtId="4" fontId="35" fillId="0" borderId="370">
      <alignment horizontal="right" vertical="center"/>
    </xf>
    <xf numFmtId="0" fontId="46" fillId="56" borderId="394" applyNumberFormat="0" applyAlignment="0" applyProtection="0"/>
    <xf numFmtId="0" fontId="33" fillId="34" borderId="364">
      <alignment horizontal="right" vertical="center"/>
    </xf>
    <xf numFmtId="0" fontId="44" fillId="56" borderId="368" applyNumberFormat="0" applyAlignment="0" applyProtection="0"/>
    <xf numFmtId="0" fontId="66" fillId="0" borderId="362" applyNumberFormat="0" applyFill="0" applyAlignment="0" applyProtection="0"/>
    <xf numFmtId="0" fontId="35" fillId="0" borderId="364">
      <alignment horizontal="right" vertical="center"/>
    </xf>
    <xf numFmtId="0" fontId="47" fillId="56" borderId="361" applyNumberFormat="0" applyAlignment="0" applyProtection="0"/>
    <xf numFmtId="49" fontId="35" fillId="0" borderId="370" applyNumberFormat="0" applyFont="0" applyFill="0" applyBorder="0" applyProtection="0">
      <alignment horizontal="left" vertical="center" indent="2"/>
    </xf>
    <xf numFmtId="0" fontId="47" fillId="56" borderId="361" applyNumberFormat="0" applyAlignment="0" applyProtection="0"/>
    <xf numFmtId="0" fontId="33" fillId="34" borderId="366">
      <alignment horizontal="right" vertical="center"/>
    </xf>
    <xf numFmtId="0" fontId="33" fillId="34" borderId="364">
      <alignment horizontal="right" vertical="center"/>
    </xf>
    <xf numFmtId="0" fontId="35" fillId="33" borderId="364"/>
    <xf numFmtId="0" fontId="51" fillId="0" borderId="392" applyNumberFormat="0" applyFill="0" applyAlignment="0" applyProtection="0"/>
    <xf numFmtId="0" fontId="1" fillId="0" borderId="0" applyNumberFormat="0" applyFill="0" applyBorder="0" applyAlignment="0" applyProtection="0"/>
    <xf numFmtId="0" fontId="35" fillId="32" borderId="365">
      <alignment horizontal="left" vertical="center"/>
    </xf>
    <xf numFmtId="0" fontId="33" fillId="34" borderId="387">
      <alignment horizontal="right" vertical="center"/>
    </xf>
    <xf numFmtId="173" fontId="35" fillId="60" borderId="364" applyNumberFormat="0" applyFont="0" applyBorder="0" applyAlignment="0" applyProtection="0">
      <alignment horizontal="right" vertical="center"/>
    </xf>
    <xf numFmtId="4" fontId="33" fillId="34" borderId="386">
      <alignment horizontal="right" vertical="center"/>
    </xf>
    <xf numFmtId="0" fontId="35" fillId="34" borderId="373">
      <alignment horizontal="left" vertical="center" wrapText="1" indent="2"/>
    </xf>
    <xf numFmtId="0" fontId="44" fillId="56" borderId="353" applyNumberFormat="0" applyAlignment="0" applyProtection="0"/>
    <xf numFmtId="0" fontId="46" fillId="56" borderId="354" applyNumberFormat="0" applyAlignment="0" applyProtection="0"/>
    <xf numFmtId="0" fontId="51" fillId="0" borderId="355" applyNumberFormat="0" applyFill="0" applyAlignment="0" applyProtection="0"/>
    <xf numFmtId="4" fontId="33" fillId="34" borderId="388">
      <alignment horizontal="right" vertical="center"/>
    </xf>
    <xf numFmtId="4" fontId="37" fillId="32" borderId="364">
      <alignment horizontal="right" vertical="center"/>
    </xf>
    <xf numFmtId="0" fontId="44" fillId="56" borderId="368" applyNumberFormat="0" applyAlignment="0" applyProtection="0"/>
    <xf numFmtId="4" fontId="33" fillId="34" borderId="371">
      <alignment horizontal="right" vertical="center"/>
    </xf>
    <xf numFmtId="173" fontId="35" fillId="60" borderId="370" applyNumberFormat="0" applyFont="0" applyBorder="0" applyAlignment="0" applyProtection="0">
      <alignment horizontal="right" vertical="center"/>
    </xf>
    <xf numFmtId="4" fontId="37" fillId="32" borderId="370">
      <alignment horizontal="right" vertical="center"/>
    </xf>
    <xf numFmtId="0" fontId="33" fillId="34" borderId="366">
      <alignment horizontal="right" vertical="center"/>
    </xf>
    <xf numFmtId="0" fontId="44" fillId="56" borderId="368" applyNumberFormat="0" applyAlignment="0" applyProtection="0"/>
    <xf numFmtId="0" fontId="27" fillId="18" borderId="0" applyNumberFormat="0" applyBorder="0" applyAlignment="0" applyProtection="0"/>
    <xf numFmtId="4" fontId="37" fillId="32" borderId="370">
      <alignment horizontal="right" vertical="center"/>
    </xf>
    <xf numFmtId="49" fontId="34" fillId="0" borderId="378" applyNumberFormat="0" applyFill="0" applyBorder="0" applyProtection="0">
      <alignment horizontal="left" vertical="center"/>
    </xf>
    <xf numFmtId="4" fontId="35" fillId="33" borderId="370"/>
    <xf numFmtId="0" fontId="5" fillId="59" borderId="363" applyNumberFormat="0" applyFont="0" applyAlignment="0" applyProtection="0"/>
    <xf numFmtId="0" fontId="27" fillId="23" borderId="0" applyNumberFormat="0" applyBorder="0" applyAlignment="0" applyProtection="0"/>
    <xf numFmtId="0" fontId="66" fillId="0" borderId="376" applyNumberFormat="0" applyFill="0" applyAlignment="0" applyProtection="0"/>
    <xf numFmtId="0" fontId="27" fillId="29" borderId="0" applyNumberFormat="0" applyBorder="0" applyAlignment="0" applyProtection="0"/>
    <xf numFmtId="0" fontId="33" fillId="34" borderId="364">
      <alignment horizontal="right" vertical="center"/>
    </xf>
    <xf numFmtId="4" fontId="35" fillId="0" borderId="370" applyFill="0" applyBorder="0" applyProtection="0">
      <alignment horizontal="right" vertical="center"/>
    </xf>
    <xf numFmtId="0" fontId="35" fillId="34" borderId="367">
      <alignment horizontal="left" vertical="center" wrapText="1" indent="2"/>
    </xf>
    <xf numFmtId="4" fontId="37" fillId="32" borderId="364">
      <alignment horizontal="right" vertical="center"/>
    </xf>
    <xf numFmtId="4" fontId="33" fillId="34" borderId="366">
      <alignment horizontal="right" vertical="center"/>
    </xf>
    <xf numFmtId="4" fontId="33" fillId="34" borderId="364">
      <alignment horizontal="right" vertical="center"/>
    </xf>
    <xf numFmtId="4" fontId="35" fillId="33" borderId="364"/>
    <xf numFmtId="0" fontId="66" fillId="0" borderId="376" applyNumberFormat="0" applyFill="0" applyAlignment="0" applyProtection="0"/>
    <xf numFmtId="0" fontId="50" fillId="43" borderId="354" applyNumberFormat="0" applyAlignment="0" applyProtection="0"/>
    <xf numFmtId="49" fontId="35" fillId="0" borderId="364" applyNumberFormat="0" applyFont="0" applyFill="0" applyBorder="0" applyProtection="0">
      <alignment horizontal="left" vertical="center" indent="2"/>
    </xf>
    <xf numFmtId="173" fontId="35" fillId="60" borderId="364" applyNumberFormat="0" applyFont="0" applyBorder="0" applyAlignment="0" applyProtection="0">
      <alignment horizontal="right" vertical="center"/>
    </xf>
    <xf numFmtId="0" fontId="46" fillId="56" borderId="383" applyNumberFormat="0" applyAlignment="0" applyProtection="0"/>
    <xf numFmtId="4" fontId="35" fillId="0" borderId="370">
      <alignment horizontal="right" vertical="center"/>
    </xf>
    <xf numFmtId="4" fontId="35" fillId="0" borderId="378" applyFill="0" applyBorder="0" applyProtection="0">
      <alignment horizontal="right" vertical="center"/>
    </xf>
    <xf numFmtId="0" fontId="59" fillId="43" borderId="375" applyNumberFormat="0" applyAlignment="0" applyProtection="0"/>
    <xf numFmtId="4" fontId="33" fillId="34" borderId="366">
      <alignment horizontal="right" vertical="center"/>
    </xf>
    <xf numFmtId="0" fontId="27" fillId="23" borderId="0" applyNumberFormat="0" applyBorder="0" applyAlignment="0" applyProtection="0"/>
    <xf numFmtId="0" fontId="51" fillId="0" borderId="395" applyNumberFormat="0" applyFill="0" applyAlignment="0" applyProtection="0"/>
    <xf numFmtId="0" fontId="29" fillId="13" borderId="14" applyNumberFormat="0" applyAlignment="0" applyProtection="0"/>
    <xf numFmtId="0" fontId="44" fillId="56" borderId="374" applyNumberFormat="0" applyAlignment="0" applyProtection="0"/>
    <xf numFmtId="0" fontId="66" fillId="0" borderId="384" applyNumberFormat="0" applyFill="0" applyAlignment="0" applyProtection="0"/>
    <xf numFmtId="0" fontId="47" fillId="56" borderId="383" applyNumberFormat="0" applyAlignment="0" applyProtection="0"/>
    <xf numFmtId="0" fontId="59" fillId="43" borderId="361" applyNumberFormat="0" applyAlignment="0" applyProtection="0"/>
    <xf numFmtId="0" fontId="35" fillId="34" borderId="367">
      <alignment horizontal="left" vertical="center" wrapText="1" indent="2"/>
    </xf>
    <xf numFmtId="0" fontId="51" fillId="0" borderId="362" applyNumberFormat="0" applyFill="0" applyAlignment="0" applyProtection="0"/>
    <xf numFmtId="4" fontId="35" fillId="33" borderId="364"/>
    <xf numFmtId="49" fontId="34" fillId="0" borderId="378" applyNumberFormat="0" applyFill="0" applyBorder="0" applyProtection="0">
      <alignment horizontal="left" vertical="center"/>
    </xf>
    <xf numFmtId="0" fontId="35" fillId="34" borderId="360">
      <alignment horizontal="left" vertical="center" wrapText="1" indent="2"/>
    </xf>
    <xf numFmtId="0" fontId="35" fillId="0" borderId="360">
      <alignment horizontal="left" vertical="center" wrapText="1" indent="2"/>
    </xf>
    <xf numFmtId="4" fontId="33" fillId="34" borderId="370">
      <alignment horizontal="right" vertical="center"/>
    </xf>
    <xf numFmtId="0" fontId="35" fillId="32" borderId="379">
      <alignment horizontal="left" vertical="center"/>
    </xf>
    <xf numFmtId="0" fontId="33" fillId="34" borderId="388">
      <alignment horizontal="right" vertical="center"/>
    </xf>
    <xf numFmtId="0" fontId="35" fillId="0" borderId="378">
      <alignment horizontal="right" vertical="center"/>
    </xf>
    <xf numFmtId="0" fontId="35" fillId="32" borderId="379">
      <alignment horizontal="left" vertical="center"/>
    </xf>
    <xf numFmtId="0" fontId="35" fillId="33" borderId="386"/>
    <xf numFmtId="0" fontId="59" fillId="43" borderId="361" applyNumberFormat="0" applyAlignment="0" applyProtection="0"/>
    <xf numFmtId="0" fontId="33" fillId="34" borderId="370">
      <alignment horizontal="right" vertical="center"/>
    </xf>
    <xf numFmtId="0" fontId="27" fillId="27" borderId="0" applyNumberFormat="0" applyBorder="0" applyAlignment="0" applyProtection="0"/>
    <xf numFmtId="0" fontId="12" fillId="25" borderId="0" applyNumberFormat="0" applyBorder="0" applyAlignment="0" applyProtection="0"/>
    <xf numFmtId="0" fontId="27" fillId="23" borderId="0" applyNumberFormat="0" applyBorder="0" applyAlignment="0" applyProtection="0"/>
    <xf numFmtId="4" fontId="35" fillId="0" borderId="386" applyFill="0" applyBorder="0" applyProtection="0">
      <alignment horizontal="right" vertical="center"/>
    </xf>
    <xf numFmtId="0" fontId="35" fillId="34" borderId="400">
      <alignment horizontal="left" vertical="center" wrapText="1" indent="2"/>
    </xf>
    <xf numFmtId="0" fontId="47" fillId="56" borderId="375" applyNumberFormat="0" applyAlignment="0" applyProtection="0"/>
    <xf numFmtId="0" fontId="12" fillId="22" borderId="0" applyNumberFormat="0" applyBorder="0" applyAlignment="0" applyProtection="0"/>
    <xf numFmtId="0" fontId="50" fillId="43" borderId="383" applyNumberFormat="0" applyAlignment="0" applyProtection="0"/>
    <xf numFmtId="0" fontId="33" fillId="34" borderId="372">
      <alignment horizontal="right" vertical="center"/>
    </xf>
    <xf numFmtId="0" fontId="47" fillId="56" borderId="375" applyNumberFormat="0" applyAlignment="0" applyProtection="0"/>
    <xf numFmtId="4" fontId="35" fillId="33" borderId="370"/>
    <xf numFmtId="0" fontId="35" fillId="0" borderId="364">
      <alignment horizontal="right" vertical="center"/>
    </xf>
    <xf numFmtId="0" fontId="66" fillId="0" borderId="376" applyNumberFormat="0" applyFill="0" applyAlignment="0" applyProtection="0"/>
    <xf numFmtId="0" fontId="44" fillId="56" borderId="368" applyNumberFormat="0" applyAlignment="0" applyProtection="0"/>
    <xf numFmtId="4" fontId="33" fillId="32" borderId="364">
      <alignment horizontal="right" vertical="center"/>
    </xf>
    <xf numFmtId="0" fontId="51" fillId="0" borderId="362" applyNumberFormat="0" applyFill="0" applyAlignment="0" applyProtection="0"/>
    <xf numFmtId="0" fontId="47" fillId="56" borderId="361" applyNumberFormat="0" applyAlignment="0" applyProtection="0"/>
    <xf numFmtId="4" fontId="33" fillId="34" borderId="365">
      <alignment horizontal="right" vertical="center"/>
    </xf>
    <xf numFmtId="0" fontId="46" fillId="56" borderId="375" applyNumberFormat="0" applyAlignment="0" applyProtection="0"/>
    <xf numFmtId="0" fontId="46" fillId="56" borderId="361" applyNumberFormat="0" applyAlignment="0" applyProtection="0"/>
    <xf numFmtId="0" fontId="35" fillId="0" borderId="367">
      <alignment horizontal="left" vertical="center" wrapText="1" indent="2"/>
    </xf>
    <xf numFmtId="49" fontId="35" fillId="0" borderId="364" applyNumberFormat="0" applyFont="0" applyFill="0" applyBorder="0" applyProtection="0">
      <alignment horizontal="left" vertical="center" indent="2"/>
    </xf>
    <xf numFmtId="0" fontId="59" fillId="43" borderId="361" applyNumberFormat="0" applyAlignment="0" applyProtection="0"/>
    <xf numFmtId="0" fontId="41" fillId="59" borderId="363" applyNumberFormat="0" applyFont="0" applyAlignment="0" applyProtection="0"/>
    <xf numFmtId="4" fontId="33" fillId="34" borderId="365">
      <alignment horizontal="right" vertical="center"/>
    </xf>
    <xf numFmtId="0" fontId="35" fillId="34" borderId="367">
      <alignment horizontal="left" vertical="center" wrapText="1" indent="2"/>
    </xf>
    <xf numFmtId="0" fontId="51" fillId="0" borderId="362" applyNumberFormat="0" applyFill="0" applyAlignment="0" applyProtection="0"/>
    <xf numFmtId="0" fontId="63" fillId="56" borderId="368" applyNumberFormat="0" applyAlignment="0" applyProtection="0"/>
    <xf numFmtId="0" fontId="41" fillId="59" borderId="363" applyNumberFormat="0" applyFont="0" applyAlignment="0" applyProtection="0"/>
    <xf numFmtId="0" fontId="59" fillId="43" borderId="361" applyNumberFormat="0" applyAlignment="0" applyProtection="0"/>
    <xf numFmtId="0" fontId="35" fillId="0" borderId="364" applyNumberFormat="0" applyFill="0" applyAlignment="0" applyProtection="0"/>
    <xf numFmtId="0" fontId="33" fillId="32" borderId="364">
      <alignment horizontal="right" vertical="center"/>
    </xf>
    <xf numFmtId="0" fontId="33" fillId="34" borderId="364">
      <alignment horizontal="right" vertical="center"/>
    </xf>
    <xf numFmtId="0" fontId="41" fillId="59" borderId="363" applyNumberFormat="0" applyFont="0" applyAlignment="0" applyProtection="0"/>
    <xf numFmtId="0" fontId="51" fillId="0" borderId="362" applyNumberFormat="0" applyFill="0" applyAlignment="0" applyProtection="0"/>
    <xf numFmtId="0" fontId="33" fillId="32" borderId="364">
      <alignment horizontal="right" vertical="center"/>
    </xf>
    <xf numFmtId="4" fontId="35" fillId="0" borderId="364" applyFill="0" applyBorder="0" applyProtection="0">
      <alignment horizontal="right" vertical="center"/>
    </xf>
    <xf numFmtId="4" fontId="33" fillId="34" borderId="370">
      <alignment horizontal="right" vertical="center"/>
    </xf>
    <xf numFmtId="49" fontId="35" fillId="0" borderId="364" applyNumberFormat="0" applyFont="0" applyFill="0" applyBorder="0" applyProtection="0">
      <alignment horizontal="left" vertical="center" indent="2"/>
    </xf>
    <xf numFmtId="0" fontId="50" fillId="43" borderId="361" applyNumberFormat="0" applyAlignment="0" applyProtection="0"/>
    <xf numFmtId="0" fontId="33" fillId="32" borderId="386">
      <alignment horizontal="right" vertical="center"/>
    </xf>
    <xf numFmtId="0" fontId="12" fillId="22" borderId="0" applyNumberFormat="0" applyBorder="0" applyAlignment="0" applyProtection="0"/>
    <xf numFmtId="4" fontId="33" fillId="34" borderId="388">
      <alignment horizontal="right" vertical="center"/>
    </xf>
    <xf numFmtId="0" fontId="12" fillId="31" borderId="0" applyNumberFormat="0" applyBorder="0" applyAlignment="0" applyProtection="0"/>
    <xf numFmtId="0" fontId="33" fillId="34" borderId="372">
      <alignment horizontal="right" vertical="center"/>
    </xf>
    <xf numFmtId="0" fontId="27" fillId="29" borderId="0" applyNumberFormat="0" applyBorder="0" applyAlignment="0" applyProtection="0"/>
    <xf numFmtId="0" fontId="50" fillId="43" borderId="383" applyNumberFormat="0" applyAlignment="0" applyProtection="0"/>
    <xf numFmtId="0" fontId="27" fillId="26" borderId="0" applyNumberFormat="0" applyBorder="0" applyAlignment="0" applyProtection="0"/>
    <xf numFmtId="0" fontId="27" fillId="24" borderId="0" applyNumberFormat="0" applyBorder="0" applyAlignment="0" applyProtection="0"/>
    <xf numFmtId="0" fontId="33" fillId="34" borderId="386">
      <alignment horizontal="right" vertical="center"/>
    </xf>
    <xf numFmtId="0" fontId="12" fillId="16" borderId="0" applyNumberFormat="0" applyBorder="0" applyAlignment="0" applyProtection="0"/>
    <xf numFmtId="0" fontId="27" fillId="18" borderId="0" applyNumberFormat="0" applyBorder="0" applyAlignment="0" applyProtection="0"/>
    <xf numFmtId="0" fontId="12" fillId="19" borderId="0" applyNumberFormat="0" applyBorder="0" applyAlignment="0" applyProtection="0"/>
    <xf numFmtId="0" fontId="33" fillId="34" borderId="378">
      <alignment horizontal="right" vertical="center"/>
    </xf>
    <xf numFmtId="0" fontId="2" fillId="0" borderId="15" applyNumberFormat="0" applyFill="0" applyAlignment="0" applyProtection="0"/>
    <xf numFmtId="4" fontId="35" fillId="0" borderId="370" applyFill="0" applyBorder="0" applyProtection="0">
      <alignment horizontal="right" vertical="center"/>
    </xf>
    <xf numFmtId="0" fontId="63" fillId="56" borderId="374" applyNumberFormat="0" applyAlignment="0" applyProtection="0"/>
    <xf numFmtId="4" fontId="35" fillId="33" borderId="378"/>
    <xf numFmtId="0" fontId="41" fillId="59" borderId="377" applyNumberFormat="0" applyFont="0" applyAlignment="0" applyProtection="0"/>
    <xf numFmtId="0" fontId="66" fillId="0" borderId="384" applyNumberFormat="0" applyFill="0" applyAlignment="0" applyProtection="0"/>
    <xf numFmtId="0" fontId="44" fillId="56" borderId="368" applyNumberFormat="0" applyAlignment="0" applyProtection="0"/>
    <xf numFmtId="0" fontId="27" fillId="23" borderId="0" applyNumberFormat="0" applyBorder="0" applyAlignment="0" applyProtection="0"/>
    <xf numFmtId="0" fontId="1" fillId="0" borderId="0" applyNumberFormat="0" applyFill="0" applyBorder="0" applyAlignment="0" applyProtection="0"/>
    <xf numFmtId="4" fontId="33" fillId="34" borderId="357">
      <alignment horizontal="right" vertical="center"/>
    </xf>
    <xf numFmtId="0" fontId="35" fillId="33" borderId="357"/>
    <xf numFmtId="0" fontId="46" fillId="56" borderId="354" applyNumberFormat="0" applyAlignment="0" applyProtection="0"/>
    <xf numFmtId="0" fontId="33" fillId="32" borderId="357">
      <alignment horizontal="right" vertical="center"/>
    </xf>
    <xf numFmtId="0" fontId="35" fillId="0" borderId="357">
      <alignment horizontal="right" vertical="center"/>
    </xf>
    <xf numFmtId="0" fontId="66" fillId="0" borderId="355" applyNumberFormat="0" applyFill="0" applyAlignment="0" applyProtection="0"/>
    <xf numFmtId="0" fontId="35" fillId="32" borderId="358">
      <alignment horizontal="left" vertical="center"/>
    </xf>
    <xf numFmtId="0" fontId="59" fillId="43" borderId="354" applyNumberFormat="0" applyAlignment="0" applyProtection="0"/>
    <xf numFmtId="173" fontId="35" fillId="60" borderId="357" applyNumberFormat="0" applyFont="0" applyBorder="0" applyAlignment="0" applyProtection="0">
      <alignment horizontal="right" vertical="center"/>
    </xf>
    <xf numFmtId="0" fontId="41" fillId="59" borderId="356" applyNumberFormat="0" applyFont="0" applyAlignment="0" applyProtection="0"/>
    <xf numFmtId="0" fontId="35" fillId="0" borderId="360">
      <alignment horizontal="left" vertical="center" wrapText="1" indent="2"/>
    </xf>
    <xf numFmtId="4" fontId="35" fillId="33" borderId="357"/>
    <xf numFmtId="49" fontId="34" fillId="0" borderId="357" applyNumberFormat="0" applyFill="0" applyBorder="0" applyProtection="0">
      <alignment horizontal="left" vertical="center"/>
    </xf>
    <xf numFmtId="0" fontId="35" fillId="0" borderId="357">
      <alignment horizontal="right" vertical="center"/>
    </xf>
    <xf numFmtId="4" fontId="33" fillId="34" borderId="359">
      <alignment horizontal="right" vertical="center"/>
    </xf>
    <xf numFmtId="4" fontId="33" fillId="34" borderId="357">
      <alignment horizontal="right" vertical="center"/>
    </xf>
    <xf numFmtId="4" fontId="33" fillId="34" borderId="357">
      <alignment horizontal="right" vertical="center"/>
    </xf>
    <xf numFmtId="0" fontId="37" fillId="32" borderId="357">
      <alignment horizontal="right" vertical="center"/>
    </xf>
    <xf numFmtId="0" fontId="33" fillId="32" borderId="357">
      <alignment horizontal="right" vertical="center"/>
    </xf>
    <xf numFmtId="49" fontId="35" fillId="0" borderId="357" applyNumberFormat="0" applyFont="0" applyFill="0" applyBorder="0" applyProtection="0">
      <alignment horizontal="left" vertical="center" indent="2"/>
    </xf>
    <xf numFmtId="0" fontId="59" fillId="43" borderId="354" applyNumberFormat="0" applyAlignment="0" applyProtection="0"/>
    <xf numFmtId="0" fontId="44" fillId="56" borderId="353" applyNumberFormat="0" applyAlignment="0" applyProtection="0"/>
    <xf numFmtId="49" fontId="35" fillId="0" borderId="357" applyNumberFormat="0" applyFont="0" applyFill="0" applyBorder="0" applyProtection="0">
      <alignment horizontal="left" vertical="center" indent="2"/>
    </xf>
    <xf numFmtId="0" fontId="50" fillId="43" borderId="354" applyNumberFormat="0" applyAlignment="0" applyProtection="0"/>
    <xf numFmtId="4" fontId="35" fillId="0" borderId="357" applyFill="0" applyBorder="0" applyProtection="0">
      <alignment horizontal="right" vertical="center"/>
    </xf>
    <xf numFmtId="0" fontId="47" fillId="56" borderId="354" applyNumberFormat="0" applyAlignment="0" applyProtection="0"/>
    <xf numFmtId="0" fontId="66" fillId="0" borderId="355" applyNumberFormat="0" applyFill="0" applyAlignment="0" applyProtection="0"/>
    <xf numFmtId="0" fontId="63" fillId="56" borderId="353" applyNumberFormat="0" applyAlignment="0" applyProtection="0"/>
    <xf numFmtId="0" fontId="35" fillId="0" borderId="357" applyNumberFormat="0" applyFill="0" applyAlignment="0" applyProtection="0"/>
    <xf numFmtId="4" fontId="35" fillId="0" borderId="357">
      <alignment horizontal="right" vertical="center"/>
    </xf>
    <xf numFmtId="0" fontId="35" fillId="0" borderId="357">
      <alignment horizontal="right" vertical="center"/>
    </xf>
    <xf numFmtId="0" fontId="59" fillId="43" borderId="354" applyNumberFormat="0" applyAlignment="0" applyProtection="0"/>
    <xf numFmtId="0" fontId="44" fillId="56" borderId="353" applyNumberFormat="0" applyAlignment="0" applyProtection="0"/>
    <xf numFmtId="0" fontId="46" fillId="56" borderId="354" applyNumberFormat="0" applyAlignment="0" applyProtection="0"/>
    <xf numFmtId="0" fontId="35" fillId="34" borderId="360">
      <alignment horizontal="left" vertical="center" wrapText="1" indent="2"/>
    </xf>
    <xf numFmtId="0" fontId="47" fillId="56" borderId="354" applyNumberFormat="0" applyAlignment="0" applyProtection="0"/>
    <xf numFmtId="0" fontId="47" fillId="56" borderId="354" applyNumberFormat="0" applyAlignment="0" applyProtection="0"/>
    <xf numFmtId="4" fontId="33" fillId="34" borderId="358">
      <alignment horizontal="right" vertical="center"/>
    </xf>
    <xf numFmtId="0" fontId="33" fillId="34" borderId="358">
      <alignment horizontal="right" vertical="center"/>
    </xf>
    <xf numFmtId="0" fontId="33" fillId="34" borderId="357">
      <alignment horizontal="right" vertical="center"/>
    </xf>
    <xf numFmtId="4" fontId="37" fillId="32" borderId="357">
      <alignment horizontal="right" vertical="center"/>
    </xf>
    <xf numFmtId="0" fontId="50" fillId="43" borderId="354" applyNumberFormat="0" applyAlignment="0" applyProtection="0"/>
    <xf numFmtId="0" fontId="51" fillId="0" borderId="355" applyNumberFormat="0" applyFill="0" applyAlignment="0" applyProtection="0"/>
    <xf numFmtId="0" fontId="66" fillId="0" borderId="355" applyNumberFormat="0" applyFill="0" applyAlignment="0" applyProtection="0"/>
    <xf numFmtId="0" fontId="41" fillId="59" borderId="356" applyNumberFormat="0" applyFont="0" applyAlignment="0" applyProtection="0"/>
    <xf numFmtId="0" fontId="59" fillId="43" borderId="354" applyNumberFormat="0" applyAlignment="0" applyProtection="0"/>
    <xf numFmtId="49" fontId="34" fillId="0" borderId="357" applyNumberFormat="0" applyFill="0" applyBorder="0" applyProtection="0">
      <alignment horizontal="left" vertical="center"/>
    </xf>
    <xf numFmtId="0" fontId="35" fillId="34" borderId="360">
      <alignment horizontal="left" vertical="center" wrapText="1" indent="2"/>
    </xf>
    <xf numFmtId="0" fontId="47" fillId="56" borderId="354" applyNumberFormat="0" applyAlignment="0" applyProtection="0"/>
    <xf numFmtId="0" fontId="35" fillId="0" borderId="360">
      <alignment horizontal="left" vertical="center" wrapText="1" indent="2"/>
    </xf>
    <xf numFmtId="0" fontId="41" fillId="59" borderId="356" applyNumberFormat="0" applyFont="0" applyAlignment="0" applyProtection="0"/>
    <xf numFmtId="0" fontId="5" fillId="59" borderId="356" applyNumberFormat="0" applyFont="0" applyAlignment="0" applyProtection="0"/>
    <xf numFmtId="0" fontId="63" fillId="56" borderId="353" applyNumberFormat="0" applyAlignment="0" applyProtection="0"/>
    <xf numFmtId="0" fontId="66" fillId="0" borderId="355" applyNumberFormat="0" applyFill="0" applyAlignment="0" applyProtection="0"/>
    <xf numFmtId="4" fontId="35" fillId="33" borderId="357"/>
    <xf numFmtId="0" fontId="33" fillId="34" borderId="357">
      <alignment horizontal="right" vertical="center"/>
    </xf>
    <xf numFmtId="0" fontId="66" fillId="0" borderId="355" applyNumberFormat="0" applyFill="0" applyAlignment="0" applyProtection="0"/>
    <xf numFmtId="4" fontId="33" fillId="34" borderId="359">
      <alignment horizontal="right" vertical="center"/>
    </xf>
    <xf numFmtId="0" fontId="46" fillId="56" borderId="354" applyNumberFormat="0" applyAlignment="0" applyProtection="0"/>
    <xf numFmtId="0" fontId="33" fillId="34" borderId="358">
      <alignment horizontal="right" vertical="center"/>
    </xf>
    <xf numFmtId="0" fontId="47" fillId="56" borderId="354" applyNumberFormat="0" applyAlignment="0" applyProtection="0"/>
    <xf numFmtId="0" fontId="51" fillId="0" borderId="355" applyNumberFormat="0" applyFill="0" applyAlignment="0" applyProtection="0"/>
    <xf numFmtId="0" fontId="41" fillId="59" borderId="356" applyNumberFormat="0" applyFont="0" applyAlignment="0" applyProtection="0"/>
    <xf numFmtId="4" fontId="33" fillId="34" borderId="358">
      <alignment horizontal="right" vertical="center"/>
    </xf>
    <xf numFmtId="0" fontId="35" fillId="34" borderId="360">
      <alignment horizontal="left" vertical="center" wrapText="1" indent="2"/>
    </xf>
    <xf numFmtId="0" fontId="35" fillId="33" borderId="357"/>
    <xf numFmtId="173" fontId="35" fillId="60" borderId="357" applyNumberFormat="0" applyFont="0" applyBorder="0" applyAlignment="0" applyProtection="0">
      <alignment horizontal="right" vertical="center"/>
    </xf>
    <xf numFmtId="0" fontId="35" fillId="0" borderId="357" applyNumberFormat="0" applyFill="0" applyAlignment="0" applyProtection="0"/>
    <xf numFmtId="4" fontId="35" fillId="0" borderId="357" applyFill="0" applyBorder="0" applyProtection="0">
      <alignment horizontal="right" vertical="center"/>
    </xf>
    <xf numFmtId="4" fontId="33" fillId="32" borderId="357">
      <alignment horizontal="right" vertical="center"/>
    </xf>
    <xf numFmtId="0" fontId="51" fillId="0" borderId="355" applyNumberFormat="0" applyFill="0" applyAlignment="0" applyProtection="0"/>
    <xf numFmtId="49" fontId="34" fillId="0" borderId="357" applyNumberFormat="0" applyFill="0" applyBorder="0" applyProtection="0">
      <alignment horizontal="left" vertical="center"/>
    </xf>
    <xf numFmtId="49" fontId="35" fillId="0" borderId="358" applyNumberFormat="0" applyFont="0" applyFill="0" applyBorder="0" applyProtection="0">
      <alignment horizontal="left" vertical="center" indent="5"/>
    </xf>
    <xf numFmtId="0" fontId="35" fillId="32" borderId="358">
      <alignment horizontal="left" vertical="center"/>
    </xf>
    <xf numFmtId="0" fontId="47" fillId="56" borderId="354" applyNumberFormat="0" applyAlignment="0" applyProtection="0"/>
    <xf numFmtId="4" fontId="33" fillId="34" borderId="359">
      <alignment horizontal="right" vertical="center"/>
    </xf>
    <xf numFmtId="0" fontId="59" fillId="43" borderId="354" applyNumberFormat="0" applyAlignment="0" applyProtection="0"/>
    <xf numFmtId="0" fontId="59" fillId="43" borderId="354" applyNumberFormat="0" applyAlignment="0" applyProtection="0"/>
    <xf numFmtId="0" fontId="41" fillId="59" borderId="356" applyNumberFormat="0" applyFont="0" applyAlignment="0" applyProtection="0"/>
    <xf numFmtId="0" fontId="63" fillId="56" borderId="353" applyNumberFormat="0" applyAlignment="0" applyProtection="0"/>
    <xf numFmtId="0" fontId="66" fillId="0" borderId="355" applyNumberFormat="0" applyFill="0" applyAlignment="0" applyProtection="0"/>
    <xf numFmtId="0" fontId="33" fillId="34" borderId="357">
      <alignment horizontal="right" vertical="center"/>
    </xf>
    <xf numFmtId="0" fontId="5" fillId="59" borderId="356" applyNumberFormat="0" applyFont="0" applyAlignment="0" applyProtection="0"/>
    <xf numFmtId="4" fontId="35" fillId="0" borderId="357">
      <alignment horizontal="right" vertical="center"/>
    </xf>
    <xf numFmtId="0" fontId="66" fillId="0" borderId="355" applyNumberFormat="0" applyFill="0" applyAlignment="0" applyProtection="0"/>
    <xf numFmtId="0" fontId="33" fillId="34" borderId="357">
      <alignment horizontal="right" vertical="center"/>
    </xf>
    <xf numFmtId="0" fontId="33" fillId="34" borderId="357">
      <alignment horizontal="right" vertical="center"/>
    </xf>
    <xf numFmtId="4" fontId="37" fillId="32" borderId="357">
      <alignment horizontal="right" vertical="center"/>
    </xf>
    <xf numFmtId="0" fontId="33" fillId="32" borderId="357">
      <alignment horizontal="right" vertical="center"/>
    </xf>
    <xf numFmtId="4" fontId="33" fillId="32" borderId="357">
      <alignment horizontal="right" vertical="center"/>
    </xf>
    <xf numFmtId="0" fontId="37" fillId="32" borderId="357">
      <alignment horizontal="right" vertical="center"/>
    </xf>
    <xf numFmtId="4" fontId="37" fillId="32" borderId="357">
      <alignment horizontal="right" vertical="center"/>
    </xf>
    <xf numFmtId="0" fontId="33" fillId="34" borderId="357">
      <alignment horizontal="right" vertical="center"/>
    </xf>
    <xf numFmtId="4" fontId="33" fillId="34" borderId="357">
      <alignment horizontal="right" vertical="center"/>
    </xf>
    <xf numFmtId="0" fontId="33" fillId="34" borderId="357">
      <alignment horizontal="right" vertical="center"/>
    </xf>
    <xf numFmtId="4" fontId="33" fillId="34" borderId="357">
      <alignment horizontal="right" vertical="center"/>
    </xf>
    <xf numFmtId="0" fontId="33" fillId="34" borderId="358">
      <alignment horizontal="right" vertical="center"/>
    </xf>
    <xf numFmtId="4" fontId="33" fillId="34" borderId="358">
      <alignment horizontal="right" vertical="center"/>
    </xf>
    <xf numFmtId="0" fontId="33" fillId="34" borderId="359">
      <alignment horizontal="right" vertical="center"/>
    </xf>
    <xf numFmtId="4" fontId="33" fillId="34" borderId="359">
      <alignment horizontal="right" vertical="center"/>
    </xf>
    <xf numFmtId="0" fontId="47" fillId="56" borderId="354" applyNumberFormat="0" applyAlignment="0" applyProtection="0"/>
    <xf numFmtId="0" fontId="35" fillId="34" borderId="360">
      <alignment horizontal="left" vertical="center" wrapText="1" indent="2"/>
    </xf>
    <xf numFmtId="0" fontId="35" fillId="0" borderId="360">
      <alignment horizontal="left" vertical="center" wrapText="1" indent="2"/>
    </xf>
    <xf numFmtId="0" fontId="35" fillId="32" borderId="358">
      <alignment horizontal="left" vertical="center"/>
    </xf>
    <xf numFmtId="0" fontId="59" fillId="43" borderId="354" applyNumberFormat="0" applyAlignment="0" applyProtection="0"/>
    <xf numFmtId="0" fontId="35" fillId="0" borderId="357">
      <alignment horizontal="right" vertical="center"/>
    </xf>
    <xf numFmtId="4" fontId="35" fillId="0" borderId="357">
      <alignment horizontal="right" vertical="center"/>
    </xf>
    <xf numFmtId="0" fontId="35" fillId="0" borderId="357" applyNumberFormat="0" applyFill="0" applyAlignment="0" applyProtection="0"/>
    <xf numFmtId="0" fontId="63" fillId="56" borderId="353" applyNumberFormat="0" applyAlignment="0" applyProtection="0"/>
    <xf numFmtId="173" fontId="35" fillId="60" borderId="357" applyNumberFormat="0" applyFont="0" applyBorder="0" applyAlignment="0" applyProtection="0">
      <alignment horizontal="right" vertical="center"/>
    </xf>
    <xf numFmtId="0" fontId="35" fillId="33" borderId="357"/>
    <xf numFmtId="4" fontId="35" fillId="33" borderId="357"/>
    <xf numFmtId="0" fontId="66" fillId="0" borderId="355" applyNumberFormat="0" applyFill="0" applyAlignment="0" applyProtection="0"/>
    <xf numFmtId="0" fontId="5" fillId="59" borderId="356" applyNumberFormat="0" applyFont="0" applyAlignment="0" applyProtection="0"/>
    <xf numFmtId="0" fontId="41" fillId="59" borderId="356" applyNumberFormat="0" applyFont="0" applyAlignment="0" applyProtection="0"/>
    <xf numFmtId="0" fontId="35" fillId="0" borderId="357" applyNumberFormat="0" applyFill="0" applyAlignment="0" applyProtection="0"/>
    <xf numFmtId="0" fontId="51" fillId="0" borderId="355" applyNumberFormat="0" applyFill="0" applyAlignment="0" applyProtection="0"/>
    <xf numFmtId="0" fontId="66" fillId="0" borderId="355" applyNumberFormat="0" applyFill="0" applyAlignment="0" applyProtection="0"/>
    <xf numFmtId="0" fontId="50" fillId="43" borderId="354" applyNumberFormat="0" applyAlignment="0" applyProtection="0"/>
    <xf numFmtId="0" fontId="47" fillId="56" borderId="354" applyNumberFormat="0" applyAlignment="0" applyProtection="0"/>
    <xf numFmtId="4" fontId="37" fillId="32" borderId="357">
      <alignment horizontal="right" vertical="center"/>
    </xf>
    <xf numFmtId="0" fontId="33" fillId="32" borderId="357">
      <alignment horizontal="right" vertical="center"/>
    </xf>
    <xf numFmtId="173" fontId="35" fillId="60" borderId="357" applyNumberFormat="0" applyFont="0" applyBorder="0" applyAlignment="0" applyProtection="0">
      <alignment horizontal="right" vertical="center"/>
    </xf>
    <xf numFmtId="0" fontId="51" fillId="0" borderId="355" applyNumberFormat="0" applyFill="0" applyAlignment="0" applyProtection="0"/>
    <xf numFmtId="49" fontId="35" fillId="0" borderId="357" applyNumberFormat="0" applyFont="0" applyFill="0" applyBorder="0" applyProtection="0">
      <alignment horizontal="left" vertical="center" indent="2"/>
    </xf>
    <xf numFmtId="49" fontId="35" fillId="0" borderId="358" applyNumberFormat="0" applyFont="0" applyFill="0" applyBorder="0" applyProtection="0">
      <alignment horizontal="left" vertical="center" indent="5"/>
    </xf>
    <xf numFmtId="49" fontId="35" fillId="0" borderId="357" applyNumberFormat="0" applyFont="0" applyFill="0" applyBorder="0" applyProtection="0">
      <alignment horizontal="left" vertical="center" indent="2"/>
    </xf>
    <xf numFmtId="4" fontId="35" fillId="0" borderId="357" applyFill="0" applyBorder="0" applyProtection="0">
      <alignment horizontal="right" vertical="center"/>
    </xf>
    <xf numFmtId="49" fontId="34" fillId="0" borderId="357" applyNumberFormat="0" applyFill="0" applyBorder="0" applyProtection="0">
      <alignment horizontal="left" vertical="center"/>
    </xf>
    <xf numFmtId="0" fontId="35" fillId="0" borderId="360">
      <alignment horizontal="left" vertical="center" wrapText="1" indent="2"/>
    </xf>
    <xf numFmtId="0" fontId="63" fillId="56" borderId="353" applyNumberFormat="0" applyAlignment="0" applyProtection="0"/>
    <xf numFmtId="0" fontId="33" fillId="34" borderId="359">
      <alignment horizontal="right" vertical="center"/>
    </xf>
    <xf numFmtId="0" fontId="50" fillId="43" borderId="354" applyNumberFormat="0" applyAlignment="0" applyProtection="0"/>
    <xf numFmtId="0" fontId="33" fillId="34" borderId="359">
      <alignment horizontal="right" vertical="center"/>
    </xf>
    <xf numFmtId="4" fontId="33" fillId="34" borderId="357">
      <alignment horizontal="right" vertical="center"/>
    </xf>
    <xf numFmtId="0" fontId="33" fillId="34" borderId="357">
      <alignment horizontal="right" vertical="center"/>
    </xf>
    <xf numFmtId="0" fontId="44" fillId="56" borderId="353" applyNumberFormat="0" applyAlignment="0" applyProtection="0"/>
    <xf numFmtId="0" fontId="46" fillId="56" borderId="354" applyNumberFormat="0" applyAlignment="0" applyProtection="0"/>
    <xf numFmtId="0" fontId="51" fillId="0" borderId="355" applyNumberFormat="0" applyFill="0" applyAlignment="0" applyProtection="0"/>
    <xf numFmtId="0" fontId="35" fillId="33" borderId="357"/>
    <xf numFmtId="4" fontId="35" fillId="33" borderId="357"/>
    <xf numFmtId="4" fontId="33" fillId="34" borderId="357">
      <alignment horizontal="right" vertical="center"/>
    </xf>
    <xf numFmtId="0" fontId="37" fillId="32" borderId="357">
      <alignment horizontal="right" vertical="center"/>
    </xf>
    <xf numFmtId="0" fontId="50" fillId="43" borderId="354" applyNumberFormat="0" applyAlignment="0" applyProtection="0"/>
    <xf numFmtId="0" fontId="47" fillId="56" borderId="354" applyNumberFormat="0" applyAlignment="0" applyProtection="0"/>
    <xf numFmtId="4" fontId="35" fillId="0" borderId="357">
      <alignment horizontal="right" vertical="center"/>
    </xf>
    <xf numFmtId="0" fontId="35" fillId="34" borderId="360">
      <alignment horizontal="left" vertical="center" wrapText="1" indent="2"/>
    </xf>
    <xf numFmtId="0" fontId="35" fillId="0" borderId="360">
      <alignment horizontal="left" vertical="center" wrapText="1" indent="2"/>
    </xf>
    <xf numFmtId="0" fontId="63" fillId="56" borderId="353" applyNumberFormat="0" applyAlignment="0" applyProtection="0"/>
    <xf numFmtId="0" fontId="59" fillId="43" borderId="354" applyNumberFormat="0" applyAlignment="0" applyProtection="0"/>
    <xf numFmtId="0" fontId="46" fillId="56" borderId="354" applyNumberFormat="0" applyAlignment="0" applyProtection="0"/>
    <xf numFmtId="0" fontId="44" fillId="56" borderId="353" applyNumberFormat="0" applyAlignment="0" applyProtection="0"/>
    <xf numFmtId="0" fontId="33" fillId="34" borderId="359">
      <alignment horizontal="right" vertical="center"/>
    </xf>
    <xf numFmtId="0" fontId="37" fillId="32" borderId="357">
      <alignment horizontal="right" vertical="center"/>
    </xf>
    <xf numFmtId="4" fontId="33" fillId="32" borderId="357">
      <alignment horizontal="right" vertical="center"/>
    </xf>
    <xf numFmtId="4" fontId="33" fillId="34" borderId="357">
      <alignment horizontal="right" vertical="center"/>
    </xf>
    <xf numFmtId="49" fontId="35" fillId="0" borderId="358" applyNumberFormat="0" applyFont="0" applyFill="0" applyBorder="0" applyProtection="0">
      <alignment horizontal="left" vertical="center" indent="5"/>
    </xf>
    <xf numFmtId="4" fontId="35" fillId="0" borderId="357" applyFill="0" applyBorder="0" applyProtection="0">
      <alignment horizontal="right" vertical="center"/>
    </xf>
    <xf numFmtId="4" fontId="33" fillId="32" borderId="357">
      <alignment horizontal="right" vertical="center"/>
    </xf>
    <xf numFmtId="4" fontId="33" fillId="32" borderId="397">
      <alignment horizontal="right" vertical="center"/>
    </xf>
    <xf numFmtId="0" fontId="59" fillId="43" borderId="354" applyNumberFormat="0" applyAlignment="0" applyProtection="0"/>
    <xf numFmtId="0" fontId="50" fillId="43" borderId="354" applyNumberFormat="0" applyAlignment="0" applyProtection="0"/>
    <xf numFmtId="0" fontId="46" fillId="56" borderId="354" applyNumberFormat="0" applyAlignment="0" applyProtection="0"/>
    <xf numFmtId="0" fontId="35" fillId="34" borderId="360">
      <alignment horizontal="left" vertical="center" wrapText="1" indent="2"/>
    </xf>
    <xf numFmtId="0" fontId="35" fillId="0" borderId="360">
      <alignment horizontal="left" vertical="center" wrapText="1" indent="2"/>
    </xf>
    <xf numFmtId="0" fontId="35" fillId="34" borderId="360">
      <alignment horizontal="left" vertical="center" wrapText="1" indent="2"/>
    </xf>
    <xf numFmtId="0" fontId="35" fillId="0" borderId="360">
      <alignment horizontal="left" vertical="center" wrapText="1" indent="2"/>
    </xf>
    <xf numFmtId="0" fontId="44" fillId="56" borderId="353" applyNumberFormat="0" applyAlignment="0" applyProtection="0"/>
    <xf numFmtId="0" fontId="46" fillId="56" borderId="354" applyNumberFormat="0" applyAlignment="0" applyProtection="0"/>
    <xf numFmtId="0" fontId="47" fillId="56" borderId="354" applyNumberFormat="0" applyAlignment="0" applyProtection="0"/>
    <xf numFmtId="0" fontId="50" fillId="43" borderId="354" applyNumberFormat="0" applyAlignment="0" applyProtection="0"/>
    <xf numFmtId="0" fontId="51" fillId="0" borderId="355" applyNumberFormat="0" applyFill="0" applyAlignment="0" applyProtection="0"/>
    <xf numFmtId="0" fontId="59" fillId="43" borderId="354" applyNumberFormat="0" applyAlignment="0" applyProtection="0"/>
    <xf numFmtId="0" fontId="41" fillId="59" borderId="356" applyNumberFormat="0" applyFont="0" applyAlignment="0" applyProtection="0"/>
    <xf numFmtId="0" fontId="5" fillId="59" borderId="356" applyNumberFormat="0" applyFont="0" applyAlignment="0" applyProtection="0"/>
    <xf numFmtId="0" fontId="63" fillId="56" borderId="353" applyNumberFormat="0" applyAlignment="0" applyProtection="0"/>
    <xf numFmtId="0" fontId="66" fillId="0" borderId="355" applyNumberFormat="0" applyFill="0" applyAlignment="0" applyProtection="0"/>
    <xf numFmtId="0" fontId="47" fillId="56" borderId="354" applyNumberFormat="0" applyAlignment="0" applyProtection="0"/>
    <xf numFmtId="0" fontId="59" fillId="43" borderId="354" applyNumberFormat="0" applyAlignment="0" applyProtection="0"/>
    <xf numFmtId="0" fontId="41" fillId="59" borderId="356" applyNumberFormat="0" applyFont="0" applyAlignment="0" applyProtection="0"/>
    <xf numFmtId="0" fontId="63" fillId="56" borderId="353" applyNumberFormat="0" applyAlignment="0" applyProtection="0"/>
    <xf numFmtId="0" fontId="66" fillId="0" borderId="355" applyNumberFormat="0" applyFill="0" applyAlignment="0" applyProtection="0"/>
    <xf numFmtId="0" fontId="35" fillId="32" borderId="365">
      <alignment horizontal="left" vertical="center"/>
    </xf>
    <xf numFmtId="4" fontId="35" fillId="0" borderId="364">
      <alignment horizontal="right" vertical="center"/>
    </xf>
    <xf numFmtId="0" fontId="33" fillId="34" borderId="348">
      <alignment horizontal="right" vertical="center"/>
    </xf>
    <xf numFmtId="4" fontId="33" fillId="34" borderId="348">
      <alignment horizontal="right" vertical="center"/>
    </xf>
    <xf numFmtId="0" fontId="47" fillId="56" borderId="354" applyNumberFormat="0" applyAlignment="0" applyProtection="0"/>
    <xf numFmtId="0" fontId="35" fillId="34" borderId="349">
      <alignment horizontal="left" vertical="center" wrapText="1" indent="2"/>
    </xf>
    <xf numFmtId="0" fontId="35" fillId="0" borderId="349">
      <alignment horizontal="left" vertical="center" wrapText="1" indent="2"/>
    </xf>
    <xf numFmtId="0" fontId="59" fillId="43" borderId="375" applyNumberFormat="0" applyAlignment="0" applyProtection="0"/>
    <xf numFmtId="0" fontId="59" fillId="43" borderId="354" applyNumberFormat="0" applyAlignment="0" applyProtection="0"/>
    <xf numFmtId="0" fontId="63" fillId="56" borderId="353" applyNumberFormat="0" applyAlignment="0" applyProtection="0"/>
    <xf numFmtId="0" fontId="66" fillId="0" borderId="355" applyNumberFormat="0" applyFill="0" applyAlignment="0" applyProtection="0"/>
    <xf numFmtId="0" fontId="47" fillId="56" borderId="361" applyNumberFormat="0" applyAlignment="0" applyProtection="0"/>
    <xf numFmtId="0" fontId="44" fillId="56" borderId="353" applyNumberFormat="0" applyAlignment="0" applyProtection="0"/>
    <xf numFmtId="0" fontId="46" fillId="56" borderId="354" applyNumberFormat="0" applyAlignment="0" applyProtection="0"/>
    <xf numFmtId="0" fontId="51" fillId="0" borderId="355" applyNumberFormat="0" applyFill="0" applyAlignment="0" applyProtection="0"/>
    <xf numFmtId="49" fontId="35" fillId="0" borderId="357" applyNumberFormat="0" applyFont="0" applyFill="0" applyBorder="0" applyProtection="0">
      <alignment horizontal="left" vertical="center" indent="2"/>
    </xf>
    <xf numFmtId="0" fontId="33" fillId="32" borderId="357">
      <alignment horizontal="right" vertical="center"/>
    </xf>
    <xf numFmtId="4" fontId="33" fillId="32" borderId="357">
      <alignment horizontal="right" vertical="center"/>
    </xf>
    <xf numFmtId="0" fontId="37" fillId="32" borderId="357">
      <alignment horizontal="right" vertical="center"/>
    </xf>
    <xf numFmtId="4" fontId="37" fillId="32" borderId="357">
      <alignment horizontal="right" vertical="center"/>
    </xf>
    <xf numFmtId="0" fontId="33" fillId="34" borderId="357">
      <alignment horizontal="right" vertical="center"/>
    </xf>
    <xf numFmtId="4" fontId="33" fillId="34" borderId="357">
      <alignment horizontal="right" vertical="center"/>
    </xf>
    <xf numFmtId="0" fontId="33" fillId="34" borderId="357">
      <alignment horizontal="right" vertical="center"/>
    </xf>
    <xf numFmtId="4" fontId="33" fillId="34" borderId="357">
      <alignment horizontal="right" vertical="center"/>
    </xf>
    <xf numFmtId="0" fontId="50" fillId="43" borderId="354" applyNumberFormat="0" applyAlignment="0" applyProtection="0"/>
    <xf numFmtId="0" fontId="35" fillId="0" borderId="357">
      <alignment horizontal="right" vertical="center"/>
    </xf>
    <xf numFmtId="4" fontId="35" fillId="0" borderId="357">
      <alignment horizontal="right" vertical="center"/>
    </xf>
    <xf numFmtId="4" fontId="35" fillId="0" borderId="357" applyFill="0" applyBorder="0" applyProtection="0">
      <alignment horizontal="right" vertical="center"/>
    </xf>
    <xf numFmtId="49" fontId="34" fillId="0" borderId="357" applyNumberFormat="0" applyFill="0" applyBorder="0" applyProtection="0">
      <alignment horizontal="left" vertical="center"/>
    </xf>
    <xf numFmtId="0" fontId="35" fillId="0" borderId="357" applyNumberFormat="0" applyFill="0" applyAlignment="0" applyProtection="0"/>
    <xf numFmtId="173" fontId="35" fillId="60" borderId="357" applyNumberFormat="0" applyFont="0" applyBorder="0" applyAlignment="0" applyProtection="0">
      <alignment horizontal="right" vertical="center"/>
    </xf>
    <xf numFmtId="0" fontId="35" fillId="33" borderId="357"/>
    <xf numFmtId="4" fontId="35" fillId="33" borderId="357"/>
    <xf numFmtId="4" fontId="33" fillId="34" borderId="357">
      <alignment horizontal="right" vertical="center"/>
    </xf>
    <xf numFmtId="0" fontId="35" fillId="33" borderId="357"/>
    <xf numFmtId="0" fontId="46" fillId="56" borderId="354" applyNumberFormat="0" applyAlignment="0" applyProtection="0"/>
    <xf numFmtId="0" fontId="33" fillId="32" borderId="357">
      <alignment horizontal="right" vertical="center"/>
    </xf>
    <xf numFmtId="0" fontId="35" fillId="0" borderId="357">
      <alignment horizontal="right" vertical="center"/>
    </xf>
    <xf numFmtId="0" fontId="66" fillId="0" borderId="355" applyNumberFormat="0" applyFill="0" applyAlignment="0" applyProtection="0"/>
    <xf numFmtId="0" fontId="35" fillId="32" borderId="358">
      <alignment horizontal="left" vertical="center"/>
    </xf>
    <xf numFmtId="0" fontId="59" fillId="43" borderId="354" applyNumberFormat="0" applyAlignment="0" applyProtection="0"/>
    <xf numFmtId="173" fontId="35" fillId="60" borderId="357" applyNumberFormat="0" applyFont="0" applyBorder="0" applyAlignment="0" applyProtection="0">
      <alignment horizontal="right" vertical="center"/>
    </xf>
    <xf numFmtId="0" fontId="41" fillId="59" borderId="356" applyNumberFormat="0" applyFont="0" applyAlignment="0" applyProtection="0"/>
    <xf numFmtId="0" fontId="35" fillId="0" borderId="360">
      <alignment horizontal="left" vertical="center" wrapText="1" indent="2"/>
    </xf>
    <xf numFmtId="4" fontId="35" fillId="33" borderId="357"/>
    <xf numFmtId="49" fontId="34" fillId="0" borderId="357" applyNumberFormat="0" applyFill="0" applyBorder="0" applyProtection="0">
      <alignment horizontal="left" vertical="center"/>
    </xf>
    <xf numFmtId="0" fontId="35" fillId="0" borderId="357">
      <alignment horizontal="right" vertical="center"/>
    </xf>
    <xf numFmtId="4" fontId="33" fillId="34" borderId="359">
      <alignment horizontal="right" vertical="center"/>
    </xf>
    <xf numFmtId="4" fontId="33" fillId="34" borderId="357">
      <alignment horizontal="right" vertical="center"/>
    </xf>
    <xf numFmtId="4" fontId="33" fillId="34" borderId="357">
      <alignment horizontal="right" vertical="center"/>
    </xf>
    <xf numFmtId="0" fontId="37" fillId="32" borderId="357">
      <alignment horizontal="right" vertical="center"/>
    </xf>
    <xf numFmtId="0" fontId="33" fillId="32" borderId="357">
      <alignment horizontal="right" vertical="center"/>
    </xf>
    <xf numFmtId="49" fontId="35" fillId="0" borderId="357" applyNumberFormat="0" applyFont="0" applyFill="0" applyBorder="0" applyProtection="0">
      <alignment horizontal="left" vertical="center" indent="2"/>
    </xf>
    <xf numFmtId="0" fontId="59" fillId="43" borderId="354" applyNumberFormat="0" applyAlignment="0" applyProtection="0"/>
    <xf numFmtId="0" fontId="44" fillId="56" borderId="353" applyNumberFormat="0" applyAlignment="0" applyProtection="0"/>
    <xf numFmtId="49" fontId="35" fillId="0" borderId="357" applyNumberFormat="0" applyFont="0" applyFill="0" applyBorder="0" applyProtection="0">
      <alignment horizontal="left" vertical="center" indent="2"/>
    </xf>
    <xf numFmtId="0" fontId="50" fillId="43" borderId="354" applyNumberFormat="0" applyAlignment="0" applyProtection="0"/>
    <xf numFmtId="4" fontId="35" fillId="0" borderId="357" applyFill="0" applyBorder="0" applyProtection="0">
      <alignment horizontal="right" vertical="center"/>
    </xf>
    <xf numFmtId="0" fontId="47" fillId="56" borderId="354" applyNumberFormat="0" applyAlignment="0" applyProtection="0"/>
    <xf numFmtId="0" fontId="66" fillId="0" borderId="355" applyNumberFormat="0" applyFill="0" applyAlignment="0" applyProtection="0"/>
    <xf numFmtId="0" fontId="63" fillId="56" borderId="353" applyNumberFormat="0" applyAlignment="0" applyProtection="0"/>
    <xf numFmtId="0" fontId="35" fillId="0" borderId="357" applyNumberFormat="0" applyFill="0" applyAlignment="0" applyProtection="0"/>
    <xf numFmtId="4" fontId="35" fillId="0" borderId="357">
      <alignment horizontal="right" vertical="center"/>
    </xf>
    <xf numFmtId="0" fontId="35" fillId="0" borderId="357">
      <alignment horizontal="right" vertical="center"/>
    </xf>
    <xf numFmtId="0" fontId="59" fillId="43" borderId="354" applyNumberFormat="0" applyAlignment="0" applyProtection="0"/>
    <xf numFmtId="0" fontId="44" fillId="56" borderId="353" applyNumberFormat="0" applyAlignment="0" applyProtection="0"/>
    <xf numFmtId="0" fontId="46" fillId="56" borderId="354" applyNumberFormat="0" applyAlignment="0" applyProtection="0"/>
    <xf numFmtId="0" fontId="35" fillId="34" borderId="360">
      <alignment horizontal="left" vertical="center" wrapText="1" indent="2"/>
    </xf>
    <xf numFmtId="0" fontId="47" fillId="56" borderId="354" applyNumberFormat="0" applyAlignment="0" applyProtection="0"/>
    <xf numFmtId="0" fontId="47" fillId="56" borderId="354" applyNumberFormat="0" applyAlignment="0" applyProtection="0"/>
    <xf numFmtId="4" fontId="33" fillId="34" borderId="358">
      <alignment horizontal="right" vertical="center"/>
    </xf>
    <xf numFmtId="0" fontId="33" fillId="34" borderId="358">
      <alignment horizontal="right" vertical="center"/>
    </xf>
    <xf numFmtId="0" fontId="33" fillId="34" borderId="357">
      <alignment horizontal="right" vertical="center"/>
    </xf>
    <xf numFmtId="4" fontId="37" fillId="32" borderId="357">
      <alignment horizontal="right" vertical="center"/>
    </xf>
    <xf numFmtId="0" fontId="50" fillId="43" borderId="354" applyNumberFormat="0" applyAlignment="0" applyProtection="0"/>
    <xf numFmtId="0" fontId="51" fillId="0" borderId="355" applyNumberFormat="0" applyFill="0" applyAlignment="0" applyProtection="0"/>
    <xf numFmtId="0" fontId="66" fillId="0" borderId="355" applyNumberFormat="0" applyFill="0" applyAlignment="0" applyProtection="0"/>
    <xf numFmtId="0" fontId="41" fillId="59" borderId="356" applyNumberFormat="0" applyFont="0" applyAlignment="0" applyProtection="0"/>
    <xf numFmtId="0" fontId="59" fillId="43" borderId="354" applyNumberFormat="0" applyAlignment="0" applyProtection="0"/>
    <xf numFmtId="49" fontId="34" fillId="0" borderId="357" applyNumberFormat="0" applyFill="0" applyBorder="0" applyProtection="0">
      <alignment horizontal="left" vertical="center"/>
    </xf>
    <xf numFmtId="0" fontId="35" fillId="34" borderId="360">
      <alignment horizontal="left" vertical="center" wrapText="1" indent="2"/>
    </xf>
    <xf numFmtId="0" fontId="47" fillId="56" borderId="354" applyNumberFormat="0" applyAlignment="0" applyProtection="0"/>
    <xf numFmtId="0" fontId="35" fillId="0" borderId="360">
      <alignment horizontal="left" vertical="center" wrapText="1" indent="2"/>
    </xf>
    <xf numFmtId="0" fontId="41" fillId="59" borderId="356" applyNumberFormat="0" applyFont="0" applyAlignment="0" applyProtection="0"/>
    <xf numFmtId="0" fontId="5" fillId="59" borderId="356" applyNumberFormat="0" applyFont="0" applyAlignment="0" applyProtection="0"/>
    <xf numFmtId="0" fontId="63" fillId="56" borderId="353" applyNumberFormat="0" applyAlignment="0" applyProtection="0"/>
    <xf numFmtId="0" fontId="66" fillId="0" borderId="355" applyNumberFormat="0" applyFill="0" applyAlignment="0" applyProtection="0"/>
    <xf numFmtId="4" fontId="35" fillId="33" borderId="357"/>
    <xf numFmtId="0" fontId="33" fillId="34" borderId="357">
      <alignment horizontal="right" vertical="center"/>
    </xf>
    <xf numFmtId="0" fontId="66" fillId="0" borderId="355" applyNumberFormat="0" applyFill="0" applyAlignment="0" applyProtection="0"/>
    <xf numFmtId="4" fontId="33" fillId="34" borderId="359">
      <alignment horizontal="right" vertical="center"/>
    </xf>
    <xf numFmtId="0" fontId="46" fillId="56" borderId="354" applyNumberFormat="0" applyAlignment="0" applyProtection="0"/>
    <xf numFmtId="0" fontId="33" fillId="34" borderId="358">
      <alignment horizontal="right" vertical="center"/>
    </xf>
    <xf numFmtId="0" fontId="47" fillId="56" borderId="354" applyNumberFormat="0" applyAlignment="0" applyProtection="0"/>
    <xf numFmtId="0" fontId="51" fillId="0" borderId="355" applyNumberFormat="0" applyFill="0" applyAlignment="0" applyProtection="0"/>
    <xf numFmtId="0" fontId="41" fillId="59" borderId="356" applyNumberFormat="0" applyFont="0" applyAlignment="0" applyProtection="0"/>
    <xf numFmtId="4" fontId="33" fillId="34" borderId="358">
      <alignment horizontal="right" vertical="center"/>
    </xf>
    <xf numFmtId="0" fontId="35" fillId="34" borderId="360">
      <alignment horizontal="left" vertical="center" wrapText="1" indent="2"/>
    </xf>
    <xf numFmtId="0" fontId="35" fillId="33" borderId="357"/>
    <xf numFmtId="173" fontId="35" fillId="60" borderId="357" applyNumberFormat="0" applyFont="0" applyBorder="0" applyAlignment="0" applyProtection="0">
      <alignment horizontal="right" vertical="center"/>
    </xf>
    <xf numFmtId="0" fontId="35" fillId="0" borderId="357" applyNumberFormat="0" applyFill="0" applyAlignment="0" applyProtection="0"/>
    <xf numFmtId="4" fontId="35" fillId="0" borderId="357" applyFill="0" applyBorder="0" applyProtection="0">
      <alignment horizontal="right" vertical="center"/>
    </xf>
    <xf numFmtId="4" fontId="33" fillId="32" borderId="357">
      <alignment horizontal="right" vertical="center"/>
    </xf>
    <xf numFmtId="0" fontId="51" fillId="0" borderId="355" applyNumberFormat="0" applyFill="0" applyAlignment="0" applyProtection="0"/>
    <xf numFmtId="49" fontId="34" fillId="0" borderId="357" applyNumberFormat="0" applyFill="0" applyBorder="0" applyProtection="0">
      <alignment horizontal="left" vertical="center"/>
    </xf>
    <xf numFmtId="49" fontId="35" fillId="0" borderId="358" applyNumberFormat="0" applyFont="0" applyFill="0" applyBorder="0" applyProtection="0">
      <alignment horizontal="left" vertical="center" indent="5"/>
    </xf>
    <xf numFmtId="0" fontId="35" fillId="32" borderId="358">
      <alignment horizontal="left" vertical="center"/>
    </xf>
    <xf numFmtId="0" fontId="47" fillId="56" borderId="354" applyNumberFormat="0" applyAlignment="0" applyProtection="0"/>
    <xf numFmtId="4" fontId="33" fillId="34" borderId="359">
      <alignment horizontal="right" vertical="center"/>
    </xf>
    <xf numFmtId="0" fontId="59" fillId="43" borderId="354" applyNumberFormat="0" applyAlignment="0" applyProtection="0"/>
    <xf numFmtId="0" fontId="59" fillId="43" borderId="354" applyNumberFormat="0" applyAlignment="0" applyProtection="0"/>
    <xf numFmtId="0" fontId="41" fillId="59" borderId="356" applyNumberFormat="0" applyFont="0" applyAlignment="0" applyProtection="0"/>
    <xf numFmtId="0" fontId="63" fillId="56" borderId="353" applyNumberFormat="0" applyAlignment="0" applyProtection="0"/>
    <xf numFmtId="0" fontId="66" fillId="0" borderId="355" applyNumberFormat="0" applyFill="0" applyAlignment="0" applyProtection="0"/>
    <xf numFmtId="0" fontId="33" fillId="34" borderId="357">
      <alignment horizontal="right" vertical="center"/>
    </xf>
    <xf numFmtId="0" fontId="5" fillId="59" borderId="356" applyNumberFormat="0" applyFont="0" applyAlignment="0" applyProtection="0"/>
    <xf numFmtId="4" fontId="35" fillId="0" borderId="357">
      <alignment horizontal="right" vertical="center"/>
    </xf>
    <xf numFmtId="0" fontId="66" fillId="0" borderId="355" applyNumberFormat="0" applyFill="0" applyAlignment="0" applyProtection="0"/>
    <xf numFmtId="0" fontId="33" fillId="34" borderId="357">
      <alignment horizontal="right" vertical="center"/>
    </xf>
    <xf numFmtId="0" fontId="33" fillId="34" borderId="357">
      <alignment horizontal="right" vertical="center"/>
    </xf>
    <xf numFmtId="4" fontId="37" fillId="32" borderId="357">
      <alignment horizontal="right" vertical="center"/>
    </xf>
    <xf numFmtId="0" fontId="33" fillId="32" borderId="357">
      <alignment horizontal="right" vertical="center"/>
    </xf>
    <xf numFmtId="4" fontId="33" fillId="32" borderId="357">
      <alignment horizontal="right" vertical="center"/>
    </xf>
    <xf numFmtId="0" fontId="37" fillId="32" borderId="357">
      <alignment horizontal="right" vertical="center"/>
    </xf>
    <xf numFmtId="4" fontId="37" fillId="32" borderId="357">
      <alignment horizontal="right" vertical="center"/>
    </xf>
    <xf numFmtId="0" fontId="33" fillId="34" borderId="357">
      <alignment horizontal="right" vertical="center"/>
    </xf>
    <xf numFmtId="4" fontId="33" fillId="34" borderId="357">
      <alignment horizontal="right" vertical="center"/>
    </xf>
    <xf numFmtId="0" fontId="33" fillId="34" borderId="357">
      <alignment horizontal="right" vertical="center"/>
    </xf>
    <xf numFmtId="4" fontId="33" fillId="34" borderId="357">
      <alignment horizontal="right" vertical="center"/>
    </xf>
    <xf numFmtId="0" fontId="33" fillId="34" borderId="358">
      <alignment horizontal="right" vertical="center"/>
    </xf>
    <xf numFmtId="4" fontId="33" fillId="34" borderId="358">
      <alignment horizontal="right" vertical="center"/>
    </xf>
    <xf numFmtId="0" fontId="33" fillId="34" borderId="359">
      <alignment horizontal="right" vertical="center"/>
    </xf>
    <xf numFmtId="4" fontId="33" fillId="34" borderId="359">
      <alignment horizontal="right" vertical="center"/>
    </xf>
    <xf numFmtId="0" fontId="47" fillId="56" borderId="354" applyNumberFormat="0" applyAlignment="0" applyProtection="0"/>
    <xf numFmtId="0" fontId="35" fillId="34" borderId="360">
      <alignment horizontal="left" vertical="center" wrapText="1" indent="2"/>
    </xf>
    <xf numFmtId="0" fontId="35" fillId="0" borderId="360">
      <alignment horizontal="left" vertical="center" wrapText="1" indent="2"/>
    </xf>
    <xf numFmtId="0" fontId="35" fillId="32" borderId="358">
      <alignment horizontal="left" vertical="center"/>
    </xf>
    <xf numFmtId="0" fontId="59" fillId="43" borderId="354" applyNumberFormat="0" applyAlignment="0" applyProtection="0"/>
    <xf numFmtId="0" fontId="35" fillId="0" borderId="357">
      <alignment horizontal="right" vertical="center"/>
    </xf>
    <xf numFmtId="4" fontId="35" fillId="0" borderId="357">
      <alignment horizontal="right" vertical="center"/>
    </xf>
    <xf numFmtId="0" fontId="35" fillId="0" borderId="357" applyNumberFormat="0" applyFill="0" applyAlignment="0" applyProtection="0"/>
    <xf numFmtId="0" fontId="63" fillId="56" borderId="353" applyNumberFormat="0" applyAlignment="0" applyProtection="0"/>
    <xf numFmtId="173" fontId="35" fillId="60" borderId="357" applyNumberFormat="0" applyFont="0" applyBorder="0" applyAlignment="0" applyProtection="0">
      <alignment horizontal="right" vertical="center"/>
    </xf>
    <xf numFmtId="0" fontId="35" fillId="33" borderId="357"/>
    <xf numFmtId="4" fontId="35" fillId="33" borderId="357"/>
    <xf numFmtId="0" fontId="66" fillId="0" borderId="355" applyNumberFormat="0" applyFill="0" applyAlignment="0" applyProtection="0"/>
    <xf numFmtId="0" fontId="5" fillId="59" borderId="356" applyNumberFormat="0" applyFont="0" applyAlignment="0" applyProtection="0"/>
    <xf numFmtId="0" fontId="41" fillId="59" borderId="356" applyNumberFormat="0" applyFont="0" applyAlignment="0" applyProtection="0"/>
    <xf numFmtId="0" fontId="35" fillId="0" borderId="357" applyNumberFormat="0" applyFill="0" applyAlignment="0" applyProtection="0"/>
    <xf numFmtId="0" fontId="51" fillId="0" borderId="355" applyNumberFormat="0" applyFill="0" applyAlignment="0" applyProtection="0"/>
    <xf numFmtId="0" fontId="66" fillId="0" borderId="355" applyNumberFormat="0" applyFill="0" applyAlignment="0" applyProtection="0"/>
    <xf numFmtId="0" fontId="50" fillId="43" borderId="354" applyNumberFormat="0" applyAlignment="0" applyProtection="0"/>
    <xf numFmtId="0" fontId="47" fillId="56" borderId="354" applyNumberFormat="0" applyAlignment="0" applyProtection="0"/>
    <xf numFmtId="4" fontId="37" fillId="32" borderId="357">
      <alignment horizontal="right" vertical="center"/>
    </xf>
    <xf numFmtId="0" fontId="33" fillId="32" borderId="357">
      <alignment horizontal="right" vertical="center"/>
    </xf>
    <xf numFmtId="173" fontId="35" fillId="60" borderId="357" applyNumberFormat="0" applyFont="0" applyBorder="0" applyAlignment="0" applyProtection="0">
      <alignment horizontal="right" vertical="center"/>
    </xf>
    <xf numFmtId="0" fontId="51" fillId="0" borderId="355" applyNumberFormat="0" applyFill="0" applyAlignment="0" applyProtection="0"/>
    <xf numFmtId="49" fontId="35" fillId="0" borderId="357" applyNumberFormat="0" applyFont="0" applyFill="0" applyBorder="0" applyProtection="0">
      <alignment horizontal="left" vertical="center" indent="2"/>
    </xf>
    <xf numFmtId="49" fontId="35" fillId="0" borderId="358" applyNumberFormat="0" applyFont="0" applyFill="0" applyBorder="0" applyProtection="0">
      <alignment horizontal="left" vertical="center" indent="5"/>
    </xf>
    <xf numFmtId="49" fontId="35" fillId="0" borderId="357" applyNumberFormat="0" applyFont="0" applyFill="0" applyBorder="0" applyProtection="0">
      <alignment horizontal="left" vertical="center" indent="2"/>
    </xf>
    <xf numFmtId="4" fontId="35" fillId="0" borderId="357" applyFill="0" applyBorder="0" applyProtection="0">
      <alignment horizontal="right" vertical="center"/>
    </xf>
    <xf numFmtId="49" fontId="34" fillId="0" borderId="357" applyNumberFormat="0" applyFill="0" applyBorder="0" applyProtection="0">
      <alignment horizontal="left" vertical="center"/>
    </xf>
    <xf numFmtId="0" fontId="35" fillId="0" borderId="360">
      <alignment horizontal="left" vertical="center" wrapText="1" indent="2"/>
    </xf>
    <xf numFmtId="0" fontId="63" fillId="56" borderId="353" applyNumberFormat="0" applyAlignment="0" applyProtection="0"/>
    <xf numFmtId="0" fontId="33" fillId="34" borderId="359">
      <alignment horizontal="right" vertical="center"/>
    </xf>
    <xf numFmtId="0" fontId="50" fillId="43" borderId="354" applyNumberFormat="0" applyAlignment="0" applyProtection="0"/>
    <xf numFmtId="0" fontId="33" fillId="34" borderId="359">
      <alignment horizontal="right" vertical="center"/>
    </xf>
    <xf numFmtId="4" fontId="33" fillId="34" borderId="357">
      <alignment horizontal="right" vertical="center"/>
    </xf>
    <xf numFmtId="0" fontId="33" fillId="34" borderId="357">
      <alignment horizontal="right" vertical="center"/>
    </xf>
    <xf numFmtId="0" fontId="44" fillId="56" borderId="353" applyNumberFormat="0" applyAlignment="0" applyProtection="0"/>
    <xf numFmtId="0" fontId="46" fillId="56" borderId="354" applyNumberFormat="0" applyAlignment="0" applyProtection="0"/>
    <xf numFmtId="0" fontId="51" fillId="0" borderId="355" applyNumberFormat="0" applyFill="0" applyAlignment="0" applyProtection="0"/>
    <xf numFmtId="0" fontId="35" fillId="33" borderId="357"/>
    <xf numFmtId="4" fontId="35" fillId="33" borderId="357"/>
    <xf numFmtId="4" fontId="33" fillId="34" borderId="357">
      <alignment horizontal="right" vertical="center"/>
    </xf>
    <xf numFmtId="0" fontId="37" fillId="32" borderId="357">
      <alignment horizontal="right" vertical="center"/>
    </xf>
    <xf numFmtId="0" fontId="50" fillId="43" borderId="354" applyNumberFormat="0" applyAlignment="0" applyProtection="0"/>
    <xf numFmtId="0" fontId="47" fillId="56" borderId="354" applyNumberFormat="0" applyAlignment="0" applyProtection="0"/>
    <xf numFmtId="4" fontId="35" fillId="0" borderId="357">
      <alignment horizontal="right" vertical="center"/>
    </xf>
    <xf numFmtId="0" fontId="35" fillId="34" borderId="360">
      <alignment horizontal="left" vertical="center" wrapText="1" indent="2"/>
    </xf>
    <xf numFmtId="0" fontId="35" fillId="0" borderId="360">
      <alignment horizontal="left" vertical="center" wrapText="1" indent="2"/>
    </xf>
    <xf numFmtId="0" fontId="63" fillId="56" borderId="353" applyNumberFormat="0" applyAlignment="0" applyProtection="0"/>
    <xf numFmtId="0" fontId="59" fillId="43" borderId="354" applyNumberFormat="0" applyAlignment="0" applyProtection="0"/>
    <xf numFmtId="0" fontId="46" fillId="56" borderId="354" applyNumberFormat="0" applyAlignment="0" applyProtection="0"/>
    <xf numFmtId="0" fontId="44" fillId="56" borderId="353" applyNumberFormat="0" applyAlignment="0" applyProtection="0"/>
    <xf numFmtId="0" fontId="33" fillId="34" borderId="359">
      <alignment horizontal="right" vertical="center"/>
    </xf>
    <xf numFmtId="0" fontId="37" fillId="32" borderId="357">
      <alignment horizontal="right" vertical="center"/>
    </xf>
    <xf numFmtId="4" fontId="33" fillId="32" borderId="357">
      <alignment horizontal="right" vertical="center"/>
    </xf>
    <xf numFmtId="4" fontId="33" fillId="34" borderId="357">
      <alignment horizontal="right" vertical="center"/>
    </xf>
    <xf numFmtId="49" fontId="35" fillId="0" borderId="358" applyNumberFormat="0" applyFont="0" applyFill="0" applyBorder="0" applyProtection="0">
      <alignment horizontal="left" vertical="center" indent="5"/>
    </xf>
    <xf numFmtId="4" fontId="35" fillId="0" borderId="357" applyFill="0" applyBorder="0" applyProtection="0">
      <alignment horizontal="right" vertical="center"/>
    </xf>
    <xf numFmtId="4" fontId="33" fillId="32" borderId="357">
      <alignment horizontal="right" vertical="center"/>
    </xf>
    <xf numFmtId="0" fontId="59" fillId="43" borderId="354" applyNumberFormat="0" applyAlignment="0" applyProtection="0"/>
    <xf numFmtId="0" fontId="50" fillId="43" borderId="354" applyNumberFormat="0" applyAlignment="0" applyProtection="0"/>
    <xf numFmtId="0" fontId="46" fillId="56" borderId="354" applyNumberFormat="0" applyAlignment="0" applyProtection="0"/>
    <xf numFmtId="0" fontId="35" fillId="34" borderId="360">
      <alignment horizontal="left" vertical="center" wrapText="1" indent="2"/>
    </xf>
    <xf numFmtId="0" fontId="35" fillId="0" borderId="360">
      <alignment horizontal="left" vertical="center" wrapText="1" indent="2"/>
    </xf>
    <xf numFmtId="0" fontId="35" fillId="34" borderId="360">
      <alignment horizontal="left" vertical="center" wrapText="1" indent="2"/>
    </xf>
    <xf numFmtId="4" fontId="35" fillId="33" borderId="370"/>
    <xf numFmtId="173" fontId="35" fillId="60" borderId="364" applyNumberFormat="0" applyFont="0" applyBorder="0" applyAlignment="0" applyProtection="0">
      <alignment horizontal="right" vertical="center"/>
    </xf>
    <xf numFmtId="0" fontId="59" fillId="43" borderId="361" applyNumberFormat="0" applyAlignment="0" applyProtection="0"/>
    <xf numFmtId="0" fontId="33" fillId="32" borderId="364">
      <alignment horizontal="right" vertical="center"/>
    </xf>
    <xf numFmtId="0" fontId="27" fillId="18" borderId="0" applyNumberFormat="0" applyBorder="0" applyAlignment="0" applyProtection="0"/>
    <xf numFmtId="0" fontId="27" fillId="20" borderId="0" applyNumberFormat="0" applyBorder="0" applyAlignment="0" applyProtection="0"/>
    <xf numFmtId="0" fontId="5" fillId="59" borderId="369" applyNumberFormat="0" applyFont="0" applyAlignment="0" applyProtection="0"/>
    <xf numFmtId="0" fontId="50" fillId="43" borderId="383" applyNumberFormat="0" applyAlignment="0" applyProtection="0"/>
    <xf numFmtId="0" fontId="50" fillId="43" borderId="391" applyNumberFormat="0" applyAlignment="0" applyProtection="0"/>
    <xf numFmtId="0" fontId="12" fillId="22" borderId="0" applyNumberFormat="0" applyBorder="0" applyAlignment="0" applyProtection="0"/>
    <xf numFmtId="0" fontId="66" fillId="0" borderId="395" applyNumberFormat="0" applyFill="0" applyAlignment="0" applyProtection="0"/>
    <xf numFmtId="0" fontId="66" fillId="0" borderId="376" applyNumberFormat="0" applyFill="0" applyAlignment="0" applyProtection="0"/>
    <xf numFmtId="0" fontId="47" fillId="56" borderId="375" applyNumberFormat="0" applyAlignment="0" applyProtection="0"/>
    <xf numFmtId="0" fontId="44" fillId="56" borderId="390" applyNumberFormat="0" applyAlignment="0" applyProtection="0"/>
    <xf numFmtId="0" fontId="35" fillId="32" borderId="365">
      <alignment horizontal="left" vertical="center"/>
    </xf>
    <xf numFmtId="0" fontId="35" fillId="34" borderId="373">
      <alignment horizontal="left" vertical="center" wrapText="1" indent="2"/>
    </xf>
    <xf numFmtId="0" fontId="41" fillId="59" borderId="363" applyNumberFormat="0" applyFont="0" applyAlignment="0" applyProtection="0"/>
    <xf numFmtId="0" fontId="35" fillId="32" borderId="379">
      <alignment horizontal="left" vertical="center"/>
    </xf>
    <xf numFmtId="0" fontId="50" fillId="43" borderId="383" applyNumberFormat="0" applyAlignment="0" applyProtection="0"/>
    <xf numFmtId="4" fontId="33" fillId="34" borderId="380">
      <alignment horizontal="right" vertical="center"/>
    </xf>
    <xf numFmtId="4" fontId="35" fillId="33" borderId="397"/>
    <xf numFmtId="0" fontId="41" fillId="59" borderId="403" applyNumberFormat="0" applyFont="0" applyAlignment="0" applyProtection="0"/>
    <xf numFmtId="0" fontId="47" fillId="56" borderId="401" applyNumberFormat="0" applyAlignment="0" applyProtection="0"/>
    <xf numFmtId="49" fontId="35" fillId="0" borderId="386" applyNumberFormat="0" applyFont="0" applyFill="0" applyBorder="0" applyProtection="0">
      <alignment horizontal="left" vertical="center" indent="2"/>
    </xf>
    <xf numFmtId="0" fontId="27" fillId="26" borderId="0" applyNumberFormat="0" applyBorder="0" applyAlignment="0" applyProtection="0"/>
    <xf numFmtId="0" fontId="27" fillId="17" borderId="0" applyNumberFormat="0" applyBorder="0" applyAlignment="0" applyProtection="0"/>
    <xf numFmtId="0" fontId="12" fillId="28" borderId="0" applyNumberFormat="0" applyBorder="0" applyAlignment="0" applyProtection="0"/>
    <xf numFmtId="0" fontId="41" fillId="59" borderId="385" applyNumberFormat="0" applyFont="0" applyAlignment="0" applyProtection="0"/>
    <xf numFmtId="0" fontId="27" fillId="27" borderId="0" applyNumberFormat="0" applyBorder="0" applyAlignment="0" applyProtection="0"/>
    <xf numFmtId="0" fontId="41" fillId="59" borderId="369" applyNumberFormat="0" applyFont="0" applyAlignment="0" applyProtection="0"/>
    <xf numFmtId="0" fontId="12" fillId="25" borderId="0" applyNumberFormat="0" applyBorder="0" applyAlignment="0" applyProtection="0"/>
    <xf numFmtId="0" fontId="5" fillId="59" borderId="369" applyNumberFormat="0" applyFont="0" applyAlignment="0" applyProtection="0"/>
    <xf numFmtId="0" fontId="35" fillId="0" borderId="373">
      <alignment horizontal="left" vertical="center" wrapText="1" indent="2"/>
    </xf>
    <xf numFmtId="0" fontId="35" fillId="34" borderId="367">
      <alignment horizontal="left" vertical="center" wrapText="1" indent="2"/>
    </xf>
    <xf numFmtId="0" fontId="33" fillId="34" borderId="380">
      <alignment horizontal="right" vertical="center"/>
    </xf>
    <xf numFmtId="4" fontId="35" fillId="33" borderId="364"/>
    <xf numFmtId="0" fontId="66" fillId="0" borderId="362" applyNumberFormat="0" applyFill="0" applyAlignment="0" applyProtection="0"/>
    <xf numFmtId="173" fontId="35" fillId="60" borderId="364" applyNumberFormat="0" applyFont="0" applyBorder="0" applyAlignment="0" applyProtection="0">
      <alignment horizontal="right" vertical="center"/>
    </xf>
    <xf numFmtId="0" fontId="35" fillId="0" borderId="364">
      <alignment horizontal="right" vertical="center"/>
    </xf>
    <xf numFmtId="4" fontId="35" fillId="0" borderId="364">
      <alignment horizontal="right" vertical="center"/>
    </xf>
    <xf numFmtId="0" fontId="12" fillId="31" borderId="0" applyNumberFormat="0" applyBorder="0" applyAlignment="0" applyProtection="0"/>
    <xf numFmtId="0" fontId="35" fillId="0" borderId="367">
      <alignment horizontal="left" vertical="center" wrapText="1" indent="2"/>
    </xf>
    <xf numFmtId="4" fontId="33" fillId="34" borderId="364">
      <alignment horizontal="right" vertical="center"/>
    </xf>
    <xf numFmtId="0" fontId="33" fillId="34" borderId="365">
      <alignment horizontal="right" vertical="center"/>
    </xf>
    <xf numFmtId="4" fontId="33" fillId="34" borderId="365">
      <alignment horizontal="right" vertical="center"/>
    </xf>
    <xf numFmtId="0" fontId="33" fillId="34" borderId="364">
      <alignment horizontal="right" vertical="center"/>
    </xf>
    <xf numFmtId="4" fontId="33" fillId="32" borderId="364">
      <alignment horizontal="right" vertical="center"/>
    </xf>
    <xf numFmtId="0" fontId="37" fillId="32" borderId="364">
      <alignment horizontal="right" vertical="center"/>
    </xf>
    <xf numFmtId="0" fontId="46" fillId="56" borderId="375" applyNumberFormat="0" applyAlignment="0" applyProtection="0"/>
    <xf numFmtId="49" fontId="35" fillId="0" borderId="370" applyNumberFormat="0" applyFont="0" applyFill="0" applyBorder="0" applyProtection="0">
      <alignment horizontal="left" vertical="center" indent="2"/>
    </xf>
    <xf numFmtId="49" fontId="35" fillId="0" borderId="371" applyNumberFormat="0" applyFont="0" applyFill="0" applyBorder="0" applyProtection="0">
      <alignment horizontal="left" vertical="center" indent="5"/>
    </xf>
    <xf numFmtId="49" fontId="35" fillId="0" borderId="370" applyNumberFormat="0" applyFont="0" applyFill="0" applyBorder="0" applyProtection="0">
      <alignment horizontal="left" vertical="center" indent="2"/>
    </xf>
    <xf numFmtId="0" fontId="35" fillId="34" borderId="373">
      <alignment horizontal="left" vertical="center" wrapText="1" indent="2"/>
    </xf>
    <xf numFmtId="0" fontId="41" fillId="59" borderId="377" applyNumberFormat="0" applyFont="0" applyAlignment="0" applyProtection="0"/>
    <xf numFmtId="0" fontId="27" fillId="17" borderId="0" applyNumberFormat="0" applyBorder="0" applyAlignment="0" applyProtection="0"/>
    <xf numFmtId="0" fontId="27" fillId="21" borderId="0" applyNumberFormat="0" applyBorder="0" applyAlignment="0" applyProtection="0"/>
    <xf numFmtId="0" fontId="66" fillId="0" borderId="362" applyNumberFormat="0" applyFill="0" applyAlignment="0" applyProtection="0"/>
    <xf numFmtId="0" fontId="47" fillId="56" borderId="375" applyNumberFormat="0" applyAlignment="0" applyProtection="0"/>
    <xf numFmtId="0" fontId="27" fillId="14" borderId="0" applyNumberFormat="0" applyBorder="0" applyAlignment="0" applyProtection="0"/>
    <xf numFmtId="0" fontId="2" fillId="0" borderId="15" applyNumberFormat="0" applyFill="0" applyAlignment="0" applyProtection="0"/>
    <xf numFmtId="4" fontId="35" fillId="0" borderId="378" applyFill="0" applyBorder="0" applyProtection="0">
      <alignment horizontal="right" vertical="center"/>
    </xf>
    <xf numFmtId="0" fontId="63" fillId="56" borderId="374" applyNumberFormat="0" applyAlignment="0" applyProtection="0"/>
    <xf numFmtId="0" fontId="27" fillId="17" borderId="0" applyNumberFormat="0" applyBorder="0" applyAlignment="0" applyProtection="0"/>
    <xf numFmtId="0" fontId="46" fillId="56" borderId="401" applyNumberFormat="0" applyAlignment="0" applyProtection="0"/>
    <xf numFmtId="4" fontId="33" fillId="34" borderId="399">
      <alignment horizontal="right" vertical="center"/>
    </xf>
    <xf numFmtId="0" fontId="35" fillId="32" borderId="371">
      <alignment horizontal="left" vertical="center"/>
    </xf>
    <xf numFmtId="0" fontId="35" fillId="34" borderId="389">
      <alignment horizontal="left" vertical="center" wrapText="1" indent="2"/>
    </xf>
    <xf numFmtId="0" fontId="50" fillId="43" borderId="375" applyNumberFormat="0" applyAlignment="0" applyProtection="0"/>
    <xf numFmtId="0" fontId="33" fillId="34" borderId="397">
      <alignment horizontal="right" vertical="center"/>
    </xf>
    <xf numFmtId="173" fontId="35" fillId="60" borderId="378" applyNumberFormat="0" applyFont="0" applyBorder="0" applyAlignment="0" applyProtection="0">
      <alignment horizontal="right" vertical="center"/>
    </xf>
    <xf numFmtId="0" fontId="35" fillId="0" borderId="381">
      <alignment horizontal="left" vertical="center" wrapText="1" indent="2"/>
    </xf>
    <xf numFmtId="4" fontId="33" fillId="34" borderId="370">
      <alignment horizontal="right" vertical="center"/>
    </xf>
    <xf numFmtId="4" fontId="35" fillId="0" borderId="370">
      <alignment horizontal="right" vertical="center"/>
    </xf>
    <xf numFmtId="0" fontId="5" fillId="59" borderId="369" applyNumberFormat="0" applyFont="0" applyAlignment="0" applyProtection="0"/>
    <xf numFmtId="49" fontId="35" fillId="0" borderId="379" applyNumberFormat="0" applyFont="0" applyFill="0" applyBorder="0" applyProtection="0">
      <alignment horizontal="left" vertical="center" indent="5"/>
    </xf>
    <xf numFmtId="0" fontId="29" fillId="13" borderId="14" applyNumberFormat="0" applyAlignment="0" applyProtection="0"/>
    <xf numFmtId="0" fontId="63" fillId="56" borderId="390" applyNumberFormat="0" applyAlignment="0" applyProtection="0"/>
    <xf numFmtId="0" fontId="41" fillId="59" borderId="369" applyNumberFormat="0" applyFont="0" applyAlignment="0" applyProtection="0"/>
    <xf numFmtId="0" fontId="46" fillId="56" borderId="391" applyNumberFormat="0" applyAlignment="0" applyProtection="0"/>
    <xf numFmtId="4" fontId="33" fillId="34" borderId="370">
      <alignment horizontal="right" vertical="center"/>
    </xf>
    <xf numFmtId="0" fontId="46" fillId="56" borderId="375" applyNumberFormat="0" applyAlignment="0" applyProtection="0"/>
    <xf numFmtId="0" fontId="47" fillId="56" borderId="375" applyNumberFormat="0" applyAlignment="0" applyProtection="0"/>
    <xf numFmtId="4" fontId="33" fillId="32" borderId="378">
      <alignment horizontal="right" vertical="center"/>
    </xf>
    <xf numFmtId="0" fontId="5" fillId="59" borderId="396" applyNumberFormat="0" applyFont="0" applyAlignment="0" applyProtection="0"/>
    <xf numFmtId="0" fontId="63" fillId="56" borderId="382" applyNumberFormat="0" applyAlignment="0" applyProtection="0"/>
    <xf numFmtId="0" fontId="35" fillId="0" borderId="404" applyNumberFormat="0" applyFill="0" applyAlignment="0" applyProtection="0"/>
    <xf numFmtId="0" fontId="27" fillId="15" borderId="0" applyNumberFormat="0" applyBorder="0" applyAlignment="0" applyProtection="0"/>
    <xf numFmtId="0" fontId="66" fillId="0" borderId="362" applyNumberFormat="0" applyFill="0" applyAlignment="0" applyProtection="0"/>
    <xf numFmtId="0" fontId="41" fillId="59" borderId="363" applyNumberFormat="0" applyFont="0" applyAlignment="0" applyProtection="0"/>
    <xf numFmtId="0" fontId="51" fillId="0" borderId="376" applyNumberFormat="0" applyFill="0" applyAlignment="0" applyProtection="0"/>
    <xf numFmtId="0" fontId="33" fillId="34" borderId="387">
      <alignment horizontal="right" vertical="center"/>
    </xf>
    <xf numFmtId="0" fontId="5" fillId="59" borderId="363" applyNumberFormat="0" applyFont="0" applyAlignment="0" applyProtection="0"/>
    <xf numFmtId="0" fontId="51" fillId="0" borderId="395" applyNumberFormat="0" applyFill="0" applyAlignment="0" applyProtection="0"/>
    <xf numFmtId="0" fontId="41" fillId="59" borderId="428" applyNumberFormat="0" applyFont="0" applyAlignment="0" applyProtection="0"/>
    <xf numFmtId="0" fontId="33" fillId="34" borderId="388">
      <alignment horizontal="right" vertical="center"/>
    </xf>
    <xf numFmtId="0" fontId="27" fillId="14" borderId="0" applyNumberFormat="0" applyBorder="0" applyAlignment="0" applyProtection="0"/>
    <xf numFmtId="0" fontId="33" fillId="34" borderId="398">
      <alignment horizontal="right" vertical="center"/>
    </xf>
    <xf numFmtId="0" fontId="35" fillId="0" borderId="373">
      <alignment horizontal="left" vertical="center" wrapText="1" indent="2"/>
    </xf>
    <xf numFmtId="4" fontId="35" fillId="0" borderId="378">
      <alignment horizontal="right" vertical="center"/>
    </xf>
    <xf numFmtId="4" fontId="33" fillId="34" borderId="371">
      <alignment horizontal="right" vertical="center"/>
    </xf>
    <xf numFmtId="0" fontId="2" fillId="0" borderId="15" applyNumberFormat="0" applyFill="0" applyAlignment="0" applyProtection="0"/>
    <xf numFmtId="0" fontId="59" fillId="43" borderId="361" applyNumberFormat="0" applyAlignment="0" applyProtection="0"/>
    <xf numFmtId="0" fontId="27" fillId="15" borderId="0" applyNumberFormat="0" applyBorder="0" applyAlignment="0" applyProtection="0"/>
    <xf numFmtId="0" fontId="35" fillId="34" borderId="367">
      <alignment horizontal="left" vertical="center" wrapText="1" indent="2"/>
    </xf>
    <xf numFmtId="4" fontId="37" fillId="32" borderId="364">
      <alignment horizontal="right" vertical="center"/>
    </xf>
    <xf numFmtId="0" fontId="35" fillId="34" borderId="373">
      <alignment horizontal="left" vertical="center" wrapText="1" indent="2"/>
    </xf>
    <xf numFmtId="4" fontId="35" fillId="33" borderId="378"/>
    <xf numFmtId="0" fontId="35" fillId="0" borderId="378">
      <alignment horizontal="right" vertical="center"/>
    </xf>
    <xf numFmtId="4" fontId="33" fillId="34" borderId="378">
      <alignment horizontal="right" vertical="center"/>
    </xf>
    <xf numFmtId="0" fontId="27" fillId="21" borderId="0" applyNumberFormat="0" applyBorder="0" applyAlignment="0" applyProtection="0"/>
    <xf numFmtId="0" fontId="27" fillId="15" borderId="0" applyNumberFormat="0" applyBorder="0" applyAlignment="0" applyProtection="0"/>
    <xf numFmtId="0" fontId="35" fillId="0" borderId="370" applyNumberFormat="0" applyFill="0" applyAlignment="0" applyProtection="0"/>
    <xf numFmtId="0" fontId="2" fillId="0" borderId="15" applyNumberFormat="0" applyFill="0" applyAlignment="0" applyProtection="0"/>
    <xf numFmtId="0" fontId="12" fillId="16" borderId="0" applyNumberFormat="0" applyBorder="0" applyAlignment="0" applyProtection="0"/>
    <xf numFmtId="0" fontId="41" fillId="59" borderId="377" applyNumberFormat="0" applyFont="0" applyAlignment="0" applyProtection="0"/>
    <xf numFmtId="4" fontId="37" fillId="32" borderId="364">
      <alignment horizontal="right" vertical="center"/>
    </xf>
    <xf numFmtId="4" fontId="33" fillId="32" borderId="364">
      <alignment horizontal="right" vertical="center"/>
    </xf>
    <xf numFmtId="0" fontId="35" fillId="0" borderId="367">
      <alignment horizontal="left" vertical="center" wrapText="1" indent="2"/>
    </xf>
    <xf numFmtId="0" fontId="63" fillId="56" borderId="368" applyNumberFormat="0" applyAlignment="0" applyProtection="0"/>
    <xf numFmtId="0" fontId="35" fillId="0" borderId="364">
      <alignment horizontal="right" vertical="center"/>
    </xf>
    <xf numFmtId="0" fontId="66" fillId="0" borderId="362" applyNumberFormat="0" applyFill="0" applyAlignment="0" applyProtection="0"/>
    <xf numFmtId="49" fontId="34" fillId="0" borderId="364" applyNumberFormat="0" applyFill="0" applyBorder="0" applyProtection="0">
      <alignment horizontal="left" vertical="center"/>
    </xf>
    <xf numFmtId="4" fontId="35" fillId="33" borderId="364"/>
    <xf numFmtId="0" fontId="59" fillId="43" borderId="361" applyNumberFormat="0" applyAlignment="0" applyProtection="0"/>
    <xf numFmtId="0" fontId="35" fillId="34" borderId="400">
      <alignment horizontal="left" vertical="center" wrapText="1" indent="2"/>
    </xf>
    <xf numFmtId="0" fontId="33" fillId="34" borderId="370">
      <alignment horizontal="right" vertical="center"/>
    </xf>
    <xf numFmtId="173" fontId="35" fillId="60" borderId="364" applyNumberFormat="0" applyFont="0" applyBorder="0" applyAlignment="0" applyProtection="0">
      <alignment horizontal="right" vertical="center"/>
    </xf>
    <xf numFmtId="0" fontId="35" fillId="0" borderId="370" applyNumberFormat="0" applyFill="0" applyAlignment="0" applyProtection="0"/>
    <xf numFmtId="0" fontId="47" fillId="56" borderId="361" applyNumberFormat="0" applyAlignment="0" applyProtection="0"/>
    <xf numFmtId="4" fontId="33" fillId="34" borderId="378">
      <alignment horizontal="right" vertical="center"/>
    </xf>
    <xf numFmtId="0" fontId="35" fillId="0" borderId="370">
      <alignment horizontal="right" vertical="center"/>
    </xf>
    <xf numFmtId="0" fontId="63" fillId="56" borderId="374" applyNumberFormat="0" applyAlignment="0" applyProtection="0"/>
    <xf numFmtId="0" fontId="37" fillId="32" borderId="370">
      <alignment horizontal="right" vertical="center"/>
    </xf>
    <xf numFmtId="0" fontId="59" fillId="43" borderId="361" applyNumberFormat="0" applyAlignment="0" applyProtection="0"/>
    <xf numFmtId="0" fontId="44" fillId="56" borderId="368" applyNumberFormat="0" applyAlignment="0" applyProtection="0"/>
    <xf numFmtId="0" fontId="35" fillId="0" borderId="370" applyNumberFormat="0" applyFill="0" applyAlignment="0" applyProtection="0"/>
    <xf numFmtId="49" fontId="34" fillId="0" borderId="364" applyNumberFormat="0" applyFill="0" applyBorder="0" applyProtection="0">
      <alignment horizontal="left" vertical="center"/>
    </xf>
    <xf numFmtId="0" fontId="66" fillId="0" borderId="362" applyNumberFormat="0" applyFill="0" applyAlignment="0" applyProtection="0"/>
    <xf numFmtId="0" fontId="35" fillId="0" borderId="364">
      <alignment horizontal="right" vertical="center"/>
    </xf>
    <xf numFmtId="0" fontId="33" fillId="34" borderId="365">
      <alignment horizontal="right" vertical="center"/>
    </xf>
    <xf numFmtId="0" fontId="66" fillId="0" borderId="362" applyNumberFormat="0" applyFill="0" applyAlignment="0" applyProtection="0"/>
    <xf numFmtId="0" fontId="35" fillId="0" borderId="404" applyNumberFormat="0" applyFill="0" applyAlignment="0" applyProtection="0"/>
    <xf numFmtId="0" fontId="31" fillId="0" borderId="0" applyNumberFormat="0" applyFill="0" applyBorder="0" applyAlignment="0" applyProtection="0"/>
    <xf numFmtId="0" fontId="33" fillId="34" borderId="378">
      <alignment horizontal="right" vertical="center"/>
    </xf>
    <xf numFmtId="0" fontId="35" fillId="0" borderId="386">
      <alignment horizontal="right" vertical="center"/>
    </xf>
    <xf numFmtId="0" fontId="27" fillId="29" borderId="0" applyNumberFormat="0" applyBorder="0" applyAlignment="0" applyProtection="0"/>
    <xf numFmtId="0" fontId="35" fillId="0" borderId="418" applyNumberFormat="0" applyFill="0" applyAlignment="0" applyProtection="0"/>
    <xf numFmtId="0" fontId="35" fillId="32" borderId="371">
      <alignment horizontal="left" vertical="center"/>
    </xf>
    <xf numFmtId="0" fontId="37" fillId="32" borderId="370">
      <alignment horizontal="right" vertical="center"/>
    </xf>
    <xf numFmtId="4" fontId="35" fillId="0" borderId="364" applyFill="0" applyBorder="0" applyProtection="0">
      <alignment horizontal="right" vertical="center"/>
    </xf>
    <xf numFmtId="0" fontId="46" fillId="56" borderId="375" applyNumberFormat="0" applyAlignment="0" applyProtection="0"/>
    <xf numFmtId="0" fontId="35" fillId="33" borderId="370"/>
    <xf numFmtId="0" fontId="47" fillId="56" borderId="391" applyNumberFormat="0" applyAlignment="0" applyProtection="0"/>
    <xf numFmtId="0" fontId="63" fillId="56" borderId="374" applyNumberFormat="0" applyAlignment="0" applyProtection="0"/>
    <xf numFmtId="4" fontId="33" fillId="34" borderId="380">
      <alignment horizontal="right" vertical="center"/>
    </xf>
    <xf numFmtId="0" fontId="27" fillId="15" borderId="0" applyNumberFormat="0" applyBorder="0" applyAlignment="0" applyProtection="0"/>
    <xf numFmtId="0" fontId="35" fillId="0" borderId="367">
      <alignment horizontal="left" vertical="center" wrapText="1" indent="2"/>
    </xf>
    <xf numFmtId="4" fontId="33" fillId="34" borderId="412">
      <alignment horizontal="right" vertical="center"/>
    </xf>
    <xf numFmtId="0" fontId="66" fillId="0" borderId="362" applyNumberFormat="0" applyFill="0" applyAlignment="0" applyProtection="0"/>
    <xf numFmtId="0" fontId="44" fillId="56" borderId="368" applyNumberFormat="0" applyAlignment="0" applyProtection="0"/>
    <xf numFmtId="0" fontId="33" fillId="34" borderId="364">
      <alignment horizontal="right" vertical="center"/>
    </xf>
    <xf numFmtId="0" fontId="46" fillId="56" borderId="361" applyNumberFormat="0" applyAlignment="0" applyProtection="0"/>
    <xf numFmtId="0" fontId="35" fillId="34" borderId="373">
      <alignment horizontal="left" vertical="center" wrapText="1" indent="2"/>
    </xf>
    <xf numFmtId="0" fontId="33" fillId="34" borderId="386">
      <alignment horizontal="right" vertical="center"/>
    </xf>
    <xf numFmtId="0" fontId="35" fillId="32" borderId="365">
      <alignment horizontal="left" vertical="center"/>
    </xf>
    <xf numFmtId="0" fontId="66" fillId="0" borderId="384" applyNumberFormat="0" applyFill="0" applyAlignment="0" applyProtection="0"/>
    <xf numFmtId="0" fontId="59" fillId="43" borderId="391" applyNumberFormat="0" applyAlignment="0" applyProtection="0"/>
    <xf numFmtId="0" fontId="27" fillId="14" borderId="0" applyNumberFormat="0" applyBorder="0" applyAlignment="0" applyProtection="0"/>
    <xf numFmtId="0" fontId="47" fillId="56" borderId="383" applyNumberFormat="0" applyAlignment="0" applyProtection="0"/>
    <xf numFmtId="49" fontId="35" fillId="0" borderId="387" applyNumberFormat="0" applyFont="0" applyFill="0" applyBorder="0" applyProtection="0">
      <alignment horizontal="left" vertical="center" indent="5"/>
    </xf>
    <xf numFmtId="0" fontId="33" fillId="32" borderId="364">
      <alignment horizontal="right" vertical="center"/>
    </xf>
    <xf numFmtId="0" fontId="33" fillId="34" borderId="371">
      <alignment horizontal="right" vertical="center"/>
    </xf>
    <xf numFmtId="4" fontId="37" fillId="32" borderId="370">
      <alignment horizontal="right" vertical="center"/>
    </xf>
    <xf numFmtId="0" fontId="51" fillId="0" borderId="362" applyNumberFormat="0" applyFill="0" applyAlignment="0" applyProtection="0"/>
    <xf numFmtId="0" fontId="31" fillId="0" borderId="0" applyNumberFormat="0" applyFill="0" applyBorder="0" applyAlignment="0" applyProtection="0"/>
    <xf numFmtId="0" fontId="35" fillId="0" borderId="364">
      <alignment horizontal="right" vertical="center"/>
    </xf>
    <xf numFmtId="0" fontId="5" fillId="59" borderId="363" applyNumberFormat="0" applyFont="0" applyAlignment="0" applyProtection="0"/>
    <xf numFmtId="4" fontId="35" fillId="0" borderId="370">
      <alignment horizontal="right" vertical="center"/>
    </xf>
    <xf numFmtId="0" fontId="12" fillId="16" borderId="0" applyNumberFormat="0" applyBorder="0" applyAlignment="0" applyProtection="0"/>
    <xf numFmtId="0" fontId="35" fillId="0" borderId="370">
      <alignment horizontal="right" vertical="center"/>
    </xf>
    <xf numFmtId="0" fontId="12" fillId="31" borderId="0" applyNumberFormat="0" applyBorder="0" applyAlignment="0" applyProtection="0"/>
    <xf numFmtId="0" fontId="59" fillId="43" borderId="361" applyNumberFormat="0" applyAlignment="0" applyProtection="0"/>
    <xf numFmtId="4" fontId="35" fillId="0" borderId="378">
      <alignment horizontal="right" vertical="center"/>
    </xf>
    <xf numFmtId="49" fontId="35" fillId="0" borderId="365" applyNumberFormat="0" applyFont="0" applyFill="0" applyBorder="0" applyProtection="0">
      <alignment horizontal="left" vertical="center" indent="5"/>
    </xf>
    <xf numFmtId="4" fontId="35" fillId="0" borderId="378" applyFill="0" applyBorder="0" applyProtection="0">
      <alignment horizontal="right" vertical="center"/>
    </xf>
    <xf numFmtId="0" fontId="35" fillId="0" borderId="364" applyNumberFormat="0" applyFill="0" applyAlignment="0" applyProtection="0"/>
    <xf numFmtId="0" fontId="51" fillId="0" borderId="362" applyNumberFormat="0" applyFill="0" applyAlignment="0" applyProtection="0"/>
    <xf numFmtId="0" fontId="63" fillId="56" borderId="368" applyNumberFormat="0" applyAlignment="0" applyProtection="0"/>
    <xf numFmtId="4" fontId="33" fillId="34" borderId="364">
      <alignment horizontal="right" vertical="center"/>
    </xf>
    <xf numFmtId="4" fontId="35" fillId="33" borderId="364"/>
    <xf numFmtId="0" fontId="66" fillId="0" borderId="362" applyNumberFormat="0" applyFill="0" applyAlignment="0" applyProtection="0"/>
    <xf numFmtId="0" fontId="33" fillId="34" borderId="370">
      <alignment horizontal="right" vertical="center"/>
    </xf>
    <xf numFmtId="0" fontId="44" fillId="56" borderId="368" applyNumberFormat="0" applyAlignment="0" applyProtection="0"/>
    <xf numFmtId="0" fontId="46" fillId="56" borderId="361" applyNumberFormat="0" applyAlignment="0" applyProtection="0"/>
    <xf numFmtId="0" fontId="47" fillId="56" borderId="361" applyNumberFormat="0" applyAlignment="0" applyProtection="0"/>
    <xf numFmtId="0" fontId="63" fillId="56" borderId="368" applyNumberFormat="0" applyAlignment="0" applyProtection="0"/>
    <xf numFmtId="0" fontId="33" fillId="34" borderId="366">
      <alignment horizontal="right" vertical="center"/>
    </xf>
    <xf numFmtId="0" fontId="35" fillId="0" borderId="364" applyNumberFormat="0" applyFill="0" applyAlignment="0" applyProtection="0"/>
    <xf numFmtId="49" fontId="35" fillId="0" borderId="365" applyNumberFormat="0" applyFont="0" applyFill="0" applyBorder="0" applyProtection="0">
      <alignment horizontal="left" vertical="center" indent="5"/>
    </xf>
    <xf numFmtId="0" fontId="66" fillId="0" borderId="362" applyNumberFormat="0" applyFill="0" applyAlignment="0" applyProtection="0"/>
    <xf numFmtId="0" fontId="35" fillId="0" borderId="364" applyNumberFormat="0" applyFill="0" applyAlignment="0" applyProtection="0"/>
    <xf numFmtId="0" fontId="51" fillId="0" borderId="376" applyNumberFormat="0" applyFill="0" applyAlignment="0" applyProtection="0"/>
    <xf numFmtId="0" fontId="41" fillId="59" borderId="369" applyNumberFormat="0" applyFont="0" applyAlignment="0" applyProtection="0"/>
    <xf numFmtId="4" fontId="35" fillId="0" borderId="378">
      <alignment horizontal="right" vertical="center"/>
    </xf>
    <xf numFmtId="0" fontId="63" fillId="56" borderId="390" applyNumberFormat="0" applyAlignment="0" applyProtection="0"/>
    <xf numFmtId="0" fontId="41" fillId="59" borderId="409" applyNumberFormat="0" applyFont="0" applyAlignment="0" applyProtection="0"/>
    <xf numFmtId="0" fontId="51" fillId="0" borderId="384" applyNumberFormat="0" applyFill="0" applyAlignment="0" applyProtection="0"/>
    <xf numFmtId="0" fontId="46" fillId="56" borderId="401" applyNumberFormat="0" applyAlignment="0" applyProtection="0"/>
    <xf numFmtId="0" fontId="41" fillId="59" borderId="363" applyNumberFormat="0" applyFont="0" applyAlignment="0" applyProtection="0"/>
    <xf numFmtId="173" fontId="35" fillId="60" borderId="386" applyNumberFormat="0" applyFont="0" applyBorder="0" applyAlignment="0" applyProtection="0">
      <alignment horizontal="right" vertical="center"/>
    </xf>
    <xf numFmtId="0" fontId="59" fillId="43" borderId="394" applyNumberFormat="0" applyAlignment="0" applyProtection="0"/>
    <xf numFmtId="0" fontId="27" fillId="21" borderId="0" applyNumberFormat="0" applyBorder="0" applyAlignment="0" applyProtection="0"/>
    <xf numFmtId="0" fontId="27" fillId="26" borderId="0" applyNumberFormat="0" applyBorder="0" applyAlignment="0" applyProtection="0"/>
    <xf numFmtId="4" fontId="33" fillId="34" borderId="372">
      <alignment horizontal="right" vertical="center"/>
    </xf>
    <xf numFmtId="4" fontId="33" fillId="34" borderId="372">
      <alignment horizontal="right" vertical="center"/>
    </xf>
    <xf numFmtId="0" fontId="66" fillId="0" borderId="376" applyNumberFormat="0" applyFill="0" applyAlignment="0" applyProtection="0"/>
    <xf numFmtId="0" fontId="27" fillId="23" borderId="0" applyNumberFormat="0" applyBorder="0" applyAlignment="0" applyProtection="0"/>
    <xf numFmtId="0" fontId="12" fillId="28" borderId="0" applyNumberFormat="0" applyBorder="0" applyAlignment="0" applyProtection="0"/>
    <xf numFmtId="0" fontId="35" fillId="0" borderId="367">
      <alignment horizontal="left" vertical="center" wrapText="1" indent="2"/>
    </xf>
    <xf numFmtId="0" fontId="50" fillId="43" borderId="383" applyNumberFormat="0" applyAlignment="0" applyProtection="0"/>
    <xf numFmtId="4" fontId="33" fillId="32" borderId="364">
      <alignment horizontal="right" vertical="center"/>
    </xf>
    <xf numFmtId="4" fontId="33" fillId="32" borderId="378">
      <alignment horizontal="right" vertical="center"/>
    </xf>
    <xf numFmtId="0" fontId="63" fillId="56" borderId="368" applyNumberFormat="0" applyAlignment="0" applyProtection="0"/>
    <xf numFmtId="49" fontId="35" fillId="0" borderId="365" applyNumberFormat="0" applyFont="0" applyFill="0" applyBorder="0" applyProtection="0">
      <alignment horizontal="left" vertical="center" indent="5"/>
    </xf>
    <xf numFmtId="4" fontId="35" fillId="0" borderId="364">
      <alignment horizontal="right" vertical="center"/>
    </xf>
    <xf numFmtId="49" fontId="35" fillId="0" borderId="370" applyNumberFormat="0" applyFont="0" applyFill="0" applyBorder="0" applyProtection="0">
      <alignment horizontal="left" vertical="center" indent="2"/>
    </xf>
    <xf numFmtId="4" fontId="33" fillId="34" borderId="370">
      <alignment horizontal="right" vertical="center"/>
    </xf>
    <xf numFmtId="0" fontId="12" fillId="25" borderId="0" applyNumberFormat="0" applyBorder="0" applyAlignment="0" applyProtection="0"/>
    <xf numFmtId="0" fontId="27" fillId="29" borderId="0" applyNumberFormat="0" applyBorder="0" applyAlignment="0" applyProtection="0"/>
    <xf numFmtId="0" fontId="51" fillId="0" borderId="362" applyNumberFormat="0" applyFill="0" applyAlignment="0" applyProtection="0"/>
    <xf numFmtId="0" fontId="33" fillId="34" borderId="410">
      <alignment horizontal="right" vertical="center"/>
    </xf>
    <xf numFmtId="4" fontId="33" fillId="34" borderId="366">
      <alignment horizontal="right" vertical="center"/>
    </xf>
    <xf numFmtId="4" fontId="33" fillId="34" borderId="364">
      <alignment horizontal="right" vertical="center"/>
    </xf>
    <xf numFmtId="4" fontId="33" fillId="34" borderId="364">
      <alignment horizontal="right" vertical="center"/>
    </xf>
    <xf numFmtId="0" fontId="66" fillId="0" borderId="362" applyNumberFormat="0" applyFill="0" applyAlignment="0" applyProtection="0"/>
    <xf numFmtId="0" fontId="47" fillId="56" borderId="361" applyNumberFormat="0" applyAlignment="0" applyProtection="0"/>
    <xf numFmtId="0" fontId="50" fillId="43" borderId="361" applyNumberFormat="0" applyAlignment="0" applyProtection="0"/>
    <xf numFmtId="0" fontId="63" fillId="56" borderId="374" applyNumberFormat="0" applyAlignment="0" applyProtection="0"/>
    <xf numFmtId="0" fontId="30" fillId="13" borderId="13" applyNumberFormat="0" applyAlignment="0" applyProtection="0"/>
    <xf numFmtId="49" fontId="34" fillId="0" borderId="364" applyNumberFormat="0" applyFill="0" applyBorder="0" applyProtection="0">
      <alignment horizontal="left" vertical="center"/>
    </xf>
    <xf numFmtId="0" fontId="5" fillId="59" borderId="363" applyNumberFormat="0" applyFont="0" applyAlignment="0" applyProtection="0"/>
    <xf numFmtId="0" fontId="35" fillId="0" borderId="378">
      <alignment horizontal="right" vertical="center"/>
    </xf>
    <xf numFmtId="4" fontId="33" fillId="34" borderId="364">
      <alignment horizontal="right" vertical="center"/>
    </xf>
    <xf numFmtId="0" fontId="12" fillId="19" borderId="0" applyNumberFormat="0" applyBorder="0" applyAlignment="0" applyProtection="0"/>
    <xf numFmtId="0" fontId="12" fillId="22" borderId="0" applyNumberFormat="0" applyBorder="0" applyAlignment="0" applyProtection="0"/>
    <xf numFmtId="49" fontId="35" fillId="0" borderId="370" applyNumberFormat="0" applyFont="0" applyFill="0" applyBorder="0" applyProtection="0">
      <alignment horizontal="left" vertical="center" indent="2"/>
    </xf>
    <xf numFmtId="4" fontId="33" fillId="34" borderId="370">
      <alignment horizontal="right" vertical="center"/>
    </xf>
    <xf numFmtId="4" fontId="35" fillId="0" borderId="397">
      <alignment horizontal="right" vertical="center"/>
    </xf>
    <xf numFmtId="49" fontId="35" fillId="0" borderId="364" applyNumberFormat="0" applyFont="0" applyFill="0" applyBorder="0" applyProtection="0">
      <alignment horizontal="left" vertical="center" indent="2"/>
    </xf>
    <xf numFmtId="0" fontId="66" fillId="0" borderId="362" applyNumberFormat="0" applyFill="0" applyAlignment="0" applyProtection="0"/>
    <xf numFmtId="4" fontId="35" fillId="0" borderId="364" applyFill="0" applyBorder="0" applyProtection="0">
      <alignment horizontal="right" vertical="center"/>
    </xf>
    <xf numFmtId="0" fontId="59" fillId="43" borderId="361" applyNumberFormat="0" applyAlignment="0" applyProtection="0"/>
    <xf numFmtId="49" fontId="34" fillId="0" borderId="364" applyNumberFormat="0" applyFill="0" applyBorder="0" applyProtection="0">
      <alignment horizontal="left" vertical="center"/>
    </xf>
    <xf numFmtId="49" fontId="35" fillId="0" borderId="364" applyNumberFormat="0" applyFont="0" applyFill="0" applyBorder="0" applyProtection="0">
      <alignment horizontal="left" vertical="center" indent="2"/>
    </xf>
    <xf numFmtId="4" fontId="35" fillId="0" borderId="364" applyFill="0" applyBorder="0" applyProtection="0">
      <alignment horizontal="right" vertical="center"/>
    </xf>
    <xf numFmtId="0" fontId="66" fillId="0" borderId="376" applyNumberFormat="0" applyFill="0" applyAlignment="0" applyProtection="0"/>
    <xf numFmtId="173" fontId="35" fillId="60" borderId="364" applyNumberFormat="0" applyFont="0" applyBorder="0" applyAlignment="0" applyProtection="0">
      <alignment horizontal="right" vertical="center"/>
    </xf>
    <xf numFmtId="0" fontId="41" fillId="59" borderId="369" applyNumberFormat="0" applyFont="0" applyAlignment="0" applyProtection="0"/>
    <xf numFmtId="4" fontId="33" fillId="34" borderId="372">
      <alignment horizontal="right" vertical="center"/>
    </xf>
    <xf numFmtId="4" fontId="33" fillId="34" borderId="405">
      <alignment horizontal="right" vertical="center"/>
    </xf>
    <xf numFmtId="0" fontId="37" fillId="32" borderId="364">
      <alignment horizontal="right" vertical="center"/>
    </xf>
    <xf numFmtId="0" fontId="12" fillId="31" borderId="0" applyNumberFormat="0" applyBorder="0" applyAlignment="0" applyProtection="0"/>
    <xf numFmtId="4" fontId="37" fillId="32" borderId="370">
      <alignment horizontal="right" vertical="center"/>
    </xf>
    <xf numFmtId="0" fontId="27" fillId="26" borderId="0" applyNumberFormat="0" applyBorder="0" applyAlignment="0" applyProtection="0"/>
    <xf numFmtId="0" fontId="44" fillId="56" borderId="374" applyNumberFormat="0" applyAlignment="0" applyProtection="0"/>
    <xf numFmtId="0" fontId="50" fillId="43" borderId="361" applyNumberFormat="0" applyAlignment="0" applyProtection="0"/>
    <xf numFmtId="4" fontId="33" fillId="34" borderId="364">
      <alignment horizontal="right" vertical="center"/>
    </xf>
    <xf numFmtId="0" fontId="35" fillId="32" borderId="365">
      <alignment horizontal="left" vertical="center"/>
    </xf>
    <xf numFmtId="0" fontId="27" fillId="27" borderId="0" applyNumberFormat="0" applyBorder="0" applyAlignment="0" applyProtection="0"/>
    <xf numFmtId="0" fontId="51" fillId="0" borderId="376" applyNumberFormat="0" applyFill="0" applyAlignment="0" applyProtection="0"/>
    <xf numFmtId="0" fontId="33" fillId="34" borderId="370">
      <alignment horizontal="right" vertical="center"/>
    </xf>
    <xf numFmtId="0" fontId="41" fillId="59" borderId="385" applyNumberFormat="0" applyFont="0" applyAlignment="0" applyProtection="0"/>
    <xf numFmtId="0" fontId="66" fillId="0" borderId="384" applyNumberFormat="0" applyFill="0" applyAlignment="0" applyProtection="0"/>
    <xf numFmtId="0" fontId="33" fillId="34" borderId="370">
      <alignment horizontal="right" vertical="center"/>
    </xf>
    <xf numFmtId="4" fontId="33" fillId="34" borderId="370">
      <alignment horizontal="right" vertical="center"/>
    </xf>
    <xf numFmtId="0" fontId="51" fillId="0" borderId="376" applyNumberFormat="0" applyFill="0" applyAlignment="0" applyProtection="0"/>
    <xf numFmtId="0" fontId="51" fillId="0" borderId="376" applyNumberFormat="0" applyFill="0" applyAlignment="0" applyProtection="0"/>
    <xf numFmtId="0" fontId="41" fillId="59" borderId="369" applyNumberFormat="0" applyFont="0" applyAlignment="0" applyProtection="0"/>
    <xf numFmtId="0" fontId="12" fillId="28" borderId="0" applyNumberFormat="0" applyBorder="0" applyAlignment="0" applyProtection="0"/>
    <xf numFmtId="4" fontId="33" fillId="32" borderId="370">
      <alignment horizontal="right" vertical="center"/>
    </xf>
    <xf numFmtId="0" fontId="33" fillId="34" borderId="364">
      <alignment horizontal="right" vertical="center"/>
    </xf>
    <xf numFmtId="0" fontId="35" fillId="34" borderId="367">
      <alignment horizontal="left" vertical="center" wrapText="1" indent="2"/>
    </xf>
    <xf numFmtId="173" fontId="35" fillId="60" borderId="364" applyNumberFormat="0" applyFont="0" applyBorder="0" applyAlignment="0" applyProtection="0">
      <alignment horizontal="right" vertical="center"/>
    </xf>
    <xf numFmtId="0" fontId="41" fillId="59" borderId="363" applyNumberFormat="0" applyFont="0" applyAlignment="0" applyProtection="0"/>
    <xf numFmtId="49" fontId="35" fillId="0" borderId="364" applyNumberFormat="0" applyFont="0" applyFill="0" applyBorder="0" applyProtection="0">
      <alignment horizontal="left" vertical="center" indent="2"/>
    </xf>
    <xf numFmtId="4" fontId="33" fillId="34" borderId="372">
      <alignment horizontal="right" vertical="center"/>
    </xf>
    <xf numFmtId="0" fontId="27" fillId="29" borderId="0" applyNumberFormat="0" applyBorder="0" applyAlignment="0" applyProtection="0"/>
    <xf numFmtId="0" fontId="66" fillId="0" borderId="392" applyNumberFormat="0" applyFill="0" applyAlignment="0" applyProtection="0"/>
    <xf numFmtId="0" fontId="27" fillId="14" borderId="0" applyNumberFormat="0" applyBorder="0" applyAlignment="0" applyProtection="0"/>
    <xf numFmtId="49" fontId="34" fillId="0" borderId="364" applyNumberFormat="0" applyFill="0" applyBorder="0" applyProtection="0">
      <alignment horizontal="left" vertical="center"/>
    </xf>
    <xf numFmtId="0" fontId="33" fillId="34" borderId="378">
      <alignment horizontal="right" vertical="center"/>
    </xf>
    <xf numFmtId="173" fontId="35" fillId="60" borderId="364" applyNumberFormat="0" applyFont="0" applyBorder="0" applyAlignment="0" applyProtection="0">
      <alignment horizontal="right" vertical="center"/>
    </xf>
    <xf numFmtId="0" fontId="63" fillId="56" borderId="368" applyNumberFormat="0" applyAlignment="0" applyProtection="0"/>
    <xf numFmtId="0" fontId="35" fillId="0" borderId="364">
      <alignment horizontal="right" vertical="center"/>
    </xf>
    <xf numFmtId="0" fontId="35" fillId="0" borderId="397" applyNumberFormat="0" applyFill="0" applyAlignment="0" applyProtection="0"/>
    <xf numFmtId="0" fontId="35" fillId="33" borderId="364"/>
    <xf numFmtId="4" fontId="33" fillId="34" borderId="364">
      <alignment horizontal="right" vertical="center"/>
    </xf>
    <xf numFmtId="0" fontId="35" fillId="33" borderId="364"/>
    <xf numFmtId="0" fontId="59" fillId="43" borderId="361" applyNumberFormat="0" applyAlignment="0" applyProtection="0"/>
    <xf numFmtId="4" fontId="33" fillId="34" borderId="372">
      <alignment horizontal="right" vertical="center"/>
    </xf>
    <xf numFmtId="0" fontId="37" fillId="32" borderId="364">
      <alignment horizontal="right" vertical="center"/>
    </xf>
    <xf numFmtId="0" fontId="35" fillId="0" borderId="367">
      <alignment horizontal="left" vertical="center" wrapText="1" indent="2"/>
    </xf>
    <xf numFmtId="0" fontId="33" fillId="32" borderId="364">
      <alignment horizontal="right" vertical="center"/>
    </xf>
    <xf numFmtId="0" fontId="50" fillId="43" borderId="361" applyNumberFormat="0" applyAlignment="0" applyProtection="0"/>
    <xf numFmtId="0" fontId="35" fillId="34" borderId="367">
      <alignment horizontal="left" vertical="center" wrapText="1" indent="2"/>
    </xf>
    <xf numFmtId="0" fontId="35" fillId="33" borderId="370"/>
    <xf numFmtId="0" fontId="27" fillId="15" borderId="0" applyNumberFormat="0" applyBorder="0" applyAlignment="0" applyProtection="0"/>
    <xf numFmtId="0" fontId="41" fillId="59" borderId="396" applyNumberFormat="0" applyFont="0" applyAlignment="0" applyProtection="0"/>
    <xf numFmtId="0" fontId="47" fillId="56" borderId="391" applyNumberFormat="0" applyAlignment="0" applyProtection="0"/>
    <xf numFmtId="0" fontId="59" fillId="43" borderId="383" applyNumberFormat="0" applyAlignment="0" applyProtection="0"/>
    <xf numFmtId="0" fontId="27" fillId="24" borderId="0" applyNumberFormat="0" applyBorder="0" applyAlignment="0" applyProtection="0"/>
    <xf numFmtId="0" fontId="35" fillId="33" borderId="370"/>
    <xf numFmtId="0" fontId="27" fillId="17" borderId="0" applyNumberFormat="0" applyBorder="0" applyAlignment="0" applyProtection="0"/>
    <xf numFmtId="0" fontId="46" fillId="56" borderId="361" applyNumberFormat="0" applyAlignment="0" applyProtection="0"/>
    <xf numFmtId="0" fontId="37" fillId="32" borderId="364">
      <alignment horizontal="right" vertical="center"/>
    </xf>
    <xf numFmtId="4" fontId="33" fillId="34" borderId="372">
      <alignment horizontal="right" vertical="center"/>
    </xf>
    <xf numFmtId="173" fontId="35" fillId="60" borderId="386" applyNumberFormat="0" applyFont="0" applyBorder="0" applyAlignment="0" applyProtection="0">
      <alignment horizontal="right" vertical="center"/>
    </xf>
    <xf numFmtId="0" fontId="5" fillId="59" borderId="385" applyNumberFormat="0" applyFont="0" applyAlignment="0" applyProtection="0"/>
    <xf numFmtId="0" fontId="27" fillId="20" borderId="0" applyNumberFormat="0" applyBorder="0" applyAlignment="0" applyProtection="0"/>
    <xf numFmtId="173" fontId="35" fillId="60" borderId="378" applyNumberFormat="0" applyFont="0" applyBorder="0" applyAlignment="0" applyProtection="0">
      <alignment horizontal="right" vertical="center"/>
    </xf>
    <xf numFmtId="49" fontId="34" fillId="0" borderId="370" applyNumberFormat="0" applyFill="0" applyBorder="0" applyProtection="0">
      <alignment horizontal="left" vertical="center"/>
    </xf>
    <xf numFmtId="0" fontId="31" fillId="0" borderId="0" applyNumberFormat="0" applyFill="0" applyBorder="0" applyAlignment="0" applyProtection="0"/>
    <xf numFmtId="0" fontId="33" fillId="34" borderId="386">
      <alignment horizontal="right" vertical="center"/>
    </xf>
    <xf numFmtId="0" fontId="66" fillId="0" borderId="395" applyNumberFormat="0" applyFill="0" applyAlignment="0" applyProtection="0"/>
    <xf numFmtId="0" fontId="33" fillId="34" borderId="364">
      <alignment horizontal="right" vertical="center"/>
    </xf>
    <xf numFmtId="4" fontId="35" fillId="0" borderId="364" applyFill="0" applyBorder="0" applyProtection="0">
      <alignment horizontal="right" vertical="center"/>
    </xf>
    <xf numFmtId="0" fontId="35" fillId="34" borderId="367">
      <alignment horizontal="left" vertical="center" wrapText="1" indent="2"/>
    </xf>
    <xf numFmtId="0" fontId="41" fillId="59" borderId="363" applyNumberFormat="0" applyFont="0" applyAlignment="0" applyProtection="0"/>
    <xf numFmtId="0" fontId="50" fillId="43" borderId="361" applyNumberFormat="0" applyAlignment="0" applyProtection="0"/>
    <xf numFmtId="4" fontId="35" fillId="33" borderId="364"/>
    <xf numFmtId="4" fontId="35" fillId="0" borderId="364" applyFill="0" applyBorder="0" applyProtection="0">
      <alignment horizontal="right" vertical="center"/>
    </xf>
    <xf numFmtId="0" fontId="66" fillId="0" borderId="362" applyNumberFormat="0" applyFill="0" applyAlignment="0" applyProtection="0"/>
    <xf numFmtId="0" fontId="35" fillId="32" borderId="365">
      <alignment horizontal="left" vertical="center"/>
    </xf>
    <xf numFmtId="0" fontId="35" fillId="0" borderId="367">
      <alignment horizontal="left" vertical="center" wrapText="1" indent="2"/>
    </xf>
    <xf numFmtId="0" fontId="35" fillId="34" borderId="373">
      <alignment horizontal="left" vertical="center" wrapText="1" indent="2"/>
    </xf>
    <xf numFmtId="0" fontId="59" fillId="43" borderId="361" applyNumberFormat="0" applyAlignment="0" applyProtection="0"/>
    <xf numFmtId="0" fontId="33" fillId="32" borderId="370">
      <alignment horizontal="right" vertical="center"/>
    </xf>
    <xf numFmtId="0" fontId="35" fillId="34" borderId="367">
      <alignment horizontal="left" vertical="center" wrapText="1" indent="2"/>
    </xf>
    <xf numFmtId="0" fontId="35" fillId="0" borderId="400">
      <alignment horizontal="left" vertical="center" wrapText="1" indent="2"/>
    </xf>
    <xf numFmtId="0" fontId="1" fillId="0" borderId="0" applyNumberFormat="0" applyFill="0" applyBorder="0" applyAlignment="0" applyProtection="0"/>
    <xf numFmtId="0" fontId="59" fillId="43" borderId="375" applyNumberFormat="0" applyAlignment="0" applyProtection="0"/>
    <xf numFmtId="0" fontId="5" fillId="59" borderId="377" applyNumberFormat="0" applyFont="0" applyAlignment="0" applyProtection="0"/>
    <xf numFmtId="0" fontId="41" fillId="59" borderId="363" applyNumberFormat="0" applyFont="0" applyAlignment="0" applyProtection="0"/>
    <xf numFmtId="0" fontId="59" fillId="43" borderId="361" applyNumberFormat="0" applyAlignment="0" applyProtection="0"/>
    <xf numFmtId="0" fontId="33" fillId="32" borderId="370">
      <alignment horizontal="right" vertical="center"/>
    </xf>
    <xf numFmtId="4" fontId="35" fillId="33" borderId="364"/>
    <xf numFmtId="0" fontId="47" fillId="56" borderId="361" applyNumberFormat="0" applyAlignment="0" applyProtection="0"/>
    <xf numFmtId="0" fontId="59" fillId="43" borderId="361" applyNumberFormat="0" applyAlignment="0" applyProtection="0"/>
    <xf numFmtId="4" fontId="33" fillId="34" borderId="364">
      <alignment horizontal="right" vertical="center"/>
    </xf>
    <xf numFmtId="0" fontId="51" fillId="0" borderId="362" applyNumberFormat="0" applyFill="0" applyAlignment="0" applyProtection="0"/>
    <xf numFmtId="0" fontId="1" fillId="0" borderId="0" applyNumberFormat="0" applyFill="0" applyBorder="0" applyAlignment="0" applyProtection="0"/>
    <xf numFmtId="0" fontId="33" fillId="34" borderId="387">
      <alignment horizontal="right" vertical="center"/>
    </xf>
    <xf numFmtId="4" fontId="35" fillId="0" borderId="386" applyFill="0" applyBorder="0" applyProtection="0">
      <alignment horizontal="right" vertical="center"/>
    </xf>
    <xf numFmtId="0" fontId="66" fillId="0" borderId="384" applyNumberFormat="0" applyFill="0" applyAlignment="0" applyProtection="0"/>
    <xf numFmtId="49" fontId="35" fillId="0" borderId="398" applyNumberFormat="0" applyFont="0" applyFill="0" applyBorder="0" applyProtection="0">
      <alignment horizontal="left" vertical="center" indent="5"/>
    </xf>
    <xf numFmtId="0" fontId="50" fillId="43" borderId="375" applyNumberFormat="0" applyAlignment="0" applyProtection="0"/>
    <xf numFmtId="0" fontId="47" fillId="56" borderId="361" applyNumberFormat="0" applyAlignment="0" applyProtection="0"/>
    <xf numFmtId="0" fontId="66" fillId="0" borderId="376" applyNumberFormat="0" applyFill="0" applyAlignment="0" applyProtection="0"/>
    <xf numFmtId="0" fontId="50" fillId="43" borderId="361" applyNumberFormat="0" applyAlignment="0" applyProtection="0"/>
    <xf numFmtId="0" fontId="46" fillId="56" borderId="375" applyNumberFormat="0" applyAlignment="0" applyProtection="0"/>
    <xf numFmtId="4" fontId="35" fillId="33" borderId="370"/>
    <xf numFmtId="4" fontId="37" fillId="32" borderId="386">
      <alignment horizontal="right" vertical="center"/>
    </xf>
    <xf numFmtId="0" fontId="66" fillId="0" borderId="395" applyNumberFormat="0" applyFill="0" applyAlignment="0" applyProtection="0"/>
    <xf numFmtId="4" fontId="33" fillId="34" borderId="370">
      <alignment horizontal="right" vertical="center"/>
    </xf>
    <xf numFmtId="0" fontId="35" fillId="34" borderId="367">
      <alignment horizontal="left" vertical="center" wrapText="1" indent="2"/>
    </xf>
    <xf numFmtId="4" fontId="35" fillId="0" borderId="397" applyFill="0" applyBorder="0" applyProtection="0">
      <alignment horizontal="right" vertical="center"/>
    </xf>
    <xf numFmtId="0" fontId="63" fillId="56" borderId="368" applyNumberFormat="0" applyAlignment="0" applyProtection="0"/>
    <xf numFmtId="0" fontId="59" fillId="43" borderId="361" applyNumberFormat="0" applyAlignment="0" applyProtection="0"/>
    <xf numFmtId="4" fontId="33" fillId="34" borderId="364">
      <alignment horizontal="right" vertical="center"/>
    </xf>
    <xf numFmtId="0" fontId="35" fillId="33" borderId="364"/>
    <xf numFmtId="4" fontId="35" fillId="33" borderId="378"/>
    <xf numFmtId="0" fontId="35" fillId="32" borderId="371">
      <alignment horizontal="left" vertical="center"/>
    </xf>
    <xf numFmtId="0" fontId="35" fillId="0" borderId="367">
      <alignment horizontal="left" vertical="center" wrapText="1" indent="2"/>
    </xf>
    <xf numFmtId="4" fontId="35" fillId="0" borderId="370">
      <alignment horizontal="right" vertical="center"/>
    </xf>
    <xf numFmtId="0" fontId="12" fillId="25" borderId="0" applyNumberFormat="0" applyBorder="0" applyAlignment="0" applyProtection="0"/>
    <xf numFmtId="0" fontId="35" fillId="34" borderId="381">
      <alignment horizontal="left" vertical="center" wrapText="1" indent="2"/>
    </xf>
    <xf numFmtId="4" fontId="33" fillId="32" borderId="386">
      <alignment horizontal="right" vertical="center"/>
    </xf>
    <xf numFmtId="0" fontId="46" fillId="56" borderId="361" applyNumberFormat="0" applyAlignment="0" applyProtection="0"/>
    <xf numFmtId="0" fontId="33" fillId="34" borderId="370">
      <alignment horizontal="right" vertical="center"/>
    </xf>
    <xf numFmtId="0" fontId="33" fillId="34" borderId="372">
      <alignment horizontal="right" vertical="center"/>
    </xf>
    <xf numFmtId="4" fontId="33" fillId="32" borderId="364">
      <alignment horizontal="right" vertical="center"/>
    </xf>
    <xf numFmtId="0" fontId="63" fillId="56" borderId="393" applyNumberFormat="0" applyAlignment="0" applyProtection="0"/>
    <xf numFmtId="0" fontId="33" fillId="32" borderId="364">
      <alignment horizontal="right" vertical="center"/>
    </xf>
    <xf numFmtId="0" fontId="33" fillId="34" borderId="364">
      <alignment horizontal="right" vertical="center"/>
    </xf>
    <xf numFmtId="0" fontId="37" fillId="32" borderId="370">
      <alignment horizontal="right" vertical="center"/>
    </xf>
    <xf numFmtId="0" fontId="51" fillId="0" borderId="384" applyNumberFormat="0" applyFill="0" applyAlignment="0" applyProtection="0"/>
    <xf numFmtId="0" fontId="66" fillId="0" borderId="376" applyNumberFormat="0" applyFill="0" applyAlignment="0" applyProtection="0"/>
    <xf numFmtId="0" fontId="27" fillId="30" borderId="0" applyNumberFormat="0" applyBorder="0" applyAlignment="0" applyProtection="0"/>
    <xf numFmtId="0" fontId="37" fillId="32" borderId="370">
      <alignment horizontal="right" vertical="center"/>
    </xf>
    <xf numFmtId="0" fontId="63" fillId="56" borderId="368" applyNumberFormat="0" applyAlignment="0" applyProtection="0"/>
    <xf numFmtId="0" fontId="33" fillId="32" borderId="404">
      <alignment horizontal="right" vertical="center"/>
    </xf>
    <xf numFmtId="49" fontId="35" fillId="0" borderId="364" applyNumberFormat="0" applyFont="0" applyFill="0" applyBorder="0" applyProtection="0">
      <alignment horizontal="left" vertical="center" indent="2"/>
    </xf>
    <xf numFmtId="0" fontId="41" fillId="59" borderId="385" applyNumberFormat="0" applyFont="0" applyAlignment="0" applyProtection="0"/>
    <xf numFmtId="0" fontId="41" fillId="59" borderId="363" applyNumberFormat="0" applyFont="0" applyAlignment="0" applyProtection="0"/>
    <xf numFmtId="173" fontId="35" fillId="60" borderId="364" applyNumberFormat="0" applyFont="0" applyBorder="0" applyAlignment="0" applyProtection="0">
      <alignment horizontal="right" vertical="center"/>
    </xf>
    <xf numFmtId="0" fontId="59" fillId="43" borderId="361" applyNumberFormat="0" applyAlignment="0" applyProtection="0"/>
    <xf numFmtId="0" fontId="33" fillId="34" borderId="364">
      <alignment horizontal="right" vertical="center"/>
    </xf>
    <xf numFmtId="0" fontId="35" fillId="33" borderId="364"/>
    <xf numFmtId="0" fontId="63" fillId="56" borderId="368" applyNumberFormat="0" applyAlignment="0" applyProtection="0"/>
    <xf numFmtId="0" fontId="47" fillId="56" borderId="361" applyNumberFormat="0" applyAlignment="0" applyProtection="0"/>
    <xf numFmtId="0" fontId="46" fillId="56" borderId="361" applyNumberFormat="0" applyAlignment="0" applyProtection="0"/>
    <xf numFmtId="0" fontId="50" fillId="43" borderId="361" applyNumberFormat="0" applyAlignment="0" applyProtection="0"/>
    <xf numFmtId="0" fontId="50" fillId="43" borderId="361" applyNumberFormat="0" applyAlignment="0" applyProtection="0"/>
    <xf numFmtId="0" fontId="35" fillId="0" borderId="367">
      <alignment horizontal="left" vertical="center" wrapText="1" indent="2"/>
    </xf>
    <xf numFmtId="4" fontId="33" fillId="34" borderId="365">
      <alignment horizontal="right" vertical="center"/>
    </xf>
    <xf numFmtId="4" fontId="35" fillId="0" borderId="364">
      <alignment horizontal="right" vertical="center"/>
    </xf>
    <xf numFmtId="49" fontId="34" fillId="0" borderId="364" applyNumberFormat="0" applyFill="0" applyBorder="0" applyProtection="0">
      <alignment horizontal="left" vertical="center"/>
    </xf>
    <xf numFmtId="4" fontId="35" fillId="0" borderId="364">
      <alignment horizontal="right" vertical="center"/>
    </xf>
    <xf numFmtId="0" fontId="63" fillId="56" borderId="368" applyNumberFormat="0" applyAlignment="0" applyProtection="0"/>
    <xf numFmtId="0" fontId="47" fillId="56" borderId="375" applyNumberFormat="0" applyAlignment="0" applyProtection="0"/>
    <xf numFmtId="4" fontId="37" fillId="32" borderId="370">
      <alignment horizontal="right" vertical="center"/>
    </xf>
    <xf numFmtId="0" fontId="35" fillId="32" borderId="387">
      <alignment horizontal="left" vertical="center"/>
    </xf>
    <xf numFmtId="4" fontId="35" fillId="33" borderId="370"/>
    <xf numFmtId="0" fontId="33" fillId="34" borderId="370">
      <alignment horizontal="right" vertical="center"/>
    </xf>
    <xf numFmtId="0" fontId="33" fillId="34" borderId="378">
      <alignment horizontal="right" vertical="center"/>
    </xf>
    <xf numFmtId="0" fontId="5" fillId="59" borderId="369" applyNumberFormat="0" applyFont="0" applyAlignment="0" applyProtection="0"/>
    <xf numFmtId="0" fontId="35" fillId="0" borderId="367">
      <alignment horizontal="left" vertical="center" wrapText="1" indent="2"/>
    </xf>
    <xf numFmtId="0" fontId="12" fillId="22" borderId="0" applyNumberFormat="0" applyBorder="0" applyAlignment="0" applyProtection="0"/>
    <xf numFmtId="0" fontId="27" fillId="18" borderId="0" applyNumberFormat="0" applyBorder="0" applyAlignment="0" applyProtection="0"/>
    <xf numFmtId="0" fontId="27" fillId="21" borderId="0" applyNumberFormat="0" applyBorder="0" applyAlignment="0" applyProtection="0"/>
    <xf numFmtId="0" fontId="35" fillId="33" borderId="370"/>
    <xf numFmtId="4" fontId="33" fillId="34" borderId="371">
      <alignment horizontal="right" vertical="center"/>
    </xf>
    <xf numFmtId="0" fontId="33" fillId="34" borderId="398">
      <alignment horizontal="right" vertical="center"/>
    </xf>
    <xf numFmtId="0" fontId="1" fillId="0" borderId="0" applyNumberFormat="0" applyFill="0" applyBorder="0" applyAlignment="0" applyProtection="0"/>
    <xf numFmtId="4" fontId="35" fillId="33" borderId="386"/>
    <xf numFmtId="0" fontId="35" fillId="33" borderId="370"/>
    <xf numFmtId="0" fontId="41" fillId="59" borderId="363" applyNumberFormat="0" applyFont="0" applyAlignment="0" applyProtection="0"/>
    <xf numFmtId="4" fontId="37" fillId="32" borderId="386">
      <alignment horizontal="right" vertical="center"/>
    </xf>
    <xf numFmtId="0" fontId="33" fillId="32" borderId="364">
      <alignment horizontal="right" vertical="center"/>
    </xf>
    <xf numFmtId="0" fontId="12" fillId="19" borderId="0" applyNumberFormat="0" applyBorder="0" applyAlignment="0" applyProtection="0"/>
    <xf numFmtId="49" fontId="35" fillId="0" borderId="371" applyNumberFormat="0" applyFont="0" applyFill="0" applyBorder="0" applyProtection="0">
      <alignment horizontal="left" vertical="center" indent="5"/>
    </xf>
    <xf numFmtId="0" fontId="35" fillId="0" borderId="364" applyNumberFormat="0" applyFill="0" applyAlignment="0" applyProtection="0"/>
    <xf numFmtId="49" fontId="34" fillId="0" borderId="364" applyNumberFormat="0" applyFill="0" applyBorder="0" applyProtection="0">
      <alignment horizontal="left" vertical="center"/>
    </xf>
    <xf numFmtId="0" fontId="35" fillId="0" borderId="364">
      <alignment horizontal="right" vertical="center"/>
    </xf>
    <xf numFmtId="0" fontId="50" fillId="43" borderId="375" applyNumberFormat="0" applyAlignment="0" applyProtection="0"/>
    <xf numFmtId="0" fontId="33" fillId="34" borderId="372">
      <alignment horizontal="right" vertical="center"/>
    </xf>
    <xf numFmtId="0" fontId="35" fillId="0" borderId="370">
      <alignment horizontal="right" vertical="center"/>
    </xf>
    <xf numFmtId="4" fontId="33" fillId="32" borderId="364">
      <alignment horizontal="right" vertical="center"/>
    </xf>
    <xf numFmtId="0" fontId="41" fillId="59" borderId="369" applyNumberFormat="0" applyFont="0" applyAlignment="0" applyProtection="0"/>
    <xf numFmtId="0" fontId="47" fillId="56" borderId="361" applyNumberFormat="0" applyAlignment="0" applyProtection="0"/>
    <xf numFmtId="0" fontId="33" fillId="34" borderId="366">
      <alignment horizontal="right" vertical="center"/>
    </xf>
    <xf numFmtId="4" fontId="33" fillId="32" borderId="364">
      <alignment horizontal="right" vertical="center"/>
    </xf>
    <xf numFmtId="0" fontId="33" fillId="34" borderId="364">
      <alignment horizontal="right" vertical="center"/>
    </xf>
    <xf numFmtId="0" fontId="47" fillId="56" borderId="361" applyNumberFormat="0" applyAlignment="0" applyProtection="0"/>
    <xf numFmtId="4" fontId="33" fillId="34" borderId="371">
      <alignment horizontal="right" vertical="center"/>
    </xf>
    <xf numFmtId="0" fontId="5" fillId="59" borderId="377" applyNumberFormat="0" applyFont="0" applyAlignment="0" applyProtection="0"/>
    <xf numFmtId="0" fontId="29" fillId="13" borderId="14" applyNumberFormat="0" applyAlignment="0" applyProtection="0"/>
    <xf numFmtId="4" fontId="35" fillId="0" borderId="364" applyFill="0" applyBorder="0" applyProtection="0">
      <alignment horizontal="right" vertical="center"/>
    </xf>
    <xf numFmtId="0" fontId="41" fillId="59" borderId="363" applyNumberFormat="0" applyFont="0" applyAlignment="0" applyProtection="0"/>
    <xf numFmtId="0" fontId="35" fillId="0" borderId="370">
      <alignment horizontal="right" vertical="center"/>
    </xf>
    <xf numFmtId="0" fontId="27" fillId="24" borderId="0" applyNumberFormat="0" applyBorder="0" applyAlignment="0" applyProtection="0"/>
    <xf numFmtId="0" fontId="50" fillId="43" borderId="375" applyNumberFormat="0" applyAlignment="0" applyProtection="0"/>
    <xf numFmtId="0" fontId="44" fillId="56" borderId="374" applyNumberFormat="0" applyAlignment="0" applyProtection="0"/>
    <xf numFmtId="0" fontId="46" fillId="56" borderId="415" applyNumberFormat="0" applyAlignment="0" applyProtection="0"/>
    <xf numFmtId="0" fontId="51" fillId="0" borderId="384" applyNumberFormat="0" applyFill="0" applyAlignment="0" applyProtection="0"/>
    <xf numFmtId="0" fontId="33" fillId="32" borderId="364">
      <alignment horizontal="right" vertical="center"/>
    </xf>
    <xf numFmtId="0" fontId="51" fillId="0" borderId="362" applyNumberFormat="0" applyFill="0" applyAlignment="0" applyProtection="0"/>
    <xf numFmtId="0" fontId="35" fillId="0" borderId="364" applyNumberFormat="0" applyFill="0" applyAlignment="0" applyProtection="0"/>
    <xf numFmtId="0" fontId="51" fillId="0" borderId="362" applyNumberFormat="0" applyFill="0" applyAlignment="0" applyProtection="0"/>
    <xf numFmtId="4" fontId="35" fillId="0" borderId="364" applyFill="0" applyBorder="0" applyProtection="0">
      <alignment horizontal="right" vertical="center"/>
    </xf>
    <xf numFmtId="49" fontId="35" fillId="0" borderId="365" applyNumberFormat="0" applyFont="0" applyFill="0" applyBorder="0" applyProtection="0">
      <alignment horizontal="left" vertical="center" indent="5"/>
    </xf>
    <xf numFmtId="0" fontId="35" fillId="0" borderId="364" applyNumberFormat="0" applyFill="0" applyAlignment="0" applyProtection="0"/>
    <xf numFmtId="0" fontId="47" fillId="56" borderId="375" applyNumberFormat="0" applyAlignment="0" applyProtection="0"/>
    <xf numFmtId="0" fontId="35" fillId="0" borderId="364" applyNumberFormat="0" applyFill="0" applyAlignment="0" applyProtection="0"/>
    <xf numFmtId="173" fontId="35" fillId="60" borderId="370" applyNumberFormat="0" applyFont="0" applyBorder="0" applyAlignment="0" applyProtection="0">
      <alignment horizontal="right" vertical="center"/>
    </xf>
    <xf numFmtId="0" fontId="30" fillId="13" borderId="13" applyNumberFormat="0" applyAlignment="0" applyProtection="0"/>
    <xf numFmtId="4" fontId="33" fillId="34" borderId="364">
      <alignment horizontal="right" vertical="center"/>
    </xf>
    <xf numFmtId="0" fontId="27" fillId="30" borderId="0" applyNumberFormat="0" applyBorder="0" applyAlignment="0" applyProtection="0"/>
    <xf numFmtId="0" fontId="47" fillId="56" borderId="375" applyNumberFormat="0" applyAlignment="0" applyProtection="0"/>
    <xf numFmtId="0" fontId="27" fillId="14" borderId="0" applyNumberFormat="0" applyBorder="0" applyAlignment="0" applyProtection="0"/>
    <xf numFmtId="4" fontId="33" fillId="32" borderId="370">
      <alignment horizontal="right" vertical="center"/>
    </xf>
    <xf numFmtId="0" fontId="50" fillId="43" borderId="361" applyNumberFormat="0" applyAlignment="0" applyProtection="0"/>
    <xf numFmtId="0" fontId="47" fillId="56" borderId="361" applyNumberFormat="0" applyAlignment="0" applyProtection="0"/>
    <xf numFmtId="4" fontId="35" fillId="0" borderId="364">
      <alignment horizontal="right" vertical="center"/>
    </xf>
    <xf numFmtId="0" fontId="35" fillId="34" borderId="367">
      <alignment horizontal="left" vertical="center" wrapText="1" indent="2"/>
    </xf>
    <xf numFmtId="0" fontId="35" fillId="0" borderId="367">
      <alignment horizontal="left" vertical="center" wrapText="1" indent="2"/>
    </xf>
    <xf numFmtId="0" fontId="63" fillId="56" borderId="368" applyNumberFormat="0" applyAlignment="0" applyProtection="0"/>
    <xf numFmtId="0" fontId="59" fillId="43" borderId="361" applyNumberFormat="0" applyAlignment="0" applyProtection="0"/>
    <xf numFmtId="0" fontId="46" fillId="56" borderId="361" applyNumberFormat="0" applyAlignment="0" applyProtection="0"/>
    <xf numFmtId="0" fontId="44" fillId="56" borderId="368" applyNumberFormat="0" applyAlignment="0" applyProtection="0"/>
    <xf numFmtId="0" fontId="33" fillId="34" borderId="366">
      <alignment horizontal="right" vertical="center"/>
    </xf>
    <xf numFmtId="0" fontId="37" fillId="32" borderId="364">
      <alignment horizontal="right" vertical="center"/>
    </xf>
    <xf numFmtId="4" fontId="33" fillId="32" borderId="364">
      <alignment horizontal="right" vertical="center"/>
    </xf>
    <xf numFmtId="4" fontId="33" fillId="34" borderId="364">
      <alignment horizontal="right" vertical="center"/>
    </xf>
    <xf numFmtId="49" fontId="35" fillId="0" borderId="365" applyNumberFormat="0" applyFont="0" applyFill="0" applyBorder="0" applyProtection="0">
      <alignment horizontal="left" vertical="center" indent="5"/>
    </xf>
    <xf numFmtId="4" fontId="35" fillId="0" borderId="364" applyFill="0" applyBorder="0" applyProtection="0">
      <alignment horizontal="right" vertical="center"/>
    </xf>
    <xf numFmtId="4" fontId="33" fillId="32" borderId="364">
      <alignment horizontal="right" vertical="center"/>
    </xf>
    <xf numFmtId="0" fontId="59" fillId="43" borderId="361" applyNumberFormat="0" applyAlignment="0" applyProtection="0"/>
    <xf numFmtId="0" fontId="50" fillId="43" borderId="361" applyNumberFormat="0" applyAlignment="0" applyProtection="0"/>
    <xf numFmtId="0" fontId="46" fillId="56" borderId="361" applyNumberFormat="0" applyAlignment="0" applyProtection="0"/>
    <xf numFmtId="0" fontId="35" fillId="34" borderId="367">
      <alignment horizontal="left" vertical="center" wrapText="1" indent="2"/>
    </xf>
    <xf numFmtId="0" fontId="35" fillId="0" borderId="367">
      <alignment horizontal="left" vertical="center" wrapText="1" indent="2"/>
    </xf>
    <xf numFmtId="0" fontId="35" fillId="34" borderId="367">
      <alignment horizontal="left" vertical="center" wrapText="1" indent="2"/>
    </xf>
    <xf numFmtId="4" fontId="33" fillId="34" borderId="371">
      <alignment horizontal="right" vertical="center"/>
    </xf>
    <xf numFmtId="0" fontId="35" fillId="0" borderId="370">
      <alignment horizontal="right" vertical="center"/>
    </xf>
    <xf numFmtId="4" fontId="35" fillId="0" borderId="370">
      <alignment horizontal="right" vertical="center"/>
    </xf>
    <xf numFmtId="0" fontId="63" fillId="56" borderId="408" applyNumberFormat="0" applyAlignment="0" applyProtection="0"/>
    <xf numFmtId="0" fontId="35" fillId="0" borderId="373">
      <alignment horizontal="left" vertical="center" wrapText="1" indent="2"/>
    </xf>
    <xf numFmtId="4" fontId="33" fillId="34" borderId="370">
      <alignment horizontal="right" vertical="center"/>
    </xf>
    <xf numFmtId="0" fontId="33" fillId="34" borderId="371">
      <alignment horizontal="right" vertical="center"/>
    </xf>
    <xf numFmtId="4" fontId="33" fillId="34" borderId="371">
      <alignment horizontal="right" vertical="center"/>
    </xf>
    <xf numFmtId="0" fontId="33" fillId="34" borderId="370">
      <alignment horizontal="right" vertical="center"/>
    </xf>
    <xf numFmtId="4" fontId="33" fillId="32" borderId="370">
      <alignment horizontal="right" vertical="center"/>
    </xf>
    <xf numFmtId="0" fontId="37" fillId="32" borderId="370">
      <alignment horizontal="right" vertical="center"/>
    </xf>
    <xf numFmtId="0" fontId="35" fillId="34" borderId="421">
      <alignment horizontal="left" vertical="center" wrapText="1" indent="2"/>
    </xf>
    <xf numFmtId="0" fontId="35" fillId="0" borderId="378" applyNumberFormat="0" applyFill="0" applyAlignment="0" applyProtection="0"/>
    <xf numFmtId="0" fontId="33" fillId="34" borderId="380">
      <alignment horizontal="right" vertical="center"/>
    </xf>
    <xf numFmtId="4" fontId="37" fillId="32" borderId="378">
      <alignment horizontal="right" vertical="center"/>
    </xf>
    <xf numFmtId="4" fontId="33" fillId="34" borderId="386">
      <alignment horizontal="right" vertical="center"/>
    </xf>
    <xf numFmtId="0" fontId="63" fillId="56" borderId="382" applyNumberFormat="0" applyAlignment="0" applyProtection="0"/>
    <xf numFmtId="49" fontId="35" fillId="0" borderId="386" applyNumberFormat="0" applyFont="0" applyFill="0" applyBorder="0" applyProtection="0">
      <alignment horizontal="left" vertical="center" indent="2"/>
    </xf>
    <xf numFmtId="0" fontId="33" fillId="34" borderId="378">
      <alignment horizontal="right" vertical="center"/>
    </xf>
    <xf numFmtId="0" fontId="47" fillId="56" borderId="391" applyNumberFormat="0" applyAlignment="0" applyProtection="0"/>
    <xf numFmtId="0" fontId="33" fillId="34" borderId="397">
      <alignment horizontal="right" vertical="center"/>
    </xf>
    <xf numFmtId="4" fontId="33" fillId="34" borderId="379">
      <alignment horizontal="right" vertical="center"/>
    </xf>
    <xf numFmtId="0" fontId="27" fillId="20" borderId="0" applyNumberFormat="0" applyBorder="0" applyAlignment="0" applyProtection="0"/>
    <xf numFmtId="49" fontId="34" fillId="0" borderId="386" applyNumberFormat="0" applyFill="0" applyBorder="0" applyProtection="0">
      <alignment horizontal="left" vertical="center"/>
    </xf>
    <xf numFmtId="0" fontId="47" fillId="56" borderId="394" applyNumberFormat="0" applyAlignment="0" applyProtection="0"/>
    <xf numFmtId="0" fontId="37" fillId="32" borderId="386">
      <alignment horizontal="right" vertical="center"/>
    </xf>
    <xf numFmtId="49" fontId="34" fillId="0" borderId="378" applyNumberFormat="0" applyFill="0" applyBorder="0" applyProtection="0">
      <alignment horizontal="left" vertical="center"/>
    </xf>
    <xf numFmtId="0" fontId="33" fillId="34" borderId="388">
      <alignment horizontal="right" vertical="center"/>
    </xf>
    <xf numFmtId="0" fontId="35" fillId="0" borderId="386">
      <alignment horizontal="right" vertical="center"/>
    </xf>
    <xf numFmtId="0" fontId="47" fillId="56" borderId="383" applyNumberFormat="0" applyAlignment="0" applyProtection="0"/>
    <xf numFmtId="0" fontId="35" fillId="0" borderId="389">
      <alignment horizontal="left" vertical="center" wrapText="1" indent="2"/>
    </xf>
    <xf numFmtId="4" fontId="33" fillId="34" borderId="387">
      <alignment horizontal="right" vertical="center"/>
    </xf>
    <xf numFmtId="4" fontId="35" fillId="0" borderId="378" applyFill="0" applyBorder="0" applyProtection="0">
      <alignment horizontal="right" vertical="center"/>
    </xf>
    <xf numFmtId="49" fontId="35" fillId="0" borderId="387" applyNumberFormat="0" applyFont="0" applyFill="0" applyBorder="0" applyProtection="0">
      <alignment horizontal="left" vertical="center" indent="5"/>
    </xf>
    <xf numFmtId="4" fontId="33" fillId="34" borderId="399">
      <alignment horizontal="right" vertical="center"/>
    </xf>
    <xf numFmtId="0" fontId="35" fillId="33" borderId="418"/>
    <xf numFmtId="0" fontId="27" fillId="20" borderId="0" applyNumberFormat="0" applyBorder="0" applyAlignment="0" applyProtection="0"/>
    <xf numFmtId="0" fontId="66" fillId="0" borderId="384" applyNumberFormat="0" applyFill="0" applyAlignment="0" applyProtection="0"/>
    <xf numFmtId="4" fontId="33" fillId="34" borderId="399">
      <alignment horizontal="right" vertical="center"/>
    </xf>
    <xf numFmtId="0" fontId="41" fillId="59" borderId="377" applyNumberFormat="0" applyFont="0" applyAlignment="0" applyProtection="0"/>
    <xf numFmtId="0" fontId="51" fillId="0" borderId="392" applyNumberFormat="0" applyFill="0" applyAlignment="0" applyProtection="0"/>
    <xf numFmtId="0" fontId="31" fillId="0" borderId="0" applyNumberFormat="0" applyFill="0" applyBorder="0" applyAlignment="0" applyProtection="0"/>
    <xf numFmtId="4" fontId="35" fillId="0" borderId="378">
      <alignment horizontal="right" vertical="center"/>
    </xf>
    <xf numFmtId="0" fontId="63" fillId="56" borderId="382" applyNumberFormat="0" applyAlignment="0" applyProtection="0"/>
    <xf numFmtId="0" fontId="35" fillId="34" borderId="381">
      <alignment horizontal="left" vertical="center" wrapText="1" indent="2"/>
    </xf>
    <xf numFmtId="0" fontId="37" fillId="32" borderId="378">
      <alignment horizontal="right" vertical="center"/>
    </xf>
    <xf numFmtId="0" fontId="35" fillId="33" borderId="397"/>
    <xf numFmtId="0" fontId="51" fillId="0" borderId="402" applyNumberFormat="0" applyFill="0" applyAlignment="0" applyProtection="0"/>
    <xf numFmtId="0" fontId="33" fillId="34" borderId="378">
      <alignment horizontal="right" vertical="center"/>
    </xf>
    <xf numFmtId="0" fontId="44" fillId="56" borderId="390" applyNumberFormat="0" applyAlignment="0" applyProtection="0"/>
    <xf numFmtId="0" fontId="41" fillId="59" borderId="369" applyNumberFormat="0" applyFont="0" applyAlignment="0" applyProtection="0"/>
    <xf numFmtId="0" fontId="33" fillId="34" borderId="380">
      <alignment horizontal="right" vertical="center"/>
    </xf>
    <xf numFmtId="0" fontId="31" fillId="0" borderId="0" applyNumberFormat="0" applyFill="0" applyBorder="0" applyAlignment="0" applyProtection="0"/>
    <xf numFmtId="0" fontId="5" fillId="59" borderId="369" applyNumberFormat="0" applyFont="0" applyAlignment="0" applyProtection="0"/>
    <xf numFmtId="173" fontId="35" fillId="60" borderId="378" applyNumberFormat="0" applyFont="0" applyBorder="0" applyAlignment="0" applyProtection="0">
      <alignment horizontal="right" vertical="center"/>
    </xf>
    <xf numFmtId="0" fontId="33" fillId="34" borderId="386">
      <alignment horizontal="right" vertical="center"/>
    </xf>
    <xf numFmtId="0" fontId="44" fillId="56" borderId="382" applyNumberFormat="0" applyAlignment="0" applyProtection="0"/>
    <xf numFmtId="0" fontId="47" fillId="56" borderId="383" applyNumberFormat="0" applyAlignment="0" applyProtection="0"/>
    <xf numFmtId="173" fontId="35" fillId="60" borderId="378" applyNumberFormat="0" applyFont="0" applyBorder="0" applyAlignment="0" applyProtection="0">
      <alignment horizontal="right" vertical="center"/>
    </xf>
    <xf numFmtId="0" fontId="47" fillId="56" borderId="391" applyNumberFormat="0" applyAlignment="0" applyProtection="0"/>
    <xf numFmtId="0" fontId="47" fillId="56" borderId="391" applyNumberFormat="0" applyAlignment="0" applyProtection="0"/>
    <xf numFmtId="0" fontId="27" fillId="27" borderId="0" applyNumberFormat="0" applyBorder="0" applyAlignment="0" applyProtection="0"/>
    <xf numFmtId="0" fontId="59" fillId="43" borderId="375" applyNumberFormat="0" applyAlignment="0" applyProtection="0"/>
    <xf numFmtId="0" fontId="27" fillId="20" borderId="0" applyNumberFormat="0" applyBorder="0" applyAlignment="0" applyProtection="0"/>
    <xf numFmtId="0" fontId="35" fillId="34" borderId="373">
      <alignment horizontal="left" vertical="center" wrapText="1" indent="2"/>
    </xf>
    <xf numFmtId="4" fontId="37" fillId="32" borderId="370">
      <alignment horizontal="right" vertical="center"/>
    </xf>
    <xf numFmtId="0" fontId="41" fillId="59" borderId="385" applyNumberFormat="0" applyFont="0" applyAlignment="0" applyProtection="0"/>
    <xf numFmtId="4" fontId="37" fillId="32" borderId="386">
      <alignment horizontal="right" vertical="center"/>
    </xf>
    <xf numFmtId="4" fontId="35" fillId="33" borderId="418"/>
    <xf numFmtId="0" fontId="27" fillId="21" borderId="0" applyNumberFormat="0" applyBorder="0" applyAlignment="0" applyProtection="0"/>
    <xf numFmtId="0" fontId="66" fillId="0" borderId="392" applyNumberFormat="0" applyFill="0" applyAlignment="0" applyProtection="0"/>
    <xf numFmtId="4" fontId="35" fillId="0" borderId="386">
      <alignment horizontal="right" vertical="center"/>
    </xf>
    <xf numFmtId="0" fontId="2" fillId="0" borderId="15" applyNumberFormat="0" applyFill="0" applyAlignment="0" applyProtection="0"/>
    <xf numFmtId="0" fontId="27" fillId="23" borderId="0" applyNumberFormat="0" applyBorder="0" applyAlignment="0" applyProtection="0"/>
    <xf numFmtId="0" fontId="2" fillId="0" borderId="15" applyNumberFormat="0" applyFill="0" applyAlignment="0" applyProtection="0"/>
    <xf numFmtId="4" fontId="37" fillId="32" borderId="370">
      <alignment horizontal="right" vertical="center"/>
    </xf>
    <xf numFmtId="4" fontId="33" fillId="32" borderId="370">
      <alignment horizontal="right" vertical="center"/>
    </xf>
    <xf numFmtId="0" fontId="35" fillId="0" borderId="373">
      <alignment horizontal="left" vertical="center" wrapText="1" indent="2"/>
    </xf>
    <xf numFmtId="0" fontId="63" fillId="56" borderId="374" applyNumberFormat="0" applyAlignment="0" applyProtection="0"/>
    <xf numFmtId="0" fontId="35" fillId="0" borderId="370">
      <alignment horizontal="right" vertical="center"/>
    </xf>
    <xf numFmtId="0" fontId="66" fillId="0" borderId="376" applyNumberFormat="0" applyFill="0" applyAlignment="0" applyProtection="0"/>
    <xf numFmtId="49" fontId="34" fillId="0" borderId="370" applyNumberFormat="0" applyFill="0" applyBorder="0" applyProtection="0">
      <alignment horizontal="left" vertical="center"/>
    </xf>
    <xf numFmtId="4" fontId="35" fillId="33" borderId="370"/>
    <xf numFmtId="0" fontId="59" fillId="43" borderId="375" applyNumberFormat="0" applyAlignment="0" applyProtection="0"/>
    <xf numFmtId="4" fontId="35" fillId="33" borderId="386"/>
    <xf numFmtId="0" fontId="47" fillId="56" borderId="394" applyNumberFormat="0" applyAlignment="0" applyProtection="0"/>
    <xf numFmtId="173" fontId="35" fillId="60" borderId="370" applyNumberFormat="0" applyFont="0" applyBorder="0" applyAlignment="0" applyProtection="0">
      <alignment horizontal="right" vertical="center"/>
    </xf>
    <xf numFmtId="0" fontId="35" fillId="34" borderId="381">
      <alignment horizontal="left" vertical="center" wrapText="1" indent="2"/>
    </xf>
    <xf numFmtId="0" fontId="47" fillId="56" borderId="375" applyNumberFormat="0" applyAlignment="0" applyProtection="0"/>
    <xf numFmtId="0" fontId="35" fillId="0" borderId="381">
      <alignment horizontal="left" vertical="center" wrapText="1" indent="2"/>
    </xf>
    <xf numFmtId="4" fontId="33" fillId="32" borderId="378">
      <alignment horizontal="right" vertical="center"/>
    </xf>
    <xf numFmtId="49" fontId="35" fillId="0" borderId="386" applyNumberFormat="0" applyFont="0" applyFill="0" applyBorder="0" applyProtection="0">
      <alignment horizontal="left" vertical="center" indent="2"/>
    </xf>
    <xf numFmtId="0" fontId="51" fillId="0" borderId="392" applyNumberFormat="0" applyFill="0" applyAlignment="0" applyProtection="0"/>
    <xf numFmtId="0" fontId="59" fillId="43" borderId="375" applyNumberFormat="0" applyAlignment="0" applyProtection="0"/>
    <xf numFmtId="0" fontId="44" fillId="56" borderId="374" applyNumberFormat="0" applyAlignment="0" applyProtection="0"/>
    <xf numFmtId="0" fontId="12" fillId="28" borderId="0" applyNumberFormat="0" applyBorder="0" applyAlignment="0" applyProtection="0"/>
    <xf numFmtId="49" fontId="34" fillId="0" borderId="370" applyNumberFormat="0" applyFill="0" applyBorder="0" applyProtection="0">
      <alignment horizontal="left" vertical="center"/>
    </xf>
    <xf numFmtId="0" fontId="66" fillId="0" borderId="376" applyNumberFormat="0" applyFill="0" applyAlignment="0" applyProtection="0"/>
    <xf numFmtId="0" fontId="35" fillId="0" borderId="370">
      <alignment horizontal="right" vertical="center"/>
    </xf>
    <xf numFmtId="0" fontId="33" fillId="34" borderId="371">
      <alignment horizontal="right" vertical="center"/>
    </xf>
    <xf numFmtId="0" fontId="66" fillId="0" borderId="376" applyNumberFormat="0" applyFill="0" applyAlignment="0" applyProtection="0"/>
    <xf numFmtId="0" fontId="63" fillId="56" borderId="390" applyNumberFormat="0" applyAlignment="0" applyProtection="0"/>
    <xf numFmtId="4" fontId="35" fillId="0" borderId="397">
      <alignment horizontal="right" vertical="center"/>
    </xf>
    <xf numFmtId="4" fontId="33" fillId="32" borderId="378">
      <alignment horizontal="right" vertical="center"/>
    </xf>
    <xf numFmtId="4" fontId="35" fillId="0" borderId="386">
      <alignment horizontal="right" vertical="center"/>
    </xf>
    <xf numFmtId="0" fontId="30" fillId="13" borderId="13" applyNumberFormat="0" applyAlignment="0" applyProtection="0"/>
    <xf numFmtId="4" fontId="35" fillId="0" borderId="378" applyFill="0" applyBorder="0" applyProtection="0">
      <alignment horizontal="right" vertical="center"/>
    </xf>
    <xf numFmtId="0" fontId="27" fillId="15" borderId="0" applyNumberFormat="0" applyBorder="0" applyAlignment="0" applyProtection="0"/>
    <xf numFmtId="4" fontId="35" fillId="0" borderId="370" applyFill="0" applyBorder="0" applyProtection="0">
      <alignment horizontal="right" vertical="center"/>
    </xf>
    <xf numFmtId="0" fontId="37" fillId="32" borderId="386">
      <alignment horizontal="right" vertical="center"/>
    </xf>
    <xf numFmtId="0" fontId="66" fillId="0" borderId="384" applyNumberFormat="0" applyFill="0" applyAlignment="0" applyProtection="0"/>
    <xf numFmtId="0" fontId="35" fillId="0" borderId="378" applyNumberFormat="0" applyFill="0" applyAlignment="0" applyProtection="0"/>
    <xf numFmtId="4" fontId="33" fillId="34" borderId="418">
      <alignment horizontal="right" vertical="center"/>
    </xf>
    <xf numFmtId="0" fontId="1" fillId="0" borderId="0" applyNumberFormat="0" applyFill="0" applyBorder="0" applyAlignment="0" applyProtection="0"/>
    <xf numFmtId="0" fontId="41" fillId="59" borderId="377" applyNumberFormat="0" applyFont="0" applyAlignment="0" applyProtection="0"/>
    <xf numFmtId="0" fontId="35" fillId="0" borderId="373">
      <alignment horizontal="left" vertical="center" wrapText="1" indent="2"/>
    </xf>
    <xf numFmtId="4" fontId="35" fillId="0" borderId="378">
      <alignment horizontal="right" vertical="center"/>
    </xf>
    <xf numFmtId="0" fontId="66" fillId="0" borderId="376" applyNumberFormat="0" applyFill="0" applyAlignment="0" applyProtection="0"/>
    <xf numFmtId="0" fontId="44" fillId="56" borderId="374" applyNumberFormat="0" applyAlignment="0" applyProtection="0"/>
    <xf numFmtId="0" fontId="33" fillId="34" borderId="370">
      <alignment horizontal="right" vertical="center"/>
    </xf>
    <xf numFmtId="0" fontId="46" fillId="56" borderId="375" applyNumberFormat="0" applyAlignment="0" applyProtection="0"/>
    <xf numFmtId="0" fontId="66" fillId="0" borderId="384" applyNumberFormat="0" applyFill="0" applyAlignment="0" applyProtection="0"/>
    <xf numFmtId="4" fontId="33" fillId="34" borderId="380">
      <alignment horizontal="right" vertical="center"/>
    </xf>
    <xf numFmtId="0" fontId="35" fillId="32" borderId="371">
      <alignment horizontal="left" vertical="center"/>
    </xf>
    <xf numFmtId="0" fontId="5" fillId="59" borderId="377" applyNumberFormat="0" applyFont="0" applyAlignment="0" applyProtection="0"/>
    <xf numFmtId="4" fontId="37" fillId="32" borderId="386">
      <alignment horizontal="right" vertical="center"/>
    </xf>
    <xf numFmtId="0" fontId="33" fillId="34" borderId="378">
      <alignment horizontal="right" vertical="center"/>
    </xf>
    <xf numFmtId="0" fontId="33" fillId="34" borderId="380">
      <alignment horizontal="right" vertical="center"/>
    </xf>
    <xf numFmtId="0" fontId="47" fillId="56" borderId="383" applyNumberFormat="0" applyAlignment="0" applyProtection="0"/>
    <xf numFmtId="0" fontId="33" fillId="32" borderId="370">
      <alignment horizontal="right" vertical="center"/>
    </xf>
    <xf numFmtId="0" fontId="35" fillId="34" borderId="413">
      <alignment horizontal="left" vertical="center" wrapText="1" indent="2"/>
    </xf>
    <xf numFmtId="4" fontId="37" fillId="32" borderId="404">
      <alignment horizontal="right" vertical="center"/>
    </xf>
    <xf numFmtId="0" fontId="51" fillId="0" borderId="376" applyNumberFormat="0" applyFill="0" applyAlignment="0" applyProtection="0"/>
    <xf numFmtId="0" fontId="46" fillId="56" borderId="394" applyNumberFormat="0" applyAlignment="0" applyProtection="0"/>
    <xf numFmtId="0" fontId="35" fillId="0" borderId="370">
      <alignment horizontal="right" vertical="center"/>
    </xf>
    <xf numFmtId="0" fontId="5" fillId="59" borderId="369" applyNumberFormat="0" applyFont="0" applyAlignment="0" applyProtection="0"/>
    <xf numFmtId="0" fontId="47" fillId="56" borderId="383" applyNumberFormat="0" applyAlignment="0" applyProtection="0"/>
    <xf numFmtId="173" fontId="35" fillId="60" borderId="386" applyNumberFormat="0" applyFont="0" applyBorder="0" applyAlignment="0" applyProtection="0">
      <alignment horizontal="right" vertical="center"/>
    </xf>
    <xf numFmtId="4" fontId="35" fillId="33" borderId="418"/>
    <xf numFmtId="0" fontId="12" fillId="31" borderId="0" applyNumberFormat="0" applyBorder="0" applyAlignment="0" applyProtection="0"/>
    <xf numFmtId="0" fontId="33" fillId="34" borderId="378">
      <alignment horizontal="right" vertical="center"/>
    </xf>
    <xf numFmtId="0" fontId="59" fillId="43" borderId="375" applyNumberFormat="0" applyAlignment="0" applyProtection="0"/>
    <xf numFmtId="0" fontId="12" fillId="16" borderId="0" applyNumberFormat="0" applyBorder="0" applyAlignment="0" applyProtection="0"/>
    <xf numFmtId="49" fontId="35" fillId="0" borderId="371" applyNumberFormat="0" applyFont="0" applyFill="0" applyBorder="0" applyProtection="0">
      <alignment horizontal="left" vertical="center" indent="5"/>
    </xf>
    <xf numFmtId="0" fontId="33" fillId="34" borderId="386">
      <alignment horizontal="right" vertical="center"/>
    </xf>
    <xf numFmtId="0" fontId="35" fillId="0" borderId="370" applyNumberFormat="0" applyFill="0" applyAlignment="0" applyProtection="0"/>
    <xf numFmtId="0" fontId="51" fillId="0" borderId="376" applyNumberFormat="0" applyFill="0" applyAlignment="0" applyProtection="0"/>
    <xf numFmtId="0" fontId="63" fillId="56" borderId="374" applyNumberFormat="0" applyAlignment="0" applyProtection="0"/>
    <xf numFmtId="4" fontId="33" fillId="34" borderId="370">
      <alignment horizontal="right" vertical="center"/>
    </xf>
    <xf numFmtId="4" fontId="35" fillId="33" borderId="370"/>
    <xf numFmtId="0" fontId="66" fillId="0" borderId="376" applyNumberFormat="0" applyFill="0" applyAlignment="0" applyProtection="0"/>
    <xf numFmtId="0" fontId="51" fillId="0" borderId="384" applyNumberFormat="0" applyFill="0" applyAlignment="0" applyProtection="0"/>
    <xf numFmtId="0" fontId="44" fillId="56" borderId="374" applyNumberFormat="0" applyAlignment="0" applyProtection="0"/>
    <xf numFmtId="0" fontId="46" fillId="56" borderId="375" applyNumberFormat="0" applyAlignment="0" applyProtection="0"/>
    <xf numFmtId="0" fontId="47" fillId="56" borderId="375" applyNumberFormat="0" applyAlignment="0" applyProtection="0"/>
    <xf numFmtId="0" fontId="63" fillId="56" borderId="374" applyNumberFormat="0" applyAlignment="0" applyProtection="0"/>
    <xf numFmtId="0" fontId="33" fillId="34" borderId="372">
      <alignment horizontal="right" vertical="center"/>
    </xf>
    <xf numFmtId="0" fontId="35" fillId="0" borderId="370" applyNumberFormat="0" applyFill="0" applyAlignment="0" applyProtection="0"/>
    <xf numFmtId="49" fontId="35" fillId="0" borderId="371" applyNumberFormat="0" applyFont="0" applyFill="0" applyBorder="0" applyProtection="0">
      <alignment horizontal="left" vertical="center" indent="5"/>
    </xf>
    <xf numFmtId="0" fontId="66" fillId="0" borderId="376" applyNumberFormat="0" applyFill="0" applyAlignment="0" applyProtection="0"/>
    <xf numFmtId="0" fontId="35" fillId="0" borderId="370" applyNumberFormat="0" applyFill="0" applyAlignment="0" applyProtection="0"/>
    <xf numFmtId="0" fontId="66" fillId="0" borderId="392" applyNumberFormat="0" applyFill="0" applyAlignment="0" applyProtection="0"/>
    <xf numFmtId="0" fontId="27" fillId="27" borderId="0" applyNumberFormat="0" applyBorder="0" applyAlignment="0" applyProtection="0"/>
    <xf numFmtId="173" fontId="35" fillId="60" borderId="378" applyNumberFormat="0" applyFont="0" applyBorder="0" applyAlignment="0" applyProtection="0">
      <alignment horizontal="right" vertical="center"/>
    </xf>
    <xf numFmtId="4" fontId="33" fillId="34" borderId="420">
      <alignment horizontal="right" vertical="center"/>
    </xf>
    <xf numFmtId="0" fontId="27" fillId="24" borderId="0" applyNumberFormat="0" applyBorder="0" applyAlignment="0" applyProtection="0"/>
    <xf numFmtId="49" fontId="34" fillId="0" borderId="378" applyNumberFormat="0" applyFill="0" applyBorder="0" applyProtection="0">
      <alignment horizontal="left" vertical="center"/>
    </xf>
    <xf numFmtId="4" fontId="35" fillId="0" borderId="386">
      <alignment horizontal="right" vertical="center"/>
    </xf>
    <xf numFmtId="0" fontId="41" fillId="59" borderId="369" applyNumberFormat="0" applyFont="0" applyAlignment="0" applyProtection="0"/>
    <xf numFmtId="0" fontId="35" fillId="0" borderId="410">
      <alignment horizontal="right" vertical="center"/>
    </xf>
    <xf numFmtId="0" fontId="33" fillId="34" borderId="378">
      <alignment horizontal="right" vertical="center"/>
    </xf>
    <xf numFmtId="0" fontId="44" fillId="56" borderId="382" applyNumberFormat="0" applyAlignment="0" applyProtection="0"/>
    <xf numFmtId="0" fontId="33" fillId="34" borderId="397">
      <alignment horizontal="right" vertical="center"/>
    </xf>
    <xf numFmtId="4" fontId="35" fillId="0" borderId="378" applyFill="0" applyBorder="0" applyProtection="0">
      <alignment horizontal="right" vertical="center"/>
    </xf>
    <xf numFmtId="4" fontId="35" fillId="33" borderId="386"/>
    <xf numFmtId="4" fontId="37" fillId="32" borderId="378">
      <alignment horizontal="right" vertical="center"/>
    </xf>
    <xf numFmtId="0" fontId="27" fillId="29" borderId="0" applyNumberFormat="0" applyBorder="0" applyAlignment="0" applyProtection="0"/>
    <xf numFmtId="0" fontId="33" fillId="34" borderId="397">
      <alignment horizontal="right" vertical="center"/>
    </xf>
    <xf numFmtId="0" fontId="35" fillId="0" borderId="418" applyNumberFormat="0" applyFill="0" applyAlignment="0" applyProtection="0"/>
    <xf numFmtId="0" fontId="35" fillId="0" borderId="373">
      <alignment horizontal="left" vertical="center" wrapText="1" indent="2"/>
    </xf>
    <xf numFmtId="0" fontId="30" fillId="13" borderId="13" applyNumberFormat="0" applyAlignment="0" applyProtection="0"/>
    <xf numFmtId="4" fontId="33" fillId="32" borderId="370">
      <alignment horizontal="right" vertical="center"/>
    </xf>
    <xf numFmtId="0" fontId="33" fillId="34" borderId="388">
      <alignment horizontal="right" vertical="center"/>
    </xf>
    <xf numFmtId="0" fontId="66" fillId="0" borderId="392" applyNumberFormat="0" applyFill="0" applyAlignment="0" applyProtection="0"/>
    <xf numFmtId="0" fontId="63" fillId="56" borderId="374" applyNumberFormat="0" applyAlignment="0" applyProtection="0"/>
    <xf numFmtId="49" fontId="35" fillId="0" borderId="371" applyNumberFormat="0" applyFont="0" applyFill="0" applyBorder="0" applyProtection="0">
      <alignment horizontal="left" vertical="center" indent="5"/>
    </xf>
    <xf numFmtId="4" fontId="35" fillId="0" borderId="370">
      <alignment horizontal="right" vertical="center"/>
    </xf>
    <xf numFmtId="0" fontId="35" fillId="0" borderId="378">
      <alignment horizontal="right" vertical="center"/>
    </xf>
    <xf numFmtId="4" fontId="37" fillId="32" borderId="378">
      <alignment horizontal="right" vertical="center"/>
    </xf>
    <xf numFmtId="0" fontId="63" fillId="56" borderId="382" applyNumberFormat="0" applyAlignment="0" applyProtection="0"/>
    <xf numFmtId="0" fontId="27" fillId="29" borderId="0" applyNumberFormat="0" applyBorder="0" applyAlignment="0" applyProtection="0"/>
    <xf numFmtId="0" fontId="51" fillId="0" borderId="376" applyNumberFormat="0" applyFill="0" applyAlignment="0" applyProtection="0"/>
    <xf numFmtId="4" fontId="33" fillId="34" borderId="372">
      <alignment horizontal="right" vertical="center"/>
    </xf>
    <xf numFmtId="4" fontId="33" fillId="34" borderId="370">
      <alignment horizontal="right" vertical="center"/>
    </xf>
    <xf numFmtId="4" fontId="33" fillId="34" borderId="370">
      <alignment horizontal="right" vertical="center"/>
    </xf>
    <xf numFmtId="0" fontId="66" fillId="0" borderId="376" applyNumberFormat="0" applyFill="0" applyAlignment="0" applyProtection="0"/>
    <xf numFmtId="0" fontId="47" fillId="56" borderId="375" applyNumberFormat="0" applyAlignment="0" applyProtection="0"/>
    <xf numFmtId="4" fontId="33" fillId="34" borderId="387">
      <alignment horizontal="right" vertical="center"/>
    </xf>
    <xf numFmtId="0" fontId="30" fillId="13" borderId="13" applyNumberFormat="0" applyAlignment="0" applyProtection="0"/>
    <xf numFmtId="49" fontId="34" fillId="0" borderId="370" applyNumberFormat="0" applyFill="0" applyBorder="0" applyProtection="0">
      <alignment horizontal="left" vertical="center"/>
    </xf>
    <xf numFmtId="0" fontId="5" fillId="59" borderId="369" applyNumberFormat="0" applyFont="0" applyAlignment="0" applyProtection="0"/>
    <xf numFmtId="0" fontId="27" fillId="23" borderId="0" applyNumberFormat="0" applyBorder="0" applyAlignment="0" applyProtection="0"/>
    <xf numFmtId="4" fontId="33" fillId="34" borderId="370">
      <alignment horizontal="right" vertical="center"/>
    </xf>
    <xf numFmtId="0" fontId="27" fillId="26" borderId="0" applyNumberFormat="0" applyBorder="0" applyAlignment="0" applyProtection="0"/>
    <xf numFmtId="0" fontId="33" fillId="34" borderId="378">
      <alignment horizontal="right" vertical="center"/>
    </xf>
    <xf numFmtId="49" fontId="34" fillId="0" borderId="410" applyNumberFormat="0" applyFill="0" applyBorder="0" applyProtection="0">
      <alignment horizontal="left" vertical="center"/>
    </xf>
    <xf numFmtId="0" fontId="35" fillId="0" borderId="381">
      <alignment horizontal="left" vertical="center" wrapText="1" indent="2"/>
    </xf>
    <xf numFmtId="49" fontId="35" fillId="0" borderId="378" applyNumberFormat="0" applyFont="0" applyFill="0" applyBorder="0" applyProtection="0">
      <alignment horizontal="left" vertical="center" indent="2"/>
    </xf>
    <xf numFmtId="49" fontId="35" fillId="0" borderId="370" applyNumberFormat="0" applyFont="0" applyFill="0" applyBorder="0" applyProtection="0">
      <alignment horizontal="left" vertical="center" indent="2"/>
    </xf>
    <xf numFmtId="0" fontId="66" fillId="0" borderId="376" applyNumberFormat="0" applyFill="0" applyAlignment="0" applyProtection="0"/>
    <xf numFmtId="4" fontId="35" fillId="0" borderId="370" applyFill="0" applyBorder="0" applyProtection="0">
      <alignment horizontal="right" vertical="center"/>
    </xf>
    <xf numFmtId="0" fontId="59" fillId="43" borderId="375" applyNumberFormat="0" applyAlignment="0" applyProtection="0"/>
    <xf numFmtId="49" fontId="34" fillId="0" borderId="370" applyNumberFormat="0" applyFill="0" applyBorder="0" applyProtection="0">
      <alignment horizontal="left" vertical="center"/>
    </xf>
    <xf numFmtId="49" fontId="35" fillId="0" borderId="370" applyNumberFormat="0" applyFont="0" applyFill="0" applyBorder="0" applyProtection="0">
      <alignment horizontal="left" vertical="center" indent="2"/>
    </xf>
    <xf numFmtId="4" fontId="35" fillId="0" borderId="370" applyFill="0" applyBorder="0" applyProtection="0">
      <alignment horizontal="right" vertical="center"/>
    </xf>
    <xf numFmtId="0" fontId="33" fillId="34" borderId="399">
      <alignment horizontal="right" vertical="center"/>
    </xf>
    <xf numFmtId="173" fontId="35" fillId="60" borderId="370" applyNumberFormat="0" applyFont="0" applyBorder="0" applyAlignment="0" applyProtection="0">
      <alignment horizontal="right" vertical="center"/>
    </xf>
    <xf numFmtId="0" fontId="33" fillId="34" borderId="386">
      <alignment horizontal="right" vertical="center"/>
    </xf>
    <xf numFmtId="0" fontId="27" fillId="29" borderId="0" applyNumberFormat="0" applyBorder="0" applyAlignment="0" applyProtection="0"/>
    <xf numFmtId="0" fontId="35" fillId="32" borderId="379">
      <alignment horizontal="left" vertical="center"/>
    </xf>
    <xf numFmtId="0" fontId="37" fillId="32" borderId="370">
      <alignment horizontal="right" vertical="center"/>
    </xf>
    <xf numFmtId="0" fontId="50" fillId="43" borderId="391" applyNumberFormat="0" applyAlignment="0" applyProtection="0"/>
    <xf numFmtId="0" fontId="37" fillId="32" borderId="378">
      <alignment horizontal="right" vertical="center"/>
    </xf>
    <xf numFmtId="0" fontId="63" fillId="56" borderId="382" applyNumberFormat="0" applyAlignment="0" applyProtection="0"/>
    <xf numFmtId="0" fontId="66" fillId="0" borderId="384" applyNumberFormat="0" applyFill="0" applyAlignment="0" applyProtection="0"/>
    <xf numFmtId="0" fontId="50" fillId="43" borderId="375" applyNumberFormat="0" applyAlignment="0" applyProtection="0"/>
    <xf numFmtId="4" fontId="33" fillId="34" borderId="370">
      <alignment horizontal="right" vertical="center"/>
    </xf>
    <xf numFmtId="0" fontId="35" fillId="32" borderId="371">
      <alignment horizontal="left" vertical="center"/>
    </xf>
    <xf numFmtId="0" fontId="47" fillId="56" borderId="383" applyNumberFormat="0" applyAlignment="0" applyProtection="0"/>
    <xf numFmtId="4" fontId="33" fillId="34" borderId="378">
      <alignment horizontal="right" vertical="center"/>
    </xf>
    <xf numFmtId="0" fontId="47" fillId="56" borderId="415" applyNumberFormat="0" applyAlignment="0" applyProtection="0"/>
    <xf numFmtId="4" fontId="35" fillId="33" borderId="404"/>
    <xf numFmtId="0" fontId="66" fillId="0" borderId="384" applyNumberFormat="0" applyFill="0" applyAlignment="0" applyProtection="0"/>
    <xf numFmtId="4" fontId="37" fillId="32" borderId="386">
      <alignment horizontal="right" vertical="center"/>
    </xf>
    <xf numFmtId="0" fontId="33" fillId="34" borderId="378">
      <alignment horizontal="right" vertical="center"/>
    </xf>
    <xf numFmtId="0" fontId="35" fillId="33" borderId="378"/>
    <xf numFmtId="0" fontId="27" fillId="17" borderId="0" applyNumberFormat="0" applyBorder="0" applyAlignment="0" applyProtection="0"/>
    <xf numFmtId="0" fontId="51" fillId="0" borderId="384" applyNumberFormat="0" applyFill="0" applyAlignment="0" applyProtection="0"/>
    <xf numFmtId="0" fontId="12" fillId="28" borderId="0" applyNumberFormat="0" applyBorder="0" applyAlignment="0" applyProtection="0"/>
    <xf numFmtId="0" fontId="63" fillId="56" borderId="382" applyNumberFormat="0" applyAlignment="0" applyProtection="0"/>
    <xf numFmtId="0" fontId="33" fillId="34" borderId="370">
      <alignment horizontal="right" vertical="center"/>
    </xf>
    <xf numFmtId="0" fontId="35" fillId="34" borderId="373">
      <alignment horizontal="left" vertical="center" wrapText="1" indent="2"/>
    </xf>
    <xf numFmtId="173" fontId="35" fillId="60" borderId="370" applyNumberFormat="0" applyFont="0" applyBorder="0" applyAlignment="0" applyProtection="0">
      <alignment horizontal="right" vertical="center"/>
    </xf>
    <xf numFmtId="0" fontId="41" fillId="59" borderId="369" applyNumberFormat="0" applyFont="0" applyAlignment="0" applyProtection="0"/>
    <xf numFmtId="49" fontId="35" fillId="0" borderId="370" applyNumberFormat="0" applyFont="0" applyFill="0" applyBorder="0" applyProtection="0">
      <alignment horizontal="left" vertical="center" indent="2"/>
    </xf>
    <xf numFmtId="0" fontId="44" fillId="56" borderId="382" applyNumberFormat="0" applyAlignment="0" applyProtection="0"/>
    <xf numFmtId="0" fontId="66" fillId="0" borderId="384" applyNumberFormat="0" applyFill="0" applyAlignment="0" applyProtection="0"/>
    <xf numFmtId="0" fontId="27" fillId="26" borderId="0" applyNumberFormat="0" applyBorder="0" applyAlignment="0" applyProtection="0"/>
    <xf numFmtId="0" fontId="27" fillId="14" borderId="0" applyNumberFormat="0" applyBorder="0" applyAlignment="0" applyProtection="0"/>
    <xf numFmtId="49" fontId="34" fillId="0" borderId="370" applyNumberFormat="0" applyFill="0" applyBorder="0" applyProtection="0">
      <alignment horizontal="left" vertical="center"/>
    </xf>
    <xf numFmtId="0" fontId="46" fillId="56" borderId="391" applyNumberFormat="0" applyAlignment="0" applyProtection="0"/>
    <xf numFmtId="173" fontId="35" fillId="60" borderId="370" applyNumberFormat="0" applyFont="0" applyBorder="0" applyAlignment="0" applyProtection="0">
      <alignment horizontal="right" vertical="center"/>
    </xf>
    <xf numFmtId="0" fontId="63" fillId="56" borderId="374" applyNumberFormat="0" applyAlignment="0" applyProtection="0"/>
    <xf numFmtId="0" fontId="35" fillId="0" borderId="370">
      <alignment horizontal="right" vertical="center"/>
    </xf>
    <xf numFmtId="0" fontId="59" fillId="43" borderId="383" applyNumberFormat="0" applyAlignment="0" applyProtection="0"/>
    <xf numFmtId="0" fontId="35" fillId="33" borderId="370"/>
    <xf numFmtId="4" fontId="33" fillId="34" borderId="370">
      <alignment horizontal="right" vertical="center"/>
    </xf>
    <xf numFmtId="0" fontId="35" fillId="33" borderId="370"/>
    <xf numFmtId="0" fontId="59" fillId="43" borderId="375" applyNumberFormat="0" applyAlignment="0" applyProtection="0"/>
    <xf numFmtId="0" fontId="27" fillId="24" borderId="0" applyNumberFormat="0" applyBorder="0" applyAlignment="0" applyProtection="0"/>
    <xf numFmtId="0" fontId="37" fillId="32" borderId="370">
      <alignment horizontal="right" vertical="center"/>
    </xf>
    <xf numFmtId="0" fontId="35" fillId="0" borderId="373">
      <alignment horizontal="left" vertical="center" wrapText="1" indent="2"/>
    </xf>
    <xf numFmtId="0" fontId="33" fillId="32" borderId="370">
      <alignment horizontal="right" vertical="center"/>
    </xf>
    <xf numFmtId="0" fontId="50" fillId="43" borderId="375" applyNumberFormat="0" applyAlignment="0" applyProtection="0"/>
    <xf numFmtId="0" fontId="35" fillId="34" borderId="373">
      <alignment horizontal="left" vertical="center" wrapText="1" indent="2"/>
    </xf>
    <xf numFmtId="0" fontId="41" fillId="59" borderId="377" applyNumberFormat="0" applyFont="0" applyAlignment="0" applyProtection="0"/>
    <xf numFmtId="0" fontId="37" fillId="32" borderId="378">
      <alignment horizontal="right" vertical="center"/>
    </xf>
    <xf numFmtId="0" fontId="37" fillId="32" borderId="378">
      <alignment horizontal="right" vertical="center"/>
    </xf>
    <xf numFmtId="4" fontId="33" fillId="34" borderId="380">
      <alignment horizontal="right" vertical="center"/>
    </xf>
    <xf numFmtId="0" fontId="27" fillId="24" borderId="0" applyNumberFormat="0" applyBorder="0" applyAlignment="0" applyProtection="0"/>
    <xf numFmtId="4" fontId="33" fillId="34" borderId="379">
      <alignment horizontal="right" vertical="center"/>
    </xf>
    <xf numFmtId="0" fontId="33" fillId="34" borderId="378">
      <alignment horizontal="right" vertical="center"/>
    </xf>
    <xf numFmtId="0" fontId="12" fillId="28" borderId="0" applyNumberFormat="0" applyBorder="0" applyAlignment="0" applyProtection="0"/>
    <xf numFmtId="0" fontId="33" fillId="34" borderId="378">
      <alignment horizontal="right" vertical="center"/>
    </xf>
    <xf numFmtId="0" fontId="46" fillId="56" borderId="375" applyNumberFormat="0" applyAlignment="0" applyProtection="0"/>
    <xf numFmtId="0" fontId="37" fillId="32" borderId="370">
      <alignment horizontal="right" vertical="center"/>
    </xf>
    <xf numFmtId="0" fontId="33" fillId="32" borderId="378">
      <alignment horizontal="right" vertical="center"/>
    </xf>
    <xf numFmtId="0" fontId="33" fillId="32" borderId="386">
      <alignment horizontal="right" vertical="center"/>
    </xf>
    <xf numFmtId="4" fontId="37" fillId="32" borderId="404">
      <alignment horizontal="right" vertical="center"/>
    </xf>
    <xf numFmtId="0" fontId="1" fillId="0" borderId="0" applyNumberFormat="0" applyFill="0" applyBorder="0" applyAlignment="0" applyProtection="0"/>
    <xf numFmtId="0" fontId="27" fillId="20" borderId="0" applyNumberFormat="0" applyBorder="0" applyAlignment="0" applyProtection="0"/>
    <xf numFmtId="0" fontId="35" fillId="34" borderId="381">
      <alignment horizontal="left" vertical="center" wrapText="1" indent="2"/>
    </xf>
    <xf numFmtId="0" fontId="46" fillId="56" borderId="415" applyNumberFormat="0" applyAlignment="0" applyProtection="0"/>
    <xf numFmtId="0" fontId="31" fillId="0" borderId="0" applyNumberFormat="0" applyFill="0" applyBorder="0" applyAlignment="0" applyProtection="0"/>
    <xf numFmtId="49" fontId="35" fillId="0" borderId="378" applyNumberFormat="0" applyFont="0" applyFill="0" applyBorder="0" applyProtection="0">
      <alignment horizontal="left" vertical="center" indent="2"/>
    </xf>
    <xf numFmtId="49" fontId="34" fillId="0" borderId="404" applyNumberFormat="0" applyFill="0" applyBorder="0" applyProtection="0">
      <alignment horizontal="left" vertical="center"/>
    </xf>
    <xf numFmtId="0" fontId="33" fillId="34" borderId="370">
      <alignment horizontal="right" vertical="center"/>
    </xf>
    <xf numFmtId="4" fontId="35" fillId="0" borderId="370" applyFill="0" applyBorder="0" applyProtection="0">
      <alignment horizontal="right" vertical="center"/>
    </xf>
    <xf numFmtId="0" fontId="35" fillId="34" borderId="373">
      <alignment horizontal="left" vertical="center" wrapText="1" indent="2"/>
    </xf>
    <xf numFmtId="0" fontId="41" fillId="59" borderId="369" applyNumberFormat="0" applyFont="0" applyAlignment="0" applyProtection="0"/>
    <xf numFmtId="0" fontId="50" fillId="43" borderId="375" applyNumberFormat="0" applyAlignment="0" applyProtection="0"/>
    <xf numFmtId="4" fontId="35" fillId="33" borderId="370"/>
    <xf numFmtId="4" fontId="35" fillId="0" borderId="370" applyFill="0" applyBorder="0" applyProtection="0">
      <alignment horizontal="right" vertical="center"/>
    </xf>
    <xf numFmtId="0" fontId="66" fillId="0" borderId="376" applyNumberFormat="0" applyFill="0" applyAlignment="0" applyProtection="0"/>
    <xf numFmtId="0" fontId="35" fillId="32" borderId="371">
      <alignment horizontal="left" vertical="center"/>
    </xf>
    <xf numFmtId="0" fontId="35" fillId="0" borderId="373">
      <alignment horizontal="left" vertical="center" wrapText="1" indent="2"/>
    </xf>
    <xf numFmtId="0" fontId="35" fillId="34" borderId="389">
      <alignment horizontal="left" vertical="center" wrapText="1" indent="2"/>
    </xf>
    <xf numFmtId="0" fontId="59" fillId="43" borderId="375" applyNumberFormat="0" applyAlignment="0" applyProtection="0"/>
    <xf numFmtId="49" fontId="35" fillId="0" borderId="410" applyNumberFormat="0" applyFont="0" applyFill="0" applyBorder="0" applyProtection="0">
      <alignment horizontal="left" vertical="center" indent="2"/>
    </xf>
    <xf numFmtId="0" fontId="35" fillId="34" borderId="373">
      <alignment horizontal="left" vertical="center" wrapText="1" indent="2"/>
    </xf>
    <xf numFmtId="4" fontId="37" fillId="32" borderId="397">
      <alignment horizontal="right" vertical="center"/>
    </xf>
    <xf numFmtId="0" fontId="27" fillId="18" borderId="0" applyNumberFormat="0" applyBorder="0" applyAlignment="0" applyProtection="0"/>
    <xf numFmtId="49" fontId="35" fillId="0" borderId="397" applyNumberFormat="0" applyFont="0" applyFill="0" applyBorder="0" applyProtection="0">
      <alignment horizontal="left" vertical="center" indent="2"/>
    </xf>
    <xf numFmtId="0" fontId="27" fillId="23" borderId="0" applyNumberFormat="0" applyBorder="0" applyAlignment="0" applyProtection="0"/>
    <xf numFmtId="0" fontId="41" fillId="59" borderId="369" applyNumberFormat="0" applyFont="0" applyAlignment="0" applyProtection="0"/>
    <xf numFmtId="0" fontId="59" fillId="43" borderId="375" applyNumberFormat="0" applyAlignment="0" applyProtection="0"/>
    <xf numFmtId="0" fontId="47" fillId="56" borderId="383" applyNumberFormat="0" applyAlignment="0" applyProtection="0"/>
    <xf numFmtId="4" fontId="35" fillId="33" borderId="370"/>
    <xf numFmtId="0" fontId="47" fillId="56" borderId="375" applyNumberFormat="0" applyAlignment="0" applyProtection="0"/>
    <xf numFmtId="0" fontId="59" fillId="43" borderId="375" applyNumberFormat="0" applyAlignment="0" applyProtection="0"/>
    <xf numFmtId="4" fontId="33" fillId="34" borderId="370">
      <alignment horizontal="right" vertical="center"/>
    </xf>
    <xf numFmtId="0" fontId="51" fillId="0" borderId="376" applyNumberFormat="0" applyFill="0" applyAlignment="0" applyProtection="0"/>
    <xf numFmtId="0" fontId="59" fillId="43" borderId="394" applyNumberFormat="0" applyAlignment="0" applyProtection="0"/>
    <xf numFmtId="0" fontId="12" fillId="19" borderId="0" applyNumberFormat="0" applyBorder="0" applyAlignment="0" applyProtection="0"/>
    <xf numFmtId="0" fontId="59" fillId="43" borderId="383" applyNumberFormat="0" applyAlignment="0" applyProtection="0"/>
    <xf numFmtId="0" fontId="41" fillId="59" borderId="377" applyNumberFormat="0" applyFont="0" applyAlignment="0" applyProtection="0"/>
    <xf numFmtId="4" fontId="33" fillId="32" borderId="386">
      <alignment horizontal="right" vertical="center"/>
    </xf>
    <xf numFmtId="0" fontId="33" fillId="34" borderId="405">
      <alignment horizontal="right" vertical="center"/>
    </xf>
    <xf numFmtId="0" fontId="35" fillId="0" borderId="400">
      <alignment horizontal="left" vertical="center" wrapText="1" indent="2"/>
    </xf>
    <xf numFmtId="0" fontId="2" fillId="0" borderId="15" applyNumberFormat="0" applyFill="0" applyAlignment="0" applyProtection="0"/>
    <xf numFmtId="0" fontId="50" fillId="43" borderId="375" applyNumberFormat="0" applyAlignment="0" applyProtection="0"/>
    <xf numFmtId="0" fontId="63" fillId="56" borderId="390" applyNumberFormat="0" applyAlignment="0" applyProtection="0"/>
    <xf numFmtId="0" fontId="27" fillId="29" borderId="0" applyNumberFormat="0" applyBorder="0" applyAlignment="0" applyProtection="0"/>
    <xf numFmtId="0" fontId="33" fillId="32" borderId="378">
      <alignment horizontal="right" vertical="center"/>
    </xf>
    <xf numFmtId="0" fontId="35" fillId="0" borderId="386">
      <alignment horizontal="right" vertical="center"/>
    </xf>
    <xf numFmtId="0" fontId="47" fillId="56" borderId="383" applyNumberFormat="0" applyAlignment="0" applyProtection="0"/>
    <xf numFmtId="0" fontId="27" fillId="27" borderId="0" applyNumberFormat="0" applyBorder="0" applyAlignment="0" applyProtection="0"/>
    <xf numFmtId="0" fontId="35" fillId="34" borderId="373">
      <alignment horizontal="left" vertical="center" wrapText="1" indent="2"/>
    </xf>
    <xf numFmtId="0" fontId="66" fillId="0" borderId="395" applyNumberFormat="0" applyFill="0" applyAlignment="0" applyProtection="0"/>
    <xf numFmtId="0" fontId="63" fillId="56" borderId="374" applyNumberFormat="0" applyAlignment="0" applyProtection="0"/>
    <xf numFmtId="0" fontId="59" fillId="43" borderId="375" applyNumberFormat="0" applyAlignment="0" applyProtection="0"/>
    <xf numFmtId="4" fontId="33" fillId="34" borderId="370">
      <alignment horizontal="right" vertical="center"/>
    </xf>
    <xf numFmtId="0" fontId="35" fillId="33" borderId="370"/>
    <xf numFmtId="4" fontId="33" fillId="34" borderId="386">
      <alignment horizontal="right" vertical="center"/>
    </xf>
    <xf numFmtId="0" fontId="59" fillId="43" borderId="391" applyNumberFormat="0" applyAlignment="0" applyProtection="0"/>
    <xf numFmtId="0" fontId="35" fillId="0" borderId="373">
      <alignment horizontal="left" vertical="center" wrapText="1" indent="2"/>
    </xf>
    <xf numFmtId="0" fontId="12" fillId="19" borderId="0" applyNumberFormat="0" applyBorder="0" applyAlignment="0" applyProtection="0"/>
    <xf numFmtId="0" fontId="33" fillId="32" borderId="378">
      <alignment horizontal="right" vertical="center"/>
    </xf>
    <xf numFmtId="0" fontId="12" fillId="25" borderId="0" applyNumberFormat="0" applyBorder="0" applyAlignment="0" applyProtection="0"/>
    <xf numFmtId="0" fontId="27" fillId="30" borderId="0" applyNumberFormat="0" applyBorder="0" applyAlignment="0" applyProtection="0"/>
    <xf numFmtId="0" fontId="33" fillId="34" borderId="387">
      <alignment horizontal="right" vertical="center"/>
    </xf>
    <xf numFmtId="0" fontId="46" fillId="56" borderId="375" applyNumberFormat="0" applyAlignment="0" applyProtection="0"/>
    <xf numFmtId="4" fontId="33" fillId="34" borderId="386">
      <alignment horizontal="right" vertical="center"/>
    </xf>
    <xf numFmtId="4" fontId="35" fillId="33" borderId="378"/>
    <xf numFmtId="4" fontId="33" fillId="32" borderId="370">
      <alignment horizontal="right" vertical="center"/>
    </xf>
    <xf numFmtId="4" fontId="33" fillId="34" borderId="378">
      <alignment horizontal="right" vertical="center"/>
    </xf>
    <xf numFmtId="0" fontId="33" fillId="32" borderId="370">
      <alignment horizontal="right" vertical="center"/>
    </xf>
    <xf numFmtId="0" fontId="33" fillId="34" borderId="370">
      <alignment horizontal="right" vertical="center"/>
    </xf>
    <xf numFmtId="0" fontId="33" fillId="32" borderId="378">
      <alignment horizontal="right" vertical="center"/>
    </xf>
    <xf numFmtId="4" fontId="35" fillId="0" borderId="378">
      <alignment horizontal="right" vertical="center"/>
    </xf>
    <xf numFmtId="0" fontId="27" fillId="30" borderId="0" applyNumberFormat="0" applyBorder="0" applyAlignment="0" applyProtection="0"/>
    <xf numFmtId="0" fontId="50" fillId="43" borderId="383" applyNumberFormat="0" applyAlignment="0" applyProtection="0"/>
    <xf numFmtId="0" fontId="63" fillId="56" borderId="374" applyNumberFormat="0" applyAlignment="0" applyProtection="0"/>
    <xf numFmtId="0" fontId="50" fillId="43" borderId="391" applyNumberFormat="0" applyAlignment="0" applyProtection="0"/>
    <xf numFmtId="49" fontId="35" fillId="0" borderId="370" applyNumberFormat="0" applyFont="0" applyFill="0" applyBorder="0" applyProtection="0">
      <alignment horizontal="left" vertical="center" indent="2"/>
    </xf>
    <xf numFmtId="49" fontId="34" fillId="0" borderId="378" applyNumberFormat="0" applyFill="0" applyBorder="0" applyProtection="0">
      <alignment horizontal="left" vertical="center"/>
    </xf>
    <xf numFmtId="0" fontId="41" fillId="59" borderId="369" applyNumberFormat="0" applyFont="0" applyAlignment="0" applyProtection="0"/>
    <xf numFmtId="173" fontId="35" fillId="60" borderId="370" applyNumberFormat="0" applyFont="0" applyBorder="0" applyAlignment="0" applyProtection="0">
      <alignment horizontal="right" vertical="center"/>
    </xf>
    <xf numFmtId="0" fontId="59" fillId="43" borderId="375" applyNumberFormat="0" applyAlignment="0" applyProtection="0"/>
    <xf numFmtId="0" fontId="33" fillId="34" borderId="370">
      <alignment horizontal="right" vertical="center"/>
    </xf>
    <xf numFmtId="0" fontId="35" fillId="33" borderId="370"/>
    <xf numFmtId="0" fontId="63" fillId="56" borderId="374" applyNumberFormat="0" applyAlignment="0" applyProtection="0"/>
    <xf numFmtId="0" fontId="47" fillId="56" borderId="375" applyNumberFormat="0" applyAlignment="0" applyProtection="0"/>
    <xf numFmtId="0" fontId="46" fillId="56" borderId="375" applyNumberFormat="0" applyAlignment="0" applyProtection="0"/>
    <xf numFmtId="0" fontId="50" fillId="43" borderId="375" applyNumberFormat="0" applyAlignment="0" applyProtection="0"/>
    <xf numFmtId="0" fontId="50" fillId="43" borderId="375" applyNumberFormat="0" applyAlignment="0" applyProtection="0"/>
    <xf numFmtId="0" fontId="35" fillId="0" borderId="373">
      <alignment horizontal="left" vertical="center" wrapText="1" indent="2"/>
    </xf>
    <xf numFmtId="4" fontId="33" fillId="34" borderId="371">
      <alignment horizontal="right" vertical="center"/>
    </xf>
    <xf numFmtId="4" fontId="35" fillId="0" borderId="370">
      <alignment horizontal="right" vertical="center"/>
    </xf>
    <xf numFmtId="49" fontId="34" fillId="0" borderId="370" applyNumberFormat="0" applyFill="0" applyBorder="0" applyProtection="0">
      <alignment horizontal="left" vertical="center"/>
    </xf>
    <xf numFmtId="4" fontId="35" fillId="0" borderId="370">
      <alignment horizontal="right" vertical="center"/>
    </xf>
    <xf numFmtId="0" fontId="63" fillId="56" borderId="374" applyNumberFormat="0" applyAlignment="0" applyProtection="0"/>
    <xf numFmtId="0" fontId="46" fillId="56" borderId="383" applyNumberFormat="0" applyAlignment="0" applyProtection="0"/>
    <xf numFmtId="0" fontId="35" fillId="33" borderId="378"/>
    <xf numFmtId="0" fontId="35" fillId="33" borderId="378"/>
    <xf numFmtId="0" fontId="35" fillId="32" borderId="405">
      <alignment horizontal="left" vertical="center"/>
    </xf>
    <xf numFmtId="0" fontId="63" fillId="56" borderId="393" applyNumberFormat="0" applyAlignment="0" applyProtection="0"/>
    <xf numFmtId="0" fontId="59" fillId="43" borderId="401" applyNumberFormat="0" applyAlignment="0" applyProtection="0"/>
    <xf numFmtId="0" fontId="27" fillId="23" borderId="0" applyNumberFormat="0" applyBorder="0" applyAlignment="0" applyProtection="0"/>
    <xf numFmtId="0" fontId="35" fillId="0" borderId="373">
      <alignment horizontal="left" vertical="center" wrapText="1" indent="2"/>
    </xf>
    <xf numFmtId="0" fontId="12" fillId="22" borderId="0" applyNumberFormat="0" applyBorder="0" applyAlignment="0" applyProtection="0"/>
    <xf numFmtId="0" fontId="5" fillId="59" borderId="377" applyNumberFormat="0" applyFont="0" applyAlignment="0" applyProtection="0"/>
    <xf numFmtId="4" fontId="33" fillId="34" borderId="380">
      <alignment horizontal="right" vertical="center"/>
    </xf>
    <xf numFmtId="0" fontId="35" fillId="0" borderId="378">
      <alignment horizontal="right" vertical="center"/>
    </xf>
    <xf numFmtId="0" fontId="35" fillId="34" borderId="389">
      <alignment horizontal="left" vertical="center" wrapText="1" indent="2"/>
    </xf>
    <xf numFmtId="0" fontId="66" fillId="0" borderId="395" applyNumberFormat="0" applyFill="0" applyAlignment="0" applyProtection="0"/>
    <xf numFmtId="0" fontId="41" fillId="59" borderId="385" applyNumberFormat="0" applyFont="0" applyAlignment="0" applyProtection="0"/>
    <xf numFmtId="0" fontId="35" fillId="0" borderId="378">
      <alignment horizontal="right" vertical="center"/>
    </xf>
    <xf numFmtId="4" fontId="33" fillId="34" borderId="397">
      <alignment horizontal="right" vertical="center"/>
    </xf>
    <xf numFmtId="0" fontId="27" fillId="21" borderId="0" applyNumberFormat="0" applyBorder="0" applyAlignment="0" applyProtection="0"/>
    <xf numFmtId="0" fontId="41" fillId="59" borderId="369" applyNumberFormat="0" applyFont="0" applyAlignment="0" applyProtection="0"/>
    <xf numFmtId="0" fontId="51" fillId="0" borderId="384" applyNumberFormat="0" applyFill="0" applyAlignment="0" applyProtection="0"/>
    <xf numFmtId="0" fontId="33" fillId="32" borderId="370">
      <alignment horizontal="right" vertical="center"/>
    </xf>
    <xf numFmtId="0" fontId="12" fillId="19" borderId="0" applyNumberFormat="0" applyBorder="0" applyAlignment="0" applyProtection="0"/>
    <xf numFmtId="0" fontId="27" fillId="30" borderId="0" applyNumberFormat="0" applyBorder="0" applyAlignment="0" applyProtection="0"/>
    <xf numFmtId="0" fontId="35" fillId="0" borderId="370" applyNumberFormat="0" applyFill="0" applyAlignment="0" applyProtection="0"/>
    <xf numFmtId="49" fontId="34" fillId="0" borderId="370" applyNumberFormat="0" applyFill="0" applyBorder="0" applyProtection="0">
      <alignment horizontal="left" vertical="center"/>
    </xf>
    <xf numFmtId="0" fontId="35" fillId="0" borderId="370">
      <alignment horizontal="right" vertical="center"/>
    </xf>
    <xf numFmtId="173" fontId="35" fillId="60" borderId="378" applyNumberFormat="0" applyFont="0" applyBorder="0" applyAlignment="0" applyProtection="0">
      <alignment horizontal="right" vertical="center"/>
    </xf>
    <xf numFmtId="0" fontId="35" fillId="0" borderId="381">
      <alignment horizontal="left" vertical="center" wrapText="1" indent="2"/>
    </xf>
    <xf numFmtId="0" fontId="50" fillId="43" borderId="383" applyNumberFormat="0" applyAlignment="0" applyProtection="0"/>
    <xf numFmtId="4" fontId="33" fillId="34" borderId="386">
      <alignment horizontal="right" vertical="center"/>
    </xf>
    <xf numFmtId="4" fontId="33" fillId="32" borderId="370">
      <alignment horizontal="right" vertical="center"/>
    </xf>
    <xf numFmtId="0" fontId="46" fillId="56" borderId="383" applyNumberFormat="0" applyAlignment="0" applyProtection="0"/>
    <xf numFmtId="0" fontId="47" fillId="56" borderId="375" applyNumberFormat="0" applyAlignment="0" applyProtection="0"/>
    <xf numFmtId="0" fontId="33" fillId="34" borderId="372">
      <alignment horizontal="right" vertical="center"/>
    </xf>
    <xf numFmtId="4" fontId="33" fillId="32" borderId="370">
      <alignment horizontal="right" vertical="center"/>
    </xf>
    <xf numFmtId="0" fontId="33" fillId="34" borderId="370">
      <alignment horizontal="right" vertical="center"/>
    </xf>
    <xf numFmtId="0" fontId="47" fillId="56" borderId="375" applyNumberFormat="0" applyAlignment="0" applyProtection="0"/>
    <xf numFmtId="0" fontId="44" fillId="56" borderId="382" applyNumberFormat="0" applyAlignment="0" applyProtection="0"/>
    <xf numFmtId="49" fontId="35" fillId="0" borderId="378" applyNumberFormat="0" applyFont="0" applyFill="0" applyBorder="0" applyProtection="0">
      <alignment horizontal="left" vertical="center" indent="2"/>
    </xf>
    <xf numFmtId="0" fontId="29" fillId="13" borderId="14" applyNumberFormat="0" applyAlignment="0" applyProtection="0"/>
    <xf numFmtId="4" fontId="35" fillId="0" borderId="370" applyFill="0" applyBorder="0" applyProtection="0">
      <alignment horizontal="right" vertical="center"/>
    </xf>
    <xf numFmtId="0" fontId="41" fillId="59" borderId="369" applyNumberFormat="0" applyFont="0" applyAlignment="0" applyProtection="0"/>
    <xf numFmtId="0" fontId="59" fillId="43" borderId="383" applyNumberFormat="0" applyAlignment="0" applyProtection="0"/>
    <xf numFmtId="0" fontId="33" fillId="34" borderId="386">
      <alignment horizontal="right" vertical="center"/>
    </xf>
    <xf numFmtId="0" fontId="66" fillId="0" borderId="384" applyNumberFormat="0" applyFill="0" applyAlignment="0" applyProtection="0"/>
    <xf numFmtId="0" fontId="59" fillId="43" borderId="383" applyNumberFormat="0" applyAlignment="0" applyProtection="0"/>
    <xf numFmtId="0" fontId="59" fillId="43" borderId="383" applyNumberFormat="0" applyAlignment="0" applyProtection="0"/>
    <xf numFmtId="0" fontId="27" fillId="30" borderId="0" applyNumberFormat="0" applyBorder="0" applyAlignment="0" applyProtection="0"/>
    <xf numFmtId="0" fontId="27" fillId="14" borderId="0" applyNumberFormat="0" applyBorder="0" applyAlignment="0" applyProtection="0"/>
    <xf numFmtId="0" fontId="33" fillId="32" borderId="370">
      <alignment horizontal="right" vertical="center"/>
    </xf>
    <xf numFmtId="0" fontId="51" fillId="0" borderId="376" applyNumberFormat="0" applyFill="0" applyAlignment="0" applyProtection="0"/>
    <xf numFmtId="0" fontId="35" fillId="0" borderId="370" applyNumberFormat="0" applyFill="0" applyAlignment="0" applyProtection="0"/>
    <xf numFmtId="0" fontId="51" fillId="0" borderId="376" applyNumberFormat="0" applyFill="0" applyAlignment="0" applyProtection="0"/>
    <xf numFmtId="4" fontId="35" fillId="0" borderId="370" applyFill="0" applyBorder="0" applyProtection="0">
      <alignment horizontal="right" vertical="center"/>
    </xf>
    <xf numFmtId="49" fontId="35" fillId="0" borderId="371" applyNumberFormat="0" applyFont="0" applyFill="0" applyBorder="0" applyProtection="0">
      <alignment horizontal="left" vertical="center" indent="5"/>
    </xf>
    <xf numFmtId="0" fontId="35" fillId="0" borderId="370" applyNumberFormat="0" applyFill="0" applyAlignment="0" applyProtection="0"/>
    <xf numFmtId="4" fontId="33" fillId="34" borderId="379">
      <alignment horizontal="right" vertical="center"/>
    </xf>
    <xf numFmtId="0" fontId="35" fillId="0" borderId="370" applyNumberFormat="0" applyFill="0" applyAlignment="0" applyProtection="0"/>
    <xf numFmtId="0" fontId="35" fillId="0" borderId="378" applyNumberFormat="0" applyFill="0" applyAlignment="0" applyProtection="0"/>
    <xf numFmtId="0" fontId="59" fillId="43" borderId="391" applyNumberFormat="0" applyAlignment="0" applyProtection="0"/>
    <xf numFmtId="4" fontId="33" fillId="34" borderId="370">
      <alignment horizontal="right" vertical="center"/>
    </xf>
    <xf numFmtId="0" fontId="66" fillId="0" borderId="384" applyNumberFormat="0" applyFill="0" applyAlignment="0" applyProtection="0"/>
    <xf numFmtId="49" fontId="34" fillId="0" borderId="404" applyNumberFormat="0" applyFill="0" applyBorder="0" applyProtection="0">
      <alignment horizontal="left" vertical="center"/>
    </xf>
    <xf numFmtId="0" fontId="12" fillId="22" borderId="0" applyNumberFormat="0" applyBorder="0" applyAlignment="0" applyProtection="0"/>
    <xf numFmtId="0" fontId="47" fillId="56" borderId="401" applyNumberFormat="0" applyAlignment="0" applyProtection="0"/>
    <xf numFmtId="0" fontId="50" fillId="43" borderId="375" applyNumberFormat="0" applyAlignment="0" applyProtection="0"/>
    <xf numFmtId="0" fontId="47" fillId="56" borderId="375" applyNumberFormat="0" applyAlignment="0" applyProtection="0"/>
    <xf numFmtId="4" fontId="35" fillId="0" borderId="370">
      <alignment horizontal="right" vertical="center"/>
    </xf>
    <xf numFmtId="0" fontId="35" fillId="34" borderId="373">
      <alignment horizontal="left" vertical="center" wrapText="1" indent="2"/>
    </xf>
    <xf numFmtId="0" fontId="35" fillId="0" borderId="373">
      <alignment horizontal="left" vertical="center" wrapText="1" indent="2"/>
    </xf>
    <xf numFmtId="0" fontId="63" fillId="56" borderId="374" applyNumberFormat="0" applyAlignment="0" applyProtection="0"/>
    <xf numFmtId="0" fontId="59" fillId="43" borderId="375" applyNumberFormat="0" applyAlignment="0" applyProtection="0"/>
    <xf numFmtId="0" fontId="46" fillId="56" borderId="375" applyNumberFormat="0" applyAlignment="0" applyProtection="0"/>
    <xf numFmtId="0" fontId="44" fillId="56" borderId="374" applyNumberFormat="0" applyAlignment="0" applyProtection="0"/>
    <xf numFmtId="0" fontId="33" fillId="34" borderId="372">
      <alignment horizontal="right" vertical="center"/>
    </xf>
    <xf numFmtId="0" fontId="37" fillId="32" borderId="370">
      <alignment horizontal="right" vertical="center"/>
    </xf>
    <xf numFmtId="4" fontId="33" fillId="32" borderId="370">
      <alignment horizontal="right" vertical="center"/>
    </xf>
    <xf numFmtId="4" fontId="33" fillId="34" borderId="370">
      <alignment horizontal="right" vertical="center"/>
    </xf>
    <xf numFmtId="49" fontId="35" fillId="0" borderId="371" applyNumberFormat="0" applyFont="0" applyFill="0" applyBorder="0" applyProtection="0">
      <alignment horizontal="left" vertical="center" indent="5"/>
    </xf>
    <xf numFmtId="4" fontId="35" fillId="0" borderId="370" applyFill="0" applyBorder="0" applyProtection="0">
      <alignment horizontal="right" vertical="center"/>
    </xf>
    <xf numFmtId="4" fontId="33" fillId="32" borderId="370">
      <alignment horizontal="right" vertical="center"/>
    </xf>
    <xf numFmtId="0" fontId="59" fillId="43" borderId="375" applyNumberFormat="0" applyAlignment="0" applyProtection="0"/>
    <xf numFmtId="0" fontId="50" fillId="43" borderId="375" applyNumberFormat="0" applyAlignment="0" applyProtection="0"/>
    <xf numFmtId="0" fontId="46" fillId="56" borderId="375" applyNumberFormat="0" applyAlignment="0" applyProtection="0"/>
    <xf numFmtId="0" fontId="35" fillId="34" borderId="373">
      <alignment horizontal="left" vertical="center" wrapText="1" indent="2"/>
    </xf>
    <xf numFmtId="0" fontId="35" fillId="0" borderId="373">
      <alignment horizontal="left" vertical="center" wrapText="1" indent="2"/>
    </xf>
    <xf numFmtId="0" fontId="35" fillId="34" borderId="373">
      <alignment horizontal="left" vertical="center" wrapText="1" indent="2"/>
    </xf>
    <xf numFmtId="4" fontId="33" fillId="34" borderId="406">
      <alignment horizontal="right" vertical="center"/>
    </xf>
    <xf numFmtId="0" fontId="27" fillId="17" borderId="0" applyNumberFormat="0" applyBorder="0" applyAlignment="0" applyProtection="0"/>
    <xf numFmtId="0" fontId="33" fillId="34" borderId="380">
      <alignment horizontal="right" vertical="center"/>
    </xf>
    <xf numFmtId="4" fontId="37" fillId="32" borderId="386">
      <alignment horizontal="right" vertical="center"/>
    </xf>
    <xf numFmtId="4" fontId="33" fillId="34" borderId="387">
      <alignment horizontal="right" vertical="center"/>
    </xf>
    <xf numFmtId="0" fontId="66" fillId="0" borderId="384" applyNumberFormat="0" applyFill="0" applyAlignment="0" applyProtection="0"/>
    <xf numFmtId="0" fontId="35" fillId="0" borderId="413">
      <alignment horizontal="left" vertical="center" wrapText="1" indent="2"/>
    </xf>
    <xf numFmtId="0" fontId="35" fillId="34" borderId="381">
      <alignment horizontal="left" vertical="center" wrapText="1" indent="2"/>
    </xf>
    <xf numFmtId="0" fontId="12" fillId="19" borderId="0" applyNumberFormat="0" applyBorder="0" applyAlignment="0" applyProtection="0"/>
    <xf numFmtId="0" fontId="51" fillId="0" borderId="384" applyNumberFormat="0" applyFill="0" applyAlignment="0" applyProtection="0"/>
    <xf numFmtId="0" fontId="47" fillId="56" borderId="391" applyNumberFormat="0" applyAlignment="0" applyProtection="0"/>
    <xf numFmtId="0" fontId="35" fillId="33" borderId="378"/>
    <xf numFmtId="49" fontId="35" fillId="0" borderId="378" applyNumberFormat="0" applyFont="0" applyFill="0" applyBorder="0" applyProtection="0">
      <alignment horizontal="left" vertical="center" indent="2"/>
    </xf>
    <xf numFmtId="0" fontId="63" fillId="56" borderId="382" applyNumberFormat="0" applyAlignment="0" applyProtection="0"/>
    <xf numFmtId="0" fontId="59" fillId="43" borderId="383" applyNumberFormat="0" applyAlignment="0" applyProtection="0"/>
    <xf numFmtId="0" fontId="35" fillId="0" borderId="378" applyNumberFormat="0" applyFill="0" applyAlignment="0" applyProtection="0"/>
    <xf numFmtId="0" fontId="12" fillId="19" borderId="0" applyNumberFormat="0" applyBorder="0" applyAlignment="0" applyProtection="0"/>
    <xf numFmtId="0" fontId="47" fillId="56" borderId="394" applyNumberFormat="0" applyAlignment="0" applyProtection="0"/>
    <xf numFmtId="0" fontId="44" fillId="56" borderId="382" applyNumberFormat="0" applyAlignment="0" applyProtection="0"/>
    <xf numFmtId="4" fontId="33" fillId="32" borderId="397">
      <alignment horizontal="right" vertical="center"/>
    </xf>
    <xf numFmtId="4" fontId="33" fillId="34" borderId="406">
      <alignment horizontal="right" vertical="center"/>
    </xf>
    <xf numFmtId="173" fontId="35" fillId="60" borderId="397" applyNumberFormat="0" applyFont="0" applyBorder="0" applyAlignment="0" applyProtection="0">
      <alignment horizontal="right" vertical="center"/>
    </xf>
    <xf numFmtId="0" fontId="27" fillId="27" borderId="0" applyNumberFormat="0" applyBorder="0" applyAlignment="0" applyProtection="0"/>
    <xf numFmtId="4" fontId="33" fillId="34" borderId="388">
      <alignment horizontal="right" vertical="center"/>
    </xf>
    <xf numFmtId="0" fontId="46" fillId="56" borderId="383" applyNumberFormat="0" applyAlignment="0" applyProtection="0"/>
    <xf numFmtId="0" fontId="51" fillId="0" borderId="384" applyNumberFormat="0" applyFill="0" applyAlignment="0" applyProtection="0"/>
    <xf numFmtId="0" fontId="37" fillId="32" borderId="378">
      <alignment horizontal="right" vertical="center"/>
    </xf>
    <xf numFmtId="0" fontId="59" fillId="43" borderId="383" applyNumberFormat="0" applyAlignment="0" applyProtection="0"/>
    <xf numFmtId="0" fontId="27" fillId="14" borderId="0" applyNumberFormat="0" applyBorder="0" applyAlignment="0" applyProtection="0"/>
    <xf numFmtId="0" fontId="27" fillId="18" borderId="0" applyNumberFormat="0" applyBorder="0" applyAlignment="0" applyProtection="0"/>
    <xf numFmtId="4" fontId="33" fillId="34" borderId="380">
      <alignment horizontal="right" vertical="center"/>
    </xf>
    <xf numFmtId="0" fontId="35" fillId="0" borderId="378" applyNumberFormat="0" applyFill="0" applyAlignment="0" applyProtection="0"/>
    <xf numFmtId="0" fontId="59" fillId="43" borderId="383" applyNumberFormat="0" applyAlignment="0" applyProtection="0"/>
    <xf numFmtId="49" fontId="35" fillId="0" borderId="378" applyNumberFormat="0" applyFont="0" applyFill="0" applyBorder="0" applyProtection="0">
      <alignment horizontal="left" vertical="center" indent="2"/>
    </xf>
    <xf numFmtId="0" fontId="33" fillId="34" borderId="397">
      <alignment horizontal="right" vertical="center"/>
    </xf>
    <xf numFmtId="0" fontId="50" fillId="43" borderId="394" applyNumberFormat="0" applyAlignment="0" applyProtection="0"/>
    <xf numFmtId="4" fontId="35" fillId="0" borderId="410" applyFill="0" applyBorder="0" applyProtection="0">
      <alignment horizontal="right" vertical="center"/>
    </xf>
    <xf numFmtId="0" fontId="27" fillId="26" borderId="0" applyNumberFormat="0" applyBorder="0" applyAlignment="0" applyProtection="0"/>
    <xf numFmtId="0" fontId="37" fillId="32" borderId="378">
      <alignment horizontal="right" vertical="center"/>
    </xf>
    <xf numFmtId="0" fontId="50" fillId="43" borderId="383" applyNumberFormat="0" applyAlignment="0" applyProtection="0"/>
    <xf numFmtId="0" fontId="35" fillId="33" borderId="378"/>
    <xf numFmtId="0" fontId="33" fillId="34" borderId="398">
      <alignment horizontal="right" vertical="center"/>
    </xf>
    <xf numFmtId="4" fontId="35" fillId="33" borderId="378"/>
    <xf numFmtId="4" fontId="35" fillId="0" borderId="378">
      <alignment horizontal="right" vertical="center"/>
    </xf>
    <xf numFmtId="0" fontId="33" fillId="34" borderId="405">
      <alignment horizontal="right" vertical="center"/>
    </xf>
    <xf numFmtId="0" fontId="12" fillId="16" borderId="0" applyNumberFormat="0" applyBorder="0" applyAlignment="0" applyProtection="0"/>
    <xf numFmtId="0" fontId="59" fillId="43" borderId="383" applyNumberFormat="0" applyAlignment="0" applyProtection="0"/>
    <xf numFmtId="0" fontId="35" fillId="34" borderId="381">
      <alignment horizontal="left" vertical="center" wrapText="1" indent="2"/>
    </xf>
    <xf numFmtId="4" fontId="37" fillId="32" borderId="378">
      <alignment horizontal="right" vertical="center"/>
    </xf>
    <xf numFmtId="0" fontId="35" fillId="33" borderId="386"/>
    <xf numFmtId="0" fontId="47" fillId="56" borderId="401" applyNumberFormat="0" applyAlignment="0" applyProtection="0"/>
    <xf numFmtId="0" fontId="27" fillId="17" borderId="0" applyNumberFormat="0" applyBorder="0" applyAlignment="0" applyProtection="0"/>
    <xf numFmtId="0" fontId="63" fillId="56" borderId="382" applyNumberFormat="0" applyAlignment="0" applyProtection="0"/>
    <xf numFmtId="0" fontId="41" fillId="59" borderId="403" applyNumberFormat="0" applyFont="0" applyAlignment="0" applyProtection="0"/>
    <xf numFmtId="0" fontId="66" fillId="0" borderId="384" applyNumberFormat="0" applyFill="0" applyAlignment="0" applyProtection="0"/>
    <xf numFmtId="4" fontId="35" fillId="0" borderId="397">
      <alignment horizontal="right" vertical="center"/>
    </xf>
    <xf numFmtId="4" fontId="35" fillId="0" borderId="378">
      <alignment horizontal="right" vertical="center"/>
    </xf>
    <xf numFmtId="4" fontId="37" fillId="32" borderId="378">
      <alignment horizontal="right" vertical="center"/>
    </xf>
    <xf numFmtId="0" fontId="12" fillId="16" borderId="0" applyNumberFormat="0" applyBorder="0" applyAlignment="0" applyProtection="0"/>
    <xf numFmtId="0" fontId="66" fillId="0" borderId="392" applyNumberFormat="0" applyFill="0" applyAlignment="0" applyProtection="0"/>
    <xf numFmtId="0" fontId="5" fillId="59" borderId="377" applyNumberFormat="0" applyFont="0" applyAlignment="0" applyProtection="0"/>
    <xf numFmtId="0" fontId="59" fillId="43" borderId="383" applyNumberFormat="0" applyAlignment="0" applyProtection="0"/>
    <xf numFmtId="4" fontId="33" fillId="34" borderId="379">
      <alignment horizontal="right" vertical="center"/>
    </xf>
    <xf numFmtId="4" fontId="35" fillId="33" borderId="378"/>
    <xf numFmtId="0" fontId="37" fillId="32" borderId="397">
      <alignment horizontal="right" vertical="center"/>
    </xf>
    <xf numFmtId="49" fontId="35" fillId="0" borderId="379" applyNumberFormat="0" applyFont="0" applyFill="0" applyBorder="0" applyProtection="0">
      <alignment horizontal="left" vertical="center" indent="5"/>
    </xf>
    <xf numFmtId="0" fontId="27" fillId="17" borderId="0" applyNumberFormat="0" applyBorder="0" applyAlignment="0" applyProtection="0"/>
    <xf numFmtId="0" fontId="35" fillId="0" borderId="381">
      <alignment horizontal="left" vertical="center" wrapText="1" indent="2"/>
    </xf>
    <xf numFmtId="0" fontId="35" fillId="34" borderId="389">
      <alignment horizontal="left" vertical="center" wrapText="1" indent="2"/>
    </xf>
    <xf numFmtId="0" fontId="51" fillId="0" borderId="392" applyNumberFormat="0" applyFill="0" applyAlignment="0" applyProtection="0"/>
    <xf numFmtId="4" fontId="35" fillId="33" borderId="378"/>
    <xf numFmtId="0" fontId="33" fillId="34" borderId="404">
      <alignment horizontal="right" vertical="center"/>
    </xf>
    <xf numFmtId="0" fontId="27" fillId="30" borderId="0" applyNumberFormat="0" applyBorder="0" applyAlignment="0" applyProtection="0"/>
    <xf numFmtId="0" fontId="35" fillId="0" borderId="378">
      <alignment horizontal="right" vertical="center"/>
    </xf>
    <xf numFmtId="0" fontId="5" fillId="59" borderId="417" applyNumberFormat="0" applyFont="0" applyAlignment="0" applyProtection="0"/>
    <xf numFmtId="0" fontId="41" fillId="59" borderId="377" applyNumberFormat="0" applyFont="0" applyAlignment="0" applyProtection="0"/>
    <xf numFmtId="4" fontId="33" fillId="34" borderId="388">
      <alignment horizontal="right" vertical="center"/>
    </xf>
    <xf numFmtId="0" fontId="35" fillId="34" borderId="381">
      <alignment horizontal="left" vertical="center" wrapText="1" indent="2"/>
    </xf>
    <xf numFmtId="0" fontId="33" fillId="34" borderId="399">
      <alignment horizontal="right" vertical="center"/>
    </xf>
    <xf numFmtId="0" fontId="35" fillId="0" borderId="386" applyNumberFormat="0" applyFill="0" applyAlignment="0" applyProtection="0"/>
    <xf numFmtId="0" fontId="59" fillId="43" borderId="401" applyNumberFormat="0" applyAlignment="0" applyProtection="0"/>
    <xf numFmtId="0" fontId="59" fillId="43" borderId="391" applyNumberFormat="0" applyAlignment="0" applyProtection="0"/>
    <xf numFmtId="0" fontId="47" fillId="56" borderId="383" applyNumberFormat="0" applyAlignment="0" applyProtection="0"/>
    <xf numFmtId="0" fontId="12" fillId="28" borderId="0" applyNumberFormat="0" applyBorder="0" applyAlignment="0" applyProtection="0"/>
    <xf numFmtId="4" fontId="35" fillId="0" borderId="404">
      <alignment horizontal="right" vertical="center"/>
    </xf>
    <xf numFmtId="49" fontId="34" fillId="0" borderId="378" applyNumberFormat="0" applyFill="0" applyBorder="0" applyProtection="0">
      <alignment horizontal="left" vertical="center"/>
    </xf>
    <xf numFmtId="49" fontId="34" fillId="0" borderId="378" applyNumberFormat="0" applyFill="0" applyBorder="0" applyProtection="0">
      <alignment horizontal="left" vertical="center"/>
    </xf>
    <xf numFmtId="0" fontId="66" fillId="0" borderId="392" applyNumberFormat="0" applyFill="0" applyAlignment="0" applyProtection="0"/>
    <xf numFmtId="0" fontId="33" fillId="34" borderId="380">
      <alignment horizontal="right" vertical="center"/>
    </xf>
    <xf numFmtId="0" fontId="33" fillId="34" borderId="378">
      <alignment horizontal="right" vertical="center"/>
    </xf>
    <xf numFmtId="0" fontId="46" fillId="56" borderId="383" applyNumberFormat="0" applyAlignment="0" applyProtection="0"/>
    <xf numFmtId="0" fontId="35" fillId="32" borderId="398">
      <alignment horizontal="left" vertical="center"/>
    </xf>
    <xf numFmtId="0" fontId="47" fillId="56" borderId="383" applyNumberFormat="0" applyAlignment="0" applyProtection="0"/>
    <xf numFmtId="49" fontId="34" fillId="0" borderId="386" applyNumberFormat="0" applyFill="0" applyBorder="0" applyProtection="0">
      <alignment horizontal="left" vertical="center"/>
    </xf>
    <xf numFmtId="0" fontId="35" fillId="33" borderId="378"/>
    <xf numFmtId="49" fontId="35" fillId="0" borderId="386" applyNumberFormat="0" applyFont="0" applyFill="0" applyBorder="0" applyProtection="0">
      <alignment horizontal="left" vertical="center" indent="2"/>
    </xf>
    <xf numFmtId="0" fontId="33" fillId="32" borderId="378">
      <alignment horizontal="right" vertical="center"/>
    </xf>
    <xf numFmtId="0" fontId="33" fillId="34" borderId="406">
      <alignment horizontal="right" vertical="center"/>
    </xf>
    <xf numFmtId="0" fontId="37" fillId="32" borderId="386">
      <alignment horizontal="right" vertical="center"/>
    </xf>
    <xf numFmtId="0" fontId="5" fillId="59" borderId="377" applyNumberFormat="0" applyFont="0" applyAlignment="0" applyProtection="0"/>
    <xf numFmtId="0" fontId="44" fillId="56" borderId="393" applyNumberFormat="0" applyAlignment="0" applyProtection="0"/>
    <xf numFmtId="4" fontId="35" fillId="0" borderId="378" applyFill="0" applyBorder="0" applyProtection="0">
      <alignment horizontal="right" vertical="center"/>
    </xf>
    <xf numFmtId="0" fontId="47" fillId="56" borderId="394" applyNumberFormat="0" applyAlignment="0" applyProtection="0"/>
    <xf numFmtId="0" fontId="41" fillId="59" borderId="396" applyNumberFormat="0" applyFont="0" applyAlignment="0" applyProtection="0"/>
    <xf numFmtId="4" fontId="33" fillId="34" borderId="378">
      <alignment horizontal="right" vertical="center"/>
    </xf>
    <xf numFmtId="0" fontId="59" fillId="43" borderId="391" applyNumberFormat="0" applyAlignment="0" applyProtection="0"/>
    <xf numFmtId="0" fontId="51" fillId="0" borderId="384" applyNumberFormat="0" applyFill="0" applyAlignment="0" applyProtection="0"/>
    <xf numFmtId="49" fontId="35" fillId="0" borderId="378" applyNumberFormat="0" applyFont="0" applyFill="0" applyBorder="0" applyProtection="0">
      <alignment horizontal="left" vertical="center" indent="2"/>
    </xf>
    <xf numFmtId="0" fontId="35" fillId="34" borderId="400">
      <alignment horizontal="left" vertical="center" wrapText="1" indent="2"/>
    </xf>
    <xf numFmtId="0" fontId="12" fillId="22" borderId="0" applyNumberFormat="0" applyBorder="0" applyAlignment="0" applyProtection="0"/>
    <xf numFmtId="0" fontId="35" fillId="32" borderId="379">
      <alignment horizontal="left" vertical="center"/>
    </xf>
    <xf numFmtId="0" fontId="35" fillId="32" borderId="387">
      <alignment horizontal="left" vertical="center"/>
    </xf>
    <xf numFmtId="4" fontId="35" fillId="0" borderId="386">
      <alignment horizontal="right" vertical="center"/>
    </xf>
    <xf numFmtId="0" fontId="35" fillId="34" borderId="407">
      <alignment horizontal="left" vertical="center" wrapText="1" indent="2"/>
    </xf>
    <xf numFmtId="0" fontId="35" fillId="0" borderId="404">
      <alignment horizontal="right" vertical="center"/>
    </xf>
    <xf numFmtId="0" fontId="35" fillId="0" borderId="410">
      <alignment horizontal="right" vertical="center"/>
    </xf>
    <xf numFmtId="0" fontId="27" fillId="15" borderId="0" applyNumberFormat="0" applyBorder="0" applyAlignment="0" applyProtection="0"/>
    <xf numFmtId="0" fontId="50" fillId="43" borderId="401" applyNumberFormat="0" applyAlignment="0" applyProtection="0"/>
    <xf numFmtId="4" fontId="33" fillId="34" borderId="404">
      <alignment horizontal="right" vertical="center"/>
    </xf>
    <xf numFmtId="0" fontId="33" fillId="34" borderId="378">
      <alignment horizontal="right" vertical="center"/>
    </xf>
    <xf numFmtId="0" fontId="66" fillId="0" borderId="424" applyNumberFormat="0" applyFill="0" applyAlignment="0" applyProtection="0"/>
    <xf numFmtId="0" fontId="41" fillId="59" borderId="377" applyNumberFormat="0" applyFont="0" applyAlignment="0" applyProtection="0"/>
    <xf numFmtId="0" fontId="27" fillId="27" borderId="0" applyNumberFormat="0" applyBorder="0" applyAlignment="0" applyProtection="0"/>
    <xf numFmtId="0" fontId="47" fillId="56" borderId="383" applyNumberFormat="0" applyAlignment="0" applyProtection="0"/>
    <xf numFmtId="0" fontId="59" fillId="43" borderId="383" applyNumberFormat="0" applyAlignment="0" applyProtection="0"/>
    <xf numFmtId="4" fontId="35" fillId="0" borderId="418" applyFill="0" applyBorder="0" applyProtection="0">
      <alignment horizontal="right" vertical="center"/>
    </xf>
    <xf numFmtId="4" fontId="33" fillId="34" borderId="387">
      <alignment horizontal="right" vertical="center"/>
    </xf>
    <xf numFmtId="0" fontId="63" fillId="56" borderId="414" applyNumberFormat="0" applyAlignment="0" applyProtection="0"/>
    <xf numFmtId="0" fontId="59" fillId="43" borderId="383" applyNumberFormat="0" applyAlignment="0" applyProtection="0"/>
    <xf numFmtId="0" fontId="46" fillId="56" borderId="394" applyNumberFormat="0" applyAlignment="0" applyProtection="0"/>
    <xf numFmtId="0" fontId="59" fillId="43" borderId="383" applyNumberFormat="0" applyAlignment="0" applyProtection="0"/>
    <xf numFmtId="0" fontId="50" fillId="43" borderId="383" applyNumberFormat="0" applyAlignment="0" applyProtection="0"/>
    <xf numFmtId="0" fontId="12" fillId="16" borderId="0" applyNumberFormat="0" applyBorder="0" applyAlignment="0" applyProtection="0"/>
    <xf numFmtId="0" fontId="50" fillId="43" borderId="391" applyNumberFormat="0" applyAlignment="0" applyProtection="0"/>
    <xf numFmtId="0" fontId="44" fillId="56" borderId="382" applyNumberFormat="0" applyAlignment="0" applyProtection="0"/>
    <xf numFmtId="0" fontId="59" fillId="43" borderId="383" applyNumberFormat="0" applyAlignment="0" applyProtection="0"/>
    <xf numFmtId="4" fontId="33" fillId="32" borderId="378">
      <alignment horizontal="right" vertical="center"/>
    </xf>
    <xf numFmtId="0" fontId="37" fillId="32" borderId="378">
      <alignment horizontal="right" vertical="center"/>
    </xf>
    <xf numFmtId="0" fontId="31" fillId="0" borderId="0" applyNumberFormat="0" applyFill="0" applyBorder="0" applyAlignment="0" applyProtection="0"/>
    <xf numFmtId="0" fontId="46" fillId="56" borderId="383" applyNumberFormat="0" applyAlignment="0" applyProtection="0"/>
    <xf numFmtId="0" fontId="12" fillId="31" borderId="0" applyNumberFormat="0" applyBorder="0" applyAlignment="0" applyProtection="0"/>
    <xf numFmtId="0" fontId="5" fillId="59" borderId="385" applyNumberFormat="0" applyFont="0" applyAlignment="0" applyProtection="0"/>
    <xf numFmtId="0" fontId="5" fillId="59" borderId="377" applyNumberFormat="0" applyFont="0" applyAlignment="0" applyProtection="0"/>
    <xf numFmtId="0" fontId="35" fillId="0" borderId="397">
      <alignment horizontal="right" vertical="center"/>
    </xf>
    <xf numFmtId="0" fontId="66" fillId="0" borderId="392" applyNumberFormat="0" applyFill="0" applyAlignment="0" applyProtection="0"/>
    <xf numFmtId="0" fontId="5" fillId="59" borderId="385" applyNumberFormat="0" applyFont="0" applyAlignment="0" applyProtection="0"/>
    <xf numFmtId="0" fontId="33" fillId="34" borderId="397">
      <alignment horizontal="right" vertical="center"/>
    </xf>
    <xf numFmtId="0" fontId="12" fillId="16" borderId="0" applyNumberFormat="0" applyBorder="0" applyAlignment="0" applyProtection="0"/>
    <xf numFmtId="4" fontId="33" fillId="34" borderId="378">
      <alignment horizontal="right" vertical="center"/>
    </xf>
    <xf numFmtId="4" fontId="33" fillId="34" borderId="378">
      <alignment horizontal="right" vertical="center"/>
    </xf>
    <xf numFmtId="0" fontId="12" fillId="19" borderId="0" applyNumberFormat="0" applyBorder="0" applyAlignment="0" applyProtection="0"/>
    <xf numFmtId="4" fontId="33" fillId="34" borderId="380">
      <alignment horizontal="right" vertical="center"/>
    </xf>
    <xf numFmtId="0" fontId="59" fillId="43" borderId="383" applyNumberFormat="0" applyAlignment="0" applyProtection="0"/>
    <xf numFmtId="0" fontId="46" fillId="56" borderId="394" applyNumberFormat="0" applyAlignment="0" applyProtection="0"/>
    <xf numFmtId="49" fontId="35" fillId="0" borderId="410" applyNumberFormat="0" applyFont="0" applyFill="0" applyBorder="0" applyProtection="0">
      <alignment horizontal="left" vertical="center" indent="2"/>
    </xf>
    <xf numFmtId="173" fontId="35" fillId="60" borderId="378" applyNumberFormat="0" applyFont="0" applyBorder="0" applyAlignment="0" applyProtection="0">
      <alignment horizontal="right" vertical="center"/>
    </xf>
    <xf numFmtId="0" fontId="33" fillId="34" borderId="378">
      <alignment horizontal="right" vertical="center"/>
    </xf>
    <xf numFmtId="4" fontId="33" fillId="34" borderId="378">
      <alignment horizontal="right" vertical="center"/>
    </xf>
    <xf numFmtId="0" fontId="30" fillId="13" borderId="13" applyNumberFormat="0" applyAlignment="0" applyProtection="0"/>
    <xf numFmtId="0" fontId="33" fillId="34" borderId="388">
      <alignment horizontal="right" vertical="center"/>
    </xf>
    <xf numFmtId="0" fontId="51" fillId="0" borderId="384" applyNumberFormat="0" applyFill="0" applyAlignment="0" applyProtection="0"/>
    <xf numFmtId="4" fontId="35" fillId="33" borderId="386"/>
    <xf numFmtId="0" fontId="35" fillId="0" borderId="386">
      <alignment horizontal="right" vertical="center"/>
    </xf>
    <xf numFmtId="0" fontId="12" fillId="16" borderId="0" applyNumberFormat="0" applyBorder="0" applyAlignment="0" applyProtection="0"/>
    <xf numFmtId="4" fontId="33" fillId="34" borderId="399">
      <alignment horizontal="right" vertical="center"/>
    </xf>
    <xf numFmtId="4" fontId="33" fillId="34" borderId="379">
      <alignment horizontal="right" vertical="center"/>
    </xf>
    <xf numFmtId="0" fontId="33" fillId="34" borderId="379">
      <alignment horizontal="right" vertical="center"/>
    </xf>
    <xf numFmtId="173" fontId="35" fillId="60" borderId="386" applyNumberFormat="0" applyFont="0" applyBorder="0" applyAlignment="0" applyProtection="0">
      <alignment horizontal="right" vertical="center"/>
    </xf>
    <xf numFmtId="4" fontId="33" fillId="34" borderId="412">
      <alignment horizontal="right" vertical="center"/>
    </xf>
    <xf numFmtId="0" fontId="33" fillId="34" borderId="406">
      <alignment horizontal="right" vertical="center"/>
    </xf>
    <xf numFmtId="4" fontId="33" fillId="34" borderId="378">
      <alignment horizontal="right" vertical="center"/>
    </xf>
    <xf numFmtId="4" fontId="33" fillId="34" borderId="378">
      <alignment horizontal="right" vertical="center"/>
    </xf>
    <xf numFmtId="0" fontId="33" fillId="34" borderId="386">
      <alignment horizontal="right" vertical="center"/>
    </xf>
    <xf numFmtId="0" fontId="35" fillId="32" borderId="387">
      <alignment horizontal="left" vertical="center"/>
    </xf>
    <xf numFmtId="0" fontId="51" fillId="0" borderId="392" applyNumberFormat="0" applyFill="0" applyAlignment="0" applyProtection="0"/>
    <xf numFmtId="0" fontId="33" fillId="34" borderId="386">
      <alignment horizontal="right" vertical="center"/>
    </xf>
    <xf numFmtId="0" fontId="66" fillId="0" borderId="384" applyNumberFormat="0" applyFill="0" applyAlignment="0" applyProtection="0"/>
    <xf numFmtId="49" fontId="35" fillId="0" borderId="379" applyNumberFormat="0" applyFont="0" applyFill="0" applyBorder="0" applyProtection="0">
      <alignment horizontal="left" vertical="center" indent="5"/>
    </xf>
    <xf numFmtId="0" fontId="27" fillId="26" borderId="0" applyNumberFormat="0" applyBorder="0" applyAlignment="0" applyProtection="0"/>
    <xf numFmtId="4" fontId="33" fillId="34" borderId="378">
      <alignment horizontal="right" vertical="center"/>
    </xf>
    <xf numFmtId="4" fontId="33" fillId="34" borderId="418">
      <alignment horizontal="right" vertical="center"/>
    </xf>
    <xf numFmtId="0" fontId="30" fillId="13" borderId="13" applyNumberFormat="0" applyAlignment="0" applyProtection="0"/>
    <xf numFmtId="0" fontId="35" fillId="0" borderId="386" applyNumberFormat="0" applyFill="0" applyAlignment="0" applyProtection="0"/>
    <xf numFmtId="0" fontId="33" fillId="34" borderId="406">
      <alignment horizontal="right" vertical="center"/>
    </xf>
    <xf numFmtId="0" fontId="46" fillId="56" borderId="391" applyNumberFormat="0" applyAlignment="0" applyProtection="0"/>
    <xf numFmtId="4" fontId="33" fillId="34" borderId="378">
      <alignment horizontal="right" vertical="center"/>
    </xf>
    <xf numFmtId="0" fontId="47" fillId="56" borderId="391" applyNumberFormat="0" applyAlignment="0" applyProtection="0"/>
    <xf numFmtId="0" fontId="33" fillId="32" borderId="397">
      <alignment horizontal="right" vertical="center"/>
    </xf>
    <xf numFmtId="0" fontId="30" fillId="13" borderId="13" applyNumberFormat="0" applyAlignment="0" applyProtection="0"/>
    <xf numFmtId="0" fontId="27" fillId="30" borderId="0" applyNumberFormat="0" applyBorder="0" applyAlignment="0" applyProtection="0"/>
    <xf numFmtId="0" fontId="47" fillId="56" borderId="383" applyNumberFormat="0" applyAlignment="0" applyProtection="0"/>
    <xf numFmtId="0" fontId="63" fillId="56" borderId="382" applyNumberFormat="0" applyAlignment="0" applyProtection="0"/>
    <xf numFmtId="0" fontId="33" fillId="34" borderId="380">
      <alignment horizontal="right" vertical="center"/>
    </xf>
    <xf numFmtId="0" fontId="37" fillId="32" borderId="397">
      <alignment horizontal="right" vertical="center"/>
    </xf>
    <xf numFmtId="0" fontId="33" fillId="34" borderId="397">
      <alignment horizontal="right" vertical="center"/>
    </xf>
    <xf numFmtId="0" fontId="35" fillId="0" borderId="407">
      <alignment horizontal="left" vertical="center" wrapText="1" indent="2"/>
    </xf>
    <xf numFmtId="0" fontId="35" fillId="33" borderId="378"/>
    <xf numFmtId="0" fontId="27" fillId="23" borderId="0" applyNumberFormat="0" applyBorder="0" applyAlignment="0" applyProtection="0"/>
    <xf numFmtId="0" fontId="35" fillId="34" borderId="381">
      <alignment horizontal="left" vertical="center" wrapText="1" indent="2"/>
    </xf>
    <xf numFmtId="0" fontId="12" fillId="25" borderId="0" applyNumberFormat="0" applyBorder="0" applyAlignment="0" applyProtection="0"/>
    <xf numFmtId="0" fontId="33" fillId="34" borderId="378">
      <alignment horizontal="right" vertical="center"/>
    </xf>
    <xf numFmtId="0" fontId="41" fillId="59" borderId="377" applyNumberFormat="0" applyFont="0" applyAlignment="0" applyProtection="0"/>
    <xf numFmtId="0" fontId="33" fillId="34" borderId="379">
      <alignment horizontal="right" vertical="center"/>
    </xf>
    <xf numFmtId="0" fontId="33" fillId="34" borderId="398">
      <alignment horizontal="right" vertical="center"/>
    </xf>
    <xf numFmtId="0" fontId="33" fillId="34" borderId="404">
      <alignment horizontal="right" vertical="center"/>
    </xf>
    <xf numFmtId="0" fontId="47" fillId="56" borderId="383" applyNumberFormat="0" applyAlignment="0" applyProtection="0"/>
    <xf numFmtId="0" fontId="50" fillId="43" borderId="383" applyNumberFormat="0" applyAlignment="0" applyProtection="0"/>
    <xf numFmtId="0" fontId="63" fillId="56" borderId="382" applyNumberFormat="0" applyAlignment="0" applyProtection="0"/>
    <xf numFmtId="4" fontId="37" fillId="32" borderId="386">
      <alignment horizontal="right" vertical="center"/>
    </xf>
    <xf numFmtId="0" fontId="1" fillId="0" borderId="0" applyNumberFormat="0" applyFill="0" applyBorder="0" applyAlignment="0" applyProtection="0"/>
    <xf numFmtId="0" fontId="2" fillId="0" borderId="15" applyNumberFormat="0" applyFill="0" applyAlignment="0" applyProtection="0"/>
    <xf numFmtId="4" fontId="35" fillId="33" borderId="378"/>
    <xf numFmtId="0" fontId="35" fillId="0" borderId="378">
      <alignment horizontal="right" vertical="center"/>
    </xf>
    <xf numFmtId="49" fontId="35" fillId="0" borderId="378" applyNumberFormat="0" applyFont="0" applyFill="0" applyBorder="0" applyProtection="0">
      <alignment horizontal="left" vertical="center" indent="2"/>
    </xf>
    <xf numFmtId="0" fontId="35" fillId="33" borderId="410"/>
    <xf numFmtId="0" fontId="27" fillId="26" borderId="0" applyNumberFormat="0" applyBorder="0" applyAlignment="0" applyProtection="0"/>
    <xf numFmtId="0" fontId="47" fillId="56" borderId="391" applyNumberFormat="0" applyAlignment="0" applyProtection="0"/>
    <xf numFmtId="4" fontId="33" fillId="34" borderId="378">
      <alignment horizontal="right" vertical="center"/>
    </xf>
    <xf numFmtId="0" fontId="44" fillId="56" borderId="390" applyNumberFormat="0" applyAlignment="0" applyProtection="0"/>
    <xf numFmtId="4" fontId="35" fillId="0" borderId="418" applyFill="0" applyBorder="0" applyProtection="0">
      <alignment horizontal="right" vertical="center"/>
    </xf>
    <xf numFmtId="0" fontId="41" fillId="59" borderId="396" applyNumberFormat="0" applyFont="0" applyAlignment="0" applyProtection="0"/>
    <xf numFmtId="0" fontId="27" fillId="24" borderId="0" applyNumberFormat="0" applyBorder="0" applyAlignment="0" applyProtection="0"/>
    <xf numFmtId="0" fontId="35" fillId="0" borderId="410">
      <alignment horizontal="right" vertical="center"/>
    </xf>
    <xf numFmtId="49" fontId="34" fillId="0" borderId="378" applyNumberFormat="0" applyFill="0" applyBorder="0" applyProtection="0">
      <alignment horizontal="left" vertical="center"/>
    </xf>
    <xf numFmtId="49" fontId="35" fillId="0" borderId="379" applyNumberFormat="0" applyFont="0" applyFill="0" applyBorder="0" applyProtection="0">
      <alignment horizontal="left" vertical="center" indent="5"/>
    </xf>
    <xf numFmtId="0" fontId="35" fillId="32" borderId="398">
      <alignment horizontal="left" vertical="center"/>
    </xf>
    <xf numFmtId="0" fontId="33" fillId="34" borderId="379">
      <alignment horizontal="right" vertical="center"/>
    </xf>
    <xf numFmtId="0" fontId="12" fillId="28" borderId="0" applyNumberFormat="0" applyBorder="0" applyAlignment="0" applyProtection="0"/>
    <xf numFmtId="0" fontId="63" fillId="56" borderId="382" applyNumberFormat="0" applyAlignment="0" applyProtection="0"/>
    <xf numFmtId="4" fontId="37" fillId="32" borderId="378">
      <alignment horizontal="right" vertical="center"/>
    </xf>
    <xf numFmtId="0" fontId="5" fillId="59" borderId="377" applyNumberFormat="0" applyFont="0" applyAlignment="0" applyProtection="0"/>
    <xf numFmtId="4" fontId="33" fillId="34" borderId="379">
      <alignment horizontal="right" vertical="center"/>
    </xf>
    <xf numFmtId="0" fontId="33" fillId="32" borderId="418">
      <alignment horizontal="right" vertical="center"/>
    </xf>
    <xf numFmtId="0" fontId="27" fillId="18" borderId="0" applyNumberFormat="0" applyBorder="0" applyAlignment="0" applyProtection="0"/>
    <xf numFmtId="0" fontId="33" fillId="32" borderId="378">
      <alignment horizontal="right" vertical="center"/>
    </xf>
    <xf numFmtId="49" fontId="35" fillId="0" borderId="397" applyNumberFormat="0" applyFont="0" applyFill="0" applyBorder="0" applyProtection="0">
      <alignment horizontal="left" vertical="center" indent="2"/>
    </xf>
    <xf numFmtId="0" fontId="27" fillId="21" borderId="0" applyNumberFormat="0" applyBorder="0" applyAlignment="0" applyProtection="0"/>
    <xf numFmtId="0" fontId="50" fillId="43" borderId="383" applyNumberFormat="0" applyAlignment="0" applyProtection="0"/>
    <xf numFmtId="0" fontId="27" fillId="14" borderId="0" applyNumberFormat="0" applyBorder="0" applyAlignment="0" applyProtection="0"/>
    <xf numFmtId="0" fontId="59" fillId="43" borderId="391" applyNumberFormat="0" applyAlignment="0" applyProtection="0"/>
    <xf numFmtId="0" fontId="47" fillId="56" borderId="383" applyNumberFormat="0" applyAlignment="0" applyProtection="0"/>
    <xf numFmtId="0" fontId="66" fillId="0" borderId="384" applyNumberFormat="0" applyFill="0" applyAlignment="0" applyProtection="0"/>
    <xf numFmtId="0" fontId="27" fillId="18" borderId="0" applyNumberFormat="0" applyBorder="0" applyAlignment="0" applyProtection="0"/>
    <xf numFmtId="0" fontId="47" fillId="56" borderId="401" applyNumberFormat="0" applyAlignment="0" applyProtection="0"/>
    <xf numFmtId="0" fontId="33" fillId="34" borderId="386">
      <alignment horizontal="right" vertical="center"/>
    </xf>
    <xf numFmtId="0" fontId="47" fillId="56" borderId="383" applyNumberFormat="0" applyAlignment="0" applyProtection="0"/>
    <xf numFmtId="0" fontId="35" fillId="0" borderId="397">
      <alignment horizontal="right" vertical="center"/>
    </xf>
    <xf numFmtId="0" fontId="35" fillId="34" borderId="381">
      <alignment horizontal="left" vertical="center" wrapText="1" indent="2"/>
    </xf>
    <xf numFmtId="0" fontId="35" fillId="0" borderId="381">
      <alignment horizontal="left" vertical="center" wrapText="1" indent="2"/>
    </xf>
    <xf numFmtId="0" fontId="37" fillId="32" borderId="386">
      <alignment horizontal="right" vertical="center"/>
    </xf>
    <xf numFmtId="0" fontId="47" fillId="56" borderId="383" applyNumberFormat="0" applyAlignment="0" applyProtection="0"/>
    <xf numFmtId="0" fontId="47" fillId="56" borderId="394" applyNumberFormat="0" applyAlignment="0" applyProtection="0"/>
    <xf numFmtId="0" fontId="27" fillId="26" borderId="0" applyNumberFormat="0" applyBorder="0" applyAlignment="0" applyProtection="0"/>
    <xf numFmtId="0" fontId="27" fillId="20" borderId="0" applyNumberFormat="0" applyBorder="0" applyAlignment="0" applyProtection="0"/>
    <xf numFmtId="0" fontId="46" fillId="56" borderId="383" applyNumberFormat="0" applyAlignment="0" applyProtection="0"/>
    <xf numFmtId="0" fontId="29" fillId="13" borderId="14" applyNumberFormat="0" applyAlignment="0" applyProtection="0"/>
    <xf numFmtId="4" fontId="33" fillId="34" borderId="386">
      <alignment horizontal="right" vertical="center"/>
    </xf>
    <xf numFmtId="0" fontId="33" fillId="34" borderId="387">
      <alignment horizontal="right" vertical="center"/>
    </xf>
    <xf numFmtId="4" fontId="33" fillId="32" borderId="378">
      <alignment horizontal="right" vertical="center"/>
    </xf>
    <xf numFmtId="0" fontId="35" fillId="0" borderId="386" applyNumberFormat="0" applyFill="0" applyAlignment="0" applyProtection="0"/>
    <xf numFmtId="4" fontId="33" fillId="34" borderId="378">
      <alignment horizontal="right" vertical="center"/>
    </xf>
    <xf numFmtId="0" fontId="35" fillId="34" borderId="413">
      <alignment horizontal="left" vertical="center" wrapText="1" indent="2"/>
    </xf>
    <xf numFmtId="0" fontId="1" fillId="0" borderId="0" applyNumberFormat="0" applyFill="0" applyBorder="0" applyAlignment="0" applyProtection="0"/>
    <xf numFmtId="0" fontId="41" fillId="59" borderId="396" applyNumberFormat="0" applyFont="0" applyAlignment="0" applyProtection="0"/>
    <xf numFmtId="0" fontId="2" fillId="0" borderId="15" applyNumberFormat="0" applyFill="0" applyAlignment="0" applyProtection="0"/>
    <xf numFmtId="0" fontId="59" fillId="43" borderId="391" applyNumberFormat="0" applyAlignment="0" applyProtection="0"/>
    <xf numFmtId="0" fontId="44" fillId="56" borderId="382" applyNumberFormat="0" applyAlignment="0" applyProtection="0"/>
    <xf numFmtId="0" fontId="30" fillId="13" borderId="13" applyNumberFormat="0" applyAlignment="0" applyProtection="0"/>
    <xf numFmtId="49" fontId="35" fillId="0" borderId="397" applyNumberFormat="0" applyFont="0" applyFill="0" applyBorder="0" applyProtection="0">
      <alignment horizontal="left" vertical="center" indent="2"/>
    </xf>
    <xf numFmtId="0" fontId="66" fillId="0" borderId="384" applyNumberFormat="0" applyFill="0" applyAlignment="0" applyProtection="0"/>
    <xf numFmtId="4" fontId="37" fillId="32" borderId="386">
      <alignment horizontal="right" vertical="center"/>
    </xf>
    <xf numFmtId="0" fontId="66" fillId="0" borderId="395" applyNumberFormat="0" applyFill="0" applyAlignment="0" applyProtection="0"/>
    <xf numFmtId="4" fontId="35" fillId="33" borderId="386"/>
    <xf numFmtId="0" fontId="27" fillId="15" borderId="0" applyNumberFormat="0" applyBorder="0" applyAlignment="0" applyProtection="0"/>
    <xf numFmtId="4" fontId="33" fillId="34" borderId="398">
      <alignment horizontal="right" vertical="center"/>
    </xf>
    <xf numFmtId="49" fontId="34" fillId="0" borderId="378" applyNumberFormat="0" applyFill="0" applyBorder="0" applyProtection="0">
      <alignment horizontal="left" vertical="center"/>
    </xf>
    <xf numFmtId="0" fontId="35" fillId="0" borderId="381">
      <alignment horizontal="left" vertical="center" wrapText="1" indent="2"/>
    </xf>
    <xf numFmtId="0" fontId="33" fillId="34" borderId="386">
      <alignment horizontal="right" vertical="center"/>
    </xf>
    <xf numFmtId="0" fontId="5" fillId="59" borderId="385" applyNumberFormat="0" applyFont="0" applyAlignment="0" applyProtection="0"/>
    <xf numFmtId="0" fontId="27" fillId="26" borderId="0" applyNumberFormat="0" applyBorder="0" applyAlignment="0" applyProtection="0"/>
    <xf numFmtId="0" fontId="33" fillId="34" borderId="379">
      <alignment horizontal="right" vertical="center"/>
    </xf>
    <xf numFmtId="4" fontId="33" fillId="34" borderId="388">
      <alignment horizontal="right" vertical="center"/>
    </xf>
    <xf numFmtId="0" fontId="27" fillId="17" borderId="0" applyNumberFormat="0" applyBorder="0" applyAlignment="0" applyProtection="0"/>
    <xf numFmtId="0" fontId="35" fillId="0" borderId="378">
      <alignment horizontal="right" vertical="center"/>
    </xf>
    <xf numFmtId="0" fontId="44" fillId="56" borderId="390" applyNumberFormat="0" applyAlignment="0" applyProtection="0"/>
    <xf numFmtId="0" fontId="41" fillId="59" borderId="377" applyNumberFormat="0" applyFont="0" applyAlignment="0" applyProtection="0"/>
    <xf numFmtId="0" fontId="12" fillId="31" borderId="0" applyNumberFormat="0" applyBorder="0" applyAlignment="0" applyProtection="0"/>
    <xf numFmtId="0" fontId="35" fillId="0" borderId="386">
      <alignment horizontal="right" vertical="center"/>
    </xf>
    <xf numFmtId="4" fontId="33" fillId="34" borderId="388">
      <alignment horizontal="right" vertical="center"/>
    </xf>
    <xf numFmtId="173" fontId="35" fillId="60" borderId="378" applyNumberFormat="0" applyFont="0" applyBorder="0" applyAlignment="0" applyProtection="0">
      <alignment horizontal="right" vertical="center"/>
    </xf>
    <xf numFmtId="0" fontId="63" fillId="56" borderId="382" applyNumberFormat="0" applyAlignment="0" applyProtection="0"/>
    <xf numFmtId="0" fontId="35" fillId="0" borderId="381">
      <alignment horizontal="left" vertical="center" wrapText="1" indent="2"/>
    </xf>
    <xf numFmtId="0" fontId="33" fillId="34" borderId="388">
      <alignment horizontal="right" vertical="center"/>
    </xf>
    <xf numFmtId="4" fontId="33" fillId="34" borderId="386">
      <alignment horizontal="right" vertical="center"/>
    </xf>
    <xf numFmtId="0" fontId="47" fillId="56" borderId="415" applyNumberFormat="0" applyAlignment="0" applyProtection="0"/>
    <xf numFmtId="0" fontId="2" fillId="0" borderId="15" applyNumberFormat="0" applyFill="0" applyAlignment="0" applyProtection="0"/>
    <xf numFmtId="0" fontId="33" fillId="32" borderId="378">
      <alignment horizontal="right" vertical="center"/>
    </xf>
    <xf numFmtId="0" fontId="35" fillId="34" borderId="389">
      <alignment horizontal="left" vertical="center" wrapText="1" indent="2"/>
    </xf>
    <xf numFmtId="0" fontId="66" fillId="0" borderId="416" applyNumberFormat="0" applyFill="0" applyAlignment="0" applyProtection="0"/>
    <xf numFmtId="0" fontId="41" fillId="59" borderId="377" applyNumberFormat="0" applyFont="0" applyAlignment="0" applyProtection="0"/>
    <xf numFmtId="49" fontId="34" fillId="0" borderId="378" applyNumberFormat="0" applyFill="0" applyBorder="0" applyProtection="0">
      <alignment horizontal="left" vertical="center"/>
    </xf>
    <xf numFmtId="0" fontId="33" fillId="34" borderId="380">
      <alignment horizontal="right" vertical="center"/>
    </xf>
    <xf numFmtId="0" fontId="46" fillId="56" borderId="383" applyNumberFormat="0" applyAlignment="0" applyProtection="0"/>
    <xf numFmtId="4" fontId="35" fillId="0" borderId="378" applyFill="0" applyBorder="0" applyProtection="0">
      <alignment horizontal="right" vertical="center"/>
    </xf>
    <xf numFmtId="0" fontId="51" fillId="0" borderId="392" applyNumberFormat="0" applyFill="0" applyAlignment="0" applyProtection="0"/>
    <xf numFmtId="4" fontId="33" fillId="34" borderId="378">
      <alignment horizontal="right" vertical="center"/>
    </xf>
    <xf numFmtId="0" fontId="37" fillId="32" borderId="386">
      <alignment horizontal="right" vertical="center"/>
    </xf>
    <xf numFmtId="0" fontId="37" fillId="32" borderId="378">
      <alignment horizontal="right" vertical="center"/>
    </xf>
    <xf numFmtId="0" fontId="12" fillId="31" borderId="0" applyNumberFormat="0" applyBorder="0" applyAlignment="0" applyProtection="0"/>
    <xf numFmtId="0" fontId="33" fillId="34" borderId="399">
      <alignment horizontal="right" vertical="center"/>
    </xf>
    <xf numFmtId="0" fontId="41" fillId="59" borderId="396" applyNumberFormat="0" applyFont="0" applyAlignment="0" applyProtection="0"/>
    <xf numFmtId="0" fontId="35" fillId="34" borderId="400">
      <alignment horizontal="left" vertical="center" wrapText="1" indent="2"/>
    </xf>
    <xf numFmtId="4" fontId="33" fillId="34" borderId="379">
      <alignment horizontal="right" vertical="center"/>
    </xf>
    <xf numFmtId="49" fontId="35" fillId="0" borderId="397" applyNumberFormat="0" applyFont="0" applyFill="0" applyBorder="0" applyProtection="0">
      <alignment horizontal="left" vertical="center" indent="2"/>
    </xf>
    <xf numFmtId="49" fontId="35" fillId="0" borderId="378" applyNumberFormat="0" applyFont="0" applyFill="0" applyBorder="0" applyProtection="0">
      <alignment horizontal="left" vertical="center" indent="2"/>
    </xf>
    <xf numFmtId="0" fontId="35" fillId="0" borderId="381">
      <alignment horizontal="left" vertical="center" wrapText="1" indent="2"/>
    </xf>
    <xf numFmtId="0" fontId="35" fillId="0" borderId="407">
      <alignment horizontal="left" vertical="center" wrapText="1" indent="2"/>
    </xf>
    <xf numFmtId="0" fontId="63" fillId="56" borderId="382" applyNumberFormat="0" applyAlignment="0" applyProtection="0"/>
    <xf numFmtId="0" fontId="5" fillId="59" borderId="396" applyNumberFormat="0" applyFont="0" applyAlignment="0" applyProtection="0"/>
    <xf numFmtId="0" fontId="35" fillId="0" borderId="386" applyNumberFormat="0" applyFill="0" applyAlignment="0" applyProtection="0"/>
    <xf numFmtId="173" fontId="35" fillId="60" borderId="378" applyNumberFormat="0" applyFont="0" applyBorder="0" applyAlignment="0" applyProtection="0">
      <alignment horizontal="right" vertical="center"/>
    </xf>
    <xf numFmtId="49" fontId="35" fillId="0" borderId="386" applyNumberFormat="0" applyFont="0" applyFill="0" applyBorder="0" applyProtection="0">
      <alignment horizontal="left" vertical="center" indent="2"/>
    </xf>
    <xf numFmtId="0" fontId="27" fillId="21" borderId="0" applyNumberFormat="0" applyBorder="0" applyAlignment="0" applyProtection="0"/>
    <xf numFmtId="4" fontId="35" fillId="33" borderId="378"/>
    <xf numFmtId="0" fontId="63" fillId="56" borderId="408" applyNumberFormat="0" applyAlignment="0" applyProtection="0"/>
    <xf numFmtId="0" fontId="27" fillId="24" borderId="0" applyNumberFormat="0" applyBorder="0" applyAlignment="0" applyProtection="0"/>
    <xf numFmtId="0" fontId="35" fillId="0" borderId="378" applyNumberFormat="0" applyFill="0" applyAlignment="0" applyProtection="0"/>
    <xf numFmtId="0" fontId="44" fillId="56" borderId="382" applyNumberFormat="0" applyAlignment="0" applyProtection="0"/>
    <xf numFmtId="0" fontId="44" fillId="56" borderId="390" applyNumberFormat="0" applyAlignment="0" applyProtection="0"/>
    <xf numFmtId="0" fontId="27" fillId="23" borderId="0" applyNumberFormat="0" applyBorder="0" applyAlignment="0" applyProtection="0"/>
    <xf numFmtId="0" fontId="27" fillId="17" borderId="0" applyNumberFormat="0" applyBorder="0" applyAlignment="0" applyProtection="0"/>
    <xf numFmtId="0" fontId="33" fillId="34" borderId="379">
      <alignment horizontal="right" vertical="center"/>
    </xf>
    <xf numFmtId="0" fontId="35" fillId="33" borderId="386"/>
    <xf numFmtId="4" fontId="37" fillId="32" borderId="378">
      <alignment horizontal="right" vertical="center"/>
    </xf>
    <xf numFmtId="0" fontId="33" fillId="32" borderId="378">
      <alignment horizontal="right" vertical="center"/>
    </xf>
    <xf numFmtId="0" fontId="27" fillId="26" borderId="0" applyNumberFormat="0" applyBorder="0" applyAlignment="0" applyProtection="0"/>
    <xf numFmtId="0" fontId="66" fillId="0" borderId="392" applyNumberFormat="0" applyFill="0" applyAlignment="0" applyProtection="0"/>
    <xf numFmtId="4" fontId="33" fillId="34" borderId="404">
      <alignment horizontal="right" vertical="center"/>
    </xf>
    <xf numFmtId="173" fontId="35" fillId="60" borderId="404" applyNumberFormat="0" applyFont="0" applyBorder="0" applyAlignment="0" applyProtection="0">
      <alignment horizontal="right" vertical="center"/>
    </xf>
    <xf numFmtId="0" fontId="50" fillId="43" borderId="394" applyNumberFormat="0" applyAlignment="0" applyProtection="0"/>
    <xf numFmtId="0" fontId="47" fillId="56" borderId="401" applyNumberFormat="0" applyAlignment="0" applyProtection="0"/>
    <xf numFmtId="0" fontId="51" fillId="0" borderId="395" applyNumberFormat="0" applyFill="0" applyAlignment="0" applyProtection="0"/>
    <xf numFmtId="0" fontId="35" fillId="34" borderId="381">
      <alignment horizontal="left" vertical="center" wrapText="1" indent="2"/>
    </xf>
    <xf numFmtId="0" fontId="46" fillId="56" borderId="394" applyNumberFormat="0" applyAlignment="0" applyProtection="0"/>
    <xf numFmtId="0" fontId="51" fillId="0" borderId="392" applyNumberFormat="0" applyFill="0" applyAlignment="0" applyProtection="0"/>
    <xf numFmtId="0" fontId="47" fillId="56" borderId="401" applyNumberFormat="0" applyAlignment="0" applyProtection="0"/>
    <xf numFmtId="0" fontId="46" fillId="56" borderId="391" applyNumberFormat="0" applyAlignment="0" applyProtection="0"/>
    <xf numFmtId="0" fontId="27" fillId="17" borderId="0" applyNumberFormat="0" applyBorder="0" applyAlignment="0" applyProtection="0"/>
    <xf numFmtId="0" fontId="33" fillId="34" borderId="397">
      <alignment horizontal="right" vertical="center"/>
    </xf>
    <xf numFmtId="49" fontId="34" fillId="0" borderId="386" applyNumberFormat="0" applyFill="0" applyBorder="0" applyProtection="0">
      <alignment horizontal="left" vertical="center"/>
    </xf>
    <xf numFmtId="0" fontId="35" fillId="0" borderId="381">
      <alignment horizontal="left" vertical="center" wrapText="1" indent="2"/>
    </xf>
    <xf numFmtId="0" fontId="35" fillId="0" borderId="381">
      <alignment horizontal="left" vertical="center" wrapText="1" indent="2"/>
    </xf>
    <xf numFmtId="0" fontId="66" fillId="0" borderId="384" applyNumberFormat="0" applyFill="0" applyAlignment="0" applyProtection="0"/>
    <xf numFmtId="0" fontId="35" fillId="0" borderId="389">
      <alignment horizontal="left" vertical="center" wrapText="1" indent="2"/>
    </xf>
    <xf numFmtId="4" fontId="33" fillId="34" borderId="410">
      <alignment horizontal="right" vertical="center"/>
    </xf>
    <xf numFmtId="0" fontId="33" fillId="32" borderId="378">
      <alignment horizontal="right" vertical="center"/>
    </xf>
    <xf numFmtId="0" fontId="37" fillId="32" borderId="386">
      <alignment horizontal="right" vertical="center"/>
    </xf>
    <xf numFmtId="0" fontId="59" fillId="43" borderId="383" applyNumberFormat="0" applyAlignment="0" applyProtection="0"/>
    <xf numFmtId="4" fontId="37" fillId="32" borderId="378">
      <alignment horizontal="right" vertical="center"/>
    </xf>
    <xf numFmtId="0" fontId="33" fillId="34" borderId="398">
      <alignment horizontal="right" vertical="center"/>
    </xf>
    <xf numFmtId="0" fontId="35" fillId="32" borderId="405">
      <alignment horizontal="left" vertical="center"/>
    </xf>
    <xf numFmtId="0" fontId="27" fillId="23" borderId="0" applyNumberFormat="0" applyBorder="0" applyAlignment="0" applyProtection="0"/>
    <xf numFmtId="0" fontId="47" fillId="56" borderId="394" applyNumberFormat="0" applyAlignment="0" applyProtection="0"/>
    <xf numFmtId="173" fontId="35" fillId="60" borderId="378" applyNumberFormat="0" applyFont="0" applyBorder="0" applyAlignment="0" applyProtection="0">
      <alignment horizontal="right" vertical="center"/>
    </xf>
    <xf numFmtId="0" fontId="41" fillId="59" borderId="377" applyNumberFormat="0" applyFont="0" applyAlignment="0" applyProtection="0"/>
    <xf numFmtId="0" fontId="27" fillId="18" borderId="0" applyNumberFormat="0" applyBorder="0" applyAlignment="0" applyProtection="0"/>
    <xf numFmtId="0" fontId="41" fillId="59" borderId="377" applyNumberFormat="0" applyFont="0" applyAlignment="0" applyProtection="0"/>
    <xf numFmtId="0" fontId="27" fillId="18" borderId="0" applyNumberFormat="0" applyBorder="0" applyAlignment="0" applyProtection="0"/>
    <xf numFmtId="0" fontId="66" fillId="0" borderId="392" applyNumberFormat="0" applyFill="0" applyAlignment="0" applyProtection="0"/>
    <xf numFmtId="4" fontId="33" fillId="34" borderId="388">
      <alignment horizontal="right" vertical="center"/>
    </xf>
    <xf numFmtId="0" fontId="33" fillId="34" borderId="378">
      <alignment horizontal="right" vertical="center"/>
    </xf>
    <xf numFmtId="4" fontId="35" fillId="33" borderId="378"/>
    <xf numFmtId="49" fontId="35" fillId="0" borderId="378" applyNumberFormat="0" applyFont="0" applyFill="0" applyBorder="0" applyProtection="0">
      <alignment horizontal="left" vertical="center" indent="2"/>
    </xf>
    <xf numFmtId="0" fontId="51" fillId="0" borderId="395" applyNumberFormat="0" applyFill="0" applyAlignment="0" applyProtection="0"/>
    <xf numFmtId="0" fontId="33" fillId="32" borderId="404">
      <alignment horizontal="right" vertical="center"/>
    </xf>
    <xf numFmtId="0" fontId="66" fillId="0" borderId="392" applyNumberFormat="0" applyFill="0" applyAlignment="0" applyProtection="0"/>
    <xf numFmtId="0" fontId="12" fillId="25" borderId="0" applyNumberFormat="0" applyBorder="0" applyAlignment="0" applyProtection="0"/>
    <xf numFmtId="0" fontId="27" fillId="15" borderId="0" applyNumberFormat="0" applyBorder="0" applyAlignment="0" applyProtection="0"/>
    <xf numFmtId="0" fontId="27" fillId="29" borderId="0" applyNumberFormat="0" applyBorder="0" applyAlignment="0" applyProtection="0"/>
    <xf numFmtId="0" fontId="63" fillId="56" borderId="393" applyNumberFormat="0" applyAlignment="0" applyProtection="0"/>
    <xf numFmtId="0" fontId="12" fillId="25" borderId="0" applyNumberFormat="0" applyBorder="0" applyAlignment="0" applyProtection="0"/>
    <xf numFmtId="0" fontId="47" fillId="56" borderId="383" applyNumberFormat="0" applyAlignment="0" applyProtection="0"/>
    <xf numFmtId="0" fontId="35" fillId="33" borderId="378"/>
    <xf numFmtId="4" fontId="37" fillId="32" borderId="378">
      <alignment horizontal="right" vertical="center"/>
    </xf>
    <xf numFmtId="0" fontId="66" fillId="0" borderId="384" applyNumberFormat="0" applyFill="0" applyAlignment="0" applyProtection="0"/>
    <xf numFmtId="0" fontId="12" fillId="25" borderId="0" applyNumberFormat="0" applyBorder="0" applyAlignment="0" applyProtection="0"/>
    <xf numFmtId="0" fontId="44" fillId="56" borderId="390" applyNumberFormat="0" applyAlignment="0" applyProtection="0"/>
    <xf numFmtId="0" fontId="63" fillId="56" borderId="393" applyNumberFormat="0" applyAlignment="0" applyProtection="0"/>
    <xf numFmtId="0" fontId="37" fillId="32" borderId="378">
      <alignment horizontal="right" vertical="center"/>
    </xf>
    <xf numFmtId="0" fontId="27" fillId="30" borderId="0" applyNumberFormat="0" applyBorder="0" applyAlignment="0" applyProtection="0"/>
    <xf numFmtId="0" fontId="63" fillId="56" borderId="408" applyNumberFormat="0" applyAlignment="0" applyProtection="0"/>
    <xf numFmtId="0" fontId="63" fillId="56" borderId="382" applyNumberFormat="0" applyAlignment="0" applyProtection="0"/>
    <xf numFmtId="0" fontId="35" fillId="34" borderId="389">
      <alignment horizontal="left" vertical="center" wrapText="1" indent="2"/>
    </xf>
    <xf numFmtId="0" fontId="12" fillId="31" borderId="0" applyNumberFormat="0" applyBorder="0" applyAlignment="0" applyProtection="0"/>
    <xf numFmtId="0" fontId="27" fillId="21" borderId="0" applyNumberFormat="0" applyBorder="0" applyAlignment="0" applyProtection="0"/>
    <xf numFmtId="0" fontId="33" fillId="34" borderId="386">
      <alignment horizontal="right" vertical="center"/>
    </xf>
    <xf numFmtId="4" fontId="33" fillId="32" borderId="378">
      <alignment horizontal="right" vertical="center"/>
    </xf>
    <xf numFmtId="4" fontId="35" fillId="33" borderId="397"/>
    <xf numFmtId="4" fontId="35" fillId="0" borderId="386">
      <alignment horizontal="right" vertical="center"/>
    </xf>
    <xf numFmtId="0" fontId="46" fillId="56" borderId="391" applyNumberFormat="0" applyAlignment="0" applyProtection="0"/>
    <xf numFmtId="0" fontId="66" fillId="0" borderId="392" applyNumberFormat="0" applyFill="0" applyAlignment="0" applyProtection="0"/>
    <xf numFmtId="0" fontId="33" fillId="32" borderId="386">
      <alignment horizontal="right" vertical="center"/>
    </xf>
    <xf numFmtId="0" fontId="27" fillId="29" borderId="0" applyNumberFormat="0" applyBorder="0" applyAlignment="0" applyProtection="0"/>
    <xf numFmtId="0" fontId="33" fillId="34" borderId="378">
      <alignment horizontal="right" vertical="center"/>
    </xf>
    <xf numFmtId="0" fontId="46" fillId="56" borderId="391" applyNumberFormat="0" applyAlignment="0" applyProtection="0"/>
    <xf numFmtId="0" fontId="27" fillId="24" borderId="0" applyNumberFormat="0" applyBorder="0" applyAlignment="0" applyProtection="0"/>
    <xf numFmtId="0" fontId="51" fillId="0" borderId="384" applyNumberFormat="0" applyFill="0" applyAlignment="0" applyProtection="0"/>
    <xf numFmtId="0" fontId="27" fillId="20" borderId="0" applyNumberFormat="0" applyBorder="0" applyAlignment="0" applyProtection="0"/>
    <xf numFmtId="4" fontId="33" fillId="32" borderId="378">
      <alignment horizontal="right" vertical="center"/>
    </xf>
    <xf numFmtId="0" fontId="35" fillId="34" borderId="381">
      <alignment horizontal="left" vertical="center" wrapText="1" indent="2"/>
    </xf>
    <xf numFmtId="0" fontId="47" fillId="56" borderId="383" applyNumberFormat="0" applyAlignment="0" applyProtection="0"/>
    <xf numFmtId="0" fontId="46" fillId="56" borderId="383" applyNumberFormat="0" applyAlignment="0" applyProtection="0"/>
    <xf numFmtId="0" fontId="35" fillId="33" borderId="386"/>
    <xf numFmtId="0" fontId="33" fillId="34" borderId="379">
      <alignment horizontal="right" vertical="center"/>
    </xf>
    <xf numFmtId="0" fontId="41" fillId="59" borderId="396" applyNumberFormat="0" applyFont="0" applyAlignment="0" applyProtection="0"/>
    <xf numFmtId="0" fontId="2" fillId="0" borderId="15" applyNumberFormat="0" applyFill="0" applyAlignment="0" applyProtection="0"/>
    <xf numFmtId="4" fontId="35" fillId="33" borderId="397"/>
    <xf numFmtId="0" fontId="12" fillId="16" borderId="0" applyNumberFormat="0" applyBorder="0" applyAlignment="0" applyProtection="0"/>
    <xf numFmtId="0" fontId="33" fillId="34" borderId="378">
      <alignment horizontal="right" vertical="center"/>
    </xf>
    <xf numFmtId="0" fontId="50" fillId="43" borderId="383" applyNumberFormat="0" applyAlignment="0" applyProtection="0"/>
    <xf numFmtId="0" fontId="37" fillId="32" borderId="386">
      <alignment horizontal="right" vertical="center"/>
    </xf>
    <xf numFmtId="0" fontId="35" fillId="34" borderId="413">
      <alignment horizontal="left" vertical="center" wrapText="1" indent="2"/>
    </xf>
    <xf numFmtId="0" fontId="29" fillId="13" borderId="14" applyNumberFormat="0" applyAlignment="0" applyProtection="0"/>
    <xf numFmtId="0" fontId="5" fillId="59" borderId="385" applyNumberFormat="0" applyFont="0" applyAlignment="0" applyProtection="0"/>
    <xf numFmtId="0" fontId="27" fillId="29" borderId="0" applyNumberFormat="0" applyBorder="0" applyAlignment="0" applyProtection="0"/>
    <xf numFmtId="0" fontId="35" fillId="34" borderId="381">
      <alignment horizontal="left" vertical="center" wrapText="1" indent="2"/>
    </xf>
    <xf numFmtId="0" fontId="27" fillId="27" borderId="0" applyNumberFormat="0" applyBorder="0" applyAlignment="0" applyProtection="0"/>
    <xf numFmtId="0" fontId="59" fillId="43" borderId="391" applyNumberFormat="0" applyAlignment="0" applyProtection="0"/>
    <xf numFmtId="0" fontId="50" fillId="43" borderId="391" applyNumberFormat="0" applyAlignment="0" applyProtection="0"/>
    <xf numFmtId="4" fontId="33" fillId="34" borderId="386">
      <alignment horizontal="right" vertical="center"/>
    </xf>
    <xf numFmtId="4" fontId="35" fillId="0" borderId="378">
      <alignment horizontal="right" vertical="center"/>
    </xf>
    <xf numFmtId="0" fontId="47" fillId="56" borderId="394" applyNumberFormat="0" applyAlignment="0" applyProtection="0"/>
    <xf numFmtId="0" fontId="35" fillId="0" borderId="378">
      <alignment horizontal="right" vertical="center"/>
    </xf>
    <xf numFmtId="4" fontId="33" fillId="34" borderId="410">
      <alignment horizontal="right" vertical="center"/>
    </xf>
    <xf numFmtId="0" fontId="27" fillId="15" borderId="0" applyNumberFormat="0" applyBorder="0" applyAlignment="0" applyProtection="0"/>
    <xf numFmtId="0" fontId="35" fillId="33" borderId="386"/>
    <xf numFmtId="4" fontId="35" fillId="0" borderId="386">
      <alignment horizontal="right" vertical="center"/>
    </xf>
    <xf numFmtId="49" fontId="35" fillId="0" borderId="379" applyNumberFormat="0" applyFont="0" applyFill="0" applyBorder="0" applyProtection="0">
      <alignment horizontal="left" vertical="center" indent="5"/>
    </xf>
    <xf numFmtId="0" fontId="35" fillId="33" borderId="397"/>
    <xf numFmtId="0" fontId="35" fillId="34" borderId="389">
      <alignment horizontal="left" vertical="center" wrapText="1" indent="2"/>
    </xf>
    <xf numFmtId="0" fontId="35" fillId="0" borderId="410" applyNumberFormat="0" applyFill="0" applyAlignment="0" applyProtection="0"/>
    <xf numFmtId="49" fontId="34" fillId="0" borderId="410" applyNumberFormat="0" applyFill="0" applyBorder="0" applyProtection="0">
      <alignment horizontal="left" vertical="center"/>
    </xf>
    <xf numFmtId="0" fontId="35" fillId="32" borderId="379">
      <alignment horizontal="left" vertical="center"/>
    </xf>
    <xf numFmtId="0" fontId="35" fillId="0" borderId="381">
      <alignment horizontal="left" vertical="center" wrapText="1" indent="2"/>
    </xf>
    <xf numFmtId="0" fontId="51" fillId="0" borderId="392" applyNumberFormat="0" applyFill="0" applyAlignment="0" applyProtection="0"/>
    <xf numFmtId="4" fontId="33" fillId="34" borderId="386">
      <alignment horizontal="right" vertical="center"/>
    </xf>
    <xf numFmtId="0" fontId="31" fillId="0" borderId="0" applyNumberFormat="0" applyFill="0" applyBorder="0" applyAlignment="0" applyProtection="0"/>
    <xf numFmtId="4" fontId="35" fillId="0" borderId="404">
      <alignment horizontal="right" vertical="center"/>
    </xf>
    <xf numFmtId="0" fontId="44" fillId="56" borderId="393" applyNumberFormat="0" applyAlignment="0" applyProtection="0"/>
    <xf numFmtId="173" fontId="35" fillId="60" borderId="386" applyNumberFormat="0" applyFont="0" applyBorder="0" applyAlignment="0" applyProtection="0">
      <alignment horizontal="right" vertical="center"/>
    </xf>
    <xf numFmtId="0" fontId="47" fillId="56" borderId="391" applyNumberFormat="0" applyAlignment="0" applyProtection="0"/>
    <xf numFmtId="4" fontId="33" fillId="34" borderId="387">
      <alignment horizontal="right" vertical="center"/>
    </xf>
    <xf numFmtId="0" fontId="35" fillId="34" borderId="400">
      <alignment horizontal="left" vertical="center" wrapText="1" indent="2"/>
    </xf>
    <xf numFmtId="0" fontId="50" fillId="43" borderId="391" applyNumberFormat="0" applyAlignment="0" applyProtection="0"/>
    <xf numFmtId="0" fontId="33" fillId="32" borderId="378">
      <alignment horizontal="right" vertical="center"/>
    </xf>
    <xf numFmtId="0" fontId="51" fillId="0" borderId="384" applyNumberFormat="0" applyFill="0" applyAlignment="0" applyProtection="0"/>
    <xf numFmtId="0" fontId="35" fillId="0" borderId="378" applyNumberFormat="0" applyFill="0" applyAlignment="0" applyProtection="0"/>
    <xf numFmtId="0" fontId="51" fillId="0" borderId="384" applyNumberFormat="0" applyFill="0" applyAlignment="0" applyProtection="0"/>
    <xf numFmtId="4" fontId="35" fillId="0" borderId="378" applyFill="0" applyBorder="0" applyProtection="0">
      <alignment horizontal="right" vertical="center"/>
    </xf>
    <xf numFmtId="49" fontId="35" fillId="0" borderId="379" applyNumberFormat="0" applyFont="0" applyFill="0" applyBorder="0" applyProtection="0">
      <alignment horizontal="left" vertical="center" indent="5"/>
    </xf>
    <xf numFmtId="0" fontId="35" fillId="0" borderId="378" applyNumberFormat="0" applyFill="0" applyAlignment="0" applyProtection="0"/>
    <xf numFmtId="4" fontId="35" fillId="0" borderId="397">
      <alignment horizontal="right" vertical="center"/>
    </xf>
    <xf numFmtId="0" fontId="35" fillId="0" borderId="378" applyNumberFormat="0" applyFill="0" applyAlignment="0" applyProtection="0"/>
    <xf numFmtId="0" fontId="35" fillId="0" borderId="389">
      <alignment horizontal="left" vertical="center" wrapText="1" indent="2"/>
    </xf>
    <xf numFmtId="0" fontId="35" fillId="0" borderId="407">
      <alignment horizontal="left" vertical="center" wrapText="1" indent="2"/>
    </xf>
    <xf numFmtId="4" fontId="33" fillId="34" borderId="378">
      <alignment horizontal="right" vertical="center"/>
    </xf>
    <xf numFmtId="49" fontId="35" fillId="0" borderId="386" applyNumberFormat="0" applyFont="0" applyFill="0" applyBorder="0" applyProtection="0">
      <alignment horizontal="left" vertical="center" indent="2"/>
    </xf>
    <xf numFmtId="0" fontId="35" fillId="33" borderId="386"/>
    <xf numFmtId="0" fontId="12" fillId="22" borderId="0" applyNumberFormat="0" applyBorder="0" applyAlignment="0" applyProtection="0"/>
    <xf numFmtId="4" fontId="33" fillId="32" borderId="410">
      <alignment horizontal="right" vertical="center"/>
    </xf>
    <xf numFmtId="0" fontId="50" fillId="43" borderId="383" applyNumberFormat="0" applyAlignment="0" applyProtection="0"/>
    <xf numFmtId="0" fontId="47" fillId="56" borderId="383" applyNumberFormat="0" applyAlignment="0" applyProtection="0"/>
    <xf numFmtId="4" fontId="35" fillId="0" borderId="378">
      <alignment horizontal="right" vertical="center"/>
    </xf>
    <xf numFmtId="0" fontId="35" fillId="34" borderId="381">
      <alignment horizontal="left" vertical="center" wrapText="1" indent="2"/>
    </xf>
    <xf numFmtId="0" fontId="35" fillId="0" borderId="381">
      <alignment horizontal="left" vertical="center" wrapText="1" indent="2"/>
    </xf>
    <xf numFmtId="0" fontId="63" fillId="56" borderId="382" applyNumberFormat="0" applyAlignment="0" applyProtection="0"/>
    <xf numFmtId="0" fontId="59" fillId="43" borderId="383" applyNumberFormat="0" applyAlignment="0" applyProtection="0"/>
    <xf numFmtId="0" fontId="46" fillId="56" borderId="383" applyNumberFormat="0" applyAlignment="0" applyProtection="0"/>
    <xf numFmtId="0" fontId="44" fillId="56" borderId="382" applyNumberFormat="0" applyAlignment="0" applyProtection="0"/>
    <xf numFmtId="0" fontId="33" fillId="34" borderId="380">
      <alignment horizontal="right" vertical="center"/>
    </xf>
    <xf numFmtId="0" fontId="37" fillId="32" borderId="378">
      <alignment horizontal="right" vertical="center"/>
    </xf>
    <xf numFmtId="4" fontId="33" fillId="32" borderId="378">
      <alignment horizontal="right" vertical="center"/>
    </xf>
    <xf numFmtId="4" fontId="33" fillId="34" borderId="378">
      <alignment horizontal="right" vertical="center"/>
    </xf>
    <xf numFmtId="49" fontId="35" fillId="0" borderId="379" applyNumberFormat="0" applyFont="0" applyFill="0" applyBorder="0" applyProtection="0">
      <alignment horizontal="left" vertical="center" indent="5"/>
    </xf>
    <xf numFmtId="4" fontId="35" fillId="0" borderId="378" applyFill="0" applyBorder="0" applyProtection="0">
      <alignment horizontal="right" vertical="center"/>
    </xf>
    <xf numFmtId="4" fontId="33" fillId="32" borderId="378">
      <alignment horizontal="right" vertical="center"/>
    </xf>
    <xf numFmtId="0" fontId="59" fillId="43" borderId="383" applyNumberFormat="0" applyAlignment="0" applyProtection="0"/>
    <xf numFmtId="0" fontId="50" fillId="43" borderId="383" applyNumberFormat="0" applyAlignment="0" applyProtection="0"/>
    <xf numFmtId="0" fontId="46" fillId="56" borderId="383" applyNumberFormat="0" applyAlignment="0" applyProtection="0"/>
    <xf numFmtId="0" fontId="35" fillId="34" borderId="381">
      <alignment horizontal="left" vertical="center" wrapText="1" indent="2"/>
    </xf>
    <xf numFmtId="0" fontId="35" fillId="0" borderId="381">
      <alignment horizontal="left" vertical="center" wrapText="1" indent="2"/>
    </xf>
    <xf numFmtId="0" fontId="35" fillId="34" borderId="381">
      <alignment horizontal="left" vertical="center" wrapText="1" indent="2"/>
    </xf>
    <xf numFmtId="0" fontId="35" fillId="32" borderId="387">
      <alignment horizontal="left" vertical="center"/>
    </xf>
    <xf numFmtId="0" fontId="50" fillId="43" borderId="401" applyNumberFormat="0" applyAlignment="0" applyProtection="0"/>
    <xf numFmtId="0" fontId="27" fillId="20" borderId="0" applyNumberFormat="0" applyBorder="0" applyAlignment="0" applyProtection="0"/>
    <xf numFmtId="0" fontId="33" fillId="34" borderId="399">
      <alignment horizontal="right" vertical="center"/>
    </xf>
    <xf numFmtId="0" fontId="1" fillId="0" borderId="0" applyNumberFormat="0" applyFill="0" applyBorder="0" applyAlignment="0" applyProtection="0"/>
    <xf numFmtId="4" fontId="33" fillId="34" borderId="397">
      <alignment horizontal="right" vertical="center"/>
    </xf>
    <xf numFmtId="4" fontId="35" fillId="33" borderId="397"/>
    <xf numFmtId="4" fontId="33" fillId="34" borderId="397">
      <alignment horizontal="right" vertical="center"/>
    </xf>
    <xf numFmtId="4" fontId="33" fillId="34" borderId="429">
      <alignment horizontal="right" vertical="center"/>
    </xf>
    <xf numFmtId="4" fontId="35" fillId="0" borderId="404" applyFill="0" applyBorder="0" applyProtection="0">
      <alignment horizontal="right" vertical="center"/>
    </xf>
    <xf numFmtId="0" fontId="46" fillId="56" borderId="394" applyNumberFormat="0" applyAlignment="0" applyProtection="0"/>
    <xf numFmtId="0" fontId="27" fillId="20" borderId="0" applyNumberFormat="0" applyBorder="0" applyAlignment="0" applyProtection="0"/>
    <xf numFmtId="0" fontId="66" fillId="0" borderId="395" applyNumberFormat="0" applyFill="0" applyAlignment="0" applyProtection="0"/>
    <xf numFmtId="0" fontId="47" fillId="56" borderId="394" applyNumberFormat="0" applyAlignment="0" applyProtection="0"/>
    <xf numFmtId="0" fontId="27" fillId="14" borderId="0" applyNumberFormat="0" applyBorder="0" applyAlignment="0" applyProtection="0"/>
    <xf numFmtId="49" fontId="35" fillId="0" borderId="410" applyNumberFormat="0" applyFont="0" applyFill="0" applyBorder="0" applyProtection="0">
      <alignment horizontal="left" vertical="center" indent="2"/>
    </xf>
    <xf numFmtId="4" fontId="35" fillId="33" borderId="404"/>
    <xf numFmtId="0" fontId="35" fillId="34" borderId="400">
      <alignment horizontal="left" vertical="center" wrapText="1" indent="2"/>
    </xf>
    <xf numFmtId="173" fontId="35" fillId="60" borderId="397" applyNumberFormat="0" applyFont="0" applyBorder="0" applyAlignment="0" applyProtection="0">
      <alignment horizontal="right" vertical="center"/>
    </xf>
    <xf numFmtId="0" fontId="35" fillId="0" borderId="400">
      <alignment horizontal="left" vertical="center" wrapText="1" indent="2"/>
    </xf>
    <xf numFmtId="0" fontId="27" fillId="20" borderId="0" applyNumberFormat="0" applyBorder="0" applyAlignment="0" applyProtection="0"/>
    <xf numFmtId="0" fontId="31" fillId="0" borderId="0" applyNumberFormat="0" applyFill="0" applyBorder="0" applyAlignment="0" applyProtection="0"/>
    <xf numFmtId="0" fontId="47" fillId="56" borderId="394" applyNumberFormat="0" applyAlignment="0" applyProtection="0"/>
    <xf numFmtId="0" fontId="44" fillId="56" borderId="393" applyNumberFormat="0" applyAlignment="0" applyProtection="0"/>
    <xf numFmtId="0" fontId="44" fillId="56" borderId="393" applyNumberFormat="0" applyAlignment="0" applyProtection="0"/>
    <xf numFmtId="0" fontId="50" fillId="43" borderId="394" applyNumberFormat="0" applyAlignment="0" applyProtection="0"/>
    <xf numFmtId="0" fontId="37" fillId="32" borderId="404">
      <alignment horizontal="right" vertical="center"/>
    </xf>
    <xf numFmtId="0" fontId="51" fillId="0" borderId="395" applyNumberFormat="0" applyFill="0" applyAlignment="0" applyProtection="0"/>
    <xf numFmtId="0" fontId="35" fillId="32" borderId="398">
      <alignment horizontal="left" vertical="center"/>
    </xf>
    <xf numFmtId="0" fontId="41" fillId="59" borderId="417" applyNumberFormat="0" applyFont="0" applyAlignment="0" applyProtection="0"/>
    <xf numFmtId="0" fontId="41" fillId="59" borderId="385" applyNumberFormat="0" applyFont="0" applyAlignment="0" applyProtection="0"/>
    <xf numFmtId="4" fontId="37" fillId="32" borderId="418">
      <alignment horizontal="right" vertical="center"/>
    </xf>
    <xf numFmtId="4" fontId="33" fillId="34" borderId="397">
      <alignment horizontal="right" vertical="center"/>
    </xf>
    <xf numFmtId="0" fontId="5" fillId="59" borderId="385" applyNumberFormat="0" applyFont="0" applyAlignment="0" applyProtection="0"/>
    <xf numFmtId="0" fontId="33" fillId="34" borderId="410">
      <alignment horizontal="right" vertical="center"/>
    </xf>
    <xf numFmtId="0" fontId="30" fillId="13" borderId="13" applyNumberFormat="0" applyAlignment="0" applyProtection="0"/>
    <xf numFmtId="0" fontId="66" fillId="0" borderId="416" applyNumberFormat="0" applyFill="0" applyAlignment="0" applyProtection="0"/>
    <xf numFmtId="0" fontId="35" fillId="32" borderId="405">
      <alignment horizontal="left" vertical="center"/>
    </xf>
    <xf numFmtId="0" fontId="33" fillId="34" borderId="406">
      <alignment horizontal="right" vertical="center"/>
    </xf>
    <xf numFmtId="0" fontId="33" fillId="32" borderId="397">
      <alignment horizontal="right" vertical="center"/>
    </xf>
    <xf numFmtId="0" fontId="50" fillId="43" borderId="394" applyNumberFormat="0" applyAlignment="0" applyProtection="0"/>
    <xf numFmtId="0" fontId="66" fillId="0" borderId="395" applyNumberFormat="0" applyFill="0" applyAlignment="0" applyProtection="0"/>
    <xf numFmtId="0" fontId="27" fillId="27" borderId="0" applyNumberFormat="0" applyBorder="0" applyAlignment="0" applyProtection="0"/>
    <xf numFmtId="0" fontId="59" fillId="43" borderId="391" applyNumberFormat="0" applyAlignment="0" applyProtection="0"/>
    <xf numFmtId="0" fontId="35" fillId="0" borderId="397">
      <alignment horizontal="right" vertical="center"/>
    </xf>
    <xf numFmtId="0" fontId="35" fillId="34" borderId="389">
      <alignment horizontal="left" vertical="center" wrapText="1" indent="2"/>
    </xf>
    <xf numFmtId="4" fontId="37" fillId="32" borderId="386">
      <alignment horizontal="right" vertical="center"/>
    </xf>
    <xf numFmtId="0" fontId="66" fillId="0" borderId="416" applyNumberFormat="0" applyFill="0" applyAlignment="0" applyProtection="0"/>
    <xf numFmtId="0" fontId="50" fillId="43" borderId="401" applyNumberFormat="0" applyAlignment="0" applyProtection="0"/>
    <xf numFmtId="0" fontId="1" fillId="0" borderId="0" applyNumberFormat="0" applyFill="0" applyBorder="0" applyAlignment="0" applyProtection="0"/>
    <xf numFmtId="4" fontId="35" fillId="33" borderId="410"/>
    <xf numFmtId="0" fontId="27" fillId="21" borderId="0" applyNumberFormat="0" applyBorder="0" applyAlignment="0" applyProtection="0"/>
    <xf numFmtId="4" fontId="35" fillId="33" borderId="404"/>
    <xf numFmtId="0" fontId="44" fillId="56" borderId="393" applyNumberFormat="0" applyAlignment="0" applyProtection="0"/>
    <xf numFmtId="0" fontId="2" fillId="0" borderId="15" applyNumberFormat="0" applyFill="0" applyAlignment="0" applyProtection="0"/>
    <xf numFmtId="0" fontId="63" fillId="56" borderId="393" applyNumberFormat="0" applyAlignment="0" applyProtection="0"/>
    <xf numFmtId="0" fontId="66" fillId="0" borderId="402" applyNumberFormat="0" applyFill="0" applyAlignment="0" applyProtection="0"/>
    <xf numFmtId="4" fontId="37" fillId="32" borderId="386">
      <alignment horizontal="right" vertical="center"/>
    </xf>
    <xf numFmtId="4" fontId="33" fillId="32" borderId="386">
      <alignment horizontal="right" vertical="center"/>
    </xf>
    <xf numFmtId="0" fontId="35" fillId="0" borderId="389">
      <alignment horizontal="left" vertical="center" wrapText="1" indent="2"/>
    </xf>
    <xf numFmtId="0" fontId="63" fillId="56" borderId="390" applyNumberFormat="0" applyAlignment="0" applyProtection="0"/>
    <xf numFmtId="0" fontId="35" fillId="0" borderId="386">
      <alignment horizontal="right" vertical="center"/>
    </xf>
    <xf numFmtId="0" fontId="66" fillId="0" borderId="392" applyNumberFormat="0" applyFill="0" applyAlignment="0" applyProtection="0"/>
    <xf numFmtId="49" fontId="34" fillId="0" borderId="386" applyNumberFormat="0" applyFill="0" applyBorder="0" applyProtection="0">
      <alignment horizontal="left" vertical="center"/>
    </xf>
    <xf numFmtId="4" fontId="35" fillId="33" borderId="386"/>
    <xf numFmtId="0" fontId="59" fillId="43" borderId="391" applyNumberFormat="0" applyAlignment="0" applyProtection="0"/>
    <xf numFmtId="4" fontId="33" fillId="32" borderId="397">
      <alignment horizontal="right" vertical="center"/>
    </xf>
    <xf numFmtId="0" fontId="33" fillId="34" borderId="397">
      <alignment horizontal="right" vertical="center"/>
    </xf>
    <xf numFmtId="173" fontId="35" fillId="60" borderId="386" applyNumberFormat="0" applyFont="0" applyBorder="0" applyAlignment="0" applyProtection="0">
      <alignment horizontal="right" vertical="center"/>
    </xf>
    <xf numFmtId="4" fontId="37" fillId="32" borderId="397">
      <alignment horizontal="right" vertical="center"/>
    </xf>
    <xf numFmtId="0" fontId="47" fillId="56" borderId="391" applyNumberFormat="0" applyAlignment="0" applyProtection="0"/>
    <xf numFmtId="0" fontId="33" fillId="34" borderId="404">
      <alignment horizontal="right" vertical="center"/>
    </xf>
    <xf numFmtId="0" fontId="35" fillId="0" borderId="397" applyNumberFormat="0" applyFill="0" applyAlignment="0" applyProtection="0"/>
    <xf numFmtId="4" fontId="33" fillId="34" borderId="410">
      <alignment horizontal="right" vertical="center"/>
    </xf>
    <xf numFmtId="0" fontId="59" fillId="43" borderId="391" applyNumberFormat="0" applyAlignment="0" applyProtection="0"/>
    <xf numFmtId="0" fontId="44" fillId="56" borderId="390" applyNumberFormat="0" applyAlignment="0" applyProtection="0"/>
    <xf numFmtId="4" fontId="33" fillId="34" borderId="399">
      <alignment horizontal="right" vertical="center"/>
    </xf>
    <xf numFmtId="49" fontId="34" fillId="0" borderId="386" applyNumberFormat="0" applyFill="0" applyBorder="0" applyProtection="0">
      <alignment horizontal="left" vertical="center"/>
    </xf>
    <xf numFmtId="0" fontId="66" fillId="0" borderId="392" applyNumberFormat="0" applyFill="0" applyAlignment="0" applyProtection="0"/>
    <xf numFmtId="0" fontId="35" fillId="0" borderId="386">
      <alignment horizontal="right" vertical="center"/>
    </xf>
    <xf numFmtId="0" fontId="33" fillId="34" borderId="387">
      <alignment horizontal="right" vertical="center"/>
    </xf>
    <xf numFmtId="0" fontId="66" fillId="0" borderId="392" applyNumberFormat="0" applyFill="0" applyAlignment="0" applyProtection="0"/>
    <xf numFmtId="0" fontId="27" fillId="14" borderId="0" applyNumberFormat="0" applyBorder="0" applyAlignment="0" applyProtection="0"/>
    <xf numFmtId="0" fontId="37" fillId="32" borderId="429">
      <alignment horizontal="right" vertical="center"/>
    </xf>
    <xf numFmtId="4" fontId="33" fillId="32" borderId="418">
      <alignment horizontal="right" vertical="center"/>
    </xf>
    <xf numFmtId="0" fontId="35" fillId="0" borderId="407">
      <alignment horizontal="left" vertical="center" wrapText="1" indent="2"/>
    </xf>
    <xf numFmtId="0" fontId="59" fillId="43" borderId="401" applyNumberFormat="0" applyAlignment="0" applyProtection="0"/>
    <xf numFmtId="0" fontId="66" fillId="0" borderId="395" applyNumberFormat="0" applyFill="0" applyAlignment="0" applyProtection="0"/>
    <xf numFmtId="0" fontId="33" fillId="34" borderId="404">
      <alignment horizontal="right" vertical="center"/>
    </xf>
    <xf numFmtId="0" fontId="41" fillId="59" borderId="396" applyNumberFormat="0" applyFont="0" applyAlignment="0" applyProtection="0"/>
    <xf numFmtId="4" fontId="35" fillId="0" borderId="386" applyFill="0" applyBorder="0" applyProtection="0">
      <alignment horizontal="right" vertical="center"/>
    </xf>
    <xf numFmtId="0" fontId="29" fillId="13" borderId="14" applyNumberFormat="0" applyAlignment="0" applyProtection="0"/>
    <xf numFmtId="49" fontId="34" fillId="0" borderId="404" applyNumberFormat="0" applyFill="0" applyBorder="0" applyProtection="0">
      <alignment horizontal="left" vertical="center"/>
    </xf>
    <xf numFmtId="0" fontId="35" fillId="0" borderId="410">
      <alignment horizontal="right" vertical="center"/>
    </xf>
    <xf numFmtId="0" fontId="35" fillId="0" borderId="397">
      <alignment horizontal="right" vertical="center"/>
    </xf>
    <xf numFmtId="4" fontId="37" fillId="32" borderId="418">
      <alignment horizontal="right" vertical="center"/>
    </xf>
    <xf numFmtId="0" fontId="35" fillId="0" borderId="389">
      <alignment horizontal="left" vertical="center" wrapText="1" indent="2"/>
    </xf>
    <xf numFmtId="0" fontId="12" fillId="19" borderId="0" applyNumberFormat="0" applyBorder="0" applyAlignment="0" applyProtection="0"/>
    <xf numFmtId="0" fontId="66" fillId="0" borderId="392" applyNumberFormat="0" applyFill="0" applyAlignment="0" applyProtection="0"/>
    <xf numFmtId="0" fontId="44" fillId="56" borderId="390" applyNumberFormat="0" applyAlignment="0" applyProtection="0"/>
    <xf numFmtId="0" fontId="33" fillId="34" borderId="386">
      <alignment horizontal="right" vertical="center"/>
    </xf>
    <xf numFmtId="0" fontId="46" fillId="56" borderId="391" applyNumberFormat="0" applyAlignment="0" applyProtection="0"/>
    <xf numFmtId="0" fontId="35" fillId="0" borderId="410">
      <alignment horizontal="right" vertical="center"/>
    </xf>
    <xf numFmtId="4" fontId="37" fillId="32" borderId="410">
      <alignment horizontal="right" vertical="center"/>
    </xf>
    <xf numFmtId="0" fontId="35" fillId="32" borderId="387">
      <alignment horizontal="left" vertical="center"/>
    </xf>
    <xf numFmtId="0" fontId="33" fillId="32" borderId="397">
      <alignment horizontal="right" vertical="center"/>
    </xf>
    <xf numFmtId="4" fontId="35" fillId="33" borderId="397"/>
    <xf numFmtId="0" fontId="66" fillId="0" borderId="395" applyNumberFormat="0" applyFill="0" applyAlignment="0" applyProtection="0"/>
    <xf numFmtId="0" fontId="33" fillId="32" borderId="386">
      <alignment horizontal="right" vertical="center"/>
    </xf>
    <xf numFmtId="4" fontId="35" fillId="0" borderId="397">
      <alignment horizontal="right" vertical="center"/>
    </xf>
    <xf numFmtId="0" fontId="5" fillId="59" borderId="396" applyNumberFormat="0" applyFont="0" applyAlignment="0" applyProtection="0"/>
    <xf numFmtId="0" fontId="51" fillId="0" borderId="392" applyNumberFormat="0" applyFill="0" applyAlignment="0" applyProtection="0"/>
    <xf numFmtId="49" fontId="34" fillId="0" borderId="410" applyNumberFormat="0" applyFill="0" applyBorder="0" applyProtection="0">
      <alignment horizontal="left" vertical="center"/>
    </xf>
    <xf numFmtId="0" fontId="35" fillId="0" borderId="386">
      <alignment horizontal="right" vertical="center"/>
    </xf>
    <xf numFmtId="0" fontId="5" fillId="59" borderId="385" applyNumberFormat="0" applyFont="0" applyAlignment="0" applyProtection="0"/>
    <xf numFmtId="0" fontId="59" fillId="43" borderId="401" applyNumberFormat="0" applyAlignment="0" applyProtection="0"/>
    <xf numFmtId="0" fontId="66" fillId="0" borderId="402" applyNumberFormat="0" applyFill="0" applyAlignment="0" applyProtection="0"/>
    <xf numFmtId="0" fontId="51" fillId="0" borderId="416" applyNumberFormat="0" applyFill="0" applyAlignment="0" applyProtection="0"/>
    <xf numFmtId="0" fontId="12" fillId="31" borderId="0" applyNumberFormat="0" applyBorder="0" applyAlignment="0" applyProtection="0"/>
    <xf numFmtId="0" fontId="59" fillId="43" borderId="391" applyNumberFormat="0" applyAlignment="0" applyProtection="0"/>
    <xf numFmtId="0" fontId="51" fillId="0" borderId="402" applyNumberFormat="0" applyFill="0" applyAlignment="0" applyProtection="0"/>
    <xf numFmtId="49" fontId="35" fillId="0" borderId="387" applyNumberFormat="0" applyFont="0" applyFill="0" applyBorder="0" applyProtection="0">
      <alignment horizontal="left" vertical="center" indent="5"/>
    </xf>
    <xf numFmtId="4" fontId="33" fillId="34" borderId="397">
      <alignment horizontal="right" vertical="center"/>
    </xf>
    <xf numFmtId="0" fontId="35" fillId="0" borderId="386" applyNumberFormat="0" applyFill="0" applyAlignment="0" applyProtection="0"/>
    <xf numFmtId="0" fontId="51" fillId="0" borderId="392" applyNumberFormat="0" applyFill="0" applyAlignment="0" applyProtection="0"/>
    <xf numFmtId="0" fontId="63" fillId="56" borderId="390" applyNumberFormat="0" applyAlignment="0" applyProtection="0"/>
    <xf numFmtId="4" fontId="33" fillId="34" borderId="386">
      <alignment horizontal="right" vertical="center"/>
    </xf>
    <xf numFmtId="4" fontId="35" fillId="33" borderId="386"/>
    <xf numFmtId="0" fontId="66" fillId="0" borderId="392" applyNumberFormat="0" applyFill="0" applyAlignment="0" applyProtection="0"/>
    <xf numFmtId="0" fontId="44" fillId="56" borderId="408" applyNumberFormat="0" applyAlignment="0" applyProtection="0"/>
    <xf numFmtId="0" fontId="44" fillId="56" borderId="390" applyNumberFormat="0" applyAlignment="0" applyProtection="0"/>
    <xf numFmtId="0" fontId="46" fillId="56" borderId="391" applyNumberFormat="0" applyAlignment="0" applyProtection="0"/>
    <xf numFmtId="0" fontId="47" fillId="56" borderId="391" applyNumberFormat="0" applyAlignment="0" applyProtection="0"/>
    <xf numFmtId="0" fontId="63" fillId="56" borderId="390" applyNumberFormat="0" applyAlignment="0" applyProtection="0"/>
    <xf numFmtId="0" fontId="33" fillId="34" borderId="388">
      <alignment horizontal="right" vertical="center"/>
    </xf>
    <xf numFmtId="0" fontId="35" fillId="0" borderId="386" applyNumberFormat="0" applyFill="0" applyAlignment="0" applyProtection="0"/>
    <xf numFmtId="49" fontId="35" fillId="0" borderId="387" applyNumberFormat="0" applyFont="0" applyFill="0" applyBorder="0" applyProtection="0">
      <alignment horizontal="left" vertical="center" indent="5"/>
    </xf>
    <xf numFmtId="0" fontId="66" fillId="0" borderId="392" applyNumberFormat="0" applyFill="0" applyAlignment="0" applyProtection="0"/>
    <xf numFmtId="0" fontId="35" fillId="0" borderId="386" applyNumberFormat="0" applyFill="0" applyAlignment="0" applyProtection="0"/>
    <xf numFmtId="0" fontId="5" fillId="59" borderId="396" applyNumberFormat="0" applyFont="0" applyAlignment="0" applyProtection="0"/>
    <xf numFmtId="0" fontId="27" fillId="18" borderId="0" applyNumberFormat="0" applyBorder="0" applyAlignment="0" applyProtection="0"/>
    <xf numFmtId="49" fontId="34" fillId="0" borderId="404" applyNumberFormat="0" applyFill="0" applyBorder="0" applyProtection="0">
      <alignment horizontal="left" vertical="center"/>
    </xf>
    <xf numFmtId="0" fontId="35" fillId="0" borderId="407">
      <alignment horizontal="left" vertical="center" wrapText="1" indent="2"/>
    </xf>
    <xf numFmtId="0" fontId="27" fillId="24" borderId="0" applyNumberFormat="0" applyBorder="0" applyAlignment="0" applyProtection="0"/>
    <xf numFmtId="0" fontId="33" fillId="34" borderId="398">
      <alignment horizontal="right" vertical="center"/>
    </xf>
    <xf numFmtId="0" fontId="35" fillId="0" borderId="397" applyNumberFormat="0" applyFill="0" applyAlignment="0" applyProtection="0"/>
    <xf numFmtId="0" fontId="41" fillId="59" borderId="385" applyNumberFormat="0" applyFont="0" applyAlignment="0" applyProtection="0"/>
    <xf numFmtId="0" fontId="46" fillId="56" borderId="423" applyNumberFormat="0" applyAlignment="0" applyProtection="0"/>
    <xf numFmtId="0" fontId="31" fillId="0" borderId="0" applyNumberFormat="0" applyFill="0" applyBorder="0" applyAlignment="0" applyProtection="0"/>
    <xf numFmtId="0" fontId="59" fillId="43" borderId="394" applyNumberFormat="0" applyAlignment="0" applyProtection="0"/>
    <xf numFmtId="0" fontId="33" fillId="32" borderId="397">
      <alignment horizontal="right" vertical="center"/>
    </xf>
    <xf numFmtId="4" fontId="33" fillId="34" borderId="398">
      <alignment horizontal="right" vertical="center"/>
    </xf>
    <xf numFmtId="173" fontId="35" fillId="60" borderId="397" applyNumberFormat="0" applyFont="0" applyBorder="0" applyAlignment="0" applyProtection="0">
      <alignment horizontal="right" vertical="center"/>
    </xf>
    <xf numFmtId="0" fontId="35" fillId="34" borderId="421">
      <alignment horizontal="left" vertical="center" wrapText="1" indent="2"/>
    </xf>
    <xf numFmtId="0" fontId="33" fillId="34" borderId="397">
      <alignment horizontal="right" vertical="center"/>
    </xf>
    <xf numFmtId="4" fontId="33" fillId="34" borderId="399">
      <alignment horizontal="right" vertical="center"/>
    </xf>
    <xf numFmtId="0" fontId="33" fillId="34" borderId="404">
      <alignment horizontal="right" vertical="center"/>
    </xf>
    <xf numFmtId="0" fontId="35" fillId="0" borderId="389">
      <alignment horizontal="left" vertical="center" wrapText="1" indent="2"/>
    </xf>
    <xf numFmtId="0" fontId="59" fillId="43" borderId="394" applyNumberFormat="0" applyAlignment="0" applyProtection="0"/>
    <xf numFmtId="4" fontId="33" fillId="32" borderId="386">
      <alignment horizontal="right" vertical="center"/>
    </xf>
    <xf numFmtId="4" fontId="33" fillId="34" borderId="397">
      <alignment horizontal="right" vertical="center"/>
    </xf>
    <xf numFmtId="0" fontId="50" fillId="43" borderId="394" applyNumberFormat="0" applyAlignment="0" applyProtection="0"/>
    <xf numFmtId="0" fontId="63" fillId="56" borderId="390" applyNumberFormat="0" applyAlignment="0" applyProtection="0"/>
    <xf numFmtId="49" fontId="35" fillId="0" borderId="387" applyNumberFormat="0" applyFont="0" applyFill="0" applyBorder="0" applyProtection="0">
      <alignment horizontal="left" vertical="center" indent="5"/>
    </xf>
    <xf numFmtId="4" fontId="35" fillId="0" borderId="386">
      <alignment horizontal="right" vertical="center"/>
    </xf>
    <xf numFmtId="0" fontId="5" fillId="59" borderId="396" applyNumberFormat="0" applyFont="0" applyAlignment="0" applyProtection="0"/>
    <xf numFmtId="0" fontId="5" fillId="59" borderId="403" applyNumberFormat="0" applyFont="0" applyAlignment="0" applyProtection="0"/>
    <xf numFmtId="0" fontId="47" fillId="56" borderId="401" applyNumberFormat="0" applyAlignment="0" applyProtection="0"/>
    <xf numFmtId="0" fontId="27" fillId="29" borderId="0" applyNumberFormat="0" applyBorder="0" applyAlignment="0" applyProtection="0"/>
    <xf numFmtId="0" fontId="51" fillId="0" borderId="392" applyNumberFormat="0" applyFill="0" applyAlignment="0" applyProtection="0"/>
    <xf numFmtId="0" fontId="51" fillId="0" borderId="402" applyNumberFormat="0" applyFill="0" applyAlignment="0" applyProtection="0"/>
    <xf numFmtId="4" fontId="33" fillId="34" borderId="388">
      <alignment horizontal="right" vertical="center"/>
    </xf>
    <xf numFmtId="4" fontId="33" fillId="34" borderId="386">
      <alignment horizontal="right" vertical="center"/>
    </xf>
    <xf numFmtId="4" fontId="33" fillId="34" borderId="386">
      <alignment horizontal="right" vertical="center"/>
    </xf>
    <xf numFmtId="0" fontId="66" fillId="0" borderId="392" applyNumberFormat="0" applyFill="0" applyAlignment="0" applyProtection="0"/>
    <xf numFmtId="0" fontId="47" fillId="56" borderId="391" applyNumberFormat="0" applyAlignment="0" applyProtection="0"/>
    <xf numFmtId="4" fontId="33" fillId="34" borderId="397">
      <alignment horizontal="right" vertical="center"/>
    </xf>
    <xf numFmtId="4" fontId="33" fillId="34" borderId="404">
      <alignment horizontal="right" vertical="center"/>
    </xf>
    <xf numFmtId="0" fontId="30" fillId="13" borderId="13" applyNumberFormat="0" applyAlignment="0" applyProtection="0"/>
    <xf numFmtId="49" fontId="34" fillId="0" borderId="386" applyNumberFormat="0" applyFill="0" applyBorder="0" applyProtection="0">
      <alignment horizontal="left" vertical="center"/>
    </xf>
    <xf numFmtId="0" fontId="5" fillId="59" borderId="385" applyNumberFormat="0" applyFont="0" applyAlignment="0" applyProtection="0"/>
    <xf numFmtId="0" fontId="27" fillId="27" borderId="0" applyNumberFormat="0" applyBorder="0" applyAlignment="0" applyProtection="0"/>
    <xf numFmtId="4" fontId="33" fillId="34" borderId="386">
      <alignment horizontal="right" vertical="center"/>
    </xf>
    <xf numFmtId="0" fontId="27" fillId="26" borderId="0" applyNumberFormat="0" applyBorder="0" applyAlignment="0" applyProtection="0"/>
    <xf numFmtId="49" fontId="35" fillId="0" borderId="398" applyNumberFormat="0" applyFont="0" applyFill="0" applyBorder="0" applyProtection="0">
      <alignment horizontal="left" vertical="center" indent="5"/>
    </xf>
    <xf numFmtId="0" fontId="41" fillId="59" borderId="396" applyNumberFormat="0" applyFont="0" applyAlignment="0" applyProtection="0"/>
    <xf numFmtId="4" fontId="33" fillId="34" borderId="399">
      <alignment horizontal="right" vertical="center"/>
    </xf>
    <xf numFmtId="4" fontId="37" fillId="32" borderId="397">
      <alignment horizontal="right" vertical="center"/>
    </xf>
    <xf numFmtId="49" fontId="35" fillId="0" borderId="386" applyNumberFormat="0" applyFont="0" applyFill="0" applyBorder="0" applyProtection="0">
      <alignment horizontal="left" vertical="center" indent="2"/>
    </xf>
    <xf numFmtId="0" fontId="66" fillId="0" borderId="392" applyNumberFormat="0" applyFill="0" applyAlignment="0" applyProtection="0"/>
    <xf numFmtId="4" fontId="35" fillId="0" borderId="386" applyFill="0" applyBorder="0" applyProtection="0">
      <alignment horizontal="right" vertical="center"/>
    </xf>
    <xf numFmtId="0" fontId="59" fillId="43" borderId="391" applyNumberFormat="0" applyAlignment="0" applyProtection="0"/>
    <xf numFmtId="49" fontId="34" fillId="0" borderId="386" applyNumberFormat="0" applyFill="0" applyBorder="0" applyProtection="0">
      <alignment horizontal="left" vertical="center"/>
    </xf>
    <xf numFmtId="49" fontId="35" fillId="0" borderId="386" applyNumberFormat="0" applyFont="0" applyFill="0" applyBorder="0" applyProtection="0">
      <alignment horizontal="left" vertical="center" indent="2"/>
    </xf>
    <xf numFmtId="4" fontId="35" fillId="0" borderId="386" applyFill="0" applyBorder="0" applyProtection="0">
      <alignment horizontal="right" vertical="center"/>
    </xf>
    <xf numFmtId="4" fontId="33" fillId="34" borderId="404">
      <alignment horizontal="right" vertical="center"/>
    </xf>
    <xf numFmtId="173" fontId="35" fillId="60" borderId="386" applyNumberFormat="0" applyFont="0" applyBorder="0" applyAlignment="0" applyProtection="0">
      <alignment horizontal="right" vertical="center"/>
    </xf>
    <xf numFmtId="0" fontId="47" fillId="56" borderId="394" applyNumberFormat="0" applyAlignment="0" applyProtection="0"/>
    <xf numFmtId="0" fontId="35" fillId="32" borderId="411">
      <alignment horizontal="left" vertical="center"/>
    </xf>
    <xf numFmtId="4" fontId="33" fillId="34" borderId="419">
      <alignment horizontal="right" vertical="center"/>
    </xf>
    <xf numFmtId="0" fontId="37" fillId="32" borderId="386">
      <alignment horizontal="right" vertical="center"/>
    </xf>
    <xf numFmtId="4" fontId="37" fillId="32" borderId="397">
      <alignment horizontal="right" vertical="center"/>
    </xf>
    <xf numFmtId="0" fontId="35" fillId="0" borderId="400">
      <alignment horizontal="left" vertical="center" wrapText="1" indent="2"/>
    </xf>
    <xf numFmtId="0" fontId="66" fillId="0" borderId="402" applyNumberFormat="0" applyFill="0" applyAlignment="0" applyProtection="0"/>
    <xf numFmtId="4" fontId="33" fillId="34" borderId="399">
      <alignment horizontal="right" vertical="center"/>
    </xf>
    <xf numFmtId="0" fontId="50" fillId="43" borderId="391" applyNumberFormat="0" applyAlignment="0" applyProtection="0"/>
    <xf numFmtId="4" fontId="33" fillId="34" borderId="386">
      <alignment horizontal="right" vertical="center"/>
    </xf>
    <xf numFmtId="0" fontId="35" fillId="32" borderId="387">
      <alignment horizontal="left" vertical="center"/>
    </xf>
    <xf numFmtId="0" fontId="37" fillId="32" borderId="410">
      <alignment horizontal="right" vertical="center"/>
    </xf>
    <xf numFmtId="0" fontId="35" fillId="33" borderId="397"/>
    <xf numFmtId="0" fontId="1" fillId="0" borderId="0" applyNumberFormat="0" applyFill="0" applyBorder="0" applyAlignment="0" applyProtection="0"/>
    <xf numFmtId="0" fontId="27" fillId="24" borderId="0" applyNumberFormat="0" applyBorder="0" applyAlignment="0" applyProtection="0"/>
    <xf numFmtId="0" fontId="37" fillId="32" borderId="397">
      <alignment horizontal="right" vertical="center"/>
    </xf>
    <xf numFmtId="0" fontId="33" fillId="34" borderId="399">
      <alignment horizontal="right" vertical="center"/>
    </xf>
    <xf numFmtId="173" fontId="35" fillId="60" borderId="410" applyNumberFormat="0" applyFont="0" applyBorder="0" applyAlignment="0" applyProtection="0">
      <alignment horizontal="right" vertical="center"/>
    </xf>
    <xf numFmtId="0" fontId="33" fillId="34" borderId="397">
      <alignment horizontal="right" vertical="center"/>
    </xf>
    <xf numFmtId="0" fontId="59" fillId="43" borderId="394" applyNumberFormat="0" applyAlignment="0" applyProtection="0"/>
    <xf numFmtId="0" fontId="66" fillId="0" borderId="395" applyNumberFormat="0" applyFill="0" applyAlignment="0" applyProtection="0"/>
    <xf numFmtId="0" fontId="12" fillId="28" borderId="0" applyNumberFormat="0" applyBorder="0" applyAlignment="0" applyProtection="0"/>
    <xf numFmtId="0" fontId="66" fillId="0" borderId="395" applyNumberFormat="0" applyFill="0" applyAlignment="0" applyProtection="0"/>
    <xf numFmtId="0" fontId="33" fillId="34" borderId="386">
      <alignment horizontal="right" vertical="center"/>
    </xf>
    <xf numFmtId="0" fontId="35" fillId="34" borderId="389">
      <alignment horizontal="left" vertical="center" wrapText="1" indent="2"/>
    </xf>
    <xf numFmtId="173" fontId="35" fillId="60" borderId="386" applyNumberFormat="0" applyFont="0" applyBorder="0" applyAlignment="0" applyProtection="0">
      <alignment horizontal="right" vertical="center"/>
    </xf>
    <xf numFmtId="0" fontId="41" fillId="59" borderId="385" applyNumberFormat="0" applyFont="0" applyAlignment="0" applyProtection="0"/>
    <xf numFmtId="49" fontId="35" fillId="0" borderId="386" applyNumberFormat="0" applyFont="0" applyFill="0" applyBorder="0" applyProtection="0">
      <alignment horizontal="left" vertical="center" indent="2"/>
    </xf>
    <xf numFmtId="0" fontId="59" fillId="43" borderId="394" applyNumberFormat="0" applyAlignment="0" applyProtection="0"/>
    <xf numFmtId="0" fontId="12" fillId="22" borderId="0" applyNumberFormat="0" applyBorder="0" applyAlignment="0" applyProtection="0"/>
    <xf numFmtId="0" fontId="33" fillId="34" borderId="405">
      <alignment horizontal="right" vertical="center"/>
    </xf>
    <xf numFmtId="0" fontId="27" fillId="14" borderId="0" applyNumberFormat="0" applyBorder="0" applyAlignment="0" applyProtection="0"/>
    <xf numFmtId="49" fontId="34" fillId="0" borderId="386" applyNumberFormat="0" applyFill="0" applyBorder="0" applyProtection="0">
      <alignment horizontal="left" vertical="center"/>
    </xf>
    <xf numFmtId="0" fontId="35" fillId="0" borderId="404">
      <alignment horizontal="right" vertical="center"/>
    </xf>
    <xf numFmtId="173" fontId="35" fillId="60" borderId="386" applyNumberFormat="0" applyFont="0" applyBorder="0" applyAlignment="0" applyProtection="0">
      <alignment horizontal="right" vertical="center"/>
    </xf>
    <xf numFmtId="0" fontId="63" fillId="56" borderId="390" applyNumberFormat="0" applyAlignment="0" applyProtection="0"/>
    <xf numFmtId="0" fontId="35" fillId="0" borderId="386">
      <alignment horizontal="right" vertical="center"/>
    </xf>
    <xf numFmtId="0" fontId="47" fillId="56" borderId="394" applyNumberFormat="0" applyAlignment="0" applyProtection="0"/>
    <xf numFmtId="0" fontId="35" fillId="33" borderId="386"/>
    <xf numFmtId="4" fontId="33" fillId="34" borderId="386">
      <alignment horizontal="right" vertical="center"/>
    </xf>
    <xf numFmtId="0" fontId="35" fillId="33" borderId="386"/>
    <xf numFmtId="0" fontId="59" fillId="43" borderId="391" applyNumberFormat="0" applyAlignment="0" applyProtection="0"/>
    <xf numFmtId="0" fontId="35" fillId="34" borderId="400">
      <alignment horizontal="left" vertical="center" wrapText="1" indent="2"/>
    </xf>
    <xf numFmtId="0" fontId="37" fillId="32" borderId="386">
      <alignment horizontal="right" vertical="center"/>
    </xf>
    <xf numFmtId="0" fontId="35" fillId="0" borderId="389">
      <alignment horizontal="left" vertical="center" wrapText="1" indent="2"/>
    </xf>
    <xf numFmtId="0" fontId="33" fillId="32" borderId="386">
      <alignment horizontal="right" vertical="center"/>
    </xf>
    <xf numFmtId="0" fontId="50" fillId="43" borderId="391" applyNumberFormat="0" applyAlignment="0" applyProtection="0"/>
    <xf numFmtId="0" fontId="35" fillId="34" borderId="389">
      <alignment horizontal="left" vertical="center" wrapText="1" indent="2"/>
    </xf>
    <xf numFmtId="0" fontId="51" fillId="0" borderId="395" applyNumberFormat="0" applyFill="0" applyAlignment="0" applyProtection="0"/>
    <xf numFmtId="4" fontId="35" fillId="0" borderId="397">
      <alignment horizontal="right" vertical="center"/>
    </xf>
    <xf numFmtId="4" fontId="33" fillId="34" borderId="397">
      <alignment horizontal="right" vertical="center"/>
    </xf>
    <xf numFmtId="0" fontId="59" fillId="43" borderId="394" applyNumberFormat="0" applyAlignment="0" applyProtection="0"/>
    <xf numFmtId="0" fontId="27" fillId="24" borderId="0" applyNumberFormat="0" applyBorder="0" applyAlignment="0" applyProtection="0"/>
    <xf numFmtId="0" fontId="59" fillId="43" borderId="415" applyNumberFormat="0" applyAlignment="0" applyProtection="0"/>
    <xf numFmtId="4" fontId="33" fillId="34" borderId="404">
      <alignment horizontal="right" vertical="center"/>
    </xf>
    <xf numFmtId="49" fontId="35" fillId="0" borderId="397" applyNumberFormat="0" applyFont="0" applyFill="0" applyBorder="0" applyProtection="0">
      <alignment horizontal="left" vertical="center" indent="2"/>
    </xf>
    <xf numFmtId="0" fontId="66" fillId="0" borderId="402" applyNumberFormat="0" applyFill="0" applyAlignment="0" applyProtection="0"/>
    <xf numFmtId="0" fontId="46" fillId="56" borderId="391" applyNumberFormat="0" applyAlignment="0" applyProtection="0"/>
    <xf numFmtId="0" fontId="37" fillId="32" borderId="386">
      <alignment horizontal="right" vertical="center"/>
    </xf>
    <xf numFmtId="0" fontId="51" fillId="0" borderId="395" applyNumberFormat="0" applyFill="0" applyAlignment="0" applyProtection="0"/>
    <xf numFmtId="4" fontId="33" fillId="34" borderId="406">
      <alignment horizontal="right" vertical="center"/>
    </xf>
    <xf numFmtId="0" fontId="66" fillId="0" borderId="416" applyNumberFormat="0" applyFill="0" applyAlignment="0" applyProtection="0"/>
    <xf numFmtId="0" fontId="1" fillId="0" borderId="0" applyNumberFormat="0" applyFill="0" applyBorder="0" applyAlignment="0" applyProtection="0"/>
    <xf numFmtId="0" fontId="27" fillId="20" borderId="0" applyNumberFormat="0" applyBorder="0" applyAlignment="0" applyProtection="0"/>
    <xf numFmtId="0" fontId="59" fillId="43" borderId="426" applyNumberFormat="0" applyAlignment="0" applyProtection="0"/>
    <xf numFmtId="0" fontId="44" fillId="56" borderId="393" applyNumberFormat="0" applyAlignment="0" applyProtection="0"/>
    <xf numFmtId="0" fontId="31" fillId="0" borderId="0" applyNumberFormat="0" applyFill="0" applyBorder="0" applyAlignment="0" applyProtection="0"/>
    <xf numFmtId="4" fontId="33" fillId="34" borderId="398">
      <alignment horizontal="right" vertical="center"/>
    </xf>
    <xf numFmtId="0" fontId="51" fillId="0" borderId="395" applyNumberFormat="0" applyFill="0" applyAlignment="0" applyProtection="0"/>
    <xf numFmtId="0" fontId="33" fillId="34" borderId="386">
      <alignment horizontal="right" vertical="center"/>
    </xf>
    <xf numFmtId="4" fontId="35" fillId="0" borderId="386" applyFill="0" applyBorder="0" applyProtection="0">
      <alignment horizontal="right" vertical="center"/>
    </xf>
    <xf numFmtId="0" fontId="35" fillId="34" borderId="389">
      <alignment horizontal="left" vertical="center" wrapText="1" indent="2"/>
    </xf>
    <xf numFmtId="0" fontId="41" fillId="59" borderId="385" applyNumberFormat="0" applyFont="0" applyAlignment="0" applyProtection="0"/>
    <xf numFmtId="0" fontId="50" fillId="43" borderId="391" applyNumberFormat="0" applyAlignment="0" applyProtection="0"/>
    <xf numFmtId="4" fontId="35" fillId="33" borderId="386"/>
    <xf numFmtId="4" fontId="35" fillId="0" borderId="386" applyFill="0" applyBorder="0" applyProtection="0">
      <alignment horizontal="right" vertical="center"/>
    </xf>
    <xf numFmtId="0" fontId="66" fillId="0" borderId="392" applyNumberFormat="0" applyFill="0" applyAlignment="0" applyProtection="0"/>
    <xf numFmtId="0" fontId="35" fillId="32" borderId="387">
      <alignment horizontal="left" vertical="center"/>
    </xf>
    <xf numFmtId="0" fontId="35" fillId="0" borderId="389">
      <alignment horizontal="left" vertical="center" wrapText="1" indent="2"/>
    </xf>
    <xf numFmtId="0" fontId="33" fillId="34" borderId="397">
      <alignment horizontal="right" vertical="center"/>
    </xf>
    <xf numFmtId="0" fontId="59" fillId="43" borderId="391" applyNumberFormat="0" applyAlignment="0" applyProtection="0"/>
    <xf numFmtId="0" fontId="35" fillId="0" borderId="413">
      <alignment horizontal="left" vertical="center" wrapText="1" indent="2"/>
    </xf>
    <xf numFmtId="0" fontId="35" fillId="34" borderId="389">
      <alignment horizontal="left" vertical="center" wrapText="1" indent="2"/>
    </xf>
    <xf numFmtId="0" fontId="46" fillId="56" borderId="401" applyNumberFormat="0" applyAlignment="0" applyProtection="0"/>
    <xf numFmtId="0" fontId="27" fillId="18" borderId="0" applyNumberFormat="0" applyBorder="0" applyAlignment="0" applyProtection="0"/>
    <xf numFmtId="4" fontId="33" fillId="34" borderId="398">
      <alignment horizontal="right" vertical="center"/>
    </xf>
    <xf numFmtId="0" fontId="59" fillId="43" borderId="394" applyNumberFormat="0" applyAlignment="0" applyProtection="0"/>
    <xf numFmtId="0" fontId="41" fillId="59" borderId="385" applyNumberFormat="0" applyFont="0" applyAlignment="0" applyProtection="0"/>
    <xf numFmtId="0" fontId="59" fillId="43" borderId="391" applyNumberFormat="0" applyAlignment="0" applyProtection="0"/>
    <xf numFmtId="0" fontId="47" fillId="56" borderId="394" applyNumberFormat="0" applyAlignment="0" applyProtection="0"/>
    <xf numFmtId="4" fontId="35" fillId="33" borderId="386"/>
    <xf numFmtId="0" fontId="47" fillId="56" borderId="391" applyNumberFormat="0" applyAlignment="0" applyProtection="0"/>
    <xf numFmtId="0" fontId="59" fillId="43" borderId="391" applyNumberFormat="0" applyAlignment="0" applyProtection="0"/>
    <xf numFmtId="4" fontId="33" fillId="34" borderId="386">
      <alignment horizontal="right" vertical="center"/>
    </xf>
    <xf numFmtId="0" fontId="51" fillId="0" borderId="392" applyNumberFormat="0" applyFill="0" applyAlignment="0" applyProtection="0"/>
    <xf numFmtId="0" fontId="30" fillId="13" borderId="13" applyNumberFormat="0" applyAlignment="0" applyProtection="0"/>
    <xf numFmtId="0" fontId="12" fillId="19" borderId="0" applyNumberFormat="0" applyBorder="0" applyAlignment="0" applyProtection="0"/>
    <xf numFmtId="173" fontId="35" fillId="60" borderId="397" applyNumberFormat="0" applyFont="0" applyBorder="0" applyAlignment="0" applyProtection="0">
      <alignment horizontal="right" vertical="center"/>
    </xf>
    <xf numFmtId="49" fontId="35" fillId="0" borderId="404" applyNumberFormat="0" applyFont="0" applyFill="0" applyBorder="0" applyProtection="0">
      <alignment horizontal="left" vertical="center" indent="2"/>
    </xf>
    <xf numFmtId="0" fontId="27" fillId="27" borderId="0" applyNumberFormat="0" applyBorder="0" applyAlignment="0" applyProtection="0"/>
    <xf numFmtId="0" fontId="47" fillId="56" borderId="394" applyNumberFormat="0" applyAlignment="0" applyProtection="0"/>
    <xf numFmtId="4" fontId="35" fillId="0" borderId="386" applyFill="0" applyBorder="0" applyProtection="0">
      <alignment horizontal="right" vertical="center"/>
    </xf>
    <xf numFmtId="4" fontId="37" fillId="32" borderId="397">
      <alignment horizontal="right" vertical="center"/>
    </xf>
    <xf numFmtId="0" fontId="50" fillId="43" borderId="391" applyNumberFormat="0" applyAlignment="0" applyProtection="0"/>
    <xf numFmtId="4" fontId="37" fillId="32" borderId="397">
      <alignment horizontal="right" vertical="center"/>
    </xf>
    <xf numFmtId="0" fontId="47" fillId="56" borderId="394" applyNumberFormat="0" applyAlignment="0" applyProtection="0"/>
    <xf numFmtId="4" fontId="33" fillId="34" borderId="397">
      <alignment horizontal="right" vertical="center"/>
    </xf>
    <xf numFmtId="0" fontId="35" fillId="33" borderId="404"/>
    <xf numFmtId="0" fontId="63" fillId="56" borderId="393" applyNumberFormat="0" applyAlignment="0" applyProtection="0"/>
    <xf numFmtId="0" fontId="27" fillId="23" borderId="0" applyNumberFormat="0" applyBorder="0" applyAlignment="0" applyProtection="0"/>
    <xf numFmtId="0" fontId="35" fillId="34" borderId="389">
      <alignment horizontal="left" vertical="center" wrapText="1" indent="2"/>
    </xf>
    <xf numFmtId="0" fontId="37" fillId="32" borderId="397">
      <alignment horizontal="right" vertical="center"/>
    </xf>
    <xf numFmtId="0" fontId="63" fillId="56" borderId="390" applyNumberFormat="0" applyAlignment="0" applyProtection="0"/>
    <xf numFmtId="0" fontId="59" fillId="43" borderId="391" applyNumberFormat="0" applyAlignment="0" applyProtection="0"/>
    <xf numFmtId="4" fontId="33" fillId="34" borderId="386">
      <alignment horizontal="right" vertical="center"/>
    </xf>
    <xf numFmtId="0" fontId="35" fillId="33" borderId="386"/>
    <xf numFmtId="0" fontId="35" fillId="33" borderId="410"/>
    <xf numFmtId="0" fontId="63" fillId="56" borderId="393" applyNumberFormat="0" applyAlignment="0" applyProtection="0"/>
    <xf numFmtId="0" fontId="35" fillId="0" borderId="389">
      <alignment horizontal="left" vertical="center" wrapText="1" indent="2"/>
    </xf>
    <xf numFmtId="4" fontId="35" fillId="0" borderId="397" applyFill="0" applyBorder="0" applyProtection="0">
      <alignment horizontal="right" vertical="center"/>
    </xf>
    <xf numFmtId="0" fontId="35" fillId="0" borderId="418">
      <alignment horizontal="right" vertical="center"/>
    </xf>
    <xf numFmtId="0" fontId="12" fillId="25" borderId="0" applyNumberFormat="0" applyBorder="0" applyAlignment="0" applyProtection="0"/>
    <xf numFmtId="0" fontId="51" fillId="0" borderId="402" applyNumberFormat="0" applyFill="0" applyAlignment="0" applyProtection="0"/>
    <xf numFmtId="49" fontId="34" fillId="0" borderId="397" applyNumberFormat="0" applyFill="0" applyBorder="0" applyProtection="0">
      <alignment horizontal="left" vertical="center"/>
    </xf>
    <xf numFmtId="0" fontId="46" fillId="56" borderId="391" applyNumberFormat="0" applyAlignment="0" applyProtection="0"/>
    <xf numFmtId="0" fontId="1" fillId="0" borderId="0" applyNumberFormat="0" applyFill="0" applyBorder="0" applyAlignment="0" applyProtection="0"/>
    <xf numFmtId="0" fontId="27" fillId="23" borderId="0" applyNumberFormat="0" applyBorder="0" applyAlignment="0" applyProtection="0"/>
    <xf numFmtId="4" fontId="33" fillId="32" borderId="386">
      <alignment horizontal="right" vertical="center"/>
    </xf>
    <xf numFmtId="0" fontId="12" fillId="28" borderId="0" applyNumberFormat="0" applyBorder="0" applyAlignment="0" applyProtection="0"/>
    <xf numFmtId="0" fontId="33" fillId="32" borderId="386">
      <alignment horizontal="right" vertical="center"/>
    </xf>
    <xf numFmtId="0" fontId="33" fillId="34" borderId="386">
      <alignment horizontal="right" vertical="center"/>
    </xf>
    <xf numFmtId="0" fontId="35" fillId="0" borderId="404">
      <alignment horizontal="right" vertical="center"/>
    </xf>
    <xf numFmtId="0" fontId="44" fillId="56" borderId="393" applyNumberFormat="0" applyAlignment="0" applyProtection="0"/>
    <xf numFmtId="4" fontId="33" fillId="32" borderId="404">
      <alignment horizontal="right" vertical="center"/>
    </xf>
    <xf numFmtId="0" fontId="27" fillId="30" borderId="0" applyNumberFormat="0" applyBorder="0" applyAlignment="0" applyProtection="0"/>
    <xf numFmtId="0" fontId="35" fillId="34" borderId="407">
      <alignment horizontal="left" vertical="center" wrapText="1" indent="2"/>
    </xf>
    <xf numFmtId="0" fontId="63" fillId="56" borderId="390" applyNumberFormat="0" applyAlignment="0" applyProtection="0"/>
    <xf numFmtId="49" fontId="34" fillId="0" borderId="397" applyNumberFormat="0" applyFill="0" applyBorder="0" applyProtection="0">
      <alignment horizontal="left" vertical="center"/>
    </xf>
    <xf numFmtId="49" fontId="35" fillId="0" borderId="386" applyNumberFormat="0" applyFont="0" applyFill="0" applyBorder="0" applyProtection="0">
      <alignment horizontal="left" vertical="center" indent="2"/>
    </xf>
    <xf numFmtId="0" fontId="37" fillId="32" borderId="397">
      <alignment horizontal="right" vertical="center"/>
    </xf>
    <xf numFmtId="0" fontId="41" fillId="59" borderId="385" applyNumberFormat="0" applyFont="0" applyAlignment="0" applyProtection="0"/>
    <xf numFmtId="173" fontId="35" fillId="60" borderId="386" applyNumberFormat="0" applyFont="0" applyBorder="0" applyAlignment="0" applyProtection="0">
      <alignment horizontal="right" vertical="center"/>
    </xf>
    <xf numFmtId="0" fontId="59" fillId="43" borderId="391" applyNumberFormat="0" applyAlignment="0" applyProtection="0"/>
    <xf numFmtId="0" fontId="33" fillId="34" borderId="386">
      <alignment horizontal="right" vertical="center"/>
    </xf>
    <xf numFmtId="0" fontId="35" fillId="33" borderId="386"/>
    <xf numFmtId="0" fontId="63" fillId="56" borderId="390" applyNumberFormat="0" applyAlignment="0" applyProtection="0"/>
    <xf numFmtId="0" fontId="47" fillId="56" borderId="391" applyNumberFormat="0" applyAlignment="0" applyProtection="0"/>
    <xf numFmtId="0" fontId="46" fillId="56" borderId="391" applyNumberFormat="0" applyAlignment="0" applyProtection="0"/>
    <xf numFmtId="0" fontId="50" fillId="43" borderId="391" applyNumberFormat="0" applyAlignment="0" applyProtection="0"/>
    <xf numFmtId="0" fontId="50" fillId="43" borderId="391" applyNumberFormat="0" applyAlignment="0" applyProtection="0"/>
    <xf numFmtId="0" fontId="35" fillId="0" borderId="389">
      <alignment horizontal="left" vertical="center" wrapText="1" indent="2"/>
    </xf>
    <xf numFmtId="4" fontId="33" fillId="34" borderId="387">
      <alignment horizontal="right" vertical="center"/>
    </xf>
    <xf numFmtId="4" fontId="35" fillId="0" borderId="386">
      <alignment horizontal="right" vertical="center"/>
    </xf>
    <xf numFmtId="49" fontId="34" fillId="0" borderId="386" applyNumberFormat="0" applyFill="0" applyBorder="0" applyProtection="0">
      <alignment horizontal="left" vertical="center"/>
    </xf>
    <xf numFmtId="4" fontId="35" fillId="0" borderId="386">
      <alignment horizontal="right" vertical="center"/>
    </xf>
    <xf numFmtId="0" fontId="63" fillId="56" borderId="390" applyNumberFormat="0" applyAlignment="0" applyProtection="0"/>
    <xf numFmtId="0" fontId="59" fillId="43" borderId="394" applyNumberFormat="0" applyAlignment="0" applyProtection="0"/>
    <xf numFmtId="0" fontId="46" fillId="56" borderId="394" applyNumberFormat="0" applyAlignment="0" applyProtection="0"/>
    <xf numFmtId="0" fontId="33" fillId="34" borderId="419">
      <alignment horizontal="right" vertical="center"/>
    </xf>
    <xf numFmtId="0" fontId="37" fillId="32" borderId="397">
      <alignment horizontal="right" vertical="center"/>
    </xf>
    <xf numFmtId="49" fontId="34" fillId="0" borderId="397" applyNumberFormat="0" applyFill="0" applyBorder="0" applyProtection="0">
      <alignment horizontal="left" vertical="center"/>
    </xf>
    <xf numFmtId="0" fontId="66" fillId="0" borderId="395" applyNumberFormat="0" applyFill="0" applyAlignment="0" applyProtection="0"/>
    <xf numFmtId="0" fontId="12" fillId="16" borderId="0" applyNumberFormat="0" applyBorder="0" applyAlignment="0" applyProtection="0"/>
    <xf numFmtId="0" fontId="35" fillId="0" borderId="389">
      <alignment horizontal="left" vertical="center" wrapText="1" indent="2"/>
    </xf>
    <xf numFmtId="0" fontId="12" fillId="22" borderId="0" applyNumberFormat="0" applyBorder="0" applyAlignment="0" applyProtection="0"/>
    <xf numFmtId="0" fontId="51" fillId="0" borderId="395" applyNumberFormat="0" applyFill="0" applyAlignment="0" applyProtection="0"/>
    <xf numFmtId="0" fontId="47" fillId="56" borderId="401" applyNumberFormat="0" applyAlignment="0" applyProtection="0"/>
    <xf numFmtId="49" fontId="35" fillId="0" borderId="404" applyNumberFormat="0" applyFont="0" applyFill="0" applyBorder="0" applyProtection="0">
      <alignment horizontal="left" vertical="center" indent="2"/>
    </xf>
    <xf numFmtId="49" fontId="35" fillId="0" borderId="410" applyNumberFormat="0" applyFont="0" applyFill="0" applyBorder="0" applyProtection="0">
      <alignment horizontal="left" vertical="center" indent="2"/>
    </xf>
    <xf numFmtId="0" fontId="59" fillId="43" borderId="394" applyNumberFormat="0" applyAlignment="0" applyProtection="0"/>
    <xf numFmtId="0" fontId="27" fillId="29" borderId="0" applyNumberFormat="0" applyBorder="0" applyAlignment="0" applyProtection="0"/>
    <xf numFmtId="0" fontId="33" fillId="34" borderId="412">
      <alignment horizontal="right" vertical="center"/>
    </xf>
    <xf numFmtId="0" fontId="35" fillId="0" borderId="397">
      <alignment horizontal="right" vertical="center"/>
    </xf>
    <xf numFmtId="0" fontId="41" fillId="59" borderId="385" applyNumberFormat="0" applyFont="0" applyAlignment="0" applyProtection="0"/>
    <xf numFmtId="0" fontId="50" fillId="43" borderId="401" applyNumberFormat="0" applyAlignment="0" applyProtection="0"/>
    <xf numFmtId="0" fontId="33" fillId="32" borderId="386">
      <alignment horizontal="right" vertical="center"/>
    </xf>
    <xf numFmtId="0" fontId="12" fillId="19" borderId="0" applyNumberFormat="0" applyBorder="0" applyAlignment="0" applyProtection="0"/>
    <xf numFmtId="0" fontId="66" fillId="0" borderId="395" applyNumberFormat="0" applyFill="0" applyAlignment="0" applyProtection="0"/>
    <xf numFmtId="0" fontId="35" fillId="0" borderId="386" applyNumberFormat="0" applyFill="0" applyAlignment="0" applyProtection="0"/>
    <xf numFmtId="49" fontId="34" fillId="0" borderId="386" applyNumberFormat="0" applyFill="0" applyBorder="0" applyProtection="0">
      <alignment horizontal="left" vertical="center"/>
    </xf>
    <xf numFmtId="0" fontId="35" fillId="0" borderId="386">
      <alignment horizontal="right" vertical="center"/>
    </xf>
    <xf numFmtId="0" fontId="59" fillId="43" borderId="394" applyNumberFormat="0" applyAlignment="0" applyProtection="0"/>
    <xf numFmtId="0" fontId="66" fillId="0" borderId="402" applyNumberFormat="0" applyFill="0" applyAlignment="0" applyProtection="0"/>
    <xf numFmtId="0" fontId="33" fillId="32" borderId="404">
      <alignment horizontal="right" vertical="center"/>
    </xf>
    <xf numFmtId="0" fontId="51" fillId="0" borderId="424" applyNumberFormat="0" applyFill="0" applyAlignment="0" applyProtection="0"/>
    <xf numFmtId="4" fontId="33" fillId="32" borderId="386">
      <alignment horizontal="right" vertical="center"/>
    </xf>
    <xf numFmtId="4" fontId="37" fillId="32" borderId="397">
      <alignment horizontal="right" vertical="center"/>
    </xf>
    <xf numFmtId="0" fontId="47" fillId="56" borderId="391" applyNumberFormat="0" applyAlignment="0" applyProtection="0"/>
    <xf numFmtId="0" fontId="33" fillId="34" borderId="388">
      <alignment horizontal="right" vertical="center"/>
    </xf>
    <xf numFmtId="4" fontId="33" fillId="32" borderId="386">
      <alignment horizontal="right" vertical="center"/>
    </xf>
    <xf numFmtId="0" fontId="33" fillId="34" borderId="386">
      <alignment horizontal="right" vertical="center"/>
    </xf>
    <xf numFmtId="0" fontId="47" fillId="56" borderId="391" applyNumberFormat="0" applyAlignment="0" applyProtection="0"/>
    <xf numFmtId="4" fontId="37" fillId="32" borderId="397">
      <alignment horizontal="right" vertical="center"/>
    </xf>
    <xf numFmtId="4" fontId="35" fillId="33" borderId="397"/>
    <xf numFmtId="0" fontId="29" fillId="13" borderId="14" applyNumberFormat="0" applyAlignment="0" applyProtection="0"/>
    <xf numFmtId="4" fontId="35" fillId="0" borderId="386" applyFill="0" applyBorder="0" applyProtection="0">
      <alignment horizontal="right" vertical="center"/>
    </xf>
    <xf numFmtId="0" fontId="41" fillId="59" borderId="385" applyNumberFormat="0" applyFont="0" applyAlignment="0" applyProtection="0"/>
    <xf numFmtId="4" fontId="33" fillId="34" borderId="404">
      <alignment horizontal="right" vertical="center"/>
    </xf>
    <xf numFmtId="173" fontId="35" fillId="60" borderId="397" applyNumberFormat="0" applyFont="0" applyBorder="0" applyAlignment="0" applyProtection="0">
      <alignment horizontal="right" vertical="center"/>
    </xf>
    <xf numFmtId="0" fontId="33" fillId="34" borderId="404">
      <alignment horizontal="right" vertical="center"/>
    </xf>
    <xf numFmtId="0" fontId="47" fillId="56" borderId="394" applyNumberFormat="0" applyAlignment="0" applyProtection="0"/>
    <xf numFmtId="4" fontId="33" fillId="34" borderId="398">
      <alignment horizontal="right" vertical="center"/>
    </xf>
    <xf numFmtId="4" fontId="35" fillId="33" borderId="404"/>
    <xf numFmtId="0" fontId="50" fillId="43" borderId="394" applyNumberFormat="0" applyAlignment="0" applyProtection="0"/>
    <xf numFmtId="0" fontId="33" fillId="32" borderId="386">
      <alignment horizontal="right" vertical="center"/>
    </xf>
    <xf numFmtId="0" fontId="51" fillId="0" borderId="392" applyNumberFormat="0" applyFill="0" applyAlignment="0" applyProtection="0"/>
    <xf numFmtId="0" fontId="35" fillId="0" borderId="386" applyNumberFormat="0" applyFill="0" applyAlignment="0" applyProtection="0"/>
    <xf numFmtId="0" fontId="51" fillId="0" borderId="392" applyNumberFormat="0" applyFill="0" applyAlignment="0" applyProtection="0"/>
    <xf numFmtId="4" fontId="35" fillId="0" borderId="386" applyFill="0" applyBorder="0" applyProtection="0">
      <alignment horizontal="right" vertical="center"/>
    </xf>
    <xf numFmtId="49" fontId="35" fillId="0" borderId="387" applyNumberFormat="0" applyFont="0" applyFill="0" applyBorder="0" applyProtection="0">
      <alignment horizontal="left" vertical="center" indent="5"/>
    </xf>
    <xf numFmtId="0" fontId="35" fillId="0" borderId="386" applyNumberFormat="0" applyFill="0" applyAlignment="0" applyProtection="0"/>
    <xf numFmtId="4" fontId="35" fillId="0" borderId="404" applyFill="0" applyBorder="0" applyProtection="0">
      <alignment horizontal="right" vertical="center"/>
    </xf>
    <xf numFmtId="0" fontId="35" fillId="0" borderId="386" applyNumberFormat="0" applyFill="0" applyAlignment="0" applyProtection="0"/>
    <xf numFmtId="0" fontId="35" fillId="0" borderId="400">
      <alignment horizontal="left" vertical="center" wrapText="1" indent="2"/>
    </xf>
    <xf numFmtId="0" fontId="66" fillId="0" borderId="402" applyNumberFormat="0" applyFill="0" applyAlignment="0" applyProtection="0"/>
    <xf numFmtId="4" fontId="33" fillId="34" borderId="386">
      <alignment horizontal="right" vertical="center"/>
    </xf>
    <xf numFmtId="49" fontId="35" fillId="0" borderId="397" applyNumberFormat="0" applyFont="0" applyFill="0" applyBorder="0" applyProtection="0">
      <alignment horizontal="left" vertical="center" indent="2"/>
    </xf>
    <xf numFmtId="0" fontId="35" fillId="33" borderId="397"/>
    <xf numFmtId="0" fontId="12" fillId="22" borderId="0" applyNumberFormat="0" applyBorder="0" applyAlignment="0" applyProtection="0"/>
    <xf numFmtId="0" fontId="41" fillId="59" borderId="417" applyNumberFormat="0" applyFont="0" applyAlignment="0" applyProtection="0"/>
    <xf numFmtId="0" fontId="50" fillId="43" borderId="391" applyNumberFormat="0" applyAlignment="0" applyProtection="0"/>
    <xf numFmtId="0" fontId="47" fillId="56" borderId="391" applyNumberFormat="0" applyAlignment="0" applyProtection="0"/>
    <xf numFmtId="4" fontId="35" fillId="0" borderId="386">
      <alignment horizontal="right" vertical="center"/>
    </xf>
    <xf numFmtId="0" fontId="35" fillId="34" borderId="389">
      <alignment horizontal="left" vertical="center" wrapText="1" indent="2"/>
    </xf>
    <xf numFmtId="0" fontId="35" fillId="0" borderId="389">
      <alignment horizontal="left" vertical="center" wrapText="1" indent="2"/>
    </xf>
    <xf numFmtId="0" fontId="63" fillId="56" borderId="390" applyNumberFormat="0" applyAlignment="0" applyProtection="0"/>
    <xf numFmtId="0" fontId="59" fillId="43" borderId="391" applyNumberFormat="0" applyAlignment="0" applyProtection="0"/>
    <xf numFmtId="0" fontId="46" fillId="56" borderId="391" applyNumberFormat="0" applyAlignment="0" applyProtection="0"/>
    <xf numFmtId="0" fontId="44" fillId="56" borderId="390" applyNumberFormat="0" applyAlignment="0" applyProtection="0"/>
    <xf numFmtId="0" fontId="33" fillId="34" borderId="388">
      <alignment horizontal="right" vertical="center"/>
    </xf>
    <xf numFmtId="0" fontId="37" fillId="32" borderId="386">
      <alignment horizontal="right" vertical="center"/>
    </xf>
    <xf numFmtId="4" fontId="33" fillId="32" borderId="386">
      <alignment horizontal="right" vertical="center"/>
    </xf>
    <xf numFmtId="4" fontId="33" fillId="34" borderId="386">
      <alignment horizontal="right" vertical="center"/>
    </xf>
    <xf numFmtId="49" fontId="35" fillId="0" borderId="387" applyNumberFormat="0" applyFont="0" applyFill="0" applyBorder="0" applyProtection="0">
      <alignment horizontal="left" vertical="center" indent="5"/>
    </xf>
    <xf numFmtId="4" fontId="35" fillId="0" borderId="386" applyFill="0" applyBorder="0" applyProtection="0">
      <alignment horizontal="right" vertical="center"/>
    </xf>
    <xf numFmtId="4" fontId="33" fillId="32" borderId="386">
      <alignment horizontal="right" vertical="center"/>
    </xf>
    <xf numFmtId="0" fontId="59" fillId="43" borderId="391" applyNumberFormat="0" applyAlignment="0" applyProtection="0"/>
    <xf numFmtId="0" fontId="50" fillId="43" borderId="391" applyNumberFormat="0" applyAlignment="0" applyProtection="0"/>
    <xf numFmtId="0" fontId="46" fillId="56" borderId="391" applyNumberFormat="0" applyAlignment="0" applyProtection="0"/>
    <xf numFmtId="0" fontId="35" fillId="34" borderId="389">
      <alignment horizontal="left" vertical="center" wrapText="1" indent="2"/>
    </xf>
    <xf numFmtId="0" fontId="35" fillId="0" borderId="389">
      <alignment horizontal="left" vertical="center" wrapText="1" indent="2"/>
    </xf>
    <xf numFmtId="0" fontId="35" fillId="34" borderId="389">
      <alignment horizontal="left" vertical="center" wrapText="1" indent="2"/>
    </xf>
    <xf numFmtId="0" fontId="35" fillId="32" borderId="398">
      <alignment horizontal="left" vertical="center"/>
    </xf>
    <xf numFmtId="0" fontId="63" fillId="56" borderId="393" applyNumberFormat="0" applyAlignment="0" applyProtection="0"/>
    <xf numFmtId="0" fontId="27" fillId="15" borderId="0" applyNumberFormat="0" applyBorder="0" applyAlignment="0" applyProtection="0"/>
    <xf numFmtId="4" fontId="33" fillId="34" borderId="411">
      <alignment horizontal="right" vertical="center"/>
    </xf>
    <xf numFmtId="0" fontId="41" fillId="59" borderId="403" applyNumberFormat="0" applyFont="0" applyAlignment="0" applyProtection="0"/>
    <xf numFmtId="4" fontId="37" fillId="32" borderId="404">
      <alignment horizontal="right" vertical="center"/>
    </xf>
    <xf numFmtId="0" fontId="33" fillId="34" borderId="406">
      <alignment horizontal="right" vertical="center"/>
    </xf>
    <xf numFmtId="4" fontId="35" fillId="33" borderId="404"/>
    <xf numFmtId="0" fontId="12" fillId="16" borderId="0" applyNumberFormat="0" applyBorder="0" applyAlignment="0" applyProtection="0"/>
    <xf numFmtId="0" fontId="41" fillId="59" borderId="403" applyNumberFormat="0" applyFont="0" applyAlignment="0" applyProtection="0"/>
    <xf numFmtId="0" fontId="66" fillId="0" borderId="402" applyNumberFormat="0" applyFill="0" applyAlignment="0" applyProtection="0"/>
    <xf numFmtId="0" fontId="41" fillId="59" borderId="409" applyNumberFormat="0" applyFont="0" applyAlignment="0" applyProtection="0"/>
    <xf numFmtId="0" fontId="27" fillId="14" borderId="0" applyNumberFormat="0" applyBorder="0" applyAlignment="0" applyProtection="0"/>
    <xf numFmtId="0" fontId="33" fillId="34" borderId="404">
      <alignment horizontal="right" vertical="center"/>
    </xf>
    <xf numFmtId="0" fontId="41" fillId="59" borderId="403" applyNumberFormat="0" applyFont="0" applyAlignment="0" applyProtection="0"/>
    <xf numFmtId="0" fontId="12" fillId="28" borderId="0" applyNumberFormat="0" applyBorder="0" applyAlignment="0" applyProtection="0"/>
    <xf numFmtId="0" fontId="66" fillId="0" borderId="402" applyNumberFormat="0" applyFill="0" applyAlignment="0" applyProtection="0"/>
    <xf numFmtId="0" fontId="66" fillId="0" borderId="416" applyNumberFormat="0" applyFill="0" applyAlignment="0" applyProtection="0"/>
    <xf numFmtId="4" fontId="35" fillId="33" borderId="404"/>
    <xf numFmtId="4" fontId="33" fillId="34" borderId="410">
      <alignment horizontal="right" vertical="center"/>
    </xf>
    <xf numFmtId="0" fontId="44" fillId="56" borderId="408" applyNumberFormat="0" applyAlignment="0" applyProtection="0"/>
    <xf numFmtId="0" fontId="29" fillId="13" borderId="14" applyNumberFormat="0" applyAlignment="0" applyProtection="0"/>
    <xf numFmtId="0" fontId="47" fillId="56" borderId="401" applyNumberFormat="0" applyAlignment="0" applyProtection="0"/>
    <xf numFmtId="0" fontId="63" fillId="56" borderId="408" applyNumberFormat="0" applyAlignment="0" applyProtection="0"/>
    <xf numFmtId="4" fontId="33" fillId="32" borderId="404">
      <alignment horizontal="right" vertical="center"/>
    </xf>
    <xf numFmtId="0" fontId="35" fillId="0" borderId="404">
      <alignment horizontal="right" vertical="center"/>
    </xf>
    <xf numFmtId="0" fontId="35" fillId="33" borderId="410"/>
    <xf numFmtId="0" fontId="33" fillId="34" borderId="410">
      <alignment horizontal="right" vertical="center"/>
    </xf>
    <xf numFmtId="0" fontId="41" fillId="59" borderId="403" applyNumberFormat="0" applyFont="0" applyAlignment="0" applyProtection="0"/>
    <xf numFmtId="0" fontId="66" fillId="0" borderId="395" applyNumberFormat="0" applyFill="0" applyAlignment="0" applyProtection="0"/>
    <xf numFmtId="0" fontId="41" fillId="59" borderId="396" applyNumberFormat="0" applyFont="0" applyAlignment="0" applyProtection="0"/>
    <xf numFmtId="0" fontId="41" fillId="59" borderId="403" applyNumberFormat="0" applyFont="0" applyAlignment="0" applyProtection="0"/>
    <xf numFmtId="4" fontId="35" fillId="0" borderId="404" applyFill="0" applyBorder="0" applyProtection="0">
      <alignment horizontal="right" vertical="center"/>
    </xf>
    <xf numFmtId="0" fontId="5" fillId="59" borderId="396" applyNumberFormat="0" applyFont="0" applyAlignment="0" applyProtection="0"/>
    <xf numFmtId="0" fontId="59" fillId="43" borderId="401" applyNumberFormat="0" applyAlignment="0" applyProtection="0"/>
    <xf numFmtId="0" fontId="46" fillId="56" borderId="401" applyNumberFormat="0" applyAlignment="0" applyProtection="0"/>
    <xf numFmtId="4" fontId="33" fillId="34" borderId="404">
      <alignment horizontal="right" vertical="center"/>
    </xf>
    <xf numFmtId="0" fontId="59" fillId="43" borderId="401" applyNumberFormat="0" applyAlignment="0" applyProtection="0"/>
    <xf numFmtId="0" fontId="33" fillId="34" borderId="404">
      <alignment horizontal="right" vertical="center"/>
    </xf>
    <xf numFmtId="0" fontId="37" fillId="32" borderId="410">
      <alignment horizontal="right" vertical="center"/>
    </xf>
    <xf numFmtId="0" fontId="12" fillId="31" borderId="0" applyNumberFormat="0" applyBorder="0" applyAlignment="0" applyProtection="0"/>
    <xf numFmtId="0" fontId="29" fillId="13" borderId="14" applyNumberFormat="0" applyAlignment="0" applyProtection="0"/>
    <xf numFmtId="0" fontId="12" fillId="22" borderId="0" applyNumberFormat="0" applyBorder="0" applyAlignment="0" applyProtection="0"/>
    <xf numFmtId="0" fontId="59" fillId="43" borderId="394" applyNumberFormat="0" applyAlignment="0" applyProtection="0"/>
    <xf numFmtId="0" fontId="35" fillId="32" borderId="405">
      <alignment horizontal="left" vertical="center"/>
    </xf>
    <xf numFmtId="0" fontId="35" fillId="34" borderId="400">
      <alignment horizontal="left" vertical="center" wrapText="1" indent="2"/>
    </xf>
    <xf numFmtId="4" fontId="37" fillId="32" borderId="397">
      <alignment horizontal="right" vertical="center"/>
    </xf>
    <xf numFmtId="0" fontId="59" fillId="43" borderId="401" applyNumberFormat="0" applyAlignment="0" applyProtection="0"/>
    <xf numFmtId="0" fontId="31" fillId="0" borderId="0" applyNumberFormat="0" applyFill="0" applyBorder="0" applyAlignment="0" applyProtection="0"/>
    <xf numFmtId="0" fontId="51" fillId="0" borderId="402" applyNumberFormat="0" applyFill="0" applyAlignment="0" applyProtection="0"/>
    <xf numFmtId="0" fontId="27" fillId="21" borderId="0" applyNumberFormat="0" applyBorder="0" applyAlignment="0" applyProtection="0"/>
    <xf numFmtId="0" fontId="66" fillId="0" borderId="402" applyNumberFormat="0" applyFill="0" applyAlignment="0" applyProtection="0"/>
    <xf numFmtId="0" fontId="2" fillId="0" borderId="15" applyNumberFormat="0" applyFill="0" applyAlignment="0" applyProtection="0"/>
    <xf numFmtId="0" fontId="47" fillId="56" borderId="415" applyNumberFormat="0" applyAlignment="0" applyProtection="0"/>
    <xf numFmtId="0" fontId="63" fillId="56" borderId="414" applyNumberFormat="0" applyAlignment="0" applyProtection="0"/>
    <xf numFmtId="4" fontId="37" fillId="32" borderId="397">
      <alignment horizontal="right" vertical="center"/>
    </xf>
    <xf numFmtId="4" fontId="33" fillId="32" borderId="397">
      <alignment horizontal="right" vertical="center"/>
    </xf>
    <xf numFmtId="0" fontId="35" fillId="0" borderId="400">
      <alignment horizontal="left" vertical="center" wrapText="1" indent="2"/>
    </xf>
    <xf numFmtId="0" fontId="63" fillId="56" borderId="393" applyNumberFormat="0" applyAlignment="0" applyProtection="0"/>
    <xf numFmtId="0" fontId="35" fillId="0" borderId="397">
      <alignment horizontal="right" vertical="center"/>
    </xf>
    <xf numFmtId="0" fontId="66" fillId="0" borderId="395" applyNumberFormat="0" applyFill="0" applyAlignment="0" applyProtection="0"/>
    <xf numFmtId="49" fontId="34" fillId="0" borderId="397" applyNumberFormat="0" applyFill="0" applyBorder="0" applyProtection="0">
      <alignment horizontal="left" vertical="center"/>
    </xf>
    <xf numFmtId="4" fontId="35" fillId="33" borderId="397"/>
    <xf numFmtId="0" fontId="59" fillId="43" borderId="394" applyNumberFormat="0" applyAlignment="0" applyProtection="0"/>
    <xf numFmtId="0" fontId="35" fillId="32" borderId="411">
      <alignment horizontal="left" vertical="center"/>
    </xf>
    <xf numFmtId="49" fontId="35" fillId="0" borderId="404" applyNumberFormat="0" applyFont="0" applyFill="0" applyBorder="0" applyProtection="0">
      <alignment horizontal="left" vertical="center" indent="2"/>
    </xf>
    <xf numFmtId="173" fontId="35" fillId="60" borderId="397" applyNumberFormat="0" applyFont="0" applyBorder="0" applyAlignment="0" applyProtection="0">
      <alignment horizontal="right" vertical="center"/>
    </xf>
    <xf numFmtId="0" fontId="47" fillId="56" borderId="394" applyNumberFormat="0" applyAlignment="0" applyProtection="0"/>
    <xf numFmtId="0" fontId="59" fillId="43" borderId="401" applyNumberFormat="0" applyAlignment="0" applyProtection="0"/>
    <xf numFmtId="4" fontId="35" fillId="0" borderId="410">
      <alignment horizontal="right" vertical="center"/>
    </xf>
    <xf numFmtId="0" fontId="47" fillId="56" borderId="401" applyNumberFormat="0" applyAlignment="0" applyProtection="0"/>
    <xf numFmtId="0" fontId="59" fillId="43" borderId="415" applyNumberFormat="0" applyAlignment="0" applyProtection="0"/>
    <xf numFmtId="0" fontId="59" fillId="43" borderId="394" applyNumberFormat="0" applyAlignment="0" applyProtection="0"/>
    <xf numFmtId="0" fontId="44" fillId="56" borderId="393" applyNumberFormat="0" applyAlignment="0" applyProtection="0"/>
    <xf numFmtId="0" fontId="33" fillId="34" borderId="404">
      <alignment horizontal="right" vertical="center"/>
    </xf>
    <xf numFmtId="49" fontId="34" fillId="0" borderId="397" applyNumberFormat="0" applyFill="0" applyBorder="0" applyProtection="0">
      <alignment horizontal="left" vertical="center"/>
    </xf>
    <xf numFmtId="0" fontId="66" fillId="0" borderId="395" applyNumberFormat="0" applyFill="0" applyAlignment="0" applyProtection="0"/>
    <xf numFmtId="0" fontId="35" fillId="0" borderId="397">
      <alignment horizontal="right" vertical="center"/>
    </xf>
    <xf numFmtId="0" fontId="33" fillId="34" borderId="398">
      <alignment horizontal="right" vertical="center"/>
    </xf>
    <xf numFmtId="0" fontId="66" fillId="0" borderId="395" applyNumberFormat="0" applyFill="0" applyAlignment="0" applyProtection="0"/>
    <xf numFmtId="173" fontId="35" fillId="60" borderId="404" applyNumberFormat="0" applyFont="0" applyBorder="0" applyAlignment="0" applyProtection="0">
      <alignment horizontal="right" vertical="center"/>
    </xf>
    <xf numFmtId="0" fontId="27" fillId="14" borderId="0" applyNumberFormat="0" applyBorder="0" applyAlignment="0" applyProtection="0"/>
    <xf numFmtId="0" fontId="47" fillId="56" borderId="423" applyNumberFormat="0" applyAlignment="0" applyProtection="0"/>
    <xf numFmtId="0" fontId="35" fillId="0" borderId="404" applyNumberFormat="0" applyFill="0" applyAlignment="0" applyProtection="0"/>
    <xf numFmtId="4" fontId="37" fillId="32" borderId="410">
      <alignment horizontal="right" vertical="center"/>
    </xf>
    <xf numFmtId="0" fontId="59" fillId="43" borderId="423" applyNumberFormat="0" applyAlignment="0" applyProtection="0"/>
    <xf numFmtId="4" fontId="35" fillId="0" borderId="397" applyFill="0" applyBorder="0" applyProtection="0">
      <alignment horizontal="right" vertical="center"/>
    </xf>
    <xf numFmtId="4" fontId="33" fillId="34" borderId="420">
      <alignment horizontal="right" vertical="center"/>
    </xf>
    <xf numFmtId="0" fontId="33" fillId="34" borderId="404">
      <alignment horizontal="right" vertical="center"/>
    </xf>
    <xf numFmtId="0" fontId="35" fillId="0" borderId="386">
      <alignment horizontal="right" vertical="center"/>
    </xf>
    <xf numFmtId="0" fontId="33" fillId="34" borderId="418">
      <alignment horizontal="right" vertical="center"/>
    </xf>
    <xf numFmtId="0" fontId="5" fillId="59" borderId="409" applyNumberFormat="0" applyFont="0" applyAlignment="0" applyProtection="0"/>
    <xf numFmtId="0" fontId="35" fillId="0" borderId="400">
      <alignment horizontal="left" vertical="center" wrapText="1" indent="2"/>
    </xf>
    <xf numFmtId="0" fontId="66" fillId="0" borderId="395" applyNumberFormat="0" applyFill="0" applyAlignment="0" applyProtection="0"/>
    <xf numFmtId="0" fontId="44" fillId="56" borderId="393" applyNumberFormat="0" applyAlignment="0" applyProtection="0"/>
    <xf numFmtId="0" fontId="33" fillId="34" borderId="397">
      <alignment horizontal="right" vertical="center"/>
    </xf>
    <xf numFmtId="0" fontId="46" fillId="56" borderId="394" applyNumberFormat="0" applyAlignment="0" applyProtection="0"/>
    <xf numFmtId="0" fontId="41" fillId="59" borderId="409" applyNumberFormat="0" applyFont="0" applyAlignment="0" applyProtection="0"/>
    <xf numFmtId="0" fontId="35" fillId="0" borderId="421">
      <alignment horizontal="left" vertical="center" wrapText="1" indent="2"/>
    </xf>
    <xf numFmtId="0" fontId="35" fillId="32" borderId="398">
      <alignment horizontal="left" vertical="center"/>
    </xf>
    <xf numFmtId="0" fontId="35" fillId="33" borderId="404"/>
    <xf numFmtId="0" fontId="31" fillId="0" borderId="0" applyNumberFormat="0" applyFill="0" applyBorder="0" applyAlignment="0" applyProtection="0"/>
    <xf numFmtId="0" fontId="33" fillId="34" borderId="410">
      <alignment horizontal="right" vertical="center"/>
    </xf>
    <xf numFmtId="4" fontId="33" fillId="32" borderId="404">
      <alignment horizontal="right" vertical="center"/>
    </xf>
    <xf numFmtId="0" fontId="33" fillId="34" borderId="411">
      <alignment horizontal="right" vertical="center"/>
    </xf>
    <xf numFmtId="0" fontId="33" fillId="32" borderId="397">
      <alignment horizontal="right" vertical="center"/>
    </xf>
    <xf numFmtId="4" fontId="33" fillId="34" borderId="404">
      <alignment horizontal="right" vertical="center"/>
    </xf>
    <xf numFmtId="0" fontId="35" fillId="0" borderId="410" applyNumberFormat="0" applyFill="0" applyAlignment="0" applyProtection="0"/>
    <xf numFmtId="0" fontId="51" fillId="0" borderId="395" applyNumberFormat="0" applyFill="0" applyAlignment="0" applyProtection="0"/>
    <xf numFmtId="0" fontId="66" fillId="0" borderId="416" applyNumberFormat="0" applyFill="0" applyAlignment="0" applyProtection="0"/>
    <xf numFmtId="0" fontId="35" fillId="0" borderId="397">
      <alignment horizontal="right" vertical="center"/>
    </xf>
    <xf numFmtId="0" fontId="5" fillId="59" borderId="396" applyNumberFormat="0" applyFont="0" applyAlignment="0" applyProtection="0"/>
    <xf numFmtId="0" fontId="35" fillId="33" borderId="410"/>
    <xf numFmtId="0" fontId="33" fillId="34" borderId="404">
      <alignment horizontal="right" vertical="center"/>
    </xf>
    <xf numFmtId="49" fontId="35" fillId="0" borderId="419" applyNumberFormat="0" applyFont="0" applyFill="0" applyBorder="0" applyProtection="0">
      <alignment horizontal="left" vertical="center" indent="5"/>
    </xf>
    <xf numFmtId="0" fontId="12" fillId="31" borderId="0" applyNumberFormat="0" applyBorder="0" applyAlignment="0" applyProtection="0"/>
    <xf numFmtId="0" fontId="33" fillId="34" borderId="404">
      <alignment horizontal="right" vertical="center"/>
    </xf>
    <xf numFmtId="0" fontId="59" fillId="43" borderId="394" applyNumberFormat="0" applyAlignment="0" applyProtection="0"/>
    <xf numFmtId="4" fontId="33" fillId="34" borderId="404">
      <alignment horizontal="right" vertical="center"/>
    </xf>
    <xf numFmtId="49" fontId="35" fillId="0" borderId="398" applyNumberFormat="0" applyFont="0" applyFill="0" applyBorder="0" applyProtection="0">
      <alignment horizontal="left" vertical="center" indent="5"/>
    </xf>
    <xf numFmtId="4" fontId="33" fillId="34" borderId="405">
      <alignment horizontal="right" vertical="center"/>
    </xf>
    <xf numFmtId="0" fontId="35" fillId="0" borderId="397" applyNumberFormat="0" applyFill="0" applyAlignment="0" applyProtection="0"/>
    <xf numFmtId="0" fontId="51" fillId="0" borderId="395" applyNumberFormat="0" applyFill="0" applyAlignment="0" applyProtection="0"/>
    <xf numFmtId="0" fontId="63" fillId="56" borderId="393" applyNumberFormat="0" applyAlignment="0" applyProtection="0"/>
    <xf numFmtId="4" fontId="33" fillId="34" borderId="397">
      <alignment horizontal="right" vertical="center"/>
    </xf>
    <xf numFmtId="4" fontId="35" fillId="33" borderId="397"/>
    <xf numFmtId="0" fontId="66" fillId="0" borderId="395" applyNumberFormat="0" applyFill="0" applyAlignment="0" applyProtection="0"/>
    <xf numFmtId="0" fontId="35" fillId="34" borderId="407">
      <alignment horizontal="left" vertical="center" wrapText="1" indent="2"/>
    </xf>
    <xf numFmtId="0" fontId="44" fillId="56" borderId="393" applyNumberFormat="0" applyAlignment="0" applyProtection="0"/>
    <xf numFmtId="0" fontId="46" fillId="56" borderId="394" applyNumberFormat="0" applyAlignment="0" applyProtection="0"/>
    <xf numFmtId="0" fontId="47" fillId="56" borderId="394" applyNumberFormat="0" applyAlignment="0" applyProtection="0"/>
    <xf numFmtId="0" fontId="63" fillId="56" borderId="393" applyNumberFormat="0" applyAlignment="0" applyProtection="0"/>
    <xf numFmtId="0" fontId="33" fillId="34" borderId="399">
      <alignment horizontal="right" vertical="center"/>
    </xf>
    <xf numFmtId="0" fontId="35" fillId="0" borderId="397" applyNumberFormat="0" applyFill="0" applyAlignment="0" applyProtection="0"/>
    <xf numFmtId="49" fontId="35" fillId="0" borderId="398" applyNumberFormat="0" applyFont="0" applyFill="0" applyBorder="0" applyProtection="0">
      <alignment horizontal="left" vertical="center" indent="5"/>
    </xf>
    <xf numFmtId="0" fontId="66" fillId="0" borderId="395" applyNumberFormat="0" applyFill="0" applyAlignment="0" applyProtection="0"/>
    <xf numFmtId="0" fontId="35" fillId="0" borderId="397" applyNumberFormat="0" applyFill="0" applyAlignment="0" applyProtection="0"/>
    <xf numFmtId="0" fontId="33" fillId="34" borderId="410">
      <alignment horizontal="right" vertical="center"/>
    </xf>
    <xf numFmtId="0" fontId="33" fillId="34" borderId="404">
      <alignment horizontal="right" vertical="center"/>
    </xf>
    <xf numFmtId="0" fontId="47" fillId="56" borderId="401" applyNumberFormat="0" applyAlignment="0" applyProtection="0"/>
    <xf numFmtId="4" fontId="33" fillId="34" borderId="405">
      <alignment horizontal="right" vertical="center"/>
    </xf>
    <xf numFmtId="0" fontId="12" fillId="19" borderId="0" applyNumberFormat="0" applyBorder="0" applyAlignment="0" applyProtection="0"/>
    <xf numFmtId="4" fontId="33" fillId="32" borderId="404">
      <alignment horizontal="right" vertical="center"/>
    </xf>
    <xf numFmtId="0" fontId="51" fillId="0" borderId="424" applyNumberFormat="0" applyFill="0" applyAlignment="0" applyProtection="0"/>
    <xf numFmtId="0" fontId="41" fillId="59" borderId="396" applyNumberFormat="0" applyFont="0" applyAlignment="0" applyProtection="0"/>
    <xf numFmtId="0" fontId="35" fillId="0" borderId="421">
      <alignment horizontal="left" vertical="center" wrapText="1" indent="2"/>
    </xf>
    <xf numFmtId="0" fontId="27" fillId="18" borderId="0" applyNumberFormat="0" applyBorder="0" applyAlignment="0" applyProtection="0"/>
    <xf numFmtId="4" fontId="35" fillId="33" borderId="410"/>
    <xf numFmtId="4" fontId="33" fillId="34" borderId="405">
      <alignment horizontal="right" vertical="center"/>
    </xf>
    <xf numFmtId="4" fontId="33" fillId="34" borderId="405">
      <alignment horizontal="right" vertical="center"/>
    </xf>
    <xf numFmtId="0" fontId="33" fillId="34" borderId="406">
      <alignment horizontal="right" vertical="center"/>
    </xf>
    <xf numFmtId="0" fontId="63" fillId="56" borderId="408" applyNumberFormat="0" applyAlignment="0" applyProtection="0"/>
    <xf numFmtId="0" fontId="51" fillId="0" borderId="402" applyNumberFormat="0" applyFill="0" applyAlignment="0" applyProtection="0"/>
    <xf numFmtId="0" fontId="27" fillId="30" borderId="0" applyNumberFormat="0" applyBorder="0" applyAlignment="0" applyProtection="0"/>
    <xf numFmtId="0" fontId="35" fillId="0" borderId="400">
      <alignment horizontal="left" vertical="center" wrapText="1" indent="2"/>
    </xf>
    <xf numFmtId="4" fontId="35" fillId="0" borderId="404">
      <alignment horizontal="right" vertical="center"/>
    </xf>
    <xf numFmtId="4" fontId="33" fillId="32" borderId="397">
      <alignment horizontal="right" vertical="center"/>
    </xf>
    <xf numFmtId="4" fontId="35" fillId="0" borderId="404" applyFill="0" applyBorder="0" applyProtection="0">
      <alignment horizontal="right" vertical="center"/>
    </xf>
    <xf numFmtId="0" fontId="44" fillId="56" borderId="408" applyNumberFormat="0" applyAlignment="0" applyProtection="0"/>
    <xf numFmtId="0" fontId="63" fillId="56" borderId="393" applyNumberFormat="0" applyAlignment="0" applyProtection="0"/>
    <xf numFmtId="49" fontId="35" fillId="0" borderId="398" applyNumberFormat="0" applyFont="0" applyFill="0" applyBorder="0" applyProtection="0">
      <alignment horizontal="left" vertical="center" indent="5"/>
    </xf>
    <xf numFmtId="4" fontId="35" fillId="0" borderId="397">
      <alignment horizontal="right" vertical="center"/>
    </xf>
    <xf numFmtId="0" fontId="41" fillId="59" borderId="409" applyNumberFormat="0" applyFont="0" applyAlignment="0" applyProtection="0"/>
    <xf numFmtId="0" fontId="12" fillId="25" borderId="0" applyNumberFormat="0" applyBorder="0" applyAlignment="0" applyProtection="0"/>
    <xf numFmtId="0" fontId="12" fillId="22" borderId="0" applyNumberFormat="0" applyBorder="0" applyAlignment="0" applyProtection="0"/>
    <xf numFmtId="0" fontId="27" fillId="29" borderId="0" applyNumberFormat="0" applyBorder="0" applyAlignment="0" applyProtection="0"/>
    <xf numFmtId="0" fontId="51" fillId="0" borderId="395" applyNumberFormat="0" applyFill="0" applyAlignment="0" applyProtection="0"/>
    <xf numFmtId="0" fontId="35" fillId="33" borderId="404"/>
    <xf numFmtId="4" fontId="33" fillId="34" borderId="399">
      <alignment horizontal="right" vertical="center"/>
    </xf>
    <xf numFmtId="4" fontId="33" fillId="34" borderId="397">
      <alignment horizontal="right" vertical="center"/>
    </xf>
    <xf numFmtId="4" fontId="33" fillId="34" borderId="397">
      <alignment horizontal="right" vertical="center"/>
    </xf>
    <xf numFmtId="0" fontId="66" fillId="0" borderId="395" applyNumberFormat="0" applyFill="0" applyAlignment="0" applyProtection="0"/>
    <xf numFmtId="0" fontId="47" fillId="56" borderId="394" applyNumberFormat="0" applyAlignment="0" applyProtection="0"/>
    <xf numFmtId="0" fontId="50" fillId="43" borderId="394" applyNumberFormat="0" applyAlignment="0" applyProtection="0"/>
    <xf numFmtId="0" fontId="35" fillId="34" borderId="407">
      <alignment horizontal="left" vertical="center" wrapText="1" indent="2"/>
    </xf>
    <xf numFmtId="0" fontId="30" fillId="13" borderId="13" applyNumberFormat="0" applyAlignment="0" applyProtection="0"/>
    <xf numFmtId="49" fontId="34" fillId="0" borderId="397" applyNumberFormat="0" applyFill="0" applyBorder="0" applyProtection="0">
      <alignment horizontal="left" vertical="center"/>
    </xf>
    <xf numFmtId="0" fontId="5" fillId="59" borderId="396" applyNumberFormat="0" applyFont="0" applyAlignment="0" applyProtection="0"/>
    <xf numFmtId="49" fontId="35" fillId="0" borderId="404" applyNumberFormat="0" applyFont="0" applyFill="0" applyBorder="0" applyProtection="0">
      <alignment horizontal="left" vertical="center" indent="2"/>
    </xf>
    <xf numFmtId="4" fontId="33" fillId="34" borderId="397">
      <alignment horizontal="right" vertical="center"/>
    </xf>
    <xf numFmtId="0" fontId="27" fillId="21" borderId="0" applyNumberFormat="0" applyBorder="0" applyAlignment="0" applyProtection="0"/>
    <xf numFmtId="0" fontId="41" fillId="59" borderId="409" applyNumberFormat="0" applyFont="0" applyAlignment="0" applyProtection="0"/>
    <xf numFmtId="0" fontId="50" fillId="43" borderId="401" applyNumberFormat="0" applyAlignment="0" applyProtection="0"/>
    <xf numFmtId="49" fontId="35" fillId="0" borderId="397" applyNumberFormat="0" applyFont="0" applyFill="0" applyBorder="0" applyProtection="0">
      <alignment horizontal="left" vertical="center" indent="2"/>
    </xf>
    <xf numFmtId="0" fontId="66" fillId="0" borderId="395" applyNumberFormat="0" applyFill="0" applyAlignment="0" applyProtection="0"/>
    <xf numFmtId="4" fontId="35" fillId="0" borderId="397" applyFill="0" applyBorder="0" applyProtection="0">
      <alignment horizontal="right" vertical="center"/>
    </xf>
    <xf numFmtId="0" fontId="59" fillId="43" borderId="394" applyNumberFormat="0" applyAlignment="0" applyProtection="0"/>
    <xf numFmtId="49" fontId="34" fillId="0" borderId="397" applyNumberFormat="0" applyFill="0" applyBorder="0" applyProtection="0">
      <alignment horizontal="left" vertical="center"/>
    </xf>
    <xf numFmtId="49" fontId="35" fillId="0" borderId="397" applyNumberFormat="0" applyFont="0" applyFill="0" applyBorder="0" applyProtection="0">
      <alignment horizontal="left" vertical="center" indent="2"/>
    </xf>
    <xf numFmtId="4" fontId="35" fillId="0" borderId="397" applyFill="0" applyBorder="0" applyProtection="0">
      <alignment horizontal="right" vertical="center"/>
    </xf>
    <xf numFmtId="0" fontId="51" fillId="0" borderId="416" applyNumberFormat="0" applyFill="0" applyAlignment="0" applyProtection="0"/>
    <xf numFmtId="173" fontId="35" fillId="60" borderId="397" applyNumberFormat="0" applyFont="0" applyBorder="0" applyAlignment="0" applyProtection="0">
      <alignment horizontal="right" vertical="center"/>
    </xf>
    <xf numFmtId="0" fontId="51" fillId="0" borderId="416" applyNumberFormat="0" applyFill="0" applyAlignment="0" applyProtection="0"/>
    <xf numFmtId="0" fontId="66" fillId="0" borderId="402" applyNumberFormat="0" applyFill="0" applyAlignment="0" applyProtection="0"/>
    <xf numFmtId="0" fontId="35" fillId="34" borderId="407">
      <alignment horizontal="left" vertical="center" wrapText="1" indent="2"/>
    </xf>
    <xf numFmtId="0" fontId="37" fillId="32" borderId="397">
      <alignment horizontal="right" vertical="center"/>
    </xf>
    <xf numFmtId="0" fontId="12" fillId="25" borderId="0" applyNumberFormat="0" applyBorder="0" applyAlignment="0" applyProtection="0"/>
    <xf numFmtId="0" fontId="47" fillId="56" borderId="415" applyNumberFormat="0" applyAlignment="0" applyProtection="0"/>
    <xf numFmtId="0" fontId="51" fillId="0" borderId="416" applyNumberFormat="0" applyFill="0" applyAlignment="0" applyProtection="0"/>
    <xf numFmtId="0" fontId="35" fillId="32" borderId="405">
      <alignment horizontal="left" vertical="center"/>
    </xf>
    <xf numFmtId="0" fontId="50" fillId="43" borderId="394" applyNumberFormat="0" applyAlignment="0" applyProtection="0"/>
    <xf numFmtId="4" fontId="33" fillId="34" borderId="397">
      <alignment horizontal="right" vertical="center"/>
    </xf>
    <xf numFmtId="0" fontId="35" fillId="32" borderId="398">
      <alignment horizontal="left" vertical="center"/>
    </xf>
    <xf numFmtId="0" fontId="27" fillId="14" borderId="0" applyNumberFormat="0" applyBorder="0" applyAlignment="0" applyProtection="0"/>
    <xf numFmtId="0" fontId="66" fillId="0" borderId="402" applyNumberFormat="0" applyFill="0" applyAlignment="0" applyProtection="0"/>
    <xf numFmtId="0" fontId="35" fillId="33" borderId="418"/>
    <xf numFmtId="0" fontId="35" fillId="33" borderId="386"/>
    <xf numFmtId="0" fontId="33" fillId="34" borderId="386">
      <alignment horizontal="right" vertical="center"/>
    </xf>
    <xf numFmtId="0" fontId="41" fillId="59" borderId="403" applyNumberFormat="0" applyFont="0" applyAlignment="0" applyProtection="0"/>
    <xf numFmtId="4" fontId="35" fillId="0" borderId="410">
      <alignment horizontal="right" vertical="center"/>
    </xf>
    <xf numFmtId="0" fontId="63" fillId="56" borderId="408" applyNumberFormat="0" applyAlignment="0" applyProtection="0"/>
    <xf numFmtId="0" fontId="37" fillId="32" borderId="404">
      <alignment horizontal="right" vertical="center"/>
    </xf>
    <xf numFmtId="0" fontId="12" fillId="28" borderId="0" applyNumberFormat="0" applyBorder="0" applyAlignment="0" applyProtection="0"/>
    <xf numFmtId="0" fontId="33" fillId="34" borderId="397">
      <alignment horizontal="right" vertical="center"/>
    </xf>
    <xf numFmtId="0" fontId="35" fillId="34" borderId="400">
      <alignment horizontal="left" vertical="center" wrapText="1" indent="2"/>
    </xf>
    <xf numFmtId="173" fontId="35" fillId="60" borderId="397" applyNumberFormat="0" applyFont="0" applyBorder="0" applyAlignment="0" applyProtection="0">
      <alignment horizontal="right" vertical="center"/>
    </xf>
    <xf numFmtId="0" fontId="41" fillId="59" borderId="396" applyNumberFormat="0" applyFont="0" applyAlignment="0" applyProtection="0"/>
    <xf numFmtId="49" fontId="35" fillId="0" borderId="397" applyNumberFormat="0" applyFont="0" applyFill="0" applyBorder="0" applyProtection="0">
      <alignment horizontal="left" vertical="center" indent="2"/>
    </xf>
    <xf numFmtId="0" fontId="50" fillId="43" borderId="401" applyNumberFormat="0" applyAlignment="0" applyProtection="0"/>
    <xf numFmtId="0" fontId="46" fillId="56" borderId="401" applyNumberFormat="0" applyAlignment="0" applyProtection="0"/>
    <xf numFmtId="4" fontId="33" fillId="34" borderId="410">
      <alignment horizontal="right" vertical="center"/>
    </xf>
    <xf numFmtId="0" fontId="27" fillId="27" borderId="0" applyNumberFormat="0" applyBorder="0" applyAlignment="0" applyProtection="0"/>
    <xf numFmtId="49" fontId="34" fillId="0" borderId="397" applyNumberFormat="0" applyFill="0" applyBorder="0" applyProtection="0">
      <alignment horizontal="left" vertical="center"/>
    </xf>
    <xf numFmtId="173" fontId="35" fillId="60" borderId="397" applyNumberFormat="0" applyFont="0" applyBorder="0" applyAlignment="0" applyProtection="0">
      <alignment horizontal="right" vertical="center"/>
    </xf>
    <xf numFmtId="0" fontId="63" fillId="56" borderId="393" applyNumberFormat="0" applyAlignment="0" applyProtection="0"/>
    <xf numFmtId="0" fontId="35" fillId="0" borderId="397">
      <alignment horizontal="right" vertical="center"/>
    </xf>
    <xf numFmtId="0" fontId="1" fillId="0" borderId="0" applyNumberFormat="0" applyFill="0" applyBorder="0" applyAlignment="0" applyProtection="0"/>
    <xf numFmtId="0" fontId="35" fillId="33" borderId="397"/>
    <xf numFmtId="4" fontId="33" fillId="34" borderId="397">
      <alignment horizontal="right" vertical="center"/>
    </xf>
    <xf numFmtId="0" fontId="35" fillId="33" borderId="397"/>
    <xf numFmtId="0" fontId="59" fillId="43" borderId="394" applyNumberFormat="0" applyAlignment="0" applyProtection="0"/>
    <xf numFmtId="4" fontId="35" fillId="0" borderId="404">
      <alignment horizontal="right" vertical="center"/>
    </xf>
    <xf numFmtId="0" fontId="37" fillId="32" borderId="397">
      <alignment horizontal="right" vertical="center"/>
    </xf>
    <xf numFmtId="0" fontId="35" fillId="0" borderId="400">
      <alignment horizontal="left" vertical="center" wrapText="1" indent="2"/>
    </xf>
    <xf numFmtId="0" fontId="33" fillId="32" borderId="397">
      <alignment horizontal="right" vertical="center"/>
    </xf>
    <xf numFmtId="0" fontId="50" fillId="43" borderId="394" applyNumberFormat="0" applyAlignment="0" applyProtection="0"/>
    <xf numFmtId="0" fontId="35" fillId="34" borderId="400">
      <alignment horizontal="left" vertical="center" wrapText="1" indent="2"/>
    </xf>
    <xf numFmtId="0" fontId="37" fillId="32" borderId="404">
      <alignment horizontal="right" vertical="center"/>
    </xf>
    <xf numFmtId="0" fontId="27" fillId="17" borderId="0" applyNumberFormat="0" applyBorder="0" applyAlignment="0" applyProtection="0"/>
    <xf numFmtId="0" fontId="35" fillId="0" borderId="404" applyNumberFormat="0" applyFill="0" applyAlignment="0" applyProtection="0"/>
    <xf numFmtId="0" fontId="27" fillId="15" borderId="0" applyNumberFormat="0" applyBorder="0" applyAlignment="0" applyProtection="0"/>
    <xf numFmtId="0" fontId="31" fillId="0" borderId="0" applyNumberFormat="0" applyFill="0" applyBorder="0" applyAlignment="0" applyProtection="0"/>
    <xf numFmtId="0" fontId="27" fillId="24" borderId="0" applyNumberFormat="0" applyBorder="0" applyAlignment="0" applyProtection="0"/>
    <xf numFmtId="0" fontId="35" fillId="0" borderId="413">
      <alignment horizontal="left" vertical="center" wrapText="1" indent="2"/>
    </xf>
    <xf numFmtId="0" fontId="47" fillId="56" borderId="415" applyNumberFormat="0" applyAlignment="0" applyProtection="0"/>
    <xf numFmtId="0" fontId="50" fillId="43" borderId="401" applyNumberFormat="0" applyAlignment="0" applyProtection="0"/>
    <xf numFmtId="0" fontId="44" fillId="56" borderId="408" applyNumberFormat="0" applyAlignment="0" applyProtection="0"/>
    <xf numFmtId="0" fontId="46" fillId="56" borderId="394" applyNumberFormat="0" applyAlignment="0" applyProtection="0"/>
    <xf numFmtId="0" fontId="37" fillId="32" borderId="397">
      <alignment horizontal="right" vertical="center"/>
    </xf>
    <xf numFmtId="173" fontId="35" fillId="60" borderId="404" applyNumberFormat="0" applyFont="0" applyBorder="0" applyAlignment="0" applyProtection="0">
      <alignment horizontal="right" vertical="center"/>
    </xf>
    <xf numFmtId="4" fontId="33" fillId="34" borderId="406">
      <alignment horizontal="right" vertical="center"/>
    </xf>
    <xf numFmtId="4" fontId="33" fillId="34" borderId="411">
      <alignment horizontal="right" vertical="center"/>
    </xf>
    <xf numFmtId="0" fontId="27" fillId="20" borderId="0" applyNumberFormat="0" applyBorder="0" applyAlignment="0" applyProtection="0"/>
    <xf numFmtId="0" fontId="59" fillId="43" borderId="401" applyNumberFormat="0" applyAlignment="0" applyProtection="0"/>
    <xf numFmtId="0" fontId="33" fillId="34" borderId="418">
      <alignment horizontal="right" vertical="center"/>
    </xf>
    <xf numFmtId="0" fontId="31" fillId="0" borderId="0" applyNumberFormat="0" applyFill="0" applyBorder="0" applyAlignment="0" applyProtection="0"/>
    <xf numFmtId="0" fontId="46" fillId="56" borderId="415" applyNumberFormat="0" applyAlignment="0" applyProtection="0"/>
    <xf numFmtId="0" fontId="47" fillId="56" borderId="423" applyNumberFormat="0" applyAlignment="0" applyProtection="0"/>
    <xf numFmtId="0" fontId="33" fillId="34" borderId="397">
      <alignment horizontal="right" vertical="center"/>
    </xf>
    <xf numFmtId="4" fontId="35" fillId="0" borderId="397" applyFill="0" applyBorder="0" applyProtection="0">
      <alignment horizontal="right" vertical="center"/>
    </xf>
    <xf numFmtId="0" fontId="35" fillId="34" borderId="400">
      <alignment horizontal="left" vertical="center" wrapText="1" indent="2"/>
    </xf>
    <xf numFmtId="0" fontId="41" fillId="59" borderId="396" applyNumberFormat="0" applyFont="0" applyAlignment="0" applyProtection="0"/>
    <xf numFmtId="0" fontId="50" fillId="43" borderId="394" applyNumberFormat="0" applyAlignment="0" applyProtection="0"/>
    <xf numFmtId="4" fontId="35" fillId="33" borderId="397"/>
    <xf numFmtId="4" fontId="35" fillId="0" borderId="397" applyFill="0" applyBorder="0" applyProtection="0">
      <alignment horizontal="right" vertical="center"/>
    </xf>
    <xf numFmtId="0" fontId="66" fillId="0" borderId="395" applyNumberFormat="0" applyFill="0" applyAlignment="0" applyProtection="0"/>
    <xf numFmtId="0" fontId="35" fillId="32" borderId="398">
      <alignment horizontal="left" vertical="center"/>
    </xf>
    <xf numFmtId="0" fontId="35" fillId="0" borderId="400">
      <alignment horizontal="left" vertical="center" wrapText="1" indent="2"/>
    </xf>
    <xf numFmtId="0" fontId="35" fillId="0" borderId="410" applyNumberFormat="0" applyFill="0" applyAlignment="0" applyProtection="0"/>
    <xf numFmtId="0" fontId="59" fillId="43" borderId="394" applyNumberFormat="0" applyAlignment="0" applyProtection="0"/>
    <xf numFmtId="0" fontId="50" fillId="43" borderId="401" applyNumberFormat="0" applyAlignment="0" applyProtection="0"/>
    <xf numFmtId="0" fontId="35" fillId="34" borderId="400">
      <alignment horizontal="left" vertical="center" wrapText="1" indent="2"/>
    </xf>
    <xf numFmtId="0" fontId="31" fillId="0" borderId="0" applyNumberFormat="0" applyFill="0" applyBorder="0" applyAlignment="0" applyProtection="0"/>
    <xf numFmtId="0" fontId="2" fillId="0" borderId="15" applyNumberFormat="0" applyFill="0" applyAlignment="0" applyProtection="0"/>
    <xf numFmtId="4" fontId="37" fillId="32" borderId="410">
      <alignment horizontal="right" vertical="center"/>
    </xf>
    <xf numFmtId="4" fontId="33" fillId="34" borderId="406">
      <alignment horizontal="right" vertical="center"/>
    </xf>
    <xf numFmtId="0" fontId="41" fillId="59" borderId="396" applyNumberFormat="0" applyFont="0" applyAlignment="0" applyProtection="0"/>
    <xf numFmtId="0" fontId="59" fillId="43" borderId="394" applyNumberFormat="0" applyAlignment="0" applyProtection="0"/>
    <xf numFmtId="0" fontId="33" fillId="34" borderId="418">
      <alignment horizontal="right" vertical="center"/>
    </xf>
    <xf numFmtId="4" fontId="35" fillId="33" borderId="397"/>
    <xf numFmtId="0" fontId="47" fillId="56" borderId="394" applyNumberFormat="0" applyAlignment="0" applyProtection="0"/>
    <xf numFmtId="0" fontId="59" fillId="43" borderId="394" applyNumberFormat="0" applyAlignment="0" applyProtection="0"/>
    <xf numFmtId="4" fontId="33" fillId="34" borderId="397">
      <alignment horizontal="right" vertical="center"/>
    </xf>
    <xf numFmtId="0" fontId="51" fillId="0" borderId="395" applyNumberFormat="0" applyFill="0" applyAlignment="0" applyProtection="0"/>
    <xf numFmtId="0" fontId="27" fillId="23" borderId="0" applyNumberFormat="0" applyBorder="0" applyAlignment="0" applyProtection="0"/>
    <xf numFmtId="0" fontId="66" fillId="0" borderId="416" applyNumberFormat="0" applyFill="0" applyAlignment="0" applyProtection="0"/>
    <xf numFmtId="0" fontId="66" fillId="0" borderId="402" applyNumberFormat="0" applyFill="0" applyAlignment="0" applyProtection="0"/>
    <xf numFmtId="0" fontId="59" fillId="43" borderId="423" applyNumberFormat="0" applyAlignment="0" applyProtection="0"/>
    <xf numFmtId="0" fontId="27" fillId="23" borderId="0" applyNumberFormat="0" applyBorder="0" applyAlignment="0" applyProtection="0"/>
    <xf numFmtId="0" fontId="47" fillId="56" borderId="394" applyNumberFormat="0" applyAlignment="0" applyProtection="0"/>
    <xf numFmtId="0" fontId="33" fillId="34" borderId="404">
      <alignment horizontal="right" vertical="center"/>
    </xf>
    <xf numFmtId="0" fontId="50" fillId="43" borderId="394" applyNumberFormat="0" applyAlignment="0" applyProtection="0"/>
    <xf numFmtId="4" fontId="35" fillId="33" borderId="404"/>
    <xf numFmtId="49" fontId="34" fillId="0" borderId="404" applyNumberFormat="0" applyFill="0" applyBorder="0" applyProtection="0">
      <alignment horizontal="left" vertical="center"/>
    </xf>
    <xf numFmtId="4" fontId="35" fillId="0" borderId="410" applyFill="0" applyBorder="0" applyProtection="0">
      <alignment horizontal="right" vertical="center"/>
    </xf>
    <xf numFmtId="4" fontId="33" fillId="34" borderId="419">
      <alignment horizontal="right" vertical="center"/>
    </xf>
    <xf numFmtId="0" fontId="27" fillId="14" borderId="0" applyNumberFormat="0" applyBorder="0" applyAlignment="0" applyProtection="0"/>
    <xf numFmtId="0" fontId="5" fillId="59" borderId="403" applyNumberFormat="0" applyFont="0" applyAlignment="0" applyProtection="0"/>
    <xf numFmtId="0" fontId="35" fillId="34" borderId="400">
      <alignment horizontal="left" vertical="center" wrapText="1" indent="2"/>
    </xf>
    <xf numFmtId="0" fontId="66" fillId="0" borderId="402" applyNumberFormat="0" applyFill="0" applyAlignment="0" applyProtection="0"/>
    <xf numFmtId="0" fontId="63" fillId="56" borderId="393" applyNumberFormat="0" applyAlignment="0" applyProtection="0"/>
    <xf numFmtId="0" fontId="59" fillId="43" borderId="394" applyNumberFormat="0" applyAlignment="0" applyProtection="0"/>
    <xf numFmtId="4" fontId="33" fillId="34" borderId="397">
      <alignment horizontal="right" vertical="center"/>
    </xf>
    <xf numFmtId="0" fontId="35" fillId="33" borderId="397"/>
    <xf numFmtId="0" fontId="50" fillId="43" borderId="415" applyNumberFormat="0" applyAlignment="0" applyProtection="0"/>
    <xf numFmtId="0" fontId="41" fillId="59" borderId="403" applyNumberFormat="0" applyFont="0" applyAlignment="0" applyProtection="0"/>
    <xf numFmtId="0" fontId="35" fillId="0" borderId="400">
      <alignment horizontal="left" vertical="center" wrapText="1" indent="2"/>
    </xf>
    <xf numFmtId="4" fontId="33" fillId="34" borderId="412">
      <alignment horizontal="right" vertical="center"/>
    </xf>
    <xf numFmtId="0" fontId="33" fillId="34" borderId="404">
      <alignment horizontal="right" vertical="center"/>
    </xf>
    <xf numFmtId="0" fontId="12" fillId="25" borderId="0" applyNumberFormat="0" applyBorder="0" applyAlignment="0" applyProtection="0"/>
    <xf numFmtId="4" fontId="33" fillId="34" borderId="410">
      <alignment horizontal="right" vertical="center"/>
    </xf>
    <xf numFmtId="0" fontId="46" fillId="56" borderId="394" applyNumberFormat="0" applyAlignment="0" applyProtection="0"/>
    <xf numFmtId="0" fontId="33" fillId="32" borderId="404">
      <alignment horizontal="right" vertical="center"/>
    </xf>
    <xf numFmtId="0" fontId="51" fillId="0" borderId="402" applyNumberFormat="0" applyFill="0" applyAlignment="0" applyProtection="0"/>
    <xf numFmtId="4" fontId="33" fillId="32" borderId="397">
      <alignment horizontal="right" vertical="center"/>
    </xf>
    <xf numFmtId="0" fontId="35" fillId="33" borderId="404"/>
    <xf numFmtId="0" fontId="33" fillId="32" borderId="397">
      <alignment horizontal="right" vertical="center"/>
    </xf>
    <xf numFmtId="0" fontId="33" fillId="34" borderId="397">
      <alignment horizontal="right" vertical="center"/>
    </xf>
    <xf numFmtId="0" fontId="35" fillId="34" borderId="413">
      <alignment horizontal="left" vertical="center" wrapText="1" indent="2"/>
    </xf>
    <xf numFmtId="4" fontId="33" fillId="34" borderId="404">
      <alignment horizontal="right" vertical="center"/>
    </xf>
    <xf numFmtId="0" fontId="27" fillId="30" borderId="0" applyNumberFormat="0" applyBorder="0" applyAlignment="0" applyProtection="0"/>
    <xf numFmtId="0" fontId="63" fillId="56" borderId="422" applyNumberFormat="0" applyAlignment="0" applyProtection="0"/>
    <xf numFmtId="0" fontId="63" fillId="56" borderId="393" applyNumberFormat="0" applyAlignment="0" applyProtection="0"/>
    <xf numFmtId="0" fontId="33" fillId="32" borderId="386">
      <alignment horizontal="right" vertical="center"/>
    </xf>
    <xf numFmtId="49" fontId="35" fillId="0" borderId="397" applyNumberFormat="0" applyFont="0" applyFill="0" applyBorder="0" applyProtection="0">
      <alignment horizontal="left" vertical="center" indent="2"/>
    </xf>
    <xf numFmtId="0" fontId="35" fillId="34" borderId="407">
      <alignment horizontal="left" vertical="center" wrapText="1" indent="2"/>
    </xf>
    <xf numFmtId="0" fontId="41" fillId="59" borderId="396" applyNumberFormat="0" applyFont="0" applyAlignment="0" applyProtection="0"/>
    <xf numFmtId="173" fontId="35" fillId="60" borderId="397" applyNumberFormat="0" applyFont="0" applyBorder="0" applyAlignment="0" applyProtection="0">
      <alignment horizontal="right" vertical="center"/>
    </xf>
    <xf numFmtId="0" fontId="59" fillId="43" borderId="394" applyNumberFormat="0" applyAlignment="0" applyProtection="0"/>
    <xf numFmtId="0" fontId="33" fillId="34" borderId="397">
      <alignment horizontal="right" vertical="center"/>
    </xf>
    <xf numFmtId="0" fontId="35" fillId="33" borderId="397"/>
    <xf numFmtId="0" fontId="63" fillId="56" borderId="393" applyNumberFormat="0" applyAlignment="0" applyProtection="0"/>
    <xf numFmtId="0" fontId="47" fillId="56" borderId="394" applyNumberFormat="0" applyAlignment="0" applyProtection="0"/>
    <xf numFmtId="0" fontId="46" fillId="56" borderId="394" applyNumberFormat="0" applyAlignment="0" applyProtection="0"/>
    <xf numFmtId="0" fontId="50" fillId="43" borderId="394" applyNumberFormat="0" applyAlignment="0" applyProtection="0"/>
    <xf numFmtId="0" fontId="50" fillId="43" borderId="394" applyNumberFormat="0" applyAlignment="0" applyProtection="0"/>
    <xf numFmtId="0" fontId="35" fillId="0" borderId="400">
      <alignment horizontal="left" vertical="center" wrapText="1" indent="2"/>
    </xf>
    <xf numFmtId="4" fontId="33" fillId="34" borderId="398">
      <alignment horizontal="right" vertical="center"/>
    </xf>
    <xf numFmtId="4" fontId="35" fillId="0" borderId="397">
      <alignment horizontal="right" vertical="center"/>
    </xf>
    <xf numFmtId="49" fontId="34" fillId="0" borderId="397" applyNumberFormat="0" applyFill="0" applyBorder="0" applyProtection="0">
      <alignment horizontal="left" vertical="center"/>
    </xf>
    <xf numFmtId="4" fontId="35" fillId="0" borderId="397">
      <alignment horizontal="right" vertical="center"/>
    </xf>
    <xf numFmtId="0" fontId="63" fillId="56" borderId="393" applyNumberFormat="0" applyAlignment="0" applyProtection="0"/>
    <xf numFmtId="0" fontId="29" fillId="13" borderId="14" applyNumberFormat="0" applyAlignment="0" applyProtection="0"/>
    <xf numFmtId="0" fontId="35" fillId="0" borderId="404" applyNumberFormat="0" applyFill="0" applyAlignment="0" applyProtection="0"/>
    <xf numFmtId="0" fontId="50" fillId="43" borderId="401" applyNumberFormat="0" applyAlignment="0" applyProtection="0"/>
    <xf numFmtId="0" fontId="33" fillId="34" borderId="412">
      <alignment horizontal="right" vertical="center"/>
    </xf>
    <xf numFmtId="0" fontId="27" fillId="29" borderId="0" applyNumberFormat="0" applyBorder="0" applyAlignment="0" applyProtection="0"/>
    <xf numFmtId="0" fontId="33" fillId="34" borderId="405">
      <alignment horizontal="right" vertical="center"/>
    </xf>
    <xf numFmtId="0" fontId="35" fillId="0" borderId="400">
      <alignment horizontal="left" vertical="center" wrapText="1" indent="2"/>
    </xf>
    <xf numFmtId="0" fontId="12" fillId="22" borderId="0" applyNumberFormat="0" applyBorder="0" applyAlignment="0" applyProtection="0"/>
    <xf numFmtId="0" fontId="30" fillId="13" borderId="13" applyNumberFormat="0" applyAlignment="0" applyProtection="0"/>
    <xf numFmtId="173" fontId="35" fillId="60" borderId="404" applyNumberFormat="0" applyFont="0" applyBorder="0" applyAlignment="0" applyProtection="0">
      <alignment horizontal="right" vertical="center"/>
    </xf>
    <xf numFmtId="0" fontId="46" fillId="56" borderId="423" applyNumberFormat="0" applyAlignment="0" applyProtection="0"/>
    <xf numFmtId="0" fontId="37" fillId="32" borderId="404">
      <alignment horizontal="right" vertical="center"/>
    </xf>
    <xf numFmtId="0" fontId="50" fillId="43" borderId="401" applyNumberFormat="0" applyAlignment="0" applyProtection="0"/>
    <xf numFmtId="0" fontId="30" fillId="13" borderId="13" applyNumberFormat="0" applyAlignment="0" applyProtection="0"/>
    <xf numFmtId="4" fontId="33" fillId="34" borderId="404">
      <alignment horizontal="right" vertical="center"/>
    </xf>
    <xf numFmtId="0" fontId="33" fillId="34" borderId="429">
      <alignment horizontal="right" vertical="center"/>
    </xf>
    <xf numFmtId="0" fontId="46" fillId="56" borderId="423" applyNumberFormat="0" applyAlignment="0" applyProtection="0"/>
    <xf numFmtId="0" fontId="41" fillId="59" borderId="396" applyNumberFormat="0" applyFont="0" applyAlignment="0" applyProtection="0"/>
    <xf numFmtId="0" fontId="35" fillId="33" borderId="410"/>
    <xf numFmtId="0" fontId="33" fillId="32" borderId="397">
      <alignment horizontal="right" vertical="center"/>
    </xf>
    <xf numFmtId="0" fontId="12" fillId="19" borderId="0" applyNumberFormat="0" applyBorder="0" applyAlignment="0" applyProtection="0"/>
    <xf numFmtId="0" fontId="41" fillId="59" borderId="403" applyNumberFormat="0" applyFont="0" applyAlignment="0" applyProtection="0"/>
    <xf numFmtId="0" fontId="35" fillId="0" borderId="397" applyNumberFormat="0" applyFill="0" applyAlignment="0" applyProtection="0"/>
    <xf numFmtId="49" fontId="34" fillId="0" borderId="397" applyNumberFormat="0" applyFill="0" applyBorder="0" applyProtection="0">
      <alignment horizontal="left" vertical="center"/>
    </xf>
    <xf numFmtId="0" fontId="35" fillId="0" borderId="397">
      <alignment horizontal="right" vertical="center"/>
    </xf>
    <xf numFmtId="0" fontId="41" fillId="59" borderId="403" applyNumberFormat="0" applyFont="0" applyAlignment="0" applyProtection="0"/>
    <xf numFmtId="4" fontId="35" fillId="0" borderId="404" applyFill="0" applyBorder="0" applyProtection="0">
      <alignment horizontal="right" vertical="center"/>
    </xf>
    <xf numFmtId="0" fontId="51" fillId="0" borderId="424" applyNumberFormat="0" applyFill="0" applyAlignment="0" applyProtection="0"/>
    <xf numFmtId="0" fontId="59" fillId="43" borderId="401" applyNumberFormat="0" applyAlignment="0" applyProtection="0"/>
    <xf numFmtId="4" fontId="33" fillId="32" borderId="397">
      <alignment horizontal="right" vertical="center"/>
    </xf>
    <xf numFmtId="0" fontId="47" fillId="56" borderId="401" applyNumberFormat="0" applyAlignment="0" applyProtection="0"/>
    <xf numFmtId="0" fontId="47" fillId="56" borderId="394" applyNumberFormat="0" applyAlignment="0" applyProtection="0"/>
    <xf numFmtId="0" fontId="33" fillId="34" borderId="399">
      <alignment horizontal="right" vertical="center"/>
    </xf>
    <xf numFmtId="4" fontId="33" fillId="32" borderId="397">
      <alignment horizontal="right" vertical="center"/>
    </xf>
    <xf numFmtId="0" fontId="33" fillId="34" borderId="397">
      <alignment horizontal="right" vertical="center"/>
    </xf>
    <xf numFmtId="0" fontId="47" fillId="56" borderId="394" applyNumberFormat="0" applyAlignment="0" applyProtection="0"/>
    <xf numFmtId="4" fontId="35" fillId="0" borderId="404">
      <alignment horizontal="right" vertical="center"/>
    </xf>
    <xf numFmtId="4" fontId="37" fillId="32" borderId="404">
      <alignment horizontal="right" vertical="center"/>
    </xf>
    <xf numFmtId="0" fontId="29" fillId="13" borderId="14" applyNumberFormat="0" applyAlignment="0" applyProtection="0"/>
    <xf numFmtId="4" fontId="35" fillId="0" borderId="397" applyFill="0" applyBorder="0" applyProtection="0">
      <alignment horizontal="right" vertical="center"/>
    </xf>
    <xf numFmtId="0" fontId="41" fillId="59" borderId="396" applyNumberFormat="0" applyFont="0" applyAlignment="0" applyProtection="0"/>
    <xf numFmtId="0" fontId="59" fillId="43" borderId="401" applyNumberFormat="0" applyAlignment="0" applyProtection="0"/>
    <xf numFmtId="0" fontId="27" fillId="26" borderId="0" applyNumberFormat="0" applyBorder="0" applyAlignment="0" applyProtection="0"/>
    <xf numFmtId="0" fontId="35" fillId="34" borderId="413">
      <alignment horizontal="left" vertical="center" wrapText="1" indent="2"/>
    </xf>
    <xf numFmtId="4" fontId="33" fillId="34" borderId="418">
      <alignment horizontal="right" vertical="center"/>
    </xf>
    <xf numFmtId="0" fontId="33" fillId="34" borderId="386">
      <alignment horizontal="right" vertical="center"/>
    </xf>
    <xf numFmtId="0" fontId="27" fillId="30" borderId="0" applyNumberFormat="0" applyBorder="0" applyAlignment="0" applyProtection="0"/>
    <xf numFmtId="0" fontId="33" fillId="32" borderId="397">
      <alignment horizontal="right" vertical="center"/>
    </xf>
    <xf numFmtId="0" fontId="51" fillId="0" borderId="395" applyNumberFormat="0" applyFill="0" applyAlignment="0" applyProtection="0"/>
    <xf numFmtId="0" fontId="35" fillId="0" borderId="397" applyNumberFormat="0" applyFill="0" applyAlignment="0" applyProtection="0"/>
    <xf numFmtId="0" fontId="51" fillId="0" borderId="395" applyNumberFormat="0" applyFill="0" applyAlignment="0" applyProtection="0"/>
    <xf numFmtId="4" fontId="35" fillId="0" borderId="397" applyFill="0" applyBorder="0" applyProtection="0">
      <alignment horizontal="right" vertical="center"/>
    </xf>
    <xf numFmtId="49" fontId="35" fillId="0" borderId="398" applyNumberFormat="0" applyFont="0" applyFill="0" applyBorder="0" applyProtection="0">
      <alignment horizontal="left" vertical="center" indent="5"/>
    </xf>
    <xf numFmtId="0" fontId="35" fillId="0" borderId="397" applyNumberFormat="0" applyFill="0" applyAlignment="0" applyProtection="0"/>
    <xf numFmtId="0" fontId="47" fillId="56" borderId="401" applyNumberFormat="0" applyAlignment="0" applyProtection="0"/>
    <xf numFmtId="0" fontId="35" fillId="0" borderId="397" applyNumberFormat="0" applyFill="0" applyAlignment="0" applyProtection="0"/>
    <xf numFmtId="0" fontId="35" fillId="33" borderId="404"/>
    <xf numFmtId="0" fontId="41" fillId="59" borderId="409" applyNumberFormat="0" applyFont="0" applyAlignment="0" applyProtection="0"/>
    <xf numFmtId="4" fontId="33" fillId="34" borderId="397">
      <alignment horizontal="right" vertical="center"/>
    </xf>
    <xf numFmtId="0" fontId="63" fillId="56" borderId="414" applyNumberFormat="0" applyAlignment="0" applyProtection="0"/>
    <xf numFmtId="4" fontId="35" fillId="33" borderId="404"/>
    <xf numFmtId="4" fontId="35" fillId="33" borderId="410"/>
    <xf numFmtId="0" fontId="59" fillId="43" borderId="423" applyNumberFormat="0" applyAlignment="0" applyProtection="0"/>
    <xf numFmtId="0" fontId="50" fillId="43" borderId="394" applyNumberFormat="0" applyAlignment="0" applyProtection="0"/>
    <xf numFmtId="0" fontId="47" fillId="56" borderId="394" applyNumberFormat="0" applyAlignment="0" applyProtection="0"/>
    <xf numFmtId="4" fontId="35" fillId="0" borderId="397">
      <alignment horizontal="right" vertical="center"/>
    </xf>
    <xf numFmtId="0" fontId="35" fillId="34" borderId="400">
      <alignment horizontal="left" vertical="center" wrapText="1" indent="2"/>
    </xf>
    <xf numFmtId="0" fontId="35" fillId="0" borderId="400">
      <alignment horizontal="left" vertical="center" wrapText="1" indent="2"/>
    </xf>
    <xf numFmtId="0" fontId="63" fillId="56" borderId="393" applyNumberFormat="0" applyAlignment="0" applyProtection="0"/>
    <xf numFmtId="0" fontId="59" fillId="43" borderId="394" applyNumberFormat="0" applyAlignment="0" applyProtection="0"/>
    <xf numFmtId="0" fontId="46" fillId="56" borderId="394" applyNumberFormat="0" applyAlignment="0" applyProtection="0"/>
    <xf numFmtId="0" fontId="44" fillId="56" borderId="393" applyNumberFormat="0" applyAlignment="0" applyProtection="0"/>
    <xf numFmtId="0" fontId="33" fillId="34" borderId="399">
      <alignment horizontal="right" vertical="center"/>
    </xf>
    <xf numFmtId="0" fontId="37" fillId="32" borderId="397">
      <alignment horizontal="right" vertical="center"/>
    </xf>
    <xf numFmtId="4" fontId="33" fillId="32" borderId="397">
      <alignment horizontal="right" vertical="center"/>
    </xf>
    <xf numFmtId="4" fontId="33" fillId="34" borderId="397">
      <alignment horizontal="right" vertical="center"/>
    </xf>
    <xf numFmtId="49" fontId="35" fillId="0" borderId="398" applyNumberFormat="0" applyFont="0" applyFill="0" applyBorder="0" applyProtection="0">
      <alignment horizontal="left" vertical="center" indent="5"/>
    </xf>
    <xf numFmtId="4" fontId="35" fillId="0" borderId="397" applyFill="0" applyBorder="0" applyProtection="0">
      <alignment horizontal="right" vertical="center"/>
    </xf>
    <xf numFmtId="4" fontId="33" fillId="32" borderId="397">
      <alignment horizontal="right" vertical="center"/>
    </xf>
    <xf numFmtId="0" fontId="59" fillId="43" borderId="394" applyNumberFormat="0" applyAlignment="0" applyProtection="0"/>
    <xf numFmtId="0" fontId="50" fillId="43" borderId="394" applyNumberFormat="0" applyAlignment="0" applyProtection="0"/>
    <xf numFmtId="0" fontId="46" fillId="56" borderId="394" applyNumberFormat="0" applyAlignment="0" applyProtection="0"/>
    <xf numFmtId="0" fontId="35" fillId="34" borderId="400">
      <alignment horizontal="left" vertical="center" wrapText="1" indent="2"/>
    </xf>
    <xf numFmtId="0" fontId="35" fillId="0" borderId="400">
      <alignment horizontal="left" vertical="center" wrapText="1" indent="2"/>
    </xf>
    <xf numFmtId="0" fontId="35" fillId="34" borderId="400">
      <alignment horizontal="left" vertical="center" wrapText="1" indent="2"/>
    </xf>
    <xf numFmtId="0" fontId="35" fillId="0" borderId="407">
      <alignment horizontal="left" vertical="center" wrapText="1" indent="2"/>
    </xf>
    <xf numFmtId="0" fontId="33" fillId="34" borderId="412">
      <alignment horizontal="right" vertical="center"/>
    </xf>
    <xf numFmtId="0" fontId="37" fillId="32" borderId="418">
      <alignment horizontal="right" vertical="center"/>
    </xf>
    <xf numFmtId="0" fontId="35" fillId="32" borderId="411">
      <alignment horizontal="left" vertical="center"/>
    </xf>
    <xf numFmtId="4" fontId="33" fillId="34" borderId="406">
      <alignment horizontal="right" vertical="center"/>
    </xf>
    <xf numFmtId="0" fontId="35" fillId="34" borderId="421">
      <alignment horizontal="left" vertical="center" wrapText="1" indent="2"/>
    </xf>
    <xf numFmtId="0" fontId="5" fillId="59" borderId="403" applyNumberFormat="0" applyFont="0" applyAlignment="0" applyProtection="0"/>
    <xf numFmtId="0" fontId="1" fillId="0" borderId="0" applyNumberFormat="0" applyFill="0" applyBorder="0" applyAlignment="0" applyProtection="0"/>
    <xf numFmtId="0" fontId="63" fillId="56" borderId="414" applyNumberFormat="0" applyAlignment="0" applyProtection="0"/>
    <xf numFmtId="0" fontId="27" fillId="23" borderId="0" applyNumberFormat="0" applyBorder="0" applyAlignment="0" applyProtection="0"/>
    <xf numFmtId="0" fontId="51" fillId="0" borderId="416" applyNumberFormat="0" applyFill="0" applyAlignment="0" applyProtection="0"/>
    <xf numFmtId="0" fontId="30" fillId="13" borderId="13" applyNumberFormat="0" applyAlignment="0" applyProtection="0"/>
    <xf numFmtId="0" fontId="35" fillId="34" borderId="407">
      <alignment horizontal="left" vertical="center" wrapText="1" indent="2"/>
    </xf>
    <xf numFmtId="4" fontId="33" fillId="34" borderId="406">
      <alignment horizontal="right" vertical="center"/>
    </xf>
    <xf numFmtId="0" fontId="63" fillId="56" borderId="408" applyNumberFormat="0" applyAlignment="0" applyProtection="0"/>
    <xf numFmtId="4" fontId="37" fillId="32" borderId="404">
      <alignment horizontal="right" vertical="center"/>
    </xf>
    <xf numFmtId="4" fontId="33" fillId="34" borderId="404">
      <alignment horizontal="right" vertical="center"/>
    </xf>
    <xf numFmtId="0" fontId="47" fillId="56" borderId="401" applyNumberFormat="0" applyAlignment="0" applyProtection="0"/>
    <xf numFmtId="0" fontId="66" fillId="0" borderId="402" applyNumberFormat="0" applyFill="0" applyAlignment="0" applyProtection="0"/>
    <xf numFmtId="4" fontId="33" fillId="34" borderId="404">
      <alignment horizontal="right" vertical="center"/>
    </xf>
    <xf numFmtId="4" fontId="37" fillId="32" borderId="404">
      <alignment horizontal="right" vertical="center"/>
    </xf>
    <xf numFmtId="0" fontId="63" fillId="56" borderId="425" applyNumberFormat="0" applyAlignment="0" applyProtection="0"/>
    <xf numFmtId="0" fontId="51" fillId="0" borderId="402" applyNumberFormat="0" applyFill="0" applyAlignment="0" applyProtection="0"/>
    <xf numFmtId="0" fontId="50" fillId="43" borderId="401" applyNumberFormat="0" applyAlignment="0" applyProtection="0"/>
    <xf numFmtId="0" fontId="63" fillId="56" borderId="408" applyNumberFormat="0" applyAlignment="0" applyProtection="0"/>
    <xf numFmtId="0" fontId="44" fillId="56" borderId="408" applyNumberFormat="0" applyAlignment="0" applyProtection="0"/>
    <xf numFmtId="49" fontId="35" fillId="0" borderId="418" applyNumberFormat="0" applyFont="0" applyFill="0" applyBorder="0" applyProtection="0">
      <alignment horizontal="left" vertical="center" indent="2"/>
    </xf>
    <xf numFmtId="0" fontId="37" fillId="32" borderId="418">
      <alignment horizontal="right" vertical="center"/>
    </xf>
    <xf numFmtId="0" fontId="1" fillId="0" borderId="0" applyNumberFormat="0" applyFill="0" applyBorder="0" applyAlignment="0" applyProtection="0"/>
    <xf numFmtId="0" fontId="27" fillId="14" borderId="0" applyNumberFormat="0" applyBorder="0" applyAlignment="0" applyProtection="0"/>
    <xf numFmtId="0" fontId="47" fillId="56" borderId="401" applyNumberFormat="0" applyAlignment="0" applyProtection="0"/>
    <xf numFmtId="0" fontId="59" fillId="43" borderId="415" applyNumberFormat="0" applyAlignment="0" applyProtection="0"/>
    <xf numFmtId="0" fontId="59" fillId="43" borderId="423" applyNumberFormat="0" applyAlignment="0" applyProtection="0"/>
    <xf numFmtId="0" fontId="51" fillId="0" borderId="402" applyNumberFormat="0" applyFill="0" applyAlignment="0" applyProtection="0"/>
    <xf numFmtId="0" fontId="63" fillId="56" borderId="408" applyNumberFormat="0" applyAlignment="0" applyProtection="0"/>
    <xf numFmtId="4" fontId="35" fillId="0" borderId="404" applyFill="0" applyBorder="0" applyProtection="0">
      <alignment horizontal="right" vertical="center"/>
    </xf>
    <xf numFmtId="0" fontId="46" fillId="56" borderId="401" applyNumberFormat="0" applyAlignment="0" applyProtection="0"/>
    <xf numFmtId="0" fontId="63" fillId="56" borderId="408" applyNumberFormat="0" applyAlignment="0" applyProtection="0"/>
    <xf numFmtId="0" fontId="35" fillId="34" borderId="407">
      <alignment horizontal="left" vertical="center" wrapText="1" indent="2"/>
    </xf>
    <xf numFmtId="0" fontId="59" fillId="43" borderId="401" applyNumberFormat="0" applyAlignment="0" applyProtection="0"/>
    <xf numFmtId="0" fontId="5" fillId="59" borderId="403" applyNumberFormat="0" applyFont="0" applyAlignment="0" applyProtection="0"/>
    <xf numFmtId="4" fontId="37" fillId="32" borderId="404">
      <alignment horizontal="right" vertical="center"/>
    </xf>
    <xf numFmtId="0" fontId="33" fillId="34" borderId="404">
      <alignment horizontal="right" vertical="center"/>
    </xf>
    <xf numFmtId="0" fontId="50" fillId="43" borderId="401" applyNumberFormat="0" applyAlignment="0" applyProtection="0"/>
    <xf numFmtId="173" fontId="35" fillId="60" borderId="404" applyNumberFormat="0" applyFont="0" applyBorder="0" applyAlignment="0" applyProtection="0">
      <alignment horizontal="right" vertical="center"/>
    </xf>
    <xf numFmtId="49" fontId="35" fillId="0" borderId="404" applyNumberFormat="0" applyFont="0" applyFill="0" applyBorder="0" applyProtection="0">
      <alignment horizontal="left" vertical="center" indent="2"/>
    </xf>
    <xf numFmtId="173" fontId="35" fillId="60" borderId="410" applyNumberFormat="0" applyFont="0" applyBorder="0" applyAlignment="0" applyProtection="0">
      <alignment horizontal="right" vertical="center"/>
    </xf>
    <xf numFmtId="0" fontId="66" fillId="0" borderId="424" applyNumberFormat="0" applyFill="0" applyAlignment="0" applyProtection="0"/>
    <xf numFmtId="0" fontId="33" fillId="34" borderId="412">
      <alignment horizontal="right" vertical="center"/>
    </xf>
    <xf numFmtId="0" fontId="35" fillId="33" borderId="404"/>
    <xf numFmtId="0" fontId="35" fillId="0" borderId="404">
      <alignment horizontal="right" vertical="center"/>
    </xf>
    <xf numFmtId="49" fontId="35" fillId="0" borderId="410" applyNumberFormat="0" applyFont="0" applyFill="0" applyBorder="0" applyProtection="0">
      <alignment horizontal="left" vertical="center" indent="2"/>
    </xf>
    <xf numFmtId="49" fontId="34" fillId="0" borderId="418" applyNumberFormat="0" applyFill="0" applyBorder="0" applyProtection="0">
      <alignment horizontal="left" vertical="center"/>
    </xf>
    <xf numFmtId="0" fontId="63" fillId="56" borderId="414" applyNumberFormat="0" applyAlignment="0" applyProtection="0"/>
    <xf numFmtId="0" fontId="47" fillId="56" borderId="415" applyNumberFormat="0" applyAlignment="0" applyProtection="0"/>
    <xf numFmtId="0" fontId="27" fillId="27" borderId="0" applyNumberFormat="0" applyBorder="0" applyAlignment="0" applyProtection="0"/>
    <xf numFmtId="0" fontId="27" fillId="18" borderId="0" applyNumberFormat="0" applyBorder="0" applyAlignment="0" applyProtection="0"/>
    <xf numFmtId="4" fontId="35" fillId="33" borderId="418"/>
    <xf numFmtId="4" fontId="33" fillId="34" borderId="410">
      <alignment horizontal="right" vertical="center"/>
    </xf>
    <xf numFmtId="0" fontId="33" fillId="34" borderId="418">
      <alignment horizontal="right" vertical="center"/>
    </xf>
    <xf numFmtId="0" fontId="12" fillId="16" borderId="0" applyNumberFormat="0" applyBorder="0" applyAlignment="0" applyProtection="0"/>
    <xf numFmtId="173" fontId="35" fillId="60" borderId="410" applyNumberFormat="0" applyFont="0" applyBorder="0" applyAlignment="0" applyProtection="0">
      <alignment horizontal="right" vertical="center"/>
    </xf>
    <xf numFmtId="4" fontId="33" fillId="34" borderId="404">
      <alignment horizontal="right" vertical="center"/>
    </xf>
    <xf numFmtId="4" fontId="35" fillId="0" borderId="410" applyFill="0" applyBorder="0" applyProtection="0">
      <alignment horizontal="right" vertical="center"/>
    </xf>
    <xf numFmtId="0" fontId="41" fillId="59" borderId="428" applyNumberFormat="0" applyFont="0" applyAlignment="0" applyProtection="0"/>
    <xf numFmtId="0" fontId="44" fillId="56" borderId="414" applyNumberFormat="0" applyAlignment="0" applyProtection="0"/>
    <xf numFmtId="49" fontId="35" fillId="0" borderId="410" applyNumberFormat="0" applyFont="0" applyFill="0" applyBorder="0" applyProtection="0">
      <alignment horizontal="left" vertical="center" indent="2"/>
    </xf>
    <xf numFmtId="0" fontId="66" fillId="0" borderId="424" applyNumberFormat="0" applyFill="0" applyAlignment="0" applyProtection="0"/>
    <xf numFmtId="0" fontId="12" fillId="31" borderId="0" applyNumberFormat="0" applyBorder="0" applyAlignment="0" applyProtection="0"/>
    <xf numFmtId="0" fontId="44" fillId="56" borderId="422" applyNumberFormat="0" applyAlignment="0" applyProtection="0"/>
    <xf numFmtId="0" fontId="51" fillId="0" borderId="402" applyNumberFormat="0" applyFill="0" applyAlignment="0" applyProtection="0"/>
    <xf numFmtId="0" fontId="35" fillId="0" borderId="407">
      <alignment horizontal="left" vertical="center" wrapText="1" indent="2"/>
    </xf>
    <xf numFmtId="49" fontId="35" fillId="0" borderId="411" applyNumberFormat="0" applyFont="0" applyFill="0" applyBorder="0" applyProtection="0">
      <alignment horizontal="left" vertical="center" indent="5"/>
    </xf>
    <xf numFmtId="0" fontId="27" fillId="21" borderId="0" applyNumberFormat="0" applyBorder="0" applyAlignment="0" applyProtection="0"/>
    <xf numFmtId="0" fontId="66" fillId="0" borderId="402" applyNumberFormat="0" applyFill="0" applyAlignment="0" applyProtection="0"/>
    <xf numFmtId="0" fontId="2" fillId="0" borderId="15" applyNumberFormat="0" applyFill="0" applyAlignment="0" applyProtection="0"/>
    <xf numFmtId="0" fontId="47" fillId="56" borderId="415" applyNumberFormat="0" applyAlignment="0" applyProtection="0"/>
    <xf numFmtId="0" fontId="35" fillId="0" borderId="421">
      <alignment horizontal="left" vertical="center" wrapText="1" indent="2"/>
    </xf>
    <xf numFmtId="0" fontId="63" fillId="56" borderId="408" applyNumberFormat="0" applyAlignment="0" applyProtection="0"/>
    <xf numFmtId="173" fontId="35" fillId="60" borderId="404" applyNumberFormat="0" applyFont="0" applyBorder="0" applyAlignment="0" applyProtection="0">
      <alignment horizontal="right" vertical="center"/>
    </xf>
    <xf numFmtId="0" fontId="59" fillId="43" borderId="415" applyNumberFormat="0" applyAlignment="0" applyProtection="0"/>
    <xf numFmtId="0" fontId="12" fillId="28" borderId="0" applyNumberFormat="0" applyBorder="0" applyAlignment="0" applyProtection="0"/>
    <xf numFmtId="0" fontId="59" fillId="43" borderId="415" applyNumberFormat="0" applyAlignment="0" applyProtection="0"/>
    <xf numFmtId="0" fontId="66" fillId="0" borderId="416" applyNumberFormat="0" applyFill="0" applyAlignment="0" applyProtection="0"/>
    <xf numFmtId="0" fontId="12" fillId="31" borderId="0" applyNumberFormat="0" applyBorder="0" applyAlignment="0" applyProtection="0"/>
    <xf numFmtId="0" fontId="59" fillId="43" borderId="415" applyNumberFormat="0" applyAlignment="0" applyProtection="0"/>
    <xf numFmtId="0" fontId="27" fillId="21" borderId="0" applyNumberFormat="0" applyBorder="0" applyAlignment="0" applyProtection="0"/>
    <xf numFmtId="49" fontId="35" fillId="0" borderId="404" applyNumberFormat="0" applyFont="0" applyFill="0" applyBorder="0" applyProtection="0">
      <alignment horizontal="left" vertical="center" indent="2"/>
    </xf>
    <xf numFmtId="4" fontId="35" fillId="0" borderId="404" applyFill="0" applyBorder="0" applyProtection="0">
      <alignment horizontal="right" vertical="center"/>
    </xf>
    <xf numFmtId="4" fontId="33" fillId="32" borderId="404">
      <alignment horizontal="right" vertical="center"/>
    </xf>
    <xf numFmtId="0" fontId="33" fillId="34" borderId="412">
      <alignment horizontal="right" vertical="center"/>
    </xf>
    <xf numFmtId="0" fontId="27" fillId="18" borderId="0" applyNumberFormat="0" applyBorder="0" applyAlignment="0" applyProtection="0"/>
    <xf numFmtId="0" fontId="27" fillId="26" borderId="0" applyNumberFormat="0" applyBorder="0" applyAlignment="0" applyProtection="0"/>
    <xf numFmtId="0" fontId="41" fillId="59" borderId="409" applyNumberFormat="0" applyFont="0" applyAlignment="0" applyProtection="0"/>
    <xf numFmtId="4" fontId="35" fillId="33" borderId="404"/>
    <xf numFmtId="0" fontId="46" fillId="56" borderId="415" applyNumberFormat="0" applyAlignment="0" applyProtection="0"/>
    <xf numFmtId="0" fontId="12" fillId="19" borderId="0" applyNumberFormat="0" applyBorder="0" applyAlignment="0" applyProtection="0"/>
    <xf numFmtId="0" fontId="33" fillId="34" borderId="406">
      <alignment horizontal="right" vertical="center"/>
    </xf>
    <xf numFmtId="0" fontId="50" fillId="43" borderId="423" applyNumberFormat="0" applyAlignment="0" applyProtection="0"/>
    <xf numFmtId="0" fontId="41" fillId="59" borderId="403" applyNumberFormat="0" applyFont="0" applyAlignment="0" applyProtection="0"/>
    <xf numFmtId="0" fontId="27" fillId="15" borderId="0" applyNumberFormat="0" applyBorder="0" applyAlignment="0" applyProtection="0"/>
    <xf numFmtId="0" fontId="35" fillId="0" borderId="404">
      <alignment horizontal="right" vertical="center"/>
    </xf>
    <xf numFmtId="4" fontId="35" fillId="33" borderId="404"/>
    <xf numFmtId="0" fontId="41" fillId="59" borderId="403" applyNumberFormat="0" applyFont="0" applyAlignment="0" applyProtection="0"/>
    <xf numFmtId="4" fontId="33" fillId="34" borderId="404">
      <alignment horizontal="right" vertical="center"/>
    </xf>
    <xf numFmtId="0" fontId="47" fillId="56" borderId="415" applyNumberFormat="0" applyAlignment="0" applyProtection="0"/>
    <xf numFmtId="0" fontId="29" fillId="13" borderId="14" applyNumberFormat="0" applyAlignment="0" applyProtection="0"/>
    <xf numFmtId="0" fontId="63" fillId="56" borderId="408" applyNumberFormat="0" applyAlignment="0" applyProtection="0"/>
    <xf numFmtId="49" fontId="35" fillId="0" borderId="405" applyNumberFormat="0" applyFont="0" applyFill="0" applyBorder="0" applyProtection="0">
      <alignment horizontal="left" vertical="center" indent="5"/>
    </xf>
    <xf numFmtId="0" fontId="12" fillId="19" borderId="0" applyNumberFormat="0" applyBorder="0" applyAlignment="0" applyProtection="0"/>
    <xf numFmtId="49" fontId="35" fillId="0" borderId="405" applyNumberFormat="0" applyFont="0" applyFill="0" applyBorder="0" applyProtection="0">
      <alignment horizontal="left" vertical="center" indent="5"/>
    </xf>
    <xf numFmtId="0" fontId="66" fillId="0" borderId="416" applyNumberFormat="0" applyFill="0" applyAlignment="0" applyProtection="0"/>
    <xf numFmtId="0" fontId="12" fillId="28" borderId="0" applyNumberFormat="0" applyBorder="0" applyAlignment="0" applyProtection="0"/>
    <xf numFmtId="0" fontId="33" fillId="32" borderId="404">
      <alignment horizontal="right" vertical="center"/>
    </xf>
    <xf numFmtId="0" fontId="33" fillId="32" borderId="410">
      <alignment horizontal="right" vertical="center"/>
    </xf>
    <xf numFmtId="0" fontId="59" fillId="43" borderId="401" applyNumberFormat="0" applyAlignment="0" applyProtection="0"/>
    <xf numFmtId="0" fontId="47" fillId="56" borderId="401" applyNumberFormat="0" applyAlignment="0" applyProtection="0"/>
    <xf numFmtId="0" fontId="35" fillId="34" borderId="407">
      <alignment horizontal="left" vertical="center" wrapText="1" indent="2"/>
    </xf>
    <xf numFmtId="0" fontId="27" fillId="24" borderId="0" applyNumberFormat="0" applyBorder="0" applyAlignment="0" applyProtection="0"/>
    <xf numFmtId="0" fontId="51" fillId="0" borderId="402" applyNumberFormat="0" applyFill="0" applyAlignment="0" applyProtection="0"/>
    <xf numFmtId="0" fontId="47" fillId="56" borderId="423" applyNumberFormat="0" applyAlignment="0" applyProtection="0"/>
    <xf numFmtId="0" fontId="35" fillId="0" borderId="410" applyNumberFormat="0" applyFill="0" applyAlignment="0" applyProtection="0"/>
    <xf numFmtId="0" fontId="35" fillId="0" borderId="410" applyNumberFormat="0" applyFill="0" applyAlignment="0" applyProtection="0"/>
    <xf numFmtId="0" fontId="46" fillId="56" borderId="401" applyNumberFormat="0" applyAlignment="0" applyProtection="0"/>
    <xf numFmtId="0" fontId="12" fillId="19" borderId="0" applyNumberFormat="0" applyBorder="0" applyAlignment="0" applyProtection="0"/>
    <xf numFmtId="0" fontId="37" fillId="32" borderId="404">
      <alignment horizontal="right" vertical="center"/>
    </xf>
    <xf numFmtId="0" fontId="35" fillId="0" borderId="410">
      <alignment horizontal="right" vertical="center"/>
    </xf>
    <xf numFmtId="0" fontId="12" fillId="22" borderId="0" applyNumberFormat="0" applyBorder="0" applyAlignment="0" applyProtection="0"/>
    <xf numFmtId="0" fontId="47" fillId="56" borderId="423" applyNumberFormat="0" applyAlignment="0" applyProtection="0"/>
    <xf numFmtId="0" fontId="33" fillId="34" borderId="405">
      <alignment horizontal="right" vertical="center"/>
    </xf>
    <xf numFmtId="0" fontId="35" fillId="0" borderId="418">
      <alignment horizontal="right" vertical="center"/>
    </xf>
    <xf numFmtId="4" fontId="35" fillId="0" borderId="410" applyFill="0" applyBorder="0" applyProtection="0">
      <alignment horizontal="right" vertical="center"/>
    </xf>
    <xf numFmtId="0" fontId="33" fillId="34" borderId="405">
      <alignment horizontal="right" vertical="center"/>
    </xf>
    <xf numFmtId="0" fontId="47" fillId="56" borderId="415" applyNumberFormat="0" applyAlignment="0" applyProtection="0"/>
    <xf numFmtId="0" fontId="33" fillId="32" borderId="404">
      <alignment horizontal="right" vertical="center"/>
    </xf>
    <xf numFmtId="0" fontId="12" fillId="31" borderId="0" applyNumberFormat="0" applyBorder="0" applyAlignment="0" applyProtection="0"/>
    <xf numFmtId="0" fontId="35" fillId="33" borderId="404"/>
    <xf numFmtId="0" fontId="41" fillId="59" borderId="409" applyNumberFormat="0" applyFont="0" applyAlignment="0" applyProtection="0"/>
    <xf numFmtId="4" fontId="37" fillId="32" borderId="404">
      <alignment horizontal="right" vertical="center"/>
    </xf>
    <xf numFmtId="0" fontId="35" fillId="32" borderId="405">
      <alignment horizontal="left" vertical="center"/>
    </xf>
    <xf numFmtId="0" fontId="66" fillId="0" borderId="402" applyNumberFormat="0" applyFill="0" applyAlignment="0" applyProtection="0"/>
    <xf numFmtId="49" fontId="35" fillId="0" borderId="429" applyNumberFormat="0" applyFont="0" applyFill="0" applyBorder="0" applyProtection="0">
      <alignment horizontal="left" vertical="center" indent="2"/>
    </xf>
    <xf numFmtId="0" fontId="12" fillId="19" borderId="0" applyNumberFormat="0" applyBorder="0" applyAlignment="0" applyProtection="0"/>
    <xf numFmtId="49" fontId="34" fillId="0" borderId="404" applyNumberFormat="0" applyFill="0" applyBorder="0" applyProtection="0">
      <alignment horizontal="left" vertical="center"/>
    </xf>
    <xf numFmtId="0" fontId="35" fillId="0" borderId="407">
      <alignment horizontal="left" vertical="center" wrapText="1" indent="2"/>
    </xf>
    <xf numFmtId="0" fontId="27" fillId="21" borderId="0" applyNumberFormat="0" applyBorder="0" applyAlignment="0" applyProtection="0"/>
    <xf numFmtId="0" fontId="63" fillId="56" borderId="422" applyNumberFormat="0" applyAlignment="0" applyProtection="0"/>
    <xf numFmtId="0" fontId="66" fillId="0" borderId="402" applyNumberFormat="0" applyFill="0" applyAlignment="0" applyProtection="0"/>
    <xf numFmtId="0" fontId="37" fillId="32" borderId="404">
      <alignment horizontal="right" vertical="center"/>
    </xf>
    <xf numFmtId="0" fontId="35" fillId="0" borderId="407">
      <alignment horizontal="left" vertical="center" wrapText="1" indent="2"/>
    </xf>
    <xf numFmtId="0" fontId="27" fillId="29" borderId="0" applyNumberFormat="0" applyBorder="0" applyAlignment="0" applyProtection="0"/>
    <xf numFmtId="49" fontId="35" fillId="0" borderId="405" applyNumberFormat="0" applyFont="0" applyFill="0" applyBorder="0" applyProtection="0">
      <alignment horizontal="left" vertical="center" indent="5"/>
    </xf>
    <xf numFmtId="4" fontId="33" fillId="34" borderId="410">
      <alignment horizontal="right" vertical="center"/>
    </xf>
    <xf numFmtId="0" fontId="51" fillId="0" borderId="402" applyNumberFormat="0" applyFill="0" applyAlignment="0" applyProtection="0"/>
    <xf numFmtId="0" fontId="51" fillId="0" borderId="424" applyNumberFormat="0" applyFill="0" applyAlignment="0" applyProtection="0"/>
    <xf numFmtId="4" fontId="33" fillId="34" borderId="418">
      <alignment horizontal="right" vertical="center"/>
    </xf>
    <xf numFmtId="0" fontId="46" fillId="56" borderId="415" applyNumberFormat="0" applyAlignment="0" applyProtection="0"/>
    <xf numFmtId="0" fontId="66" fillId="0" borderId="402" applyNumberFormat="0" applyFill="0" applyAlignment="0" applyProtection="0"/>
    <xf numFmtId="0" fontId="33" fillId="34" borderId="404">
      <alignment horizontal="right" vertical="center"/>
    </xf>
    <xf numFmtId="0" fontId="51" fillId="0" borderId="424" applyNumberFormat="0" applyFill="0" applyAlignment="0" applyProtection="0"/>
    <xf numFmtId="173" fontId="35" fillId="60" borderId="404" applyNumberFormat="0" applyFont="0" applyBorder="0" applyAlignment="0" applyProtection="0">
      <alignment horizontal="right" vertical="center"/>
    </xf>
    <xf numFmtId="0" fontId="41" fillId="59" borderId="403" applyNumberFormat="0" applyFont="0" applyAlignment="0" applyProtection="0"/>
    <xf numFmtId="0" fontId="35" fillId="0" borderId="410" applyNumberFormat="0" applyFill="0" applyAlignment="0" applyProtection="0"/>
    <xf numFmtId="0" fontId="33" fillId="34" borderId="420">
      <alignment horizontal="right" vertical="center"/>
    </xf>
    <xf numFmtId="0" fontId="59" fillId="43" borderId="401" applyNumberFormat="0" applyAlignment="0" applyProtection="0"/>
    <xf numFmtId="4" fontId="33" fillId="34" borderId="418">
      <alignment horizontal="right" vertical="center"/>
    </xf>
    <xf numFmtId="0" fontId="47" fillId="56" borderId="401" applyNumberFormat="0" applyAlignment="0" applyProtection="0"/>
    <xf numFmtId="0" fontId="35" fillId="0" borderId="407">
      <alignment horizontal="left" vertical="center" wrapText="1" indent="2"/>
    </xf>
    <xf numFmtId="0" fontId="59" fillId="43" borderId="401" applyNumberFormat="0" applyAlignment="0" applyProtection="0"/>
    <xf numFmtId="0" fontId="44" fillId="56" borderId="408" applyNumberFormat="0" applyAlignment="0" applyProtection="0"/>
    <xf numFmtId="0" fontId="47" fillId="56" borderId="401" applyNumberFormat="0" applyAlignment="0" applyProtection="0"/>
    <xf numFmtId="0" fontId="35" fillId="34" borderId="407">
      <alignment horizontal="left" vertical="center" wrapText="1" indent="2"/>
    </xf>
    <xf numFmtId="0" fontId="12" fillId="25" borderId="0" applyNumberFormat="0" applyBorder="0" applyAlignment="0" applyProtection="0"/>
    <xf numFmtId="0" fontId="35" fillId="34" borderId="407">
      <alignment horizontal="left" vertical="center" wrapText="1" indent="2"/>
    </xf>
    <xf numFmtId="0" fontId="35" fillId="33" borderId="404"/>
    <xf numFmtId="0" fontId="27" fillId="20" borderId="0" applyNumberFormat="0" applyBorder="0" applyAlignment="0" applyProtection="0"/>
    <xf numFmtId="0" fontId="35" fillId="0" borderId="407">
      <alignment horizontal="left" vertical="center" wrapText="1" indent="2"/>
    </xf>
    <xf numFmtId="4" fontId="33" fillId="32" borderId="404">
      <alignment horizontal="right" vertical="center"/>
    </xf>
    <xf numFmtId="0" fontId="27" fillId="15" borderId="0" applyNumberFormat="0" applyBorder="0" applyAlignment="0" applyProtection="0"/>
    <xf numFmtId="0" fontId="27" fillId="15" borderId="0" applyNumberFormat="0" applyBorder="0" applyAlignment="0" applyProtection="0"/>
    <xf numFmtId="0" fontId="5" fillId="59" borderId="409" applyNumberFormat="0" applyFont="0" applyAlignment="0" applyProtection="0"/>
    <xf numFmtId="0" fontId="27" fillId="29" borderId="0" applyNumberFormat="0" applyBorder="0" applyAlignment="0" applyProtection="0"/>
    <xf numFmtId="0" fontId="46" fillId="56" borderId="423" applyNumberFormat="0" applyAlignment="0" applyProtection="0"/>
    <xf numFmtId="0" fontId="27" fillId="20" borderId="0" applyNumberFormat="0" applyBorder="0" applyAlignment="0" applyProtection="0"/>
    <xf numFmtId="0" fontId="5" fillId="59" borderId="403" applyNumberFormat="0" applyFont="0" applyAlignment="0" applyProtection="0"/>
    <xf numFmtId="4" fontId="33" fillId="34" borderId="404">
      <alignment horizontal="right" vertical="center"/>
    </xf>
    <xf numFmtId="49" fontId="35" fillId="0" borderId="404" applyNumberFormat="0" applyFont="0" applyFill="0" applyBorder="0" applyProtection="0">
      <alignment horizontal="left" vertical="center" indent="2"/>
    </xf>
    <xf numFmtId="0" fontId="12" fillId="22" borderId="0" applyNumberFormat="0" applyBorder="0" applyAlignment="0" applyProtection="0"/>
    <xf numFmtId="0" fontId="66" fillId="0" borderId="402" applyNumberFormat="0" applyFill="0" applyAlignment="0" applyProtection="0"/>
    <xf numFmtId="0" fontId="27" fillId="18" borderId="0" applyNumberFormat="0" applyBorder="0" applyAlignment="0" applyProtection="0"/>
    <xf numFmtId="0" fontId="30" fillId="13" borderId="13" applyNumberFormat="0" applyAlignment="0" applyProtection="0"/>
    <xf numFmtId="4" fontId="33" fillId="34" borderId="420">
      <alignment horizontal="right" vertical="center"/>
    </xf>
    <xf numFmtId="0" fontId="30" fillId="13" borderId="13" applyNumberFormat="0" applyAlignment="0" applyProtection="0"/>
    <xf numFmtId="0" fontId="27" fillId="23" borderId="0" applyNumberFormat="0" applyBorder="0" applyAlignment="0" applyProtection="0"/>
    <xf numFmtId="0" fontId="59" fillId="43" borderId="401" applyNumberFormat="0" applyAlignment="0" applyProtection="0"/>
    <xf numFmtId="0" fontId="33" fillId="34" borderId="411">
      <alignment horizontal="right" vertical="center"/>
    </xf>
    <xf numFmtId="0" fontId="50" fillId="43" borderId="423" applyNumberFormat="0" applyAlignment="0" applyProtection="0"/>
    <xf numFmtId="0" fontId="41" fillId="59" borderId="417" applyNumberFormat="0" applyFont="0" applyAlignment="0" applyProtection="0"/>
    <xf numFmtId="4" fontId="33" fillId="34" borderId="418">
      <alignment horizontal="right" vertical="center"/>
    </xf>
    <xf numFmtId="0" fontId="41" fillId="59" borderId="417" applyNumberFormat="0" applyFont="0" applyAlignment="0" applyProtection="0"/>
    <xf numFmtId="0" fontId="66" fillId="0" borderId="402" applyNumberFormat="0" applyFill="0" applyAlignment="0" applyProtection="0"/>
    <xf numFmtId="4" fontId="35" fillId="0" borderId="410">
      <alignment horizontal="right" vertical="center"/>
    </xf>
    <xf numFmtId="4" fontId="35" fillId="0" borderId="410">
      <alignment horizontal="right" vertical="center"/>
    </xf>
    <xf numFmtId="4" fontId="33" fillId="32" borderId="410">
      <alignment horizontal="right" vertical="center"/>
    </xf>
    <xf numFmtId="0" fontId="30" fillId="13" borderId="13" applyNumberFormat="0" applyAlignment="0" applyProtection="0"/>
    <xf numFmtId="4" fontId="35" fillId="0" borderId="404">
      <alignment horizontal="right" vertical="center"/>
    </xf>
    <xf numFmtId="0" fontId="66" fillId="0" borderId="416" applyNumberFormat="0" applyFill="0" applyAlignment="0" applyProtection="0"/>
    <xf numFmtId="0" fontId="27" fillId="24" borderId="0" applyNumberFormat="0" applyBorder="0" applyAlignment="0" applyProtection="0"/>
    <xf numFmtId="0" fontId="33" fillId="34" borderId="410">
      <alignment horizontal="right" vertical="center"/>
    </xf>
    <xf numFmtId="0" fontId="47" fillId="56" borderId="415" applyNumberFormat="0" applyAlignment="0" applyProtection="0"/>
    <xf numFmtId="0" fontId="63" fillId="56" borderId="408" applyNumberFormat="0" applyAlignment="0" applyProtection="0"/>
    <xf numFmtId="173" fontId="35" fillId="60" borderId="418" applyNumberFormat="0" applyFont="0" applyBorder="0" applyAlignment="0" applyProtection="0">
      <alignment horizontal="right" vertical="center"/>
    </xf>
    <xf numFmtId="0" fontId="50" fillId="43" borderId="415" applyNumberFormat="0" applyAlignment="0" applyProtection="0"/>
    <xf numFmtId="0" fontId="12" fillId="19" borderId="0" applyNumberFormat="0" applyBorder="0" applyAlignment="0" applyProtection="0"/>
    <xf numFmtId="0" fontId="27" fillId="18" borderId="0" applyNumberFormat="0" applyBorder="0" applyAlignment="0" applyProtection="0"/>
    <xf numFmtId="4" fontId="33" fillId="32" borderId="404">
      <alignment horizontal="right" vertical="center"/>
    </xf>
    <xf numFmtId="0" fontId="35" fillId="34" borderId="413">
      <alignment horizontal="left" vertical="center" wrapText="1" indent="2"/>
    </xf>
    <xf numFmtId="0" fontId="35" fillId="34" borderId="413">
      <alignment horizontal="left" vertical="center" wrapText="1" indent="2"/>
    </xf>
    <xf numFmtId="0" fontId="37" fillId="32" borderId="418">
      <alignment horizontal="right" vertical="center"/>
    </xf>
    <xf numFmtId="173" fontId="35" fillId="60" borderId="410" applyNumberFormat="0" applyFont="0" applyBorder="0" applyAlignment="0" applyProtection="0">
      <alignment horizontal="right" vertical="center"/>
    </xf>
    <xf numFmtId="0" fontId="66" fillId="0" borderId="402" applyNumberFormat="0" applyFill="0" applyAlignment="0" applyProtection="0"/>
    <xf numFmtId="4" fontId="35" fillId="0" borderId="418">
      <alignment horizontal="right" vertical="center"/>
    </xf>
    <xf numFmtId="0" fontId="5" fillId="59" borderId="403" applyNumberFormat="0" applyFont="0" applyAlignment="0" applyProtection="0"/>
    <xf numFmtId="0" fontId="47" fillId="56" borderId="415" applyNumberFormat="0" applyAlignment="0" applyProtection="0"/>
    <xf numFmtId="0" fontId="51" fillId="0" borderId="416" applyNumberFormat="0" applyFill="0" applyAlignment="0" applyProtection="0"/>
    <xf numFmtId="0" fontId="33" fillId="32" borderId="404">
      <alignment horizontal="right" vertical="center"/>
    </xf>
    <xf numFmtId="0" fontId="12" fillId="28" borderId="0" applyNumberFormat="0" applyBorder="0" applyAlignment="0" applyProtection="0"/>
    <xf numFmtId="0" fontId="27" fillId="14" borderId="0" applyNumberFormat="0" applyBorder="0" applyAlignment="0" applyProtection="0"/>
    <xf numFmtId="0" fontId="44" fillId="56" borderId="408" applyNumberFormat="0" applyAlignment="0" applyProtection="0"/>
    <xf numFmtId="0" fontId="44" fillId="56" borderId="422" applyNumberFormat="0" applyAlignment="0" applyProtection="0"/>
    <xf numFmtId="0" fontId="35" fillId="0" borderId="413">
      <alignment horizontal="left" vertical="center" wrapText="1" indent="2"/>
    </xf>
    <xf numFmtId="0" fontId="35" fillId="0" borderId="421">
      <alignment horizontal="left" vertical="center" wrapText="1" indent="2"/>
    </xf>
    <xf numFmtId="0" fontId="59" fillId="43" borderId="401" applyNumberFormat="0" applyAlignment="0" applyProtection="0"/>
    <xf numFmtId="49" fontId="34" fillId="0" borderId="410" applyNumberFormat="0" applyFill="0" applyBorder="0" applyProtection="0">
      <alignment horizontal="left" vertical="center"/>
    </xf>
    <xf numFmtId="4" fontId="35" fillId="0" borderId="404">
      <alignment horizontal="right" vertical="center"/>
    </xf>
    <xf numFmtId="0" fontId="27" fillId="18" borderId="0" applyNumberFormat="0" applyBorder="0" applyAlignment="0" applyProtection="0"/>
    <xf numFmtId="0" fontId="66" fillId="0" borderId="402" applyNumberFormat="0" applyFill="0" applyAlignment="0" applyProtection="0"/>
    <xf numFmtId="0" fontId="12" fillId="25" borderId="0" applyNumberFormat="0" applyBorder="0" applyAlignment="0" applyProtection="0"/>
    <xf numFmtId="173" fontId="35" fillId="60" borderId="410" applyNumberFormat="0" applyFont="0" applyBorder="0" applyAlignment="0" applyProtection="0">
      <alignment horizontal="right" vertical="center"/>
    </xf>
    <xf numFmtId="173" fontId="35" fillId="60" borderId="418" applyNumberFormat="0" applyFont="0" applyBorder="0" applyAlignment="0" applyProtection="0">
      <alignment horizontal="right" vertical="center"/>
    </xf>
    <xf numFmtId="0" fontId="59" fillId="43" borderId="401" applyNumberFormat="0" applyAlignment="0" applyProtection="0"/>
    <xf numFmtId="0" fontId="59" fillId="43" borderId="415" applyNumberFormat="0" applyAlignment="0" applyProtection="0"/>
    <xf numFmtId="0" fontId="50" fillId="43" borderId="401" applyNumberFormat="0" applyAlignment="0" applyProtection="0"/>
    <xf numFmtId="0" fontId="5" fillId="59" borderId="409" applyNumberFormat="0" applyFont="0" applyAlignment="0" applyProtection="0"/>
    <xf numFmtId="0" fontId="47" fillId="56" borderId="423" applyNumberFormat="0" applyAlignment="0" applyProtection="0"/>
    <xf numFmtId="0" fontId="5" fillId="59" borderId="417" applyNumberFormat="0" applyFont="0" applyAlignment="0" applyProtection="0"/>
    <xf numFmtId="0" fontId="59" fillId="43" borderId="401" applyNumberFormat="0" applyAlignment="0" applyProtection="0"/>
    <xf numFmtId="4" fontId="33" fillId="32" borderId="404">
      <alignment horizontal="right" vertical="center"/>
    </xf>
    <xf numFmtId="4" fontId="33" fillId="32" borderId="410">
      <alignment horizontal="right" vertical="center"/>
    </xf>
    <xf numFmtId="0" fontId="63" fillId="56" borderId="425" applyNumberFormat="0" applyAlignment="0" applyProtection="0"/>
    <xf numFmtId="0" fontId="12" fillId="31" borderId="0" applyNumberFormat="0" applyBorder="0" applyAlignment="0" applyProtection="0"/>
    <xf numFmtId="0" fontId="33" fillId="34" borderId="410">
      <alignment horizontal="right" vertical="center"/>
    </xf>
    <xf numFmtId="0" fontId="27" fillId="27" borderId="0" applyNumberFormat="0" applyBorder="0" applyAlignment="0" applyProtection="0"/>
    <xf numFmtId="0" fontId="59" fillId="43" borderId="423" applyNumberFormat="0" applyAlignment="0" applyProtection="0"/>
    <xf numFmtId="0" fontId="47" fillId="56" borderId="401" applyNumberFormat="0" applyAlignment="0" applyProtection="0"/>
    <xf numFmtId="0" fontId="27" fillId="24" borderId="0" applyNumberFormat="0" applyBorder="0" applyAlignment="0" applyProtection="0"/>
    <xf numFmtId="173" fontId="35" fillId="60" borderId="410" applyNumberFormat="0" applyFont="0" applyBorder="0" applyAlignment="0" applyProtection="0">
      <alignment horizontal="right" vertical="center"/>
    </xf>
    <xf numFmtId="0" fontId="44" fillId="56" borderId="414" applyNumberFormat="0" applyAlignment="0" applyProtection="0"/>
    <xf numFmtId="0" fontId="41" fillId="59" borderId="417" applyNumberFormat="0" applyFont="0" applyAlignment="0" applyProtection="0"/>
    <xf numFmtId="0" fontId="44" fillId="56" borderId="408" applyNumberFormat="0" applyAlignment="0" applyProtection="0"/>
    <xf numFmtId="0" fontId="59" fillId="43" borderId="401" applyNumberFormat="0" applyAlignment="0" applyProtection="0"/>
    <xf numFmtId="0" fontId="37" fillId="32" borderId="404">
      <alignment horizontal="right" vertical="center"/>
    </xf>
    <xf numFmtId="49" fontId="35" fillId="0" borderId="411" applyNumberFormat="0" applyFont="0" applyFill="0" applyBorder="0" applyProtection="0">
      <alignment horizontal="left" vertical="center" indent="5"/>
    </xf>
    <xf numFmtId="0" fontId="29" fillId="13" borderId="14" applyNumberFormat="0" applyAlignment="0" applyProtection="0"/>
    <xf numFmtId="0" fontId="27" fillId="20" borderId="0" applyNumberFormat="0" applyBorder="0" applyAlignment="0" applyProtection="0"/>
    <xf numFmtId="0" fontId="5" fillId="59" borderId="403" applyNumberFormat="0" applyFont="0" applyAlignment="0" applyProtection="0"/>
    <xf numFmtId="0" fontId="63" fillId="56" borderId="414" applyNumberFormat="0" applyAlignment="0" applyProtection="0"/>
    <xf numFmtId="0" fontId="31" fillId="0" borderId="0" applyNumberFormat="0" applyFill="0" applyBorder="0" applyAlignment="0" applyProtection="0"/>
    <xf numFmtId="0" fontId="46" fillId="56" borderId="401" applyNumberFormat="0" applyAlignment="0" applyProtection="0"/>
    <xf numFmtId="0" fontId="50" fillId="43" borderId="415" applyNumberFormat="0" applyAlignment="0" applyProtection="0"/>
    <xf numFmtId="0" fontId="51" fillId="0" borderId="402" applyNumberFormat="0" applyFill="0" applyAlignment="0" applyProtection="0"/>
    <xf numFmtId="4" fontId="37" fillId="32" borderId="418">
      <alignment horizontal="right" vertical="center"/>
    </xf>
    <xf numFmtId="0" fontId="35" fillId="0" borderId="413">
      <alignment horizontal="left" vertical="center" wrapText="1" indent="2"/>
    </xf>
    <xf numFmtId="0" fontId="27" fillId="26" borderId="0" applyNumberFormat="0" applyBorder="0" applyAlignment="0" applyProtection="0"/>
    <xf numFmtId="0" fontId="35" fillId="34" borderId="407">
      <alignment horizontal="left" vertical="center" wrapText="1" indent="2"/>
    </xf>
    <xf numFmtId="0" fontId="33" fillId="34" borderId="419">
      <alignment horizontal="right" vertical="center"/>
    </xf>
    <xf numFmtId="0" fontId="5" fillId="59" borderId="417" applyNumberFormat="0" applyFont="0" applyAlignment="0" applyProtection="0"/>
    <xf numFmtId="0" fontId="50" fillId="43" borderId="415" applyNumberFormat="0" applyAlignment="0" applyProtection="0"/>
    <xf numFmtId="0" fontId="29" fillId="13" borderId="14" applyNumberFormat="0" applyAlignment="0" applyProtection="0"/>
    <xf numFmtId="0" fontId="44" fillId="56" borderId="408" applyNumberFormat="0" applyAlignment="0" applyProtection="0"/>
    <xf numFmtId="0" fontId="59" fillId="43" borderId="415" applyNumberFormat="0" applyAlignment="0" applyProtection="0"/>
    <xf numFmtId="0" fontId="35" fillId="33" borderId="404"/>
    <xf numFmtId="49" fontId="34" fillId="0" borderId="410" applyNumberFormat="0" applyFill="0" applyBorder="0" applyProtection="0">
      <alignment horizontal="left" vertical="center"/>
    </xf>
    <xf numFmtId="0" fontId="27" fillId="26" borderId="0" applyNumberFormat="0" applyBorder="0" applyAlignment="0" applyProtection="0"/>
    <xf numFmtId="49" fontId="34" fillId="0" borderId="404" applyNumberFormat="0" applyFill="0" applyBorder="0" applyProtection="0">
      <alignment horizontal="left" vertical="center"/>
    </xf>
    <xf numFmtId="0" fontId="35" fillId="0" borderId="413">
      <alignment horizontal="left" vertical="center" wrapText="1" indent="2"/>
    </xf>
    <xf numFmtId="0" fontId="2" fillId="0" borderId="15" applyNumberFormat="0" applyFill="0" applyAlignment="0" applyProtection="0"/>
    <xf numFmtId="173" fontId="35" fillId="60" borderId="404" applyNumberFormat="0" applyFont="0" applyBorder="0" applyAlignment="0" applyProtection="0">
      <alignment horizontal="right" vertical="center"/>
    </xf>
    <xf numFmtId="0" fontId="47" fillId="56" borderId="423" applyNumberFormat="0" applyAlignment="0" applyProtection="0"/>
    <xf numFmtId="0" fontId="63" fillId="56" borderId="408" applyNumberFormat="0" applyAlignment="0" applyProtection="0"/>
    <xf numFmtId="0" fontId="63" fillId="56" borderId="422" applyNumberFormat="0" applyAlignment="0" applyProtection="0"/>
    <xf numFmtId="173" fontId="35" fillId="60" borderId="404" applyNumberFormat="0" applyFont="0" applyBorder="0" applyAlignment="0" applyProtection="0">
      <alignment horizontal="right" vertical="center"/>
    </xf>
    <xf numFmtId="4" fontId="35" fillId="33" borderId="410"/>
    <xf numFmtId="4" fontId="35" fillId="0" borderId="404">
      <alignment horizontal="right" vertical="center"/>
    </xf>
    <xf numFmtId="0" fontId="47" fillId="56" borderId="401" applyNumberFormat="0" applyAlignment="0" applyProtection="0"/>
    <xf numFmtId="0" fontId="35" fillId="0" borderId="404" applyNumberFormat="0" applyFill="0" applyAlignment="0" applyProtection="0"/>
    <xf numFmtId="0" fontId="12" fillId="16" borderId="0" applyNumberFormat="0" applyBorder="0" applyAlignment="0" applyProtection="0"/>
    <xf numFmtId="0" fontId="35" fillId="0" borderId="404">
      <alignment horizontal="right" vertical="center"/>
    </xf>
    <xf numFmtId="0" fontId="66" fillId="0" borderId="427" applyNumberFormat="0" applyFill="0" applyAlignment="0" applyProtection="0"/>
    <xf numFmtId="0" fontId="33" fillId="34" borderId="410">
      <alignment horizontal="right" vertical="center"/>
    </xf>
    <xf numFmtId="173" fontId="35" fillId="60" borderId="410" applyNumberFormat="0" applyFont="0" applyBorder="0" applyAlignment="0" applyProtection="0">
      <alignment horizontal="right" vertical="center"/>
    </xf>
    <xf numFmtId="4" fontId="33" fillId="34" borderId="406">
      <alignment horizontal="right" vertical="center"/>
    </xf>
    <xf numFmtId="4" fontId="35" fillId="0" borderId="404" applyFill="0" applyBorder="0" applyProtection="0">
      <alignment horizontal="right" vertical="center"/>
    </xf>
    <xf numFmtId="0" fontId="35" fillId="33" borderId="404"/>
    <xf numFmtId="0" fontId="66" fillId="0" borderId="402" applyNumberFormat="0" applyFill="0" applyAlignment="0" applyProtection="0"/>
    <xf numFmtId="4" fontId="33" fillId="34" borderId="420">
      <alignment horizontal="right" vertical="center"/>
    </xf>
    <xf numFmtId="0" fontId="12" fillId="31" borderId="0" applyNumberFormat="0" applyBorder="0" applyAlignment="0" applyProtection="0"/>
    <xf numFmtId="0" fontId="46" fillId="56" borderId="401" applyNumberFormat="0" applyAlignment="0" applyProtection="0"/>
    <xf numFmtId="0" fontId="33" fillId="32" borderId="404">
      <alignment horizontal="right" vertical="center"/>
    </xf>
    <xf numFmtId="0" fontId="47" fillId="56" borderId="401" applyNumberFormat="0" applyAlignment="0" applyProtection="0"/>
    <xf numFmtId="4" fontId="33" fillId="34" borderId="420">
      <alignment horizontal="right" vertical="center"/>
    </xf>
    <xf numFmtId="0" fontId="59" fillId="43" borderId="423" applyNumberFormat="0" applyAlignment="0" applyProtection="0"/>
    <xf numFmtId="49" fontId="34" fillId="0" borderId="410" applyNumberFormat="0" applyFill="0" applyBorder="0" applyProtection="0">
      <alignment horizontal="left" vertical="center"/>
    </xf>
    <xf numFmtId="0" fontId="12" fillId="25" borderId="0" applyNumberFormat="0" applyBorder="0" applyAlignment="0" applyProtection="0"/>
    <xf numFmtId="0" fontId="33" fillId="34" borderId="405">
      <alignment horizontal="right" vertical="center"/>
    </xf>
    <xf numFmtId="0" fontId="37" fillId="32" borderId="410">
      <alignment horizontal="right" vertical="center"/>
    </xf>
    <xf numFmtId="0" fontId="46" fillId="56" borderId="401" applyNumberFormat="0" applyAlignment="0" applyProtection="0"/>
    <xf numFmtId="0" fontId="27" fillId="26" borderId="0" applyNumberFormat="0" applyBorder="0" applyAlignment="0" applyProtection="0"/>
    <xf numFmtId="0" fontId="12" fillId="16" borderId="0" applyNumberFormat="0" applyBorder="0" applyAlignment="0" applyProtection="0"/>
    <xf numFmtId="0" fontId="46" fillId="56" borderId="401" applyNumberFormat="0" applyAlignment="0" applyProtection="0"/>
    <xf numFmtId="4" fontId="33" fillId="34" borderId="404">
      <alignment horizontal="right" vertical="center"/>
    </xf>
    <xf numFmtId="4" fontId="37" fillId="32" borderId="404">
      <alignment horizontal="right" vertical="center"/>
    </xf>
    <xf numFmtId="0" fontId="59" fillId="43" borderId="401" applyNumberFormat="0" applyAlignment="0" applyProtection="0"/>
    <xf numFmtId="0" fontId="27" fillId="24" borderId="0" applyNumberFormat="0" applyBorder="0" applyAlignment="0" applyProtection="0"/>
    <xf numFmtId="0" fontId="37" fillId="32" borderId="404">
      <alignment horizontal="right" vertical="center"/>
    </xf>
    <xf numFmtId="0" fontId="27" fillId="30" borderId="0" applyNumberFormat="0" applyBorder="0" applyAlignment="0" applyProtection="0"/>
    <xf numFmtId="0" fontId="27" fillId="23" borderId="0" applyNumberFormat="0" applyBorder="0" applyAlignment="0" applyProtection="0"/>
    <xf numFmtId="4" fontId="33" fillId="32" borderId="410">
      <alignment horizontal="right" vertical="center"/>
    </xf>
    <xf numFmtId="49" fontId="35" fillId="0" borderId="404" applyNumberFormat="0" applyFont="0" applyFill="0" applyBorder="0" applyProtection="0">
      <alignment horizontal="left" vertical="center" indent="2"/>
    </xf>
    <xf numFmtId="173" fontId="35" fillId="60" borderId="404" applyNumberFormat="0" applyFont="0" applyBorder="0" applyAlignment="0" applyProtection="0">
      <alignment horizontal="right" vertical="center"/>
    </xf>
    <xf numFmtId="0" fontId="33" fillId="32" borderId="410">
      <alignment horizontal="right" vertical="center"/>
    </xf>
    <xf numFmtId="0" fontId="33" fillId="34" borderId="420">
      <alignment horizontal="right" vertical="center"/>
    </xf>
    <xf numFmtId="0" fontId="2" fillId="0" borderId="15" applyNumberFormat="0" applyFill="0" applyAlignment="0" applyProtection="0"/>
    <xf numFmtId="0" fontId="37" fillId="32" borderId="404">
      <alignment horizontal="right" vertical="center"/>
    </xf>
    <xf numFmtId="4" fontId="33" fillId="32" borderId="410">
      <alignment horizontal="right" vertical="center"/>
    </xf>
    <xf numFmtId="0" fontId="33" fillId="34" borderId="412">
      <alignment horizontal="right" vertical="center"/>
    </xf>
    <xf numFmtId="49" fontId="35" fillId="0" borderId="404" applyNumberFormat="0" applyFont="0" applyFill="0" applyBorder="0" applyProtection="0">
      <alignment horizontal="left" vertical="center" indent="2"/>
    </xf>
    <xf numFmtId="49" fontId="35" fillId="0" borderId="404" applyNumberFormat="0" applyFont="0" applyFill="0" applyBorder="0" applyProtection="0">
      <alignment horizontal="left" vertical="center" indent="2"/>
    </xf>
    <xf numFmtId="0" fontId="27" fillId="18" borderId="0" applyNumberFormat="0" applyBorder="0" applyAlignment="0" applyProtection="0"/>
    <xf numFmtId="4" fontId="33" fillId="34" borderId="410">
      <alignment horizontal="right" vertical="center"/>
    </xf>
    <xf numFmtId="0" fontId="35" fillId="0" borderId="418" applyNumberFormat="0" applyFill="0" applyAlignment="0" applyProtection="0"/>
    <xf numFmtId="0" fontId="35" fillId="0" borderId="404" applyNumberFormat="0" applyFill="0" applyAlignment="0" applyProtection="0"/>
    <xf numFmtId="0" fontId="46" fillId="56" borderId="415" applyNumberFormat="0" applyAlignment="0" applyProtection="0"/>
    <xf numFmtId="49" fontId="35" fillId="0" borderId="405" applyNumberFormat="0" applyFont="0" applyFill="0" applyBorder="0" applyProtection="0">
      <alignment horizontal="left" vertical="center" indent="5"/>
    </xf>
    <xf numFmtId="0" fontId="47" fillId="56" borderId="401" applyNumberFormat="0" applyAlignment="0" applyProtection="0"/>
    <xf numFmtId="0" fontId="27" fillId="17" borderId="0" applyNumberFormat="0" applyBorder="0" applyAlignment="0" applyProtection="0"/>
    <xf numFmtId="0" fontId="33" fillId="32" borderId="429">
      <alignment horizontal="right" vertical="center"/>
    </xf>
    <xf numFmtId="4" fontId="33" fillId="34" borderId="405">
      <alignment horizontal="right" vertical="center"/>
    </xf>
    <xf numFmtId="0" fontId="27" fillId="17" borderId="0" applyNumberFormat="0" applyBorder="0" applyAlignment="0" applyProtection="0"/>
    <xf numFmtId="49" fontId="34" fillId="0" borderId="404" applyNumberFormat="0" applyFill="0" applyBorder="0" applyProtection="0">
      <alignment horizontal="left" vertical="center"/>
    </xf>
    <xf numFmtId="4" fontId="33" fillId="34" borderId="405">
      <alignment horizontal="right" vertical="center"/>
    </xf>
    <xf numFmtId="0" fontId="27" fillId="27" borderId="0" applyNumberFormat="0" applyBorder="0" applyAlignment="0" applyProtection="0"/>
    <xf numFmtId="0" fontId="12" fillId="22" borderId="0" applyNumberFormat="0" applyBorder="0" applyAlignment="0" applyProtection="0"/>
    <xf numFmtId="0" fontId="27" fillId="23" borderId="0" applyNumberFormat="0" applyBorder="0" applyAlignment="0" applyProtection="0"/>
    <xf numFmtId="0" fontId="33" fillId="32" borderId="410">
      <alignment horizontal="right" vertical="center"/>
    </xf>
    <xf numFmtId="0" fontId="33" fillId="34" borderId="404">
      <alignment horizontal="right" vertical="center"/>
    </xf>
    <xf numFmtId="0" fontId="33" fillId="34" borderId="418">
      <alignment horizontal="right" vertical="center"/>
    </xf>
    <xf numFmtId="0" fontId="59" fillId="43" borderId="401" applyNumberFormat="0" applyAlignment="0" applyProtection="0"/>
    <xf numFmtId="0" fontId="46" fillId="56" borderId="401" applyNumberFormat="0" applyAlignment="0" applyProtection="0"/>
    <xf numFmtId="0" fontId="5" fillId="59" borderId="403" applyNumberFormat="0" applyFont="0" applyAlignment="0" applyProtection="0"/>
    <xf numFmtId="0" fontId="41" fillId="59" borderId="403" applyNumberFormat="0" applyFont="0" applyAlignment="0" applyProtection="0"/>
    <xf numFmtId="0" fontId="66" fillId="0" borderId="424" applyNumberFormat="0" applyFill="0" applyAlignment="0" applyProtection="0"/>
    <xf numFmtId="0" fontId="33" fillId="34" borderId="404">
      <alignment horizontal="right" vertical="center"/>
    </xf>
    <xf numFmtId="4" fontId="33" fillId="34" borderId="404">
      <alignment horizontal="right" vertical="center"/>
    </xf>
    <xf numFmtId="0" fontId="12" fillId="19" borderId="0" applyNumberFormat="0" applyBorder="0" applyAlignment="0" applyProtection="0"/>
    <xf numFmtId="0" fontId="35" fillId="0" borderId="413">
      <alignment horizontal="left" vertical="center" wrapText="1" indent="2"/>
    </xf>
    <xf numFmtId="4" fontId="33" fillId="34" borderId="410">
      <alignment horizontal="right" vertical="center"/>
    </xf>
    <xf numFmtId="4" fontId="33" fillId="34" borderId="412">
      <alignment horizontal="right" vertical="center"/>
    </xf>
    <xf numFmtId="0" fontId="33" fillId="34" borderId="420">
      <alignment horizontal="right" vertical="center"/>
    </xf>
    <xf numFmtId="0" fontId="27" fillId="23" borderId="0" applyNumberFormat="0" applyBorder="0" applyAlignment="0" applyProtection="0"/>
    <xf numFmtId="0" fontId="1" fillId="0" borderId="0" applyNumberFormat="0" applyFill="0" applyBorder="0" applyAlignment="0" applyProtection="0"/>
    <xf numFmtId="0" fontId="33" fillId="32" borderId="404">
      <alignment horizontal="right" vertical="center"/>
    </xf>
    <xf numFmtId="0" fontId="27" fillId="21" borderId="0" applyNumberFormat="0" applyBorder="0" applyAlignment="0" applyProtection="0"/>
    <xf numFmtId="0" fontId="35" fillId="0" borderId="404">
      <alignment horizontal="right" vertical="center"/>
    </xf>
    <xf numFmtId="4" fontId="33" fillId="34" borderId="406">
      <alignment horizontal="right" vertical="center"/>
    </xf>
    <xf numFmtId="49" fontId="34" fillId="0" borderId="404" applyNumberFormat="0" applyFill="0" applyBorder="0" applyProtection="0">
      <alignment horizontal="left" vertical="center"/>
    </xf>
    <xf numFmtId="0" fontId="35" fillId="0" borderId="407">
      <alignment horizontal="left" vertical="center" wrapText="1" indent="2"/>
    </xf>
    <xf numFmtId="49" fontId="34" fillId="0" borderId="404" applyNumberFormat="0" applyFill="0" applyBorder="0" applyProtection="0">
      <alignment horizontal="left" vertical="center"/>
    </xf>
    <xf numFmtId="4" fontId="33" fillId="34" borderId="412">
      <alignment horizontal="right" vertical="center"/>
    </xf>
    <xf numFmtId="0" fontId="29" fillId="13" borderId="14" applyNumberFormat="0" applyAlignment="0" applyProtection="0"/>
    <xf numFmtId="0" fontId="47" fillId="56" borderId="423" applyNumberFormat="0" applyAlignment="0" applyProtection="0"/>
    <xf numFmtId="0" fontId="27" fillId="23" borderId="0" applyNumberFormat="0" applyBorder="0" applyAlignment="0" applyProtection="0"/>
    <xf numFmtId="0" fontId="35" fillId="34" borderId="407">
      <alignment horizontal="left" vertical="center" wrapText="1" indent="2"/>
    </xf>
    <xf numFmtId="0" fontId="35" fillId="33" borderId="418"/>
    <xf numFmtId="0" fontId="66" fillId="0" borderId="416" applyNumberFormat="0" applyFill="0" applyAlignment="0" applyProtection="0"/>
    <xf numFmtId="0" fontId="33" fillId="34" borderId="410">
      <alignment horizontal="right" vertical="center"/>
    </xf>
    <xf numFmtId="0" fontId="27" fillId="18" borderId="0" applyNumberFormat="0" applyBorder="0" applyAlignment="0" applyProtection="0"/>
    <xf numFmtId="4" fontId="35" fillId="0" borderId="404">
      <alignment horizontal="right" vertical="center"/>
    </xf>
    <xf numFmtId="0" fontId="33" fillId="34" borderId="411">
      <alignment horizontal="right" vertical="center"/>
    </xf>
    <xf numFmtId="0" fontId="35" fillId="0" borderId="404">
      <alignment horizontal="right" vertical="center"/>
    </xf>
    <xf numFmtId="4" fontId="33" fillId="34" borderId="412">
      <alignment horizontal="right" vertical="center"/>
    </xf>
    <xf numFmtId="0" fontId="1" fillId="0" borderId="0" applyNumberFormat="0" applyFill="0" applyBorder="0" applyAlignment="0" applyProtection="0"/>
    <xf numFmtId="0" fontId="27" fillId="14" borderId="0" applyNumberFormat="0" applyBorder="0" applyAlignment="0" applyProtection="0"/>
    <xf numFmtId="49" fontId="35" fillId="0" borderId="405" applyNumberFormat="0" applyFont="0" applyFill="0" applyBorder="0" applyProtection="0">
      <alignment horizontal="left" vertical="center" indent="5"/>
    </xf>
    <xf numFmtId="0" fontId="35" fillId="0" borderId="413">
      <alignment horizontal="left" vertical="center" wrapText="1" indent="2"/>
    </xf>
    <xf numFmtId="0" fontId="46" fillId="56" borderId="415" applyNumberFormat="0" applyAlignment="0" applyProtection="0"/>
    <xf numFmtId="4" fontId="33" fillId="34" borderId="418">
      <alignment horizontal="right" vertical="center"/>
    </xf>
    <xf numFmtId="0" fontId="35" fillId="32" borderId="405">
      <alignment horizontal="left" vertical="center"/>
    </xf>
    <xf numFmtId="0" fontId="35" fillId="0" borderId="407">
      <alignment horizontal="left" vertical="center" wrapText="1" indent="2"/>
    </xf>
    <xf numFmtId="0" fontId="59" fillId="43" borderId="415" applyNumberFormat="0" applyAlignment="0" applyProtection="0"/>
    <xf numFmtId="4" fontId="33" fillId="34" borderId="418">
      <alignment horizontal="right" vertical="center"/>
    </xf>
    <xf numFmtId="0" fontId="1" fillId="0" borderId="0" applyNumberFormat="0" applyFill="0" applyBorder="0" applyAlignment="0" applyProtection="0"/>
    <xf numFmtId="0" fontId="44" fillId="56" borderId="414" applyNumberFormat="0" applyAlignment="0" applyProtection="0"/>
    <xf numFmtId="0" fontId="33" fillId="34" borderId="411">
      <alignment horizontal="right" vertical="center"/>
    </xf>
    <xf numFmtId="0" fontId="12" fillId="19" borderId="0" applyNumberFormat="0" applyBorder="0" applyAlignment="0" applyProtection="0"/>
    <xf numFmtId="0" fontId="27" fillId="30" borderId="0" applyNumberFormat="0" applyBorder="0" applyAlignment="0" applyProtection="0"/>
    <xf numFmtId="4" fontId="33" fillId="34" borderId="430">
      <alignment horizontal="right" vertical="center"/>
    </xf>
    <xf numFmtId="0" fontId="59" fillId="43" borderId="415" applyNumberFormat="0" applyAlignment="0" applyProtection="0"/>
    <xf numFmtId="0" fontId="33" fillId="32" borderId="404">
      <alignment horizontal="right" vertical="center"/>
    </xf>
    <xf numFmtId="0" fontId="51" fillId="0" borderId="402" applyNumberFormat="0" applyFill="0" applyAlignment="0" applyProtection="0"/>
    <xf numFmtId="0" fontId="35" fillId="0" borderId="404" applyNumberFormat="0" applyFill="0" applyAlignment="0" applyProtection="0"/>
    <xf numFmtId="0" fontId="51" fillId="0" borderId="402" applyNumberFormat="0" applyFill="0" applyAlignment="0" applyProtection="0"/>
    <xf numFmtId="4" fontId="35" fillId="0" borderId="404" applyFill="0" applyBorder="0" applyProtection="0">
      <alignment horizontal="right" vertical="center"/>
    </xf>
    <xf numFmtId="49" fontId="35" fillId="0" borderId="405" applyNumberFormat="0" applyFont="0" applyFill="0" applyBorder="0" applyProtection="0">
      <alignment horizontal="left" vertical="center" indent="5"/>
    </xf>
    <xf numFmtId="0" fontId="35" fillId="0" borderId="404" applyNumberFormat="0" applyFill="0" applyAlignment="0" applyProtection="0"/>
    <xf numFmtId="0" fontId="27" fillId="29" borderId="0" applyNumberFormat="0" applyBorder="0" applyAlignment="0" applyProtection="0"/>
    <xf numFmtId="0" fontId="35" fillId="0" borderId="404" applyNumberFormat="0" applyFill="0" applyAlignment="0" applyProtection="0"/>
    <xf numFmtId="0" fontId="27" fillId="30" borderId="0" applyNumberFormat="0" applyBorder="0" applyAlignment="0" applyProtection="0"/>
    <xf numFmtId="0" fontId="35" fillId="34" borderId="421">
      <alignment horizontal="left" vertical="center" wrapText="1" indent="2"/>
    </xf>
    <xf numFmtId="4" fontId="33" fillId="34" borderId="404">
      <alignment horizontal="right" vertical="center"/>
    </xf>
    <xf numFmtId="4" fontId="33" fillId="32" borderId="410">
      <alignment horizontal="right" vertical="center"/>
    </xf>
    <xf numFmtId="0" fontId="27" fillId="20" borderId="0" applyNumberFormat="0" applyBorder="0" applyAlignment="0" applyProtection="0"/>
    <xf numFmtId="0" fontId="63" fillId="56" borderId="414" applyNumberFormat="0" applyAlignment="0" applyProtection="0"/>
    <xf numFmtId="0" fontId="50" fillId="43" borderId="401" applyNumberFormat="0" applyAlignment="0" applyProtection="0"/>
    <xf numFmtId="0" fontId="47" fillId="56" borderId="401" applyNumberFormat="0" applyAlignment="0" applyProtection="0"/>
    <xf numFmtId="4" fontId="35" fillId="0" borderId="404">
      <alignment horizontal="right" vertical="center"/>
    </xf>
    <xf numFmtId="0" fontId="35" fillId="34" borderId="407">
      <alignment horizontal="left" vertical="center" wrapText="1" indent="2"/>
    </xf>
    <xf numFmtId="0" fontId="35" fillId="0" borderId="407">
      <alignment horizontal="left" vertical="center" wrapText="1" indent="2"/>
    </xf>
    <xf numFmtId="0" fontId="63" fillId="56" borderId="408" applyNumberFormat="0" applyAlignment="0" applyProtection="0"/>
    <xf numFmtId="0" fontId="59" fillId="43" borderId="401" applyNumberFormat="0" applyAlignment="0" applyProtection="0"/>
    <xf numFmtId="0" fontId="46" fillId="56" borderId="401" applyNumberFormat="0" applyAlignment="0" applyProtection="0"/>
    <xf numFmtId="0" fontId="44" fillId="56" borderId="408" applyNumberFormat="0" applyAlignment="0" applyProtection="0"/>
    <xf numFmtId="0" fontId="33" fillId="34" borderId="406">
      <alignment horizontal="right" vertical="center"/>
    </xf>
    <xf numFmtId="0" fontId="37" fillId="32" borderId="404">
      <alignment horizontal="right" vertical="center"/>
    </xf>
    <xf numFmtId="4" fontId="33" fillId="32" borderId="404">
      <alignment horizontal="right" vertical="center"/>
    </xf>
    <xf numFmtId="4" fontId="33" fillId="34" borderId="404">
      <alignment horizontal="right" vertical="center"/>
    </xf>
    <xf numFmtId="49" fontId="35" fillId="0" borderId="405" applyNumberFormat="0" applyFont="0" applyFill="0" applyBorder="0" applyProtection="0">
      <alignment horizontal="left" vertical="center" indent="5"/>
    </xf>
    <xf numFmtId="4" fontId="35" fillId="0" borderId="404" applyFill="0" applyBorder="0" applyProtection="0">
      <alignment horizontal="right" vertical="center"/>
    </xf>
    <xf numFmtId="4" fontId="33" fillId="32" borderId="404">
      <alignment horizontal="right" vertical="center"/>
    </xf>
    <xf numFmtId="0" fontId="59" fillId="43" borderId="401" applyNumberFormat="0" applyAlignment="0" applyProtection="0"/>
    <xf numFmtId="0" fontId="50" fillId="43" borderId="401" applyNumberFormat="0" applyAlignment="0" applyProtection="0"/>
    <xf numFmtId="0" fontId="46" fillId="56" borderId="401" applyNumberFormat="0" applyAlignment="0" applyProtection="0"/>
    <xf numFmtId="0" fontId="35" fillId="34" borderId="407">
      <alignment horizontal="left" vertical="center" wrapText="1" indent="2"/>
    </xf>
    <xf numFmtId="0" fontId="35" fillId="0" borderId="407">
      <alignment horizontal="left" vertical="center" wrapText="1" indent="2"/>
    </xf>
    <xf numFmtId="0" fontId="35" fillId="34" borderId="407">
      <alignment horizontal="left" vertical="center" wrapText="1" indent="2"/>
    </xf>
    <xf numFmtId="0" fontId="41" fillId="59" borderId="417" applyNumberFormat="0" applyFont="0" applyAlignment="0" applyProtection="0"/>
    <xf numFmtId="0" fontId="50" fillId="43" borderId="415" applyNumberFormat="0" applyAlignment="0" applyProtection="0"/>
    <xf numFmtId="0" fontId="47" fillId="56" borderId="415" applyNumberFormat="0" applyAlignment="0" applyProtection="0"/>
    <xf numFmtId="0" fontId="33" fillId="32" borderId="418">
      <alignment horizontal="right" vertical="center"/>
    </xf>
    <xf numFmtId="0" fontId="46" fillId="56" borderId="423" applyNumberFormat="0" applyAlignment="0" applyProtection="0"/>
    <xf numFmtId="0" fontId="33" fillId="34" borderId="410">
      <alignment horizontal="right" vertical="center"/>
    </xf>
    <xf numFmtId="4" fontId="35" fillId="33" borderId="410"/>
    <xf numFmtId="0" fontId="27" fillId="15" borderId="0" applyNumberFormat="0" applyBorder="0" applyAlignment="0" applyProtection="0"/>
    <xf numFmtId="0" fontId="46" fillId="56" borderId="426" applyNumberFormat="0" applyAlignment="0" applyProtection="0"/>
    <xf numFmtId="0" fontId="47" fillId="56" borderId="415" applyNumberFormat="0" applyAlignment="0" applyProtection="0"/>
    <xf numFmtId="49" fontId="35" fillId="0" borderId="418" applyNumberFormat="0" applyFont="0" applyFill="0" applyBorder="0" applyProtection="0">
      <alignment horizontal="left" vertical="center" indent="2"/>
    </xf>
    <xf numFmtId="0" fontId="47" fillId="56" borderId="415" applyNumberFormat="0" applyAlignment="0" applyProtection="0"/>
    <xf numFmtId="0" fontId="33" fillId="34" borderId="410">
      <alignment horizontal="right" vertical="center"/>
    </xf>
    <xf numFmtId="0" fontId="35" fillId="32" borderId="419">
      <alignment horizontal="left" vertical="center"/>
    </xf>
    <xf numFmtId="0" fontId="35" fillId="34" borderId="413">
      <alignment horizontal="left" vertical="center" wrapText="1" indent="2"/>
    </xf>
    <xf numFmtId="0" fontId="59" fillId="43" borderId="415" applyNumberFormat="0" applyAlignment="0" applyProtection="0"/>
    <xf numFmtId="0" fontId="27" fillId="30" borderId="0" applyNumberFormat="0" applyBorder="0" applyAlignment="0" applyProtection="0"/>
    <xf numFmtId="4" fontId="35" fillId="33" borderId="418"/>
    <xf numFmtId="0" fontId="27" fillId="17" borderId="0" applyNumberFormat="0" applyBorder="0" applyAlignment="0" applyProtection="0"/>
    <xf numFmtId="0" fontId="33" fillId="34" borderId="418">
      <alignment horizontal="right" vertical="center"/>
    </xf>
    <xf numFmtId="0" fontId="59" fillId="43" borderId="415" applyNumberFormat="0" applyAlignment="0" applyProtection="0"/>
    <xf numFmtId="0" fontId="41" fillId="59" borderId="409" applyNumberFormat="0" applyFont="0" applyAlignment="0" applyProtection="0"/>
    <xf numFmtId="0" fontId="27" fillId="21" borderId="0" applyNumberFormat="0" applyBorder="0" applyAlignment="0" applyProtection="0"/>
    <xf numFmtId="0" fontId="12" fillId="19" borderId="0" applyNumberFormat="0" applyBorder="0" applyAlignment="0" applyProtection="0"/>
    <xf numFmtId="0" fontId="35" fillId="0" borderId="410">
      <alignment horizontal="right" vertical="center"/>
    </xf>
    <xf numFmtId="0" fontId="33" fillId="34" borderId="420">
      <alignment horizontal="right" vertical="center"/>
    </xf>
    <xf numFmtId="0" fontId="27" fillId="30" borderId="0" applyNumberFormat="0" applyBorder="0" applyAlignment="0" applyProtection="0"/>
    <xf numFmtId="0" fontId="37" fillId="32" borderId="410">
      <alignment horizontal="right" vertical="center"/>
    </xf>
    <xf numFmtId="0" fontId="44" fillId="56" borderId="414" applyNumberFormat="0" applyAlignment="0" applyProtection="0"/>
    <xf numFmtId="0" fontId="44" fillId="56" borderId="422" applyNumberFormat="0" applyAlignment="0" applyProtection="0"/>
    <xf numFmtId="0" fontId="51" fillId="0" borderId="416" applyNumberFormat="0" applyFill="0" applyAlignment="0" applyProtection="0"/>
    <xf numFmtId="0" fontId="35" fillId="32" borderId="411">
      <alignment horizontal="left" vertical="center"/>
    </xf>
    <xf numFmtId="0" fontId="63" fillId="56" borderId="422" applyNumberFormat="0" applyAlignment="0" applyProtection="0"/>
    <xf numFmtId="0" fontId="59" fillId="43" borderId="415" applyNumberFormat="0" applyAlignment="0" applyProtection="0"/>
    <xf numFmtId="0" fontId="41" fillId="59" borderId="409" applyNumberFormat="0" applyFont="0" applyAlignment="0" applyProtection="0"/>
    <xf numFmtId="0" fontId="27" fillId="27" borderId="0" applyNumberFormat="0" applyBorder="0" applyAlignment="0" applyProtection="0"/>
    <xf numFmtId="0" fontId="27" fillId="18" borderId="0" applyNumberFormat="0" applyBorder="0" applyAlignment="0" applyProtection="0"/>
    <xf numFmtId="0" fontId="51" fillId="0" borderId="416" applyNumberFormat="0" applyFill="0" applyAlignment="0" applyProtection="0"/>
    <xf numFmtId="49" fontId="35" fillId="0" borderId="410" applyNumberFormat="0" applyFont="0" applyFill="0" applyBorder="0" applyProtection="0">
      <alignment horizontal="left" vertical="center" indent="2"/>
    </xf>
    <xf numFmtId="0" fontId="47" fillId="56" borderId="415" applyNumberFormat="0" applyAlignment="0" applyProtection="0"/>
    <xf numFmtId="0" fontId="35" fillId="0" borderId="413">
      <alignment horizontal="left" vertical="center" wrapText="1" indent="2"/>
    </xf>
    <xf numFmtId="0" fontId="47" fillId="56" borderId="423" applyNumberFormat="0" applyAlignment="0" applyProtection="0"/>
    <xf numFmtId="0" fontId="35" fillId="34" borderId="413">
      <alignment horizontal="left" vertical="center" wrapText="1" indent="2"/>
    </xf>
    <xf numFmtId="0" fontId="44" fillId="56" borderId="422" applyNumberFormat="0" applyAlignment="0" applyProtection="0"/>
    <xf numFmtId="4" fontId="35" fillId="0" borderId="410" applyFill="0" applyBorder="0" applyProtection="0">
      <alignment horizontal="right" vertical="center"/>
    </xf>
    <xf numFmtId="0" fontId="33" fillId="34" borderId="418">
      <alignment horizontal="right" vertical="center"/>
    </xf>
    <xf numFmtId="0" fontId="33" fillId="34" borderId="410">
      <alignment horizontal="right" vertical="center"/>
    </xf>
    <xf numFmtId="4" fontId="33" fillId="34" borderId="420">
      <alignment horizontal="right" vertical="center"/>
    </xf>
    <xf numFmtId="0" fontId="66" fillId="0" borderId="424" applyNumberFormat="0" applyFill="0" applyAlignment="0" applyProtection="0"/>
    <xf numFmtId="0" fontId="33" fillId="34" borderId="410">
      <alignment horizontal="right" vertical="center"/>
    </xf>
    <xf numFmtId="4" fontId="37" fillId="32" borderId="410">
      <alignment horizontal="right" vertical="center"/>
    </xf>
    <xf numFmtId="0" fontId="27" fillId="21" borderId="0" applyNumberFormat="0" applyBorder="0" applyAlignment="0" applyProtection="0"/>
    <xf numFmtId="0" fontId="41" fillId="59" borderId="417" applyNumberFormat="0" applyFont="0" applyAlignment="0" applyProtection="0"/>
    <xf numFmtId="0" fontId="2" fillId="0" borderId="15" applyNumberFormat="0" applyFill="0" applyAlignment="0" applyProtection="0"/>
    <xf numFmtId="0" fontId="66" fillId="0" borderId="416" applyNumberFormat="0" applyFill="0" applyAlignment="0" applyProtection="0"/>
    <xf numFmtId="49" fontId="34" fillId="0" borderId="410" applyNumberFormat="0" applyFill="0" applyBorder="0" applyProtection="0">
      <alignment horizontal="left" vertical="center"/>
    </xf>
    <xf numFmtId="0" fontId="27" fillId="24" borderId="0" applyNumberFormat="0" applyBorder="0" applyAlignment="0" applyProtection="0"/>
    <xf numFmtId="0" fontId="27" fillId="20" borderId="0" applyNumberFormat="0" applyBorder="0" applyAlignment="0" applyProtection="0"/>
    <xf numFmtId="0" fontId="12" fillId="28" borderId="0" applyNumberFormat="0" applyBorder="0" applyAlignment="0" applyProtection="0"/>
    <xf numFmtId="4" fontId="37" fillId="32" borderId="418">
      <alignment horizontal="right" vertical="center"/>
    </xf>
    <xf numFmtId="0" fontId="33" fillId="34" borderId="410">
      <alignment horizontal="right" vertical="center"/>
    </xf>
    <xf numFmtId="0" fontId="27" fillId="21" borderId="0" applyNumberFormat="0" applyBorder="0" applyAlignment="0" applyProtection="0"/>
    <xf numFmtId="0" fontId="27" fillId="17" borderId="0" applyNumberFormat="0" applyBorder="0" applyAlignment="0" applyProtection="0"/>
    <xf numFmtId="0" fontId="27" fillId="21" borderId="0" applyNumberFormat="0" applyBorder="0" applyAlignment="0" applyProtection="0"/>
    <xf numFmtId="0" fontId="63" fillId="56" borderId="414" applyNumberFormat="0" applyAlignment="0" applyProtection="0"/>
    <xf numFmtId="4" fontId="35" fillId="33" borderId="410"/>
    <xf numFmtId="0" fontId="59" fillId="43" borderId="423" applyNumberFormat="0" applyAlignment="0" applyProtection="0"/>
    <xf numFmtId="0" fontId="66" fillId="0" borderId="416" applyNumberFormat="0" applyFill="0" applyAlignment="0" applyProtection="0"/>
    <xf numFmtId="0" fontId="27" fillId="26" borderId="0" applyNumberFormat="0" applyBorder="0" applyAlignment="0" applyProtection="0"/>
    <xf numFmtId="4" fontId="33" fillId="34" borderId="410">
      <alignment horizontal="right" vertical="center"/>
    </xf>
    <xf numFmtId="0" fontId="50" fillId="43" borderId="415" applyNumberFormat="0" applyAlignment="0" applyProtection="0"/>
    <xf numFmtId="49" fontId="35" fillId="0" borderId="410" applyNumberFormat="0" applyFont="0" applyFill="0" applyBorder="0" applyProtection="0">
      <alignment horizontal="left" vertical="center" indent="2"/>
    </xf>
    <xf numFmtId="0" fontId="31" fillId="0" borderId="0" applyNumberFormat="0" applyFill="0" applyBorder="0" applyAlignment="0" applyProtection="0"/>
    <xf numFmtId="49" fontId="35" fillId="0" borderId="411" applyNumberFormat="0" applyFont="0" applyFill="0" applyBorder="0" applyProtection="0">
      <alignment horizontal="left" vertical="center" indent="5"/>
    </xf>
    <xf numFmtId="0" fontId="35" fillId="34" borderId="413">
      <alignment horizontal="left" vertical="center" wrapText="1" indent="2"/>
    </xf>
    <xf numFmtId="0" fontId="37" fillId="32" borderId="418">
      <alignment horizontal="right" vertical="center"/>
    </xf>
    <xf numFmtId="4" fontId="35" fillId="0" borderId="429" applyFill="0" applyBorder="0" applyProtection="0">
      <alignment horizontal="right" vertical="center"/>
    </xf>
    <xf numFmtId="4" fontId="33" fillId="34" borderId="420">
      <alignment horizontal="right" vertical="center"/>
    </xf>
    <xf numFmtId="0" fontId="51" fillId="0" borderId="424" applyNumberFormat="0" applyFill="0" applyAlignment="0" applyProtection="0"/>
    <xf numFmtId="4" fontId="35" fillId="0" borderId="410" applyFill="0" applyBorder="0" applyProtection="0">
      <alignment horizontal="right" vertical="center"/>
    </xf>
    <xf numFmtId="4" fontId="37" fillId="32" borderId="410">
      <alignment horizontal="right" vertical="center"/>
    </xf>
    <xf numFmtId="0" fontId="33" fillId="34" borderId="420">
      <alignment horizontal="right" vertical="center"/>
    </xf>
    <xf numFmtId="0" fontId="51" fillId="0" borderId="416" applyNumberFormat="0" applyFill="0" applyAlignment="0" applyProtection="0"/>
    <xf numFmtId="0" fontId="50" fillId="43" borderId="423" applyNumberFormat="0" applyAlignment="0" applyProtection="0"/>
    <xf numFmtId="49" fontId="34" fillId="0" borderId="410" applyNumberFormat="0" applyFill="0" applyBorder="0" applyProtection="0">
      <alignment horizontal="left" vertical="center"/>
    </xf>
    <xf numFmtId="0" fontId="50" fillId="43" borderId="423" applyNumberFormat="0" applyAlignment="0" applyProtection="0"/>
    <xf numFmtId="4" fontId="35" fillId="0" borderId="410" applyFill="0" applyBorder="0" applyProtection="0">
      <alignment horizontal="right" vertical="center"/>
    </xf>
    <xf numFmtId="0" fontId="47" fillId="56" borderId="423" applyNumberFormat="0" applyAlignment="0" applyProtection="0"/>
    <xf numFmtId="4" fontId="33" fillId="32" borderId="418">
      <alignment horizontal="right" vertical="center"/>
    </xf>
    <xf numFmtId="0" fontId="50" fillId="43" borderId="415" applyNumberFormat="0" applyAlignment="0" applyProtection="0"/>
    <xf numFmtId="0" fontId="35" fillId="33" borderId="410"/>
    <xf numFmtId="0" fontId="5" fillId="59" borderId="428" applyNumberFormat="0" applyFont="0" applyAlignment="0" applyProtection="0"/>
    <xf numFmtId="0" fontId="35" fillId="0" borderId="413">
      <alignment horizontal="left" vertical="center" wrapText="1" indent="2"/>
    </xf>
    <xf numFmtId="0" fontId="33" fillId="34" borderId="410">
      <alignment horizontal="right" vertical="center"/>
    </xf>
    <xf numFmtId="0" fontId="35" fillId="33" borderId="410"/>
    <xf numFmtId="4" fontId="35" fillId="33" borderId="410"/>
    <xf numFmtId="0" fontId="66" fillId="0" borderId="416" applyNumberFormat="0" applyFill="0" applyAlignment="0" applyProtection="0"/>
    <xf numFmtId="0" fontId="44" fillId="56" borderId="414" applyNumberFormat="0" applyAlignment="0" applyProtection="0"/>
    <xf numFmtId="0" fontId="59" fillId="43" borderId="415" applyNumberFormat="0" applyAlignment="0" applyProtection="0"/>
    <xf numFmtId="0" fontId="41" fillId="59" borderId="417" applyNumberFormat="0" applyFont="0" applyAlignment="0" applyProtection="0"/>
    <xf numFmtId="0" fontId="12" fillId="28" borderId="0" applyNumberFormat="0" applyBorder="0" applyAlignment="0" applyProtection="0"/>
    <xf numFmtId="4" fontId="33" fillId="34" borderId="412">
      <alignment horizontal="right" vertical="center"/>
    </xf>
    <xf numFmtId="0" fontId="33" fillId="34" borderId="420">
      <alignment horizontal="right" vertical="center"/>
    </xf>
    <xf numFmtId="4" fontId="37" fillId="32" borderId="410">
      <alignment horizontal="right" vertical="center"/>
    </xf>
    <xf numFmtId="0" fontId="33" fillId="34" borderId="411">
      <alignment horizontal="right" vertical="center"/>
    </xf>
    <xf numFmtId="0" fontId="33" fillId="34" borderId="410">
      <alignment horizontal="right" vertical="center"/>
    </xf>
    <xf numFmtId="0" fontId="33" fillId="34" borderId="410">
      <alignment horizontal="right" vertical="center"/>
    </xf>
    <xf numFmtId="0" fontId="12" fillId="31" borderId="0" applyNumberFormat="0" applyBorder="0" applyAlignment="0" applyProtection="0"/>
    <xf numFmtId="0" fontId="35" fillId="33" borderId="418"/>
    <xf numFmtId="0" fontId="35" fillId="0" borderId="418" applyNumberFormat="0" applyFill="0" applyAlignment="0" applyProtection="0"/>
    <xf numFmtId="0" fontId="51" fillId="0" borderId="424" applyNumberFormat="0" applyFill="0" applyAlignment="0" applyProtection="0"/>
    <xf numFmtId="0" fontId="44" fillId="56" borderId="414" applyNumberFormat="0" applyAlignment="0" applyProtection="0"/>
    <xf numFmtId="49" fontId="35" fillId="0" borderId="419" applyNumberFormat="0" applyFont="0" applyFill="0" applyBorder="0" applyProtection="0">
      <alignment horizontal="left" vertical="center" indent="5"/>
    </xf>
    <xf numFmtId="4" fontId="35" fillId="0" borderId="418">
      <alignment horizontal="right" vertical="center"/>
    </xf>
    <xf numFmtId="0" fontId="35" fillId="34" borderId="421">
      <alignment horizontal="left" vertical="center" wrapText="1" indent="2"/>
    </xf>
    <xf numFmtId="0" fontId="63" fillId="56" borderId="414" applyNumberFormat="0" applyAlignment="0" applyProtection="0"/>
    <xf numFmtId="0" fontId="51" fillId="0" borderId="424" applyNumberFormat="0" applyFill="0" applyAlignment="0" applyProtection="0"/>
    <xf numFmtId="0" fontId="27" fillId="29" borderId="0" applyNumberFormat="0" applyBorder="0" applyAlignment="0" applyProtection="0"/>
    <xf numFmtId="0" fontId="51" fillId="0" borderId="416" applyNumberFormat="0" applyFill="0" applyAlignment="0" applyProtection="0"/>
    <xf numFmtId="0" fontId="41" fillId="59" borderId="409" applyNumberFormat="0" applyFont="0" applyAlignment="0" applyProtection="0"/>
    <xf numFmtId="4" fontId="35" fillId="33" borderId="418"/>
    <xf numFmtId="0" fontId="66" fillId="0" borderId="416" applyNumberFormat="0" applyFill="0" applyAlignment="0" applyProtection="0"/>
    <xf numFmtId="4" fontId="33" fillId="32" borderId="410">
      <alignment horizontal="right" vertical="center"/>
    </xf>
    <xf numFmtId="49" fontId="35" fillId="0" borderId="410" applyNumberFormat="0" applyFont="0" applyFill="0" applyBorder="0" applyProtection="0">
      <alignment horizontal="left" vertical="center" indent="2"/>
    </xf>
    <xf numFmtId="0" fontId="66" fillId="0" borderId="424" applyNumberFormat="0" applyFill="0" applyAlignment="0" applyProtection="0"/>
    <xf numFmtId="4" fontId="37" fillId="32" borderId="410">
      <alignment horizontal="right" vertical="center"/>
    </xf>
    <xf numFmtId="0" fontId="35" fillId="34" borderId="421">
      <alignment horizontal="left" vertical="center" wrapText="1" indent="2"/>
    </xf>
    <xf numFmtId="0" fontId="27" fillId="20" borderId="0" applyNumberFormat="0" applyBorder="0" applyAlignment="0" applyProtection="0"/>
    <xf numFmtId="0" fontId="63" fillId="56" borderId="414" applyNumberFormat="0" applyAlignment="0" applyProtection="0"/>
    <xf numFmtId="0" fontId="59" fillId="43" borderId="415" applyNumberFormat="0" applyAlignment="0" applyProtection="0"/>
    <xf numFmtId="0" fontId="35" fillId="0" borderId="410" applyNumberFormat="0" applyFill="0" applyAlignment="0" applyProtection="0"/>
    <xf numFmtId="0" fontId="33" fillId="34" borderId="418">
      <alignment horizontal="right" vertical="center"/>
    </xf>
    <xf numFmtId="0" fontId="66" fillId="0" borderId="416" applyNumberFormat="0" applyFill="0" applyAlignment="0" applyProtection="0"/>
    <xf numFmtId="0" fontId="33" fillId="32" borderId="410">
      <alignment horizontal="right" vertical="center"/>
    </xf>
    <xf numFmtId="0" fontId="35" fillId="34" borderId="432">
      <alignment horizontal="left" vertical="center" wrapText="1" indent="2"/>
    </xf>
    <xf numFmtId="0" fontId="1" fillId="0" borderId="0" applyNumberFormat="0" applyFill="0" applyBorder="0" applyAlignment="0" applyProtection="0"/>
    <xf numFmtId="4" fontId="33" fillId="34" borderId="410">
      <alignment horizontal="right" vertical="center"/>
    </xf>
    <xf numFmtId="0" fontId="41" fillId="59" borderId="417" applyNumberFormat="0" applyFont="0" applyAlignment="0" applyProtection="0"/>
    <xf numFmtId="0" fontId="66" fillId="0" borderId="424" applyNumberFormat="0" applyFill="0" applyAlignment="0" applyProtection="0"/>
    <xf numFmtId="0" fontId="46" fillId="56" borderId="415" applyNumberFormat="0" applyAlignment="0" applyProtection="0"/>
    <xf numFmtId="49" fontId="34" fillId="0" borderId="410" applyNumberFormat="0" applyFill="0" applyBorder="0" applyProtection="0">
      <alignment horizontal="left" vertical="center"/>
    </xf>
    <xf numFmtId="4" fontId="33" fillId="34" borderId="410">
      <alignment horizontal="right" vertical="center"/>
    </xf>
    <xf numFmtId="4" fontId="33" fillId="34" borderId="418">
      <alignment horizontal="right" vertical="center"/>
    </xf>
    <xf numFmtId="0" fontId="63" fillId="56" borderId="414" applyNumberFormat="0" applyAlignment="0" applyProtection="0"/>
    <xf numFmtId="0" fontId="27" fillId="29" borderId="0" applyNumberFormat="0" applyBorder="0" applyAlignment="0" applyProtection="0"/>
    <xf numFmtId="0" fontId="59" fillId="43" borderId="423" applyNumberFormat="0" applyAlignment="0" applyProtection="0"/>
    <xf numFmtId="4" fontId="33" fillId="34" borderId="412">
      <alignment horizontal="right" vertical="center"/>
    </xf>
    <xf numFmtId="4" fontId="33" fillId="34" borderId="410">
      <alignment horizontal="right" vertical="center"/>
    </xf>
    <xf numFmtId="4" fontId="35" fillId="0" borderId="410">
      <alignment horizontal="right" vertical="center"/>
    </xf>
    <xf numFmtId="0" fontId="33" fillId="32" borderId="410">
      <alignment horizontal="right" vertical="center"/>
    </xf>
    <xf numFmtId="0" fontId="33" fillId="34" borderId="418">
      <alignment horizontal="right" vertical="center"/>
    </xf>
    <xf numFmtId="4" fontId="35" fillId="33" borderId="410"/>
    <xf numFmtId="0" fontId="46" fillId="56" borderId="415" applyNumberFormat="0" applyAlignment="0" applyProtection="0"/>
    <xf numFmtId="0" fontId="30" fillId="13" borderId="13" applyNumberFormat="0" applyAlignment="0" applyProtection="0"/>
    <xf numFmtId="0" fontId="27" fillId="30" borderId="0" applyNumberFormat="0" applyBorder="0" applyAlignment="0" applyProtection="0"/>
    <xf numFmtId="0" fontId="12" fillId="16" borderId="0" applyNumberFormat="0" applyBorder="0" applyAlignment="0" applyProtection="0"/>
    <xf numFmtId="0" fontId="5" fillId="59" borderId="409" applyNumberFormat="0" applyFont="0" applyAlignment="0" applyProtection="0"/>
    <xf numFmtId="0" fontId="50" fillId="43" borderId="423" applyNumberFormat="0" applyAlignment="0" applyProtection="0"/>
    <xf numFmtId="0" fontId="12" fillId="16" borderId="0" applyNumberFormat="0" applyBorder="0" applyAlignment="0" applyProtection="0"/>
    <xf numFmtId="0" fontId="63" fillId="56" borderId="425" applyNumberFormat="0" applyAlignment="0" applyProtection="0"/>
    <xf numFmtId="0" fontId="33" fillId="32" borderId="410">
      <alignment horizontal="right" vertical="center"/>
    </xf>
    <xf numFmtId="49" fontId="35" fillId="0" borderId="418" applyNumberFormat="0" applyFont="0" applyFill="0" applyBorder="0" applyProtection="0">
      <alignment horizontal="left" vertical="center" indent="2"/>
    </xf>
    <xf numFmtId="4" fontId="35" fillId="33" borderId="410"/>
    <xf numFmtId="0" fontId="35" fillId="33" borderId="418"/>
    <xf numFmtId="4" fontId="33" fillId="34" borderId="419">
      <alignment horizontal="right" vertical="center"/>
    </xf>
    <xf numFmtId="0" fontId="59" fillId="43" borderId="423" applyNumberFormat="0" applyAlignment="0" applyProtection="0"/>
    <xf numFmtId="0" fontId="66" fillId="0" borderId="424" applyNumberFormat="0" applyFill="0" applyAlignment="0" applyProtection="0"/>
    <xf numFmtId="4" fontId="35" fillId="0" borderId="410">
      <alignment horizontal="right" vertical="center"/>
    </xf>
    <xf numFmtId="0" fontId="27" fillId="24" borderId="0" applyNumberFormat="0" applyBorder="0" applyAlignment="0" applyProtection="0"/>
    <xf numFmtId="0" fontId="50" fillId="43" borderId="415" applyNumberFormat="0" applyAlignment="0" applyProtection="0"/>
    <xf numFmtId="4" fontId="37" fillId="32" borderId="418">
      <alignment horizontal="right" vertical="center"/>
    </xf>
    <xf numFmtId="4" fontId="33" fillId="34" borderId="411">
      <alignment horizontal="right" vertical="center"/>
    </xf>
    <xf numFmtId="0" fontId="12" fillId="28" borderId="0" applyNumberFormat="0" applyBorder="0" applyAlignment="0" applyProtection="0"/>
    <xf numFmtId="0" fontId="63" fillId="56" borderId="414" applyNumberFormat="0" applyAlignment="0" applyProtection="0"/>
    <xf numFmtId="0" fontId="47" fillId="56" borderId="426" applyNumberFormat="0" applyAlignment="0" applyProtection="0"/>
    <xf numFmtId="0" fontId="12" fillId="16" borderId="0" applyNumberFormat="0" applyBorder="0" applyAlignment="0" applyProtection="0"/>
    <xf numFmtId="173" fontId="35" fillId="60" borderId="410" applyNumberFormat="0" applyFont="0" applyBorder="0" applyAlignment="0" applyProtection="0">
      <alignment horizontal="right" vertical="center"/>
    </xf>
    <xf numFmtId="0" fontId="35" fillId="0" borderId="413">
      <alignment horizontal="left" vertical="center" wrapText="1" indent="2"/>
    </xf>
    <xf numFmtId="0" fontId="33" fillId="34" borderId="418">
      <alignment horizontal="right" vertical="center"/>
    </xf>
    <xf numFmtId="0" fontId="33" fillId="34" borderId="412">
      <alignment horizontal="right" vertical="center"/>
    </xf>
    <xf numFmtId="0" fontId="47" fillId="56" borderId="423" applyNumberFormat="0" applyAlignment="0" applyProtection="0"/>
    <xf numFmtId="0" fontId="37" fillId="32" borderId="410">
      <alignment horizontal="right" vertical="center"/>
    </xf>
    <xf numFmtId="0" fontId="33" fillId="34" borderId="420">
      <alignment horizontal="right" vertical="center"/>
    </xf>
    <xf numFmtId="4" fontId="33" fillId="34" borderId="411">
      <alignment horizontal="right" vertical="center"/>
    </xf>
    <xf numFmtId="0" fontId="46" fillId="56" borderId="423" applyNumberFormat="0" applyAlignment="0" applyProtection="0"/>
    <xf numFmtId="4" fontId="37" fillId="32" borderId="410">
      <alignment horizontal="right" vertical="center"/>
    </xf>
    <xf numFmtId="0" fontId="33" fillId="32" borderId="410">
      <alignment horizontal="right" vertical="center"/>
    </xf>
    <xf numFmtId="0" fontId="12" fillId="28" borderId="0" applyNumberFormat="0" applyBorder="0" applyAlignment="0" applyProtection="0"/>
    <xf numFmtId="0" fontId="66" fillId="0" borderId="416" applyNumberFormat="0" applyFill="0" applyAlignment="0" applyProtection="0"/>
    <xf numFmtId="0" fontId="63" fillId="56" borderId="422" applyNumberFormat="0" applyAlignment="0" applyProtection="0"/>
    <xf numFmtId="0" fontId="2" fillId="0" borderId="15" applyNumberFormat="0" applyFill="0" applyAlignment="0" applyProtection="0"/>
    <xf numFmtId="0" fontId="33" fillId="32" borderId="410">
      <alignment horizontal="right" vertical="center"/>
    </xf>
    <xf numFmtId="0" fontId="59" fillId="43" borderId="415" applyNumberFormat="0" applyAlignment="0" applyProtection="0"/>
    <xf numFmtId="4" fontId="37" fillId="32" borderId="410">
      <alignment horizontal="right" vertical="center"/>
    </xf>
    <xf numFmtId="0" fontId="46" fillId="56" borderId="423" applyNumberFormat="0" applyAlignment="0" applyProtection="0"/>
    <xf numFmtId="0" fontId="33" fillId="34" borderId="419">
      <alignment horizontal="right" vertical="center"/>
    </xf>
    <xf numFmtId="0" fontId="35" fillId="0" borderId="421">
      <alignment horizontal="left" vertical="center" wrapText="1" indent="2"/>
    </xf>
    <xf numFmtId="4" fontId="33" fillId="34" borderId="418">
      <alignment horizontal="right" vertical="center"/>
    </xf>
    <xf numFmtId="0" fontId="12" fillId="25" borderId="0" applyNumberFormat="0" applyBorder="0" applyAlignment="0" applyProtection="0"/>
    <xf numFmtId="4" fontId="33" fillId="34" borderId="418">
      <alignment horizontal="right" vertical="center"/>
    </xf>
    <xf numFmtId="4" fontId="35" fillId="0" borderId="410">
      <alignment horizontal="right" vertical="center"/>
    </xf>
    <xf numFmtId="0" fontId="5" fillId="59" borderId="417" applyNumberFormat="0" applyFont="0" applyAlignment="0" applyProtection="0"/>
    <xf numFmtId="0" fontId="35" fillId="33" borderId="410"/>
    <xf numFmtId="0" fontId="59" fillId="43" borderId="423" applyNumberFormat="0" applyAlignment="0" applyProtection="0"/>
    <xf numFmtId="0" fontId="47" fillId="56" borderId="423" applyNumberFormat="0" applyAlignment="0" applyProtection="0"/>
    <xf numFmtId="0" fontId="35" fillId="33" borderId="410"/>
    <xf numFmtId="0" fontId="66" fillId="0" borderId="424" applyNumberFormat="0" applyFill="0" applyAlignment="0" applyProtection="0"/>
    <xf numFmtId="0" fontId="46" fillId="56" borderId="415" applyNumberFormat="0" applyAlignment="0" applyProtection="0"/>
    <xf numFmtId="0" fontId="27" fillId="24" borderId="0" applyNumberFormat="0" applyBorder="0" applyAlignment="0" applyProtection="0"/>
    <xf numFmtId="0" fontId="12" fillId="28" borderId="0" applyNumberFormat="0" applyBorder="0" applyAlignment="0" applyProtection="0"/>
    <xf numFmtId="0" fontId="35" fillId="0" borderId="421">
      <alignment horizontal="left" vertical="center" wrapText="1" indent="2"/>
    </xf>
    <xf numFmtId="0" fontId="35" fillId="33" borderId="418"/>
    <xf numFmtId="4" fontId="33" fillId="34" borderId="412">
      <alignment horizontal="right" vertical="center"/>
    </xf>
    <xf numFmtId="4" fontId="35" fillId="33" borderId="410"/>
    <xf numFmtId="173" fontId="35" fillId="60" borderId="429" applyNumberFormat="0" applyFont="0" applyBorder="0" applyAlignment="0" applyProtection="0">
      <alignment horizontal="right" vertical="center"/>
    </xf>
    <xf numFmtId="49" fontId="34" fillId="0" borderId="418" applyNumberFormat="0" applyFill="0" applyBorder="0" applyProtection="0">
      <alignment horizontal="left" vertical="center"/>
    </xf>
    <xf numFmtId="0" fontId="5" fillId="59" borderId="409" applyNumberFormat="0" applyFont="0" applyAlignment="0" applyProtection="0"/>
    <xf numFmtId="0" fontId="33" fillId="34" borderId="418">
      <alignment horizontal="right" vertical="center"/>
    </xf>
    <xf numFmtId="0" fontId="35" fillId="0" borderId="421">
      <alignment horizontal="left" vertical="center" wrapText="1" indent="2"/>
    </xf>
    <xf numFmtId="0" fontId="27" fillId="20" borderId="0" applyNumberFormat="0" applyBorder="0" applyAlignment="0" applyProtection="0"/>
    <xf numFmtId="0" fontId="1" fillId="0" borderId="0" applyNumberFormat="0" applyFill="0" applyBorder="0" applyAlignment="0" applyProtection="0"/>
    <xf numFmtId="0" fontId="47" fillId="56" borderId="415" applyNumberFormat="0" applyAlignment="0" applyProtection="0"/>
    <xf numFmtId="0" fontId="31" fillId="0" borderId="0" applyNumberFormat="0" applyFill="0" applyBorder="0" applyAlignment="0" applyProtection="0"/>
    <xf numFmtId="4" fontId="33" fillId="34" borderId="411">
      <alignment horizontal="right" vertical="center"/>
    </xf>
    <xf numFmtId="0" fontId="41" fillId="59" borderId="409" applyNumberFormat="0" applyFont="0" applyAlignment="0" applyProtection="0"/>
    <xf numFmtId="0" fontId="33" fillId="32" borderId="410">
      <alignment horizontal="right" vertical="center"/>
    </xf>
    <xf numFmtId="0" fontId="46" fillId="56" borderId="423" applyNumberFormat="0" applyAlignment="0" applyProtection="0"/>
    <xf numFmtId="0" fontId="33" fillId="32" borderId="418">
      <alignment horizontal="right" vertical="center"/>
    </xf>
    <xf numFmtId="0" fontId="35" fillId="34" borderId="421">
      <alignment horizontal="left" vertical="center" wrapText="1" indent="2"/>
    </xf>
    <xf numFmtId="49" fontId="35" fillId="0" borderId="411" applyNumberFormat="0" applyFont="0" applyFill="0" applyBorder="0" applyProtection="0">
      <alignment horizontal="left" vertical="center" indent="5"/>
    </xf>
    <xf numFmtId="4" fontId="33" fillId="34" borderId="411">
      <alignment horizontal="right" vertical="center"/>
    </xf>
    <xf numFmtId="0" fontId="47" fillId="56" borderId="415" applyNumberFormat="0" applyAlignment="0" applyProtection="0"/>
    <xf numFmtId="0" fontId="35" fillId="0" borderId="421">
      <alignment horizontal="left" vertical="center" wrapText="1" indent="2"/>
    </xf>
    <xf numFmtId="0" fontId="50" fillId="43" borderId="415" applyNumberFormat="0" applyAlignment="0" applyProtection="0"/>
    <xf numFmtId="0" fontId="44" fillId="56" borderId="422" applyNumberFormat="0" applyAlignment="0" applyProtection="0"/>
    <xf numFmtId="0" fontId="41" fillId="59" borderId="417" applyNumberFormat="0" applyFont="0" applyAlignment="0" applyProtection="0"/>
    <xf numFmtId="0" fontId="35" fillId="0" borderId="413">
      <alignment horizontal="left" vertical="center" wrapText="1" indent="2"/>
    </xf>
    <xf numFmtId="0" fontId="35" fillId="34" borderId="413">
      <alignment horizontal="left" vertical="center" wrapText="1" indent="2"/>
    </xf>
    <xf numFmtId="0" fontId="41" fillId="59" borderId="409" applyNumberFormat="0" applyFont="0" applyAlignment="0" applyProtection="0"/>
    <xf numFmtId="4" fontId="35" fillId="0" borderId="418">
      <alignment horizontal="right" vertical="center"/>
    </xf>
    <xf numFmtId="0" fontId="33" fillId="34" borderId="410">
      <alignment horizontal="right" vertical="center"/>
    </xf>
    <xf numFmtId="0" fontId="2" fillId="0" borderId="15" applyNumberFormat="0" applyFill="0" applyAlignment="0" applyProtection="0"/>
    <xf numFmtId="0" fontId="27" fillId="21" borderId="0" applyNumberFormat="0" applyBorder="0" applyAlignment="0" applyProtection="0"/>
    <xf numFmtId="0" fontId="27" fillId="29" borderId="0" applyNumberFormat="0" applyBorder="0" applyAlignment="0" applyProtection="0"/>
    <xf numFmtId="0" fontId="47" fillId="56" borderId="415" applyNumberFormat="0" applyAlignment="0" applyProtection="0"/>
    <xf numFmtId="4" fontId="33" fillId="34" borderId="410">
      <alignment horizontal="right" vertical="center"/>
    </xf>
    <xf numFmtId="0" fontId="27" fillId="15" borderId="0" applyNumberFormat="0" applyBorder="0" applyAlignment="0" applyProtection="0"/>
    <xf numFmtId="0" fontId="2" fillId="0" borderId="15" applyNumberFormat="0" applyFill="0" applyAlignment="0" applyProtection="0"/>
    <xf numFmtId="0" fontId="5" fillId="59" borderId="409" applyNumberFormat="0" applyFont="0" applyAlignment="0" applyProtection="0"/>
    <xf numFmtId="0" fontId="41" fillId="59" borderId="417" applyNumberFormat="0" applyFont="0" applyAlignment="0" applyProtection="0"/>
    <xf numFmtId="4" fontId="37" fillId="32" borderId="418">
      <alignment horizontal="right" vertical="center"/>
    </xf>
    <xf numFmtId="0" fontId="33" fillId="34" borderId="410">
      <alignment horizontal="right" vertical="center"/>
    </xf>
    <xf numFmtId="0" fontId="37" fillId="32" borderId="410">
      <alignment horizontal="right" vertical="center"/>
    </xf>
    <xf numFmtId="0" fontId="12" fillId="31" borderId="0" applyNumberFormat="0" applyBorder="0" applyAlignment="0" applyProtection="0"/>
    <xf numFmtId="0" fontId="27" fillId="26" borderId="0" applyNumberFormat="0" applyBorder="0" applyAlignment="0" applyProtection="0"/>
    <xf numFmtId="0" fontId="37" fillId="32" borderId="410">
      <alignment horizontal="right" vertical="center"/>
    </xf>
    <xf numFmtId="4" fontId="33" fillId="34" borderId="410">
      <alignment horizontal="right" vertical="center"/>
    </xf>
    <xf numFmtId="0" fontId="41" fillId="59" borderId="409" applyNumberFormat="0" applyFont="0" applyAlignment="0" applyProtection="0"/>
    <xf numFmtId="0" fontId="27" fillId="23" borderId="0" applyNumberFormat="0" applyBorder="0" applyAlignment="0" applyProtection="0"/>
    <xf numFmtId="0" fontId="35" fillId="34" borderId="421">
      <alignment horizontal="left" vertical="center" wrapText="1" indent="2"/>
    </xf>
    <xf numFmtId="0" fontId="12" fillId="25" borderId="0" applyNumberFormat="0" applyBorder="0" applyAlignment="0" applyProtection="0"/>
    <xf numFmtId="0" fontId="33" fillId="34" borderId="410">
      <alignment horizontal="right" vertical="center"/>
    </xf>
    <xf numFmtId="0" fontId="44" fillId="56" borderId="414" applyNumberFormat="0" applyAlignment="0" applyProtection="0"/>
    <xf numFmtId="0" fontId="41" fillId="59" borderId="409" applyNumberFormat="0" applyFont="0" applyAlignment="0" applyProtection="0"/>
    <xf numFmtId="0" fontId="46" fillId="56" borderId="415" applyNumberFormat="0" applyAlignment="0" applyProtection="0"/>
    <xf numFmtId="0" fontId="35" fillId="34" borderId="413">
      <alignment horizontal="left" vertical="center" wrapText="1" indent="2"/>
    </xf>
    <xf numFmtId="173" fontId="35" fillId="60" borderId="418" applyNumberFormat="0" applyFont="0" applyBorder="0" applyAlignment="0" applyProtection="0">
      <alignment horizontal="right" vertical="center"/>
    </xf>
    <xf numFmtId="49" fontId="35" fillId="0" borderId="410" applyNumberFormat="0" applyFont="0" applyFill="0" applyBorder="0" applyProtection="0">
      <alignment horizontal="left" vertical="center" indent="2"/>
    </xf>
    <xf numFmtId="0" fontId="41" fillId="59" borderId="409" applyNumberFormat="0" applyFont="0" applyAlignment="0" applyProtection="0"/>
    <xf numFmtId="0" fontId="63" fillId="56" borderId="414" applyNumberFormat="0" applyAlignment="0" applyProtection="0"/>
    <xf numFmtId="0" fontId="27" fillId="30" borderId="0" applyNumberFormat="0" applyBorder="0" applyAlignment="0" applyProtection="0"/>
    <xf numFmtId="4" fontId="37" fillId="32" borderId="410">
      <alignment horizontal="right" vertical="center"/>
    </xf>
    <xf numFmtId="173" fontId="35" fillId="60" borderId="418" applyNumberFormat="0" applyFont="0" applyBorder="0" applyAlignment="0" applyProtection="0">
      <alignment horizontal="right" vertical="center"/>
    </xf>
    <xf numFmtId="0" fontId="35" fillId="33" borderId="410"/>
    <xf numFmtId="0" fontId="12" fillId="22" borderId="0" applyNumberFormat="0" applyBorder="0" applyAlignment="0" applyProtection="0"/>
    <xf numFmtId="0" fontId="47" fillId="56" borderId="415" applyNumberFormat="0" applyAlignment="0" applyProtection="0"/>
    <xf numFmtId="0" fontId="59" fillId="43" borderId="415" applyNumberFormat="0" applyAlignment="0" applyProtection="0"/>
    <xf numFmtId="0" fontId="35" fillId="34" borderId="421">
      <alignment horizontal="left" vertical="center" wrapText="1" indent="2"/>
    </xf>
    <xf numFmtId="0" fontId="59" fillId="43" borderId="415" applyNumberFormat="0" applyAlignment="0" applyProtection="0"/>
    <xf numFmtId="0" fontId="5" fillId="59" borderId="409" applyNumberFormat="0" applyFont="0" applyAlignment="0" applyProtection="0"/>
    <xf numFmtId="0" fontId="59" fillId="43" borderId="415" applyNumberFormat="0" applyAlignment="0" applyProtection="0"/>
    <xf numFmtId="0" fontId="66" fillId="0" borderId="416" applyNumberFormat="0" applyFill="0" applyAlignment="0" applyProtection="0"/>
    <xf numFmtId="0" fontId="59" fillId="43" borderId="423" applyNumberFormat="0" applyAlignment="0" applyProtection="0"/>
    <xf numFmtId="4" fontId="33" fillId="34" borderId="418">
      <alignment horizontal="right" vertical="center"/>
    </xf>
    <xf numFmtId="173" fontId="35" fillId="60" borderId="410" applyNumberFormat="0" applyFont="0" applyBorder="0" applyAlignment="0" applyProtection="0">
      <alignment horizontal="right" vertical="center"/>
    </xf>
    <xf numFmtId="0" fontId="27" fillId="23" borderId="0" applyNumberFormat="0" applyBorder="0" applyAlignment="0" applyProtection="0"/>
    <xf numFmtId="0" fontId="35" fillId="32" borderId="411">
      <alignment horizontal="left" vertical="center"/>
    </xf>
    <xf numFmtId="4" fontId="35" fillId="0" borderId="410" applyFill="0" applyBorder="0" applyProtection="0">
      <alignment horizontal="right" vertical="center"/>
    </xf>
    <xf numFmtId="173" fontId="35" fillId="60" borderId="410" applyNumberFormat="0" applyFont="0" applyBorder="0" applyAlignment="0" applyProtection="0">
      <alignment horizontal="right" vertical="center"/>
    </xf>
    <xf numFmtId="0" fontId="44" fillId="56" borderId="414" applyNumberFormat="0" applyAlignment="0" applyProtection="0"/>
    <xf numFmtId="0" fontId="63" fillId="56" borderId="414" applyNumberFormat="0" applyAlignment="0" applyProtection="0"/>
    <xf numFmtId="0" fontId="27" fillId="17" borderId="0" applyNumberFormat="0" applyBorder="0" applyAlignment="0" applyProtection="0"/>
    <xf numFmtId="4" fontId="35" fillId="0" borderId="410">
      <alignment horizontal="right" vertical="center"/>
    </xf>
    <xf numFmtId="0" fontId="46" fillId="56" borderId="423" applyNumberFormat="0" applyAlignment="0" applyProtection="0"/>
    <xf numFmtId="0" fontId="35" fillId="32" borderId="411">
      <alignment horizontal="left" vertical="center"/>
    </xf>
    <xf numFmtId="0" fontId="12" fillId="31" borderId="0" applyNumberFormat="0" applyBorder="0" applyAlignment="0" applyProtection="0"/>
    <xf numFmtId="0" fontId="12" fillId="22" borderId="0" applyNumberFormat="0" applyBorder="0" applyAlignment="0" applyProtection="0"/>
    <xf numFmtId="0" fontId="35" fillId="34" borderId="421">
      <alignment horizontal="left" vertical="center" wrapText="1" indent="2"/>
    </xf>
    <xf numFmtId="0" fontId="27" fillId="14" borderId="0" applyNumberFormat="0" applyBorder="0" applyAlignment="0" applyProtection="0"/>
    <xf numFmtId="4" fontId="33" fillId="34" borderId="410">
      <alignment horizontal="right" vertical="center"/>
    </xf>
    <xf numFmtId="4" fontId="33" fillId="32" borderId="418">
      <alignment horizontal="right" vertical="center"/>
    </xf>
    <xf numFmtId="4" fontId="33" fillId="34" borderId="410">
      <alignment horizontal="right" vertical="center"/>
    </xf>
    <xf numFmtId="0" fontId="35" fillId="34" borderId="432">
      <alignment horizontal="left" vertical="center" wrapText="1" indent="2"/>
    </xf>
    <xf numFmtId="0" fontId="51" fillId="0" borderId="416" applyNumberFormat="0" applyFill="0" applyAlignment="0" applyProtection="0"/>
    <xf numFmtId="0" fontId="66" fillId="0" borderId="416" applyNumberFormat="0" applyFill="0" applyAlignment="0" applyProtection="0"/>
    <xf numFmtId="0" fontId="44" fillId="56" borderId="414" applyNumberFormat="0" applyAlignment="0" applyProtection="0"/>
    <xf numFmtId="0" fontId="50" fillId="43" borderId="415" applyNumberFormat="0" applyAlignment="0" applyProtection="0"/>
    <xf numFmtId="0" fontId="12" fillId="19" borderId="0" applyNumberFormat="0" applyBorder="0" applyAlignment="0" applyProtection="0"/>
    <xf numFmtId="49" fontId="34" fillId="0" borderId="410" applyNumberFormat="0" applyFill="0" applyBorder="0" applyProtection="0">
      <alignment horizontal="left" vertical="center"/>
    </xf>
    <xf numFmtId="4" fontId="33" fillId="34" borderId="411">
      <alignment horizontal="right" vertical="center"/>
    </xf>
    <xf numFmtId="0" fontId="27" fillId="17" borderId="0" applyNumberFormat="0" applyBorder="0" applyAlignment="0" applyProtection="0"/>
    <xf numFmtId="0" fontId="35" fillId="32" borderId="419">
      <alignment horizontal="left" vertical="center"/>
    </xf>
    <xf numFmtId="0" fontId="50" fillId="43" borderId="415" applyNumberFormat="0" applyAlignment="0" applyProtection="0"/>
    <xf numFmtId="0" fontId="51" fillId="0" borderId="424" applyNumberFormat="0" applyFill="0" applyAlignment="0" applyProtection="0"/>
    <xf numFmtId="0" fontId="37" fillId="32" borderId="410">
      <alignment horizontal="right" vertical="center"/>
    </xf>
    <xf numFmtId="0" fontId="5" fillId="59" borderId="409" applyNumberFormat="0" applyFont="0" applyAlignment="0" applyProtection="0"/>
    <xf numFmtId="0" fontId="33" fillId="34" borderId="418">
      <alignment horizontal="right" vertical="center"/>
    </xf>
    <xf numFmtId="0" fontId="66" fillId="0" borderId="424" applyNumberFormat="0" applyFill="0" applyAlignment="0" applyProtection="0"/>
    <xf numFmtId="49" fontId="34" fillId="0" borderId="418" applyNumberFormat="0" applyFill="0" applyBorder="0" applyProtection="0">
      <alignment horizontal="left" vertical="center"/>
    </xf>
    <xf numFmtId="0" fontId="37" fillId="32" borderId="410">
      <alignment horizontal="right" vertical="center"/>
    </xf>
    <xf numFmtId="0" fontId="51" fillId="0" borderId="424" applyNumberFormat="0" applyFill="0" applyAlignment="0" applyProtection="0"/>
    <xf numFmtId="0" fontId="29" fillId="13" borderId="14" applyNumberFormat="0" applyAlignment="0" applyProtection="0"/>
    <xf numFmtId="4" fontId="33" fillId="34" borderId="419">
      <alignment horizontal="right" vertical="center"/>
    </xf>
    <xf numFmtId="0" fontId="66" fillId="0" borderId="416" applyNumberFormat="0" applyFill="0" applyAlignment="0" applyProtection="0"/>
    <xf numFmtId="0" fontId="63" fillId="56" borderId="422" applyNumberFormat="0" applyAlignment="0" applyProtection="0"/>
    <xf numFmtId="0" fontId="12" fillId="16" borderId="0" applyNumberFormat="0" applyBorder="0" applyAlignment="0" applyProtection="0"/>
    <xf numFmtId="0" fontId="35" fillId="0" borderId="410">
      <alignment horizontal="right" vertical="center"/>
    </xf>
    <xf numFmtId="0" fontId="35" fillId="0" borderId="421">
      <alignment horizontal="left" vertical="center" wrapText="1" indent="2"/>
    </xf>
    <xf numFmtId="0" fontId="27" fillId="26" borderId="0" applyNumberFormat="0" applyBorder="0" applyAlignment="0" applyProtection="0"/>
    <xf numFmtId="0" fontId="50" fillId="43" borderId="415" applyNumberFormat="0" applyAlignment="0" applyProtection="0"/>
    <xf numFmtId="0" fontId="47" fillId="56" borderId="426" applyNumberFormat="0" applyAlignment="0" applyProtection="0"/>
    <xf numFmtId="0" fontId="35" fillId="0" borderId="410">
      <alignment horizontal="right" vertical="center"/>
    </xf>
    <xf numFmtId="0" fontId="46" fillId="56" borderId="415" applyNumberFormat="0" applyAlignment="0" applyProtection="0"/>
    <xf numFmtId="0" fontId="47" fillId="56" borderId="423" applyNumberFormat="0" applyAlignment="0" applyProtection="0"/>
    <xf numFmtId="0" fontId="31" fillId="0" borderId="0" applyNumberFormat="0" applyFill="0" applyBorder="0" applyAlignment="0" applyProtection="0"/>
    <xf numFmtId="4" fontId="33" fillId="32" borderId="410">
      <alignment horizontal="right" vertical="center"/>
    </xf>
    <xf numFmtId="0" fontId="33" fillId="34" borderId="411">
      <alignment horizontal="right" vertical="center"/>
    </xf>
    <xf numFmtId="0" fontId="47" fillId="56" borderId="415" applyNumberFormat="0" applyAlignment="0" applyProtection="0"/>
    <xf numFmtId="0" fontId="33" fillId="34" borderId="412">
      <alignment horizontal="right" vertical="center"/>
    </xf>
    <xf numFmtId="0" fontId="33" fillId="34" borderId="418">
      <alignment horizontal="right" vertical="center"/>
    </xf>
    <xf numFmtId="4" fontId="35" fillId="0" borderId="418">
      <alignment horizontal="right" vertical="center"/>
    </xf>
    <xf numFmtId="0" fontId="50" fillId="43" borderId="423" applyNumberFormat="0" applyAlignment="0" applyProtection="0"/>
    <xf numFmtId="0" fontId="30" fillId="13" borderId="13" applyNumberFormat="0" applyAlignment="0" applyProtection="0"/>
    <xf numFmtId="0" fontId="35" fillId="34" borderId="413">
      <alignment horizontal="left" vertical="center" wrapText="1" indent="2"/>
    </xf>
    <xf numFmtId="0" fontId="27" fillId="27" borderId="0" applyNumberFormat="0" applyBorder="0" applyAlignment="0" applyProtection="0"/>
    <xf numFmtId="4" fontId="35" fillId="0" borderId="418" applyFill="0" applyBorder="0" applyProtection="0">
      <alignment horizontal="right" vertical="center"/>
    </xf>
    <xf numFmtId="0" fontId="50" fillId="43" borderId="423" applyNumberFormat="0" applyAlignment="0" applyProtection="0"/>
    <xf numFmtId="0" fontId="27" fillId="15" borderId="0" applyNumberFormat="0" applyBorder="0" applyAlignment="0" applyProtection="0"/>
    <xf numFmtId="4" fontId="35" fillId="0" borderId="410">
      <alignment horizontal="right" vertical="center"/>
    </xf>
    <xf numFmtId="0" fontId="47" fillId="56" borderId="423" applyNumberFormat="0" applyAlignment="0" applyProtection="0"/>
    <xf numFmtId="0" fontId="35" fillId="0" borderId="410">
      <alignment horizontal="right" vertical="center"/>
    </xf>
    <xf numFmtId="0" fontId="35" fillId="32" borderId="419">
      <alignment horizontal="left" vertical="center"/>
    </xf>
    <xf numFmtId="4" fontId="33" fillId="34" borderId="418">
      <alignment horizontal="right" vertical="center"/>
    </xf>
    <xf numFmtId="4" fontId="33" fillId="34" borderId="418">
      <alignment horizontal="right" vertical="center"/>
    </xf>
    <xf numFmtId="49" fontId="35" fillId="0" borderId="411" applyNumberFormat="0" applyFont="0" applyFill="0" applyBorder="0" applyProtection="0">
      <alignment horizontal="left" vertical="center" indent="5"/>
    </xf>
    <xf numFmtId="4" fontId="33" fillId="34" borderId="419">
      <alignment horizontal="right" vertical="center"/>
    </xf>
    <xf numFmtId="0" fontId="27" fillId="14" borderId="0" applyNumberFormat="0" applyBorder="0" applyAlignment="0" applyProtection="0"/>
    <xf numFmtId="0" fontId="35" fillId="32" borderId="411">
      <alignment horizontal="left" vertical="center"/>
    </xf>
    <xf numFmtId="0" fontId="35" fillId="0" borderId="413">
      <alignment horizontal="left" vertical="center" wrapText="1" indent="2"/>
    </xf>
    <xf numFmtId="49" fontId="34" fillId="0" borderId="418" applyNumberFormat="0" applyFill="0" applyBorder="0" applyProtection="0">
      <alignment horizontal="left" vertical="center"/>
    </xf>
    <xf numFmtId="0" fontId="63" fillId="56" borderId="422" applyNumberFormat="0" applyAlignment="0" applyProtection="0"/>
    <xf numFmtId="0" fontId="31" fillId="0" borderId="0" applyNumberFormat="0" applyFill="0" applyBorder="0" applyAlignment="0" applyProtection="0"/>
    <xf numFmtId="0" fontId="47" fillId="56" borderId="423" applyNumberFormat="0" applyAlignment="0" applyProtection="0"/>
    <xf numFmtId="0" fontId="44" fillId="56" borderId="422" applyNumberFormat="0" applyAlignment="0" applyProtection="0"/>
    <xf numFmtId="0" fontId="44" fillId="56" borderId="422" applyNumberFormat="0" applyAlignment="0" applyProtection="0"/>
    <xf numFmtId="0" fontId="63" fillId="56" borderId="422" applyNumberFormat="0" applyAlignment="0" applyProtection="0"/>
    <xf numFmtId="4" fontId="33" fillId="32" borderId="429">
      <alignment horizontal="right" vertical="center"/>
    </xf>
    <xf numFmtId="0" fontId="33" fillId="32" borderId="410">
      <alignment horizontal="right" vertical="center"/>
    </xf>
    <xf numFmtId="0" fontId="51" fillId="0" borderId="416" applyNumberFormat="0" applyFill="0" applyAlignment="0" applyProtection="0"/>
    <xf numFmtId="0" fontId="35" fillId="0" borderId="410" applyNumberFormat="0" applyFill="0" applyAlignment="0" applyProtection="0"/>
    <xf numFmtId="0" fontId="51" fillId="0" borderId="416" applyNumberFormat="0" applyFill="0" applyAlignment="0" applyProtection="0"/>
    <xf numFmtId="4" fontId="35" fillId="0" borderId="410" applyFill="0" applyBorder="0" applyProtection="0">
      <alignment horizontal="right" vertical="center"/>
    </xf>
    <xf numFmtId="49" fontId="35" fillId="0" borderId="411" applyNumberFormat="0" applyFont="0" applyFill="0" applyBorder="0" applyProtection="0">
      <alignment horizontal="left" vertical="center" indent="5"/>
    </xf>
    <xf numFmtId="0" fontId="35" fillId="0" borderId="410" applyNumberFormat="0" applyFill="0" applyAlignment="0" applyProtection="0"/>
    <xf numFmtId="0" fontId="33" fillId="34" borderId="419">
      <alignment horizontal="right" vertical="center"/>
    </xf>
    <xf numFmtId="0" fontId="35" fillId="0" borderId="410" applyNumberFormat="0" applyFill="0" applyAlignment="0" applyProtection="0"/>
    <xf numFmtId="0" fontId="59" fillId="43" borderId="423" applyNumberFormat="0" applyAlignment="0" applyProtection="0"/>
    <xf numFmtId="4" fontId="33" fillId="34" borderId="410">
      <alignment horizontal="right" vertical="center"/>
    </xf>
    <xf numFmtId="0" fontId="27" fillId="24" borderId="0" applyNumberFormat="0" applyBorder="0" applyAlignment="0" applyProtection="0"/>
    <xf numFmtId="0" fontId="12" fillId="22" borderId="0" applyNumberFormat="0" applyBorder="0" applyAlignment="0" applyProtection="0"/>
    <xf numFmtId="0" fontId="50" fillId="43" borderId="415" applyNumberFormat="0" applyAlignment="0" applyProtection="0"/>
    <xf numFmtId="0" fontId="47" fillId="56" borderId="415" applyNumberFormat="0" applyAlignment="0" applyProtection="0"/>
    <xf numFmtId="4" fontId="35" fillId="0" borderId="410">
      <alignment horizontal="right" vertical="center"/>
    </xf>
    <xf numFmtId="0" fontId="35" fillId="34" borderId="413">
      <alignment horizontal="left" vertical="center" wrapText="1" indent="2"/>
    </xf>
    <xf numFmtId="0" fontId="35" fillId="0" borderId="413">
      <alignment horizontal="left" vertical="center" wrapText="1" indent="2"/>
    </xf>
    <xf numFmtId="0" fontId="63" fillId="56" borderId="414" applyNumberFormat="0" applyAlignment="0" applyProtection="0"/>
    <xf numFmtId="0" fontId="59" fillId="43" borderId="415" applyNumberFormat="0" applyAlignment="0" applyProtection="0"/>
    <xf numFmtId="0" fontId="46" fillId="56" borderId="415" applyNumberFormat="0" applyAlignment="0" applyProtection="0"/>
    <xf numFmtId="0" fontId="44" fillId="56" borderId="414" applyNumberFormat="0" applyAlignment="0" applyProtection="0"/>
    <xf numFmtId="0" fontId="33" fillId="34" borderId="412">
      <alignment horizontal="right" vertical="center"/>
    </xf>
    <xf numFmtId="0" fontId="37" fillId="32" borderId="410">
      <alignment horizontal="right" vertical="center"/>
    </xf>
    <xf numFmtId="4" fontId="33" fillId="32" borderId="410">
      <alignment horizontal="right" vertical="center"/>
    </xf>
    <xf numFmtId="4" fontId="33" fillId="34" borderId="410">
      <alignment horizontal="right" vertical="center"/>
    </xf>
    <xf numFmtId="49" fontId="35" fillId="0" borderId="411" applyNumberFormat="0" applyFont="0" applyFill="0" applyBorder="0" applyProtection="0">
      <alignment horizontal="left" vertical="center" indent="5"/>
    </xf>
    <xf numFmtId="4" fontId="35" fillId="0" borderId="410" applyFill="0" applyBorder="0" applyProtection="0">
      <alignment horizontal="right" vertical="center"/>
    </xf>
    <xf numFmtId="4" fontId="33" fillId="32" borderId="410">
      <alignment horizontal="right" vertical="center"/>
    </xf>
    <xf numFmtId="0" fontId="59" fillId="43" borderId="415" applyNumberFormat="0" applyAlignment="0" applyProtection="0"/>
    <xf numFmtId="0" fontId="50" fillId="43" borderId="415" applyNumberFormat="0" applyAlignment="0" applyProtection="0"/>
    <xf numFmtId="0" fontId="46" fillId="56" borderId="415" applyNumberFormat="0" applyAlignment="0" applyProtection="0"/>
    <xf numFmtId="0" fontId="35" fillId="34" borderId="413">
      <alignment horizontal="left" vertical="center" wrapText="1" indent="2"/>
    </xf>
    <xf numFmtId="0" fontId="35" fillId="0" borderId="413">
      <alignment horizontal="left" vertical="center" wrapText="1" indent="2"/>
    </xf>
    <xf numFmtId="0" fontId="35" fillId="34" borderId="413">
      <alignment horizontal="left" vertical="center" wrapText="1" indent="2"/>
    </xf>
    <xf numFmtId="0" fontId="35" fillId="34" borderId="421">
      <alignment horizontal="left" vertical="center" wrapText="1" indent="2"/>
    </xf>
    <xf numFmtId="0" fontId="35" fillId="0" borderId="418">
      <alignment horizontal="right" vertical="center"/>
    </xf>
    <xf numFmtId="0" fontId="33" fillId="34" borderId="418">
      <alignment horizontal="right" vertical="center"/>
    </xf>
    <xf numFmtId="0" fontId="66" fillId="0" borderId="424" applyNumberFormat="0" applyFill="0" applyAlignment="0" applyProtection="0"/>
    <xf numFmtId="0" fontId="63" fillId="56" borderId="422" applyNumberFormat="0" applyAlignment="0" applyProtection="0"/>
    <xf numFmtId="0" fontId="50" fillId="43" borderId="423" applyNumberFormat="0" applyAlignment="0" applyProtection="0"/>
    <xf numFmtId="0" fontId="33" fillId="34" borderId="418">
      <alignment horizontal="right" vertical="center"/>
    </xf>
    <xf numFmtId="0" fontId="59" fillId="43" borderId="423" applyNumberFormat="0" applyAlignment="0" applyProtection="0"/>
    <xf numFmtId="4" fontId="33" fillId="32" borderId="418">
      <alignment horizontal="right" vertical="center"/>
    </xf>
    <xf numFmtId="4" fontId="35" fillId="0" borderId="418">
      <alignment horizontal="right" vertical="center"/>
    </xf>
    <xf numFmtId="0" fontId="33" fillId="34" borderId="418">
      <alignment horizontal="right" vertical="center"/>
    </xf>
    <xf numFmtId="4" fontId="37" fillId="32" borderId="418">
      <alignment horizontal="right" vertical="center"/>
    </xf>
    <xf numFmtId="49" fontId="35" fillId="0" borderId="418" applyNumberFormat="0" applyFont="0" applyFill="0" applyBorder="0" applyProtection="0">
      <alignment horizontal="left" vertical="center" indent="2"/>
    </xf>
    <xf numFmtId="173" fontId="35" fillId="60" borderId="418" applyNumberFormat="0" applyFont="0" applyBorder="0" applyAlignment="0" applyProtection="0">
      <alignment horizontal="right" vertical="center"/>
    </xf>
    <xf numFmtId="49" fontId="34" fillId="0" borderId="418" applyNumberFormat="0" applyFill="0" applyBorder="0" applyProtection="0">
      <alignment horizontal="left" vertical="center"/>
    </xf>
    <xf numFmtId="0" fontId="41" fillId="59" borderId="417" applyNumberFormat="0" applyFont="0" applyAlignment="0" applyProtection="0"/>
    <xf numFmtId="0" fontId="27" fillId="27" borderId="0" applyNumberFormat="0" applyBorder="0" applyAlignment="0" applyProtection="0"/>
    <xf numFmtId="0" fontId="27" fillId="15" borderId="0" applyNumberFormat="0" applyBorder="0" applyAlignment="0" applyProtection="0"/>
    <xf numFmtId="0" fontId="27" fillId="14" borderId="0" applyNumberFormat="0" applyBorder="0" applyAlignment="0" applyProtection="0"/>
    <xf numFmtId="0" fontId="27" fillId="18" borderId="0" applyNumberFormat="0" applyBorder="0" applyAlignment="0" applyProtection="0"/>
    <xf numFmtId="0" fontId="29" fillId="13" borderId="14" applyNumberFormat="0" applyAlignment="0" applyProtection="0"/>
    <xf numFmtId="49" fontId="34" fillId="0" borderId="429" applyNumberFormat="0" applyFill="0" applyBorder="0" applyProtection="0">
      <alignment horizontal="left" vertical="center"/>
    </xf>
    <xf numFmtId="0" fontId="59" fillId="43" borderId="426" applyNumberFormat="0" applyAlignment="0" applyProtection="0"/>
    <xf numFmtId="0" fontId="27" fillId="15" borderId="0" applyNumberFormat="0" applyBorder="0" applyAlignment="0" applyProtection="0"/>
    <xf numFmtId="0" fontId="33" fillId="32" borderId="418">
      <alignment horizontal="right" vertical="center"/>
    </xf>
    <xf numFmtId="4" fontId="35" fillId="33" borderId="429"/>
    <xf numFmtId="49" fontId="35" fillId="0" borderId="418" applyNumberFormat="0" applyFont="0" applyFill="0" applyBorder="0" applyProtection="0">
      <alignment horizontal="left" vertical="center" indent="2"/>
    </xf>
    <xf numFmtId="0" fontId="27" fillId="17" borderId="0" applyNumberFormat="0" applyBorder="0" applyAlignment="0" applyProtection="0"/>
    <xf numFmtId="0" fontId="37" fillId="32" borderId="418">
      <alignment horizontal="right" vertical="center"/>
    </xf>
    <xf numFmtId="0" fontId="12" fillId="25" borderId="0" applyNumberFormat="0" applyBorder="0" applyAlignment="0" applyProtection="0"/>
    <xf numFmtId="0" fontId="50" fillId="43" borderId="426" applyNumberFormat="0" applyAlignment="0" applyProtection="0"/>
    <xf numFmtId="0" fontId="59" fillId="43" borderId="423" applyNumberFormat="0" applyAlignment="0" applyProtection="0"/>
    <xf numFmtId="0" fontId="37" fillId="32" borderId="418">
      <alignment horizontal="right" vertical="center"/>
    </xf>
    <xf numFmtId="0" fontId="12" fillId="16" borderId="0" applyNumberFormat="0" applyBorder="0" applyAlignment="0" applyProtection="0"/>
    <xf numFmtId="4" fontId="35" fillId="0" borderId="418">
      <alignment horizontal="right" vertical="center"/>
    </xf>
    <xf numFmtId="0" fontId="27" fillId="17" borderId="0" applyNumberFormat="0" applyBorder="0" applyAlignment="0" applyProtection="0"/>
    <xf numFmtId="4" fontId="37" fillId="32" borderId="418">
      <alignment horizontal="right" vertical="center"/>
    </xf>
    <xf numFmtId="0" fontId="35" fillId="0" borderId="418">
      <alignment horizontal="right" vertical="center"/>
    </xf>
    <xf numFmtId="0" fontId="66" fillId="0" borderId="424" applyNumberFormat="0" applyFill="0" applyAlignment="0" applyProtection="0"/>
    <xf numFmtId="0" fontId="35" fillId="0" borderId="421">
      <alignment horizontal="left" vertical="center" wrapText="1" indent="2"/>
    </xf>
    <xf numFmtId="4" fontId="35" fillId="33" borderId="418"/>
    <xf numFmtId="0" fontId="35" fillId="0" borderId="418" applyNumberFormat="0" applyFill="0" applyAlignment="0" applyProtection="0"/>
    <xf numFmtId="0" fontId="35" fillId="0" borderId="432">
      <alignment horizontal="left" vertical="center" wrapText="1" indent="2"/>
    </xf>
    <xf numFmtId="0" fontId="12" fillId="28" borderId="0" applyNumberFormat="0" applyBorder="0" applyAlignment="0" applyProtection="0"/>
    <xf numFmtId="0" fontId="35" fillId="32" borderId="419">
      <alignment horizontal="left" vertical="center"/>
    </xf>
    <xf numFmtId="0" fontId="51" fillId="0" borderId="424" applyNumberFormat="0" applyFill="0" applyAlignment="0" applyProtection="0"/>
    <xf numFmtId="0" fontId="1" fillId="0" borderId="0" applyNumberFormat="0" applyFill="0" applyBorder="0" applyAlignment="0" applyProtection="0"/>
    <xf numFmtId="0" fontId="33" fillId="34" borderId="419">
      <alignment horizontal="right" vertical="center"/>
    </xf>
    <xf numFmtId="0" fontId="66" fillId="0" borderId="424" applyNumberFormat="0" applyFill="0" applyAlignment="0" applyProtection="0"/>
    <xf numFmtId="0" fontId="37" fillId="32" borderId="418">
      <alignment horizontal="right" vertical="center"/>
    </xf>
    <xf numFmtId="0" fontId="5" fillId="59" borderId="417" applyNumberFormat="0" applyFont="0" applyAlignment="0" applyProtection="0"/>
    <xf numFmtId="49" fontId="35" fillId="0" borderId="418" applyNumberFormat="0" applyFont="0" applyFill="0" applyBorder="0" applyProtection="0">
      <alignment horizontal="left" vertical="center" indent="2"/>
    </xf>
    <xf numFmtId="0" fontId="47" fillId="56" borderId="423" applyNumberFormat="0" applyAlignment="0" applyProtection="0"/>
    <xf numFmtId="0" fontId="5" fillId="59" borderId="417" applyNumberFormat="0" applyFont="0" applyAlignment="0" applyProtection="0"/>
    <xf numFmtId="0" fontId="37" fillId="32" borderId="418">
      <alignment horizontal="right" vertical="center"/>
    </xf>
    <xf numFmtId="0" fontId="5" fillId="59" borderId="417" applyNumberFormat="0" applyFont="0" applyAlignment="0" applyProtection="0"/>
    <xf numFmtId="0" fontId="47" fillId="56" borderId="423" applyNumberFormat="0" applyAlignment="0" applyProtection="0"/>
    <xf numFmtId="4" fontId="35" fillId="33" borderId="418"/>
    <xf numFmtId="0" fontId="33" fillId="34" borderId="418">
      <alignment horizontal="right" vertical="center"/>
    </xf>
    <xf numFmtId="4" fontId="35" fillId="0" borderId="418" applyFill="0" applyBorder="0" applyProtection="0">
      <alignment horizontal="right" vertical="center"/>
    </xf>
    <xf numFmtId="49" fontId="35" fillId="0" borderId="419" applyNumberFormat="0" applyFont="0" applyFill="0" applyBorder="0" applyProtection="0">
      <alignment horizontal="left" vertical="center" indent="5"/>
    </xf>
    <xf numFmtId="0" fontId="59" fillId="43" borderId="423" applyNumberFormat="0" applyAlignment="0" applyProtection="0"/>
    <xf numFmtId="0" fontId="12" fillId="22" borderId="0" applyNumberFormat="0" applyBorder="0" applyAlignment="0" applyProtection="0"/>
    <xf numFmtId="4" fontId="33" fillId="34" borderId="419">
      <alignment horizontal="right" vertical="center"/>
    </xf>
    <xf numFmtId="173" fontId="35" fillId="60" borderId="418" applyNumberFormat="0" applyFont="0" applyBorder="0" applyAlignment="0" applyProtection="0">
      <alignment horizontal="right" vertical="center"/>
    </xf>
    <xf numFmtId="4" fontId="37" fillId="32" borderId="418">
      <alignment horizontal="right" vertical="center"/>
    </xf>
    <xf numFmtId="0" fontId="35" fillId="0" borderId="418">
      <alignment horizontal="right" vertical="center"/>
    </xf>
    <xf numFmtId="0" fontId="27" fillId="27" borderId="0" applyNumberFormat="0" applyBorder="0" applyAlignment="0" applyProtection="0"/>
    <xf numFmtId="0" fontId="47" fillId="56" borderId="423" applyNumberFormat="0" applyAlignment="0" applyProtection="0"/>
    <xf numFmtId="0" fontId="27" fillId="27" borderId="0" applyNumberFormat="0" applyBorder="0" applyAlignment="0" applyProtection="0"/>
    <xf numFmtId="4" fontId="33" fillId="34" borderId="418">
      <alignment horizontal="right" vertical="center"/>
    </xf>
    <xf numFmtId="0" fontId="35" fillId="33" borderId="418"/>
    <xf numFmtId="49" fontId="34" fillId="0" borderId="418" applyNumberFormat="0" applyFill="0" applyBorder="0" applyProtection="0">
      <alignment horizontal="left" vertical="center"/>
    </xf>
    <xf numFmtId="0" fontId="12" fillId="16" borderId="0" applyNumberFormat="0" applyBorder="0" applyAlignment="0" applyProtection="0"/>
    <xf numFmtId="49" fontId="35" fillId="0" borderId="418" applyNumberFormat="0" applyFont="0" applyFill="0" applyBorder="0" applyProtection="0">
      <alignment horizontal="left" vertical="center" indent="2"/>
    </xf>
    <xf numFmtId="4" fontId="33" fillId="34" borderId="418">
      <alignment horizontal="right" vertical="center"/>
    </xf>
    <xf numFmtId="0" fontId="33" fillId="34" borderId="418">
      <alignment horizontal="right" vertical="center"/>
    </xf>
    <xf numFmtId="0" fontId="27" fillId="26" borderId="0" applyNumberFormat="0" applyBorder="0" applyAlignment="0" applyProtection="0"/>
    <xf numFmtId="49" fontId="35" fillId="0" borderId="419" applyNumberFormat="0" applyFont="0" applyFill="0" applyBorder="0" applyProtection="0">
      <alignment horizontal="left" vertical="center" indent="5"/>
    </xf>
    <xf numFmtId="0" fontId="46" fillId="56" borderId="423" applyNumberFormat="0" applyAlignment="0" applyProtection="0"/>
    <xf numFmtId="0" fontId="12" fillId="31" borderId="0" applyNumberFormat="0" applyBorder="0" applyAlignment="0" applyProtection="0"/>
    <xf numFmtId="0" fontId="51" fillId="0" borderId="427" applyNumberFormat="0" applyFill="0" applyAlignment="0" applyProtection="0"/>
    <xf numFmtId="0" fontId="66" fillId="0" borderId="427" applyNumberFormat="0" applyFill="0" applyAlignment="0" applyProtection="0"/>
    <xf numFmtId="0" fontId="46" fillId="56" borderId="423" applyNumberFormat="0" applyAlignment="0" applyProtection="0"/>
    <xf numFmtId="0" fontId="12" fillId="19" borderId="0" applyNumberFormat="0" applyBorder="0" applyAlignment="0" applyProtection="0"/>
    <xf numFmtId="49" fontId="35" fillId="0" borderId="430" applyNumberFormat="0" applyFont="0" applyFill="0" applyBorder="0" applyProtection="0">
      <alignment horizontal="left" vertical="center" indent="5"/>
    </xf>
    <xf numFmtId="0" fontId="66" fillId="0" borderId="424" applyNumberFormat="0" applyFill="0" applyAlignment="0" applyProtection="0"/>
    <xf numFmtId="0" fontId="50" fillId="43" borderId="423" applyNumberFormat="0" applyAlignment="0" applyProtection="0"/>
    <xf numFmtId="0" fontId="33" fillId="34" borderId="418">
      <alignment horizontal="right" vertical="center"/>
    </xf>
    <xf numFmtId="4" fontId="33" fillId="34" borderId="420">
      <alignment horizontal="right" vertical="center"/>
    </xf>
    <xf numFmtId="4" fontId="35" fillId="33" borderId="418"/>
    <xf numFmtId="0" fontId="12" fillId="22" borderId="0" applyNumberFormat="0" applyBorder="0" applyAlignment="0" applyProtection="0"/>
    <xf numFmtId="0" fontId="63" fillId="56" borderId="422" applyNumberFormat="0" applyAlignment="0" applyProtection="0"/>
    <xf numFmtId="0" fontId="12" fillId="16" borderId="0" applyNumberFormat="0" applyBorder="0" applyAlignment="0" applyProtection="0"/>
    <xf numFmtId="0" fontId="2" fillId="0" borderId="15" applyNumberFormat="0" applyFill="0" applyAlignment="0" applyProtection="0"/>
    <xf numFmtId="0" fontId="35" fillId="0" borderId="418">
      <alignment horizontal="right" vertical="center"/>
    </xf>
    <xf numFmtId="0" fontId="12" fillId="16" borderId="0" applyNumberFormat="0" applyBorder="0" applyAlignment="0" applyProtection="0"/>
    <xf numFmtId="0" fontId="47" fillId="56" borderId="426" applyNumberFormat="0" applyAlignment="0" applyProtection="0"/>
    <xf numFmtId="49" fontId="35" fillId="0" borderId="418" applyNumberFormat="0" applyFont="0" applyFill="0" applyBorder="0" applyProtection="0">
      <alignment horizontal="left" vertical="center" indent="2"/>
    </xf>
    <xf numFmtId="0" fontId="33" fillId="32" borderId="418">
      <alignment horizontal="right" vertical="center"/>
    </xf>
    <xf numFmtId="0" fontId="2" fillId="0" borderId="15" applyNumberFormat="0" applyFill="0" applyAlignment="0" applyProtection="0"/>
    <xf numFmtId="0" fontId="35" fillId="32" borderId="419">
      <alignment horizontal="left" vertical="center"/>
    </xf>
    <xf numFmtId="0" fontId="27" fillId="20" borderId="0" applyNumberFormat="0" applyBorder="0" applyAlignment="0" applyProtection="0"/>
    <xf numFmtId="0" fontId="31" fillId="0" borderId="0" applyNumberFormat="0" applyFill="0" applyBorder="0" applyAlignment="0" applyProtection="0"/>
    <xf numFmtId="0" fontId="27" fillId="30" borderId="0" applyNumberFormat="0" applyBorder="0" applyAlignment="0" applyProtection="0"/>
    <xf numFmtId="4" fontId="37" fillId="32" borderId="418">
      <alignment horizontal="right" vertical="center"/>
    </xf>
    <xf numFmtId="0" fontId="33" fillId="34" borderId="419">
      <alignment horizontal="right" vertical="center"/>
    </xf>
    <xf numFmtId="0" fontId="35" fillId="32" borderId="419">
      <alignment horizontal="left" vertical="center"/>
    </xf>
    <xf numFmtId="0" fontId="50" fillId="43" borderId="423" applyNumberFormat="0" applyAlignment="0" applyProtection="0"/>
    <xf numFmtId="0" fontId="50" fillId="43" borderId="423" applyNumberFormat="0" applyAlignment="0" applyProtection="0"/>
    <xf numFmtId="4" fontId="33" fillId="32" borderId="418">
      <alignment horizontal="right" vertical="center"/>
    </xf>
    <xf numFmtId="0" fontId="35" fillId="0" borderId="421">
      <alignment horizontal="left" vertical="center" wrapText="1" indent="2"/>
    </xf>
    <xf numFmtId="0" fontId="66" fillId="0" borderId="424" applyNumberFormat="0" applyFill="0" applyAlignment="0" applyProtection="0"/>
    <xf numFmtId="4" fontId="33" fillId="34" borderId="419">
      <alignment horizontal="right" vertical="center"/>
    </xf>
    <xf numFmtId="0" fontId="35" fillId="0" borderId="418" applyNumberFormat="0" applyFill="0" applyAlignment="0" applyProtection="0"/>
    <xf numFmtId="4" fontId="35" fillId="0" borderId="418">
      <alignment horizontal="right" vertical="center"/>
    </xf>
    <xf numFmtId="0" fontId="27" fillId="17" borderId="0" applyNumberFormat="0" applyBorder="0" applyAlignment="0" applyProtection="0"/>
    <xf numFmtId="0" fontId="47" fillId="56" borderId="423" applyNumberFormat="0" applyAlignment="0" applyProtection="0"/>
    <xf numFmtId="0" fontId="66" fillId="0" borderId="424" applyNumberFormat="0" applyFill="0" applyAlignment="0" applyProtection="0"/>
    <xf numFmtId="0" fontId="27" fillId="24" borderId="0" applyNumberFormat="0" applyBorder="0" applyAlignment="0" applyProtection="0"/>
    <xf numFmtId="0" fontId="35" fillId="32" borderId="419">
      <alignment horizontal="left" vertical="center"/>
    </xf>
    <xf numFmtId="0" fontId="63" fillId="56" borderId="422" applyNumberFormat="0" applyAlignment="0" applyProtection="0"/>
    <xf numFmtId="0" fontId="33" fillId="34" borderId="420">
      <alignment horizontal="right" vertical="center"/>
    </xf>
    <xf numFmtId="0" fontId="35" fillId="0" borderId="429" applyNumberFormat="0" applyFill="0" applyAlignment="0" applyProtection="0"/>
    <xf numFmtId="0" fontId="63" fillId="56" borderId="422" applyNumberFormat="0" applyAlignment="0" applyProtection="0"/>
    <xf numFmtId="0" fontId="33" fillId="34" borderId="418">
      <alignment horizontal="right" vertical="center"/>
    </xf>
    <xf numFmtId="0" fontId="27" fillId="30" borderId="0" applyNumberFormat="0" applyBorder="0" applyAlignment="0" applyProtection="0"/>
    <xf numFmtId="173" fontId="35" fillId="60" borderId="418" applyNumberFormat="0" applyFont="0" applyBorder="0" applyAlignment="0" applyProtection="0">
      <alignment horizontal="right" vertical="center"/>
    </xf>
    <xf numFmtId="0" fontId="44" fillId="56" borderId="422" applyNumberFormat="0" applyAlignment="0" applyProtection="0"/>
    <xf numFmtId="0" fontId="59" fillId="43" borderId="423" applyNumberFormat="0" applyAlignment="0" applyProtection="0"/>
    <xf numFmtId="173" fontId="35" fillId="60" borderId="418" applyNumberFormat="0" applyFont="0" applyBorder="0" applyAlignment="0" applyProtection="0">
      <alignment horizontal="right" vertical="center"/>
    </xf>
    <xf numFmtId="0" fontId="33" fillId="34" borderId="430">
      <alignment horizontal="right" vertical="center"/>
    </xf>
    <xf numFmtId="0" fontId="44" fillId="56" borderId="425" applyNumberFormat="0" applyAlignment="0" applyProtection="0"/>
    <xf numFmtId="0" fontId="27" fillId="17" borderId="0" applyNumberFormat="0" applyBorder="0" applyAlignment="0" applyProtection="0"/>
    <xf numFmtId="0" fontId="35" fillId="33" borderId="418"/>
    <xf numFmtId="0" fontId="27" fillId="20" borderId="0" applyNumberFormat="0" applyBorder="0" applyAlignment="0" applyProtection="0"/>
    <xf numFmtId="0" fontId="29" fillId="13" borderId="14" applyNumberFormat="0" applyAlignment="0" applyProtection="0"/>
    <xf numFmtId="49" fontId="34" fillId="0" borderId="418" applyNumberFormat="0" applyFill="0" applyBorder="0" applyProtection="0">
      <alignment horizontal="left" vertical="center"/>
    </xf>
    <xf numFmtId="0" fontId="27" fillId="24" borderId="0" applyNumberFormat="0" applyBorder="0" applyAlignment="0" applyProtection="0"/>
    <xf numFmtId="0" fontId="35" fillId="0" borderId="418">
      <alignment horizontal="right" vertical="center"/>
    </xf>
    <xf numFmtId="4" fontId="35" fillId="33" borderId="418"/>
    <xf numFmtId="4" fontId="35" fillId="33" borderId="418"/>
    <xf numFmtId="0" fontId="41" fillId="59" borderId="417" applyNumberFormat="0" applyFont="0" applyAlignment="0" applyProtection="0"/>
    <xf numFmtId="4" fontId="35" fillId="0" borderId="429">
      <alignment horizontal="right" vertical="center"/>
    </xf>
    <xf numFmtId="0" fontId="41" fillId="59" borderId="417" applyNumberFormat="0" applyFont="0" applyAlignment="0" applyProtection="0"/>
    <xf numFmtId="0" fontId="30" fillId="13" borderId="13" applyNumberFormat="0" applyAlignment="0" applyProtection="0"/>
    <xf numFmtId="0" fontId="27" fillId="23" borderId="0" applyNumberFormat="0" applyBorder="0" applyAlignment="0" applyProtection="0"/>
    <xf numFmtId="0" fontId="59" fillId="43" borderId="423" applyNumberFormat="0" applyAlignment="0" applyProtection="0"/>
    <xf numFmtId="4" fontId="35" fillId="0" borderId="418" applyFill="0" applyBorder="0" applyProtection="0">
      <alignment horizontal="right" vertical="center"/>
    </xf>
    <xf numFmtId="0" fontId="35" fillId="33" borderId="429"/>
    <xf numFmtId="0" fontId="27" fillId="14" borderId="0" applyNumberFormat="0" applyBorder="0" applyAlignment="0" applyProtection="0"/>
    <xf numFmtId="4" fontId="33" fillId="34" borderId="429">
      <alignment horizontal="right" vertical="center"/>
    </xf>
    <xf numFmtId="0" fontId="50" fillId="43" borderId="423" applyNumberFormat="0" applyAlignment="0" applyProtection="0"/>
    <xf numFmtId="4" fontId="35" fillId="0" borderId="418" applyFill="0" applyBorder="0" applyProtection="0">
      <alignment horizontal="right" vertical="center"/>
    </xf>
    <xf numFmtId="49" fontId="34" fillId="0" borderId="418" applyNumberFormat="0" applyFill="0" applyBorder="0" applyProtection="0">
      <alignment horizontal="left" vertical="center"/>
    </xf>
    <xf numFmtId="0" fontId="27" fillId="26" borderId="0" applyNumberFormat="0" applyBorder="0" applyAlignment="0" applyProtection="0"/>
    <xf numFmtId="0" fontId="29" fillId="13" borderId="14" applyNumberFormat="0" applyAlignment="0" applyProtection="0"/>
    <xf numFmtId="0" fontId="35" fillId="34" borderId="421">
      <alignment horizontal="left" vertical="center" wrapText="1" indent="2"/>
    </xf>
    <xf numFmtId="4" fontId="35" fillId="0" borderId="418">
      <alignment horizontal="right" vertical="center"/>
    </xf>
    <xf numFmtId="0" fontId="35" fillId="0" borderId="421">
      <alignment horizontal="left" vertical="center" wrapText="1" indent="2"/>
    </xf>
    <xf numFmtId="0" fontId="35" fillId="0" borderId="429">
      <alignment horizontal="right" vertical="center"/>
    </xf>
    <xf numFmtId="0" fontId="27" fillId="30" borderId="0" applyNumberFormat="0" applyBorder="0" applyAlignment="0" applyProtection="0"/>
    <xf numFmtId="0" fontId="66" fillId="0" borderId="424" applyNumberFormat="0" applyFill="0" applyAlignment="0" applyProtection="0"/>
    <xf numFmtId="4" fontId="33" fillId="32" borderId="418">
      <alignment horizontal="right" vertical="center"/>
    </xf>
    <xf numFmtId="49" fontId="34" fillId="0" borderId="418" applyNumberFormat="0" applyFill="0" applyBorder="0" applyProtection="0">
      <alignment horizontal="left" vertical="center"/>
    </xf>
    <xf numFmtId="0" fontId="66" fillId="0" borderId="424" applyNumberFormat="0" applyFill="0" applyAlignment="0" applyProtection="0"/>
    <xf numFmtId="0" fontId="66" fillId="0" borderId="424" applyNumberFormat="0" applyFill="0" applyAlignment="0" applyProtection="0"/>
    <xf numFmtId="0" fontId="27" fillId="27" borderId="0" applyNumberFormat="0" applyBorder="0" applyAlignment="0" applyProtection="0"/>
    <xf numFmtId="49" fontId="35" fillId="0" borderId="419" applyNumberFormat="0" applyFont="0" applyFill="0" applyBorder="0" applyProtection="0">
      <alignment horizontal="left" vertical="center" indent="5"/>
    </xf>
    <xf numFmtId="0" fontId="47" fillId="56" borderId="423" applyNumberFormat="0" applyAlignment="0" applyProtection="0"/>
    <xf numFmtId="0" fontId="35" fillId="0" borderId="418">
      <alignment horizontal="right" vertical="center"/>
    </xf>
    <xf numFmtId="4" fontId="33" fillId="32" borderId="418">
      <alignment horizontal="right" vertical="center"/>
    </xf>
    <xf numFmtId="0" fontId="66" fillId="0" borderId="424" applyNumberFormat="0" applyFill="0" applyAlignment="0" applyProtection="0"/>
    <xf numFmtId="0" fontId="12" fillId="31" borderId="0" applyNumberFormat="0" applyBorder="0" applyAlignment="0" applyProtection="0"/>
    <xf numFmtId="0" fontId="5" fillId="59" borderId="417" applyNumberFormat="0" applyFont="0" applyAlignment="0" applyProtection="0"/>
    <xf numFmtId="49" fontId="34" fillId="0" borderId="418" applyNumberFormat="0" applyFill="0" applyBorder="0" applyProtection="0">
      <alignment horizontal="left" vertical="center"/>
    </xf>
    <xf numFmtId="0" fontId="35" fillId="0" borderId="418">
      <alignment horizontal="right" vertical="center"/>
    </xf>
    <xf numFmtId="4" fontId="33" fillId="34" borderId="418">
      <alignment horizontal="right" vertical="center"/>
    </xf>
    <xf numFmtId="49" fontId="35" fillId="0" borderId="418" applyNumberFormat="0" applyFont="0" applyFill="0" applyBorder="0" applyProtection="0">
      <alignment horizontal="left" vertical="center" indent="2"/>
    </xf>
    <xf numFmtId="0" fontId="35" fillId="0" borderId="421">
      <alignment horizontal="left" vertical="center" wrapText="1" indent="2"/>
    </xf>
    <xf numFmtId="0" fontId="35" fillId="0" borderId="418" applyNumberFormat="0" applyFill="0" applyAlignment="0" applyProtection="0"/>
    <xf numFmtId="0" fontId="27" fillId="21" borderId="0" applyNumberFormat="0" applyBorder="0" applyAlignment="0" applyProtection="0"/>
    <xf numFmtId="4" fontId="33" fillId="32" borderId="418">
      <alignment horizontal="right" vertical="center"/>
    </xf>
    <xf numFmtId="0" fontId="27" fillId="24" borderId="0" applyNumberFormat="0" applyBorder="0" applyAlignment="0" applyProtection="0"/>
    <xf numFmtId="0" fontId="47" fillId="56" borderId="423" applyNumberFormat="0" applyAlignment="0" applyProtection="0"/>
    <xf numFmtId="0" fontId="46" fillId="56" borderId="423" applyNumberFormat="0" applyAlignment="0" applyProtection="0"/>
    <xf numFmtId="173" fontId="35" fillId="60" borderId="418" applyNumberFormat="0" applyFont="0" applyBorder="0" applyAlignment="0" applyProtection="0">
      <alignment horizontal="right" vertical="center"/>
    </xf>
    <xf numFmtId="0" fontId="33" fillId="32" borderId="418">
      <alignment horizontal="right" vertical="center"/>
    </xf>
    <xf numFmtId="0" fontId="27" fillId="26" borderId="0" applyNumberFormat="0" applyBorder="0" applyAlignment="0" applyProtection="0"/>
    <xf numFmtId="0" fontId="51" fillId="0" borderId="424" applyNumberFormat="0" applyFill="0" applyAlignment="0" applyProtection="0"/>
    <xf numFmtId="0" fontId="41" fillId="59" borderId="417" applyNumberFormat="0" applyFont="0" applyAlignment="0" applyProtection="0"/>
    <xf numFmtId="0" fontId="35" fillId="33" borderId="418"/>
    <xf numFmtId="0" fontId="27" fillId="26" borderId="0" applyNumberFormat="0" applyBorder="0" applyAlignment="0" applyProtection="0"/>
    <xf numFmtId="4" fontId="35" fillId="0" borderId="418" applyFill="0" applyBorder="0" applyProtection="0">
      <alignment horizontal="right" vertical="center"/>
    </xf>
    <xf numFmtId="0" fontId="63" fillId="56" borderId="422" applyNumberFormat="0" applyAlignment="0" applyProtection="0"/>
    <xf numFmtId="0" fontId="44" fillId="56" borderId="422" applyNumberFormat="0" applyAlignment="0" applyProtection="0"/>
    <xf numFmtId="0" fontId="59" fillId="43" borderId="423" applyNumberFormat="0" applyAlignment="0" applyProtection="0"/>
    <xf numFmtId="4" fontId="35" fillId="0" borderId="418">
      <alignment horizontal="right" vertical="center"/>
    </xf>
    <xf numFmtId="0" fontId="31" fillId="0" borderId="0" applyNumberFormat="0" applyFill="0" applyBorder="0" applyAlignment="0" applyProtection="0"/>
    <xf numFmtId="0" fontId="35" fillId="0" borderId="432">
      <alignment horizontal="left" vertical="center" wrapText="1" indent="2"/>
    </xf>
    <xf numFmtId="0" fontId="27" fillId="18" borderId="0" applyNumberFormat="0" applyBorder="0" applyAlignment="0" applyProtection="0"/>
    <xf numFmtId="0" fontId="37" fillId="32" borderId="418">
      <alignment horizontal="right" vertical="center"/>
    </xf>
    <xf numFmtId="4" fontId="37" fillId="32" borderId="429">
      <alignment horizontal="right" vertical="center"/>
    </xf>
    <xf numFmtId="0" fontId="66" fillId="0" borderId="424" applyNumberFormat="0" applyFill="0" applyAlignment="0" applyProtection="0"/>
    <xf numFmtId="0" fontId="33" fillId="32" borderId="418">
      <alignment horizontal="right" vertical="center"/>
    </xf>
    <xf numFmtId="49" fontId="35" fillId="0" borderId="418" applyNumberFormat="0" applyFont="0" applyFill="0" applyBorder="0" applyProtection="0">
      <alignment horizontal="left" vertical="center" indent="2"/>
    </xf>
    <xf numFmtId="0" fontId="35" fillId="33" borderId="418"/>
    <xf numFmtId="4" fontId="33" fillId="34" borderId="431">
      <alignment horizontal="right" vertical="center"/>
    </xf>
    <xf numFmtId="173" fontId="35" fillId="60" borderId="418" applyNumberFormat="0" applyFont="0" applyBorder="0" applyAlignment="0" applyProtection="0">
      <alignment horizontal="right" vertical="center"/>
    </xf>
    <xf numFmtId="0" fontId="27" fillId="15" borderId="0" applyNumberFormat="0" applyBorder="0" applyAlignment="0" applyProtection="0"/>
    <xf numFmtId="0" fontId="12" fillId="25" borderId="0" applyNumberFormat="0" applyBorder="0" applyAlignment="0" applyProtection="0"/>
    <xf numFmtId="0" fontId="63" fillId="56" borderId="422" applyNumberFormat="0" applyAlignment="0" applyProtection="0"/>
    <xf numFmtId="4" fontId="33" fillId="34" borderId="420">
      <alignment horizontal="right" vertical="center"/>
    </xf>
    <xf numFmtId="0" fontId="12" fillId="25" borderId="0" applyNumberFormat="0" applyBorder="0" applyAlignment="0" applyProtection="0"/>
    <xf numFmtId="0" fontId="33" fillId="32" borderId="418">
      <alignment horizontal="right" vertical="center"/>
    </xf>
    <xf numFmtId="0" fontId="59" fillId="43" borderId="426" applyNumberFormat="0" applyAlignment="0" applyProtection="0"/>
    <xf numFmtId="0" fontId="59" fillId="43" borderId="423" applyNumberFormat="0" applyAlignment="0" applyProtection="0"/>
    <xf numFmtId="0" fontId="66" fillId="0" borderId="427" applyNumberFormat="0" applyFill="0" applyAlignment="0" applyProtection="0"/>
    <xf numFmtId="4" fontId="33" fillId="34" borderId="418">
      <alignment horizontal="right" vertical="center"/>
    </xf>
    <xf numFmtId="0" fontId="27" fillId="29" borderId="0" applyNumberFormat="0" applyBorder="0" applyAlignment="0" applyProtection="0"/>
    <xf numFmtId="0" fontId="35" fillId="0" borderId="418">
      <alignment horizontal="right" vertical="center"/>
    </xf>
    <xf numFmtId="0" fontId="33" fillId="32" borderId="418">
      <alignment horizontal="right" vertical="center"/>
    </xf>
    <xf numFmtId="0" fontId="35" fillId="34" borderId="421">
      <alignment horizontal="left" vertical="center" wrapText="1" indent="2"/>
    </xf>
    <xf numFmtId="0" fontId="33" fillId="34" borderId="419">
      <alignment horizontal="right" vertical="center"/>
    </xf>
    <xf numFmtId="0" fontId="27" fillId="29" borderId="0" applyNumberFormat="0" applyBorder="0" applyAlignment="0" applyProtection="0"/>
    <xf numFmtId="0" fontId="2" fillId="0" borderId="15" applyNumberFormat="0" applyFill="0" applyAlignment="0" applyProtection="0"/>
    <xf numFmtId="0" fontId="27" fillId="20" borderId="0" applyNumberFormat="0" applyBorder="0" applyAlignment="0" applyProtection="0"/>
    <xf numFmtId="0" fontId="33" fillId="34" borderId="429">
      <alignment horizontal="right" vertical="center"/>
    </xf>
    <xf numFmtId="0" fontId="29" fillId="13" borderId="14" applyNumberFormat="0" applyAlignment="0" applyProtection="0"/>
    <xf numFmtId="4" fontId="35" fillId="0" borderId="418" applyFill="0" applyBorder="0" applyProtection="0">
      <alignment horizontal="right" vertical="center"/>
    </xf>
    <xf numFmtId="0" fontId="41" fillId="59" borderId="417" applyNumberFormat="0" applyFont="0" applyAlignment="0" applyProtection="0"/>
    <xf numFmtId="0" fontId="33" fillId="32" borderId="418">
      <alignment horizontal="right" vertical="center"/>
    </xf>
    <xf numFmtId="0" fontId="51" fillId="0" borderId="424" applyNumberFormat="0" applyFill="0" applyAlignment="0" applyProtection="0"/>
    <xf numFmtId="0" fontId="35" fillId="0" borderId="418" applyNumberFormat="0" applyFill="0" applyAlignment="0" applyProtection="0"/>
    <xf numFmtId="0" fontId="51" fillId="0" borderId="424" applyNumberFormat="0" applyFill="0" applyAlignment="0" applyProtection="0"/>
    <xf numFmtId="4" fontId="35" fillId="0" borderId="418" applyFill="0" applyBorder="0" applyProtection="0">
      <alignment horizontal="right" vertical="center"/>
    </xf>
    <xf numFmtId="49" fontId="35" fillId="0" borderId="419" applyNumberFormat="0" applyFont="0" applyFill="0" applyBorder="0" applyProtection="0">
      <alignment horizontal="left" vertical="center" indent="5"/>
    </xf>
    <xf numFmtId="0" fontId="35" fillId="0" borderId="418" applyNumberFormat="0" applyFill="0" applyAlignment="0" applyProtection="0"/>
    <xf numFmtId="0" fontId="35" fillId="0" borderId="418" applyNumberFormat="0" applyFill="0" applyAlignment="0" applyProtection="0"/>
    <xf numFmtId="4" fontId="33" fillId="34" borderId="418">
      <alignment horizontal="right" vertical="center"/>
    </xf>
    <xf numFmtId="0" fontId="12" fillId="22" borderId="0" applyNumberFormat="0" applyBorder="0" applyAlignment="0" applyProtection="0"/>
    <xf numFmtId="0" fontId="50" fillId="43" borderId="423" applyNumberFormat="0" applyAlignment="0" applyProtection="0"/>
    <xf numFmtId="0" fontId="47" fillId="56" borderId="423" applyNumberFormat="0" applyAlignment="0" applyProtection="0"/>
    <xf numFmtId="4" fontId="35" fillId="0" borderId="418">
      <alignment horizontal="right" vertical="center"/>
    </xf>
    <xf numFmtId="0" fontId="35" fillId="34" borderId="421">
      <alignment horizontal="left" vertical="center" wrapText="1" indent="2"/>
    </xf>
    <xf numFmtId="0" fontId="35" fillId="0" borderId="421">
      <alignment horizontal="left" vertical="center" wrapText="1" indent="2"/>
    </xf>
    <xf numFmtId="0" fontId="63" fillId="56" borderId="422" applyNumberFormat="0" applyAlignment="0" applyProtection="0"/>
    <xf numFmtId="0" fontId="59" fillId="43" borderId="423" applyNumberFormat="0" applyAlignment="0" applyProtection="0"/>
    <xf numFmtId="0" fontId="46" fillId="56" borderId="423" applyNumberFormat="0" applyAlignment="0" applyProtection="0"/>
    <xf numFmtId="0" fontId="44" fillId="56" borderId="422" applyNumberFormat="0" applyAlignment="0" applyProtection="0"/>
    <xf numFmtId="0" fontId="33" fillId="34" borderId="420">
      <alignment horizontal="right" vertical="center"/>
    </xf>
    <xf numFmtId="0" fontId="37" fillId="32" borderId="418">
      <alignment horizontal="right" vertical="center"/>
    </xf>
    <xf numFmtId="4" fontId="33" fillId="32" borderId="418">
      <alignment horizontal="right" vertical="center"/>
    </xf>
    <xf numFmtId="4" fontId="33" fillId="34" borderId="418">
      <alignment horizontal="right" vertical="center"/>
    </xf>
    <xf numFmtId="49" fontId="35" fillId="0" borderId="419" applyNumberFormat="0" applyFont="0" applyFill="0" applyBorder="0" applyProtection="0">
      <alignment horizontal="left" vertical="center" indent="5"/>
    </xf>
    <xf numFmtId="4" fontId="35" fillId="0" borderId="418" applyFill="0" applyBorder="0" applyProtection="0">
      <alignment horizontal="right" vertical="center"/>
    </xf>
    <xf numFmtId="4" fontId="33" fillId="32" borderId="418">
      <alignment horizontal="right" vertical="center"/>
    </xf>
    <xf numFmtId="0" fontId="59" fillId="43" borderId="423" applyNumberFormat="0" applyAlignment="0" applyProtection="0"/>
    <xf numFmtId="0" fontId="50" fillId="43" borderId="423" applyNumberFormat="0" applyAlignment="0" applyProtection="0"/>
    <xf numFmtId="0" fontId="46" fillId="56" borderId="423" applyNumberFormat="0" applyAlignment="0" applyProtection="0"/>
    <xf numFmtId="0" fontId="35" fillId="34" borderId="421">
      <alignment horizontal="left" vertical="center" wrapText="1" indent="2"/>
    </xf>
    <xf numFmtId="0" fontId="35" fillId="0" borderId="421">
      <alignment horizontal="left" vertical="center" wrapText="1" indent="2"/>
    </xf>
    <xf numFmtId="0" fontId="35" fillId="34" borderId="421">
      <alignment horizontal="left" vertical="center" wrapText="1" indent="2"/>
    </xf>
    <xf numFmtId="0" fontId="33" fillId="34" borderId="431">
      <alignment horizontal="right" vertical="center"/>
    </xf>
    <xf numFmtId="0" fontId="12" fillId="19" borderId="0" applyNumberFormat="0" applyBorder="0" applyAlignment="0" applyProtection="0"/>
    <xf numFmtId="0" fontId="12" fillId="31" borderId="0" applyNumberFormat="0" applyBorder="0" applyAlignment="0" applyProtection="0"/>
    <xf numFmtId="0" fontId="12" fillId="25" borderId="0" applyNumberFormat="0" applyBorder="0" applyAlignment="0" applyProtection="0"/>
    <xf numFmtId="0" fontId="27" fillId="27" borderId="0" applyNumberFormat="0" applyBorder="0" applyAlignment="0" applyProtection="0"/>
    <xf numFmtId="0" fontId="12" fillId="28" borderId="0" applyNumberFormat="0" applyBorder="0" applyAlignment="0" applyProtection="0"/>
    <xf numFmtId="0" fontId="12" fillId="22" borderId="0" applyNumberFormat="0" applyBorder="0" applyAlignment="0" applyProtection="0"/>
    <xf numFmtId="0" fontId="27" fillId="20" borderId="0" applyNumberFormat="0" applyBorder="0" applyAlignment="0" applyProtection="0"/>
    <xf numFmtId="0" fontId="27" fillId="14" borderId="0" applyNumberFormat="0" applyBorder="0" applyAlignment="0" applyProtection="0"/>
    <xf numFmtId="4" fontId="33" fillId="34" borderId="429">
      <alignment horizontal="right" vertical="center"/>
    </xf>
    <xf numFmtId="0" fontId="35" fillId="33" borderId="429"/>
    <xf numFmtId="0" fontId="46" fillId="56" borderId="426" applyNumberFormat="0" applyAlignment="0" applyProtection="0"/>
    <xf numFmtId="0" fontId="33" fillId="32" borderId="429">
      <alignment horizontal="right" vertical="center"/>
    </xf>
    <xf numFmtId="0" fontId="35" fillId="0" borderId="429">
      <alignment horizontal="right" vertical="center"/>
    </xf>
    <xf numFmtId="0" fontId="66" fillId="0" borderId="427" applyNumberFormat="0" applyFill="0" applyAlignment="0" applyProtection="0"/>
    <xf numFmtId="0" fontId="35" fillId="32" borderId="430">
      <alignment horizontal="left" vertical="center"/>
    </xf>
    <xf numFmtId="0" fontId="59" fillId="43" borderId="426" applyNumberFormat="0" applyAlignment="0" applyProtection="0"/>
    <xf numFmtId="173" fontId="35" fillId="60" borderId="429" applyNumberFormat="0" applyFont="0" applyBorder="0" applyAlignment="0" applyProtection="0">
      <alignment horizontal="right" vertical="center"/>
    </xf>
    <xf numFmtId="0" fontId="41" fillId="59" borderId="428" applyNumberFormat="0" applyFont="0" applyAlignment="0" applyProtection="0"/>
    <xf numFmtId="0" fontId="35" fillId="0" borderId="432">
      <alignment horizontal="left" vertical="center" wrapText="1" indent="2"/>
    </xf>
    <xf numFmtId="4" fontId="35" fillId="33" borderId="429"/>
    <xf numFmtId="49" fontId="34" fillId="0" borderId="429" applyNumberFormat="0" applyFill="0" applyBorder="0" applyProtection="0">
      <alignment horizontal="left" vertical="center"/>
    </xf>
    <xf numFmtId="0" fontId="35" fillId="0" borderId="429">
      <alignment horizontal="right" vertical="center"/>
    </xf>
    <xf numFmtId="4" fontId="33" fillId="34" borderId="431">
      <alignment horizontal="right" vertical="center"/>
    </xf>
    <xf numFmtId="4" fontId="33" fillId="34" borderId="429">
      <alignment horizontal="right" vertical="center"/>
    </xf>
    <xf numFmtId="4" fontId="33" fillId="34" borderId="429">
      <alignment horizontal="right" vertical="center"/>
    </xf>
    <xf numFmtId="0" fontId="37" fillId="32" borderId="429">
      <alignment horizontal="right" vertical="center"/>
    </xf>
    <xf numFmtId="0" fontId="33" fillId="32" borderId="429">
      <alignment horizontal="right" vertical="center"/>
    </xf>
    <xf numFmtId="49" fontId="35" fillId="0" borderId="429" applyNumberFormat="0" applyFont="0" applyFill="0" applyBorder="0" applyProtection="0">
      <alignment horizontal="left" vertical="center" indent="2"/>
    </xf>
    <xf numFmtId="0" fontId="59" fillId="43" borderId="426" applyNumberFormat="0" applyAlignment="0" applyProtection="0"/>
    <xf numFmtId="0" fontId="44" fillId="56" borderId="425" applyNumberFormat="0" applyAlignment="0" applyProtection="0"/>
    <xf numFmtId="49" fontId="35" fillId="0" borderId="429" applyNumberFormat="0" applyFont="0" applyFill="0" applyBorder="0" applyProtection="0">
      <alignment horizontal="left" vertical="center" indent="2"/>
    </xf>
    <xf numFmtId="0" fontId="50" fillId="43" borderId="426" applyNumberFormat="0" applyAlignment="0" applyProtection="0"/>
    <xf numFmtId="4" fontId="35" fillId="0" borderId="429" applyFill="0" applyBorder="0" applyProtection="0">
      <alignment horizontal="right" vertical="center"/>
    </xf>
    <xf numFmtId="0" fontId="47" fillId="56" borderId="426" applyNumberFormat="0" applyAlignment="0" applyProtection="0"/>
    <xf numFmtId="0" fontId="66" fillId="0" borderId="427" applyNumberFormat="0" applyFill="0" applyAlignment="0" applyProtection="0"/>
    <xf numFmtId="0" fontId="63" fillId="56" borderId="425" applyNumberFormat="0" applyAlignment="0" applyProtection="0"/>
    <xf numFmtId="0" fontId="35" fillId="0" borderId="429" applyNumberFormat="0" applyFill="0" applyAlignment="0" applyProtection="0"/>
    <xf numFmtId="4" fontId="35" fillId="0" borderId="429">
      <alignment horizontal="right" vertical="center"/>
    </xf>
    <xf numFmtId="0" fontId="35" fillId="0" borderId="429">
      <alignment horizontal="right" vertical="center"/>
    </xf>
    <xf numFmtId="0" fontId="59" fillId="43" borderId="426" applyNumberFormat="0" applyAlignment="0" applyProtection="0"/>
    <xf numFmtId="0" fontId="44" fillId="56" borderId="425" applyNumberFormat="0" applyAlignment="0" applyProtection="0"/>
    <xf numFmtId="0" fontId="46" fillId="56" borderId="426" applyNumberFormat="0" applyAlignment="0" applyProtection="0"/>
    <xf numFmtId="0" fontId="35" fillId="34" borderId="432">
      <alignment horizontal="left" vertical="center" wrapText="1" indent="2"/>
    </xf>
    <xf numFmtId="0" fontId="47" fillId="56" borderId="426" applyNumberFormat="0" applyAlignment="0" applyProtection="0"/>
    <xf numFmtId="0" fontId="47" fillId="56" borderId="426" applyNumberFormat="0" applyAlignment="0" applyProtection="0"/>
    <xf numFmtId="4" fontId="33" fillId="34" borderId="430">
      <alignment horizontal="right" vertical="center"/>
    </xf>
    <xf numFmtId="0" fontId="33" fillId="34" borderId="430">
      <alignment horizontal="right" vertical="center"/>
    </xf>
    <xf numFmtId="0" fontId="33" fillId="34" borderId="429">
      <alignment horizontal="right" vertical="center"/>
    </xf>
    <xf numFmtId="4" fontId="37" fillId="32" borderId="429">
      <alignment horizontal="right" vertical="center"/>
    </xf>
    <xf numFmtId="0" fontId="50" fillId="43" borderId="426" applyNumberFormat="0" applyAlignment="0" applyProtection="0"/>
    <xf numFmtId="0" fontId="51" fillId="0" borderId="427" applyNumberFormat="0" applyFill="0" applyAlignment="0" applyProtection="0"/>
    <xf numFmtId="0" fontId="66" fillId="0" borderId="427" applyNumberFormat="0" applyFill="0" applyAlignment="0" applyProtection="0"/>
    <xf numFmtId="0" fontId="41" fillId="59" borderId="428" applyNumberFormat="0" applyFont="0" applyAlignment="0" applyProtection="0"/>
    <xf numFmtId="0" fontId="59" fillId="43" borderId="426" applyNumberFormat="0" applyAlignment="0" applyProtection="0"/>
    <xf numFmtId="49" fontId="34" fillId="0" borderId="429" applyNumberFormat="0" applyFill="0" applyBorder="0" applyProtection="0">
      <alignment horizontal="left" vertical="center"/>
    </xf>
    <xf numFmtId="0" fontId="35" fillId="34" borderId="432">
      <alignment horizontal="left" vertical="center" wrapText="1" indent="2"/>
    </xf>
    <xf numFmtId="0" fontId="47" fillId="56" borderId="426" applyNumberFormat="0" applyAlignment="0" applyProtection="0"/>
    <xf numFmtId="0" fontId="35" fillId="0" borderId="432">
      <alignment horizontal="left" vertical="center" wrapText="1" indent="2"/>
    </xf>
    <xf numFmtId="0" fontId="41" fillId="59" borderId="428" applyNumberFormat="0" applyFont="0" applyAlignment="0" applyProtection="0"/>
    <xf numFmtId="0" fontId="5" fillId="59" borderId="428" applyNumberFormat="0" applyFont="0" applyAlignment="0" applyProtection="0"/>
    <xf numFmtId="0" fontId="63" fillId="56" borderId="425" applyNumberFormat="0" applyAlignment="0" applyProtection="0"/>
    <xf numFmtId="0" fontId="66" fillId="0" borderId="427" applyNumberFormat="0" applyFill="0" applyAlignment="0" applyProtection="0"/>
    <xf numFmtId="4" fontId="35" fillId="33" borderId="429"/>
    <xf numFmtId="0" fontId="33" fillId="34" borderId="429">
      <alignment horizontal="right" vertical="center"/>
    </xf>
    <xf numFmtId="0" fontId="66" fillId="0" borderId="427" applyNumberFormat="0" applyFill="0" applyAlignment="0" applyProtection="0"/>
    <xf numFmtId="4" fontId="33" fillId="34" borderId="431">
      <alignment horizontal="right" vertical="center"/>
    </xf>
    <xf numFmtId="0" fontId="46" fillId="56" borderId="426" applyNumberFormat="0" applyAlignment="0" applyProtection="0"/>
    <xf numFmtId="0" fontId="33" fillId="34" borderId="430">
      <alignment horizontal="right" vertical="center"/>
    </xf>
    <xf numFmtId="0" fontId="47" fillId="56" borderId="426" applyNumberFormat="0" applyAlignment="0" applyProtection="0"/>
    <xf numFmtId="0" fontId="51" fillId="0" borderId="427" applyNumberFormat="0" applyFill="0" applyAlignment="0" applyProtection="0"/>
    <xf numFmtId="0" fontId="41" fillId="59" borderId="428" applyNumberFormat="0" applyFont="0" applyAlignment="0" applyProtection="0"/>
    <xf numFmtId="4" fontId="33" fillId="34" borderId="430">
      <alignment horizontal="right" vertical="center"/>
    </xf>
    <xf numFmtId="0" fontId="35" fillId="34" borderId="432">
      <alignment horizontal="left" vertical="center" wrapText="1" indent="2"/>
    </xf>
    <xf numFmtId="0" fontId="35" fillId="33" borderId="429"/>
    <xf numFmtId="173" fontId="35" fillId="60" borderId="429" applyNumberFormat="0" applyFont="0" applyBorder="0" applyAlignment="0" applyProtection="0">
      <alignment horizontal="right" vertical="center"/>
    </xf>
    <xf numFmtId="0" fontId="35" fillId="0" borderId="429" applyNumberFormat="0" applyFill="0" applyAlignment="0" applyProtection="0"/>
    <xf numFmtId="4" fontId="35" fillId="0" borderId="429" applyFill="0" applyBorder="0" applyProtection="0">
      <alignment horizontal="right" vertical="center"/>
    </xf>
    <xf numFmtId="4" fontId="33" fillId="32" borderId="429">
      <alignment horizontal="right" vertical="center"/>
    </xf>
    <xf numFmtId="0" fontId="51" fillId="0" borderId="427" applyNumberFormat="0" applyFill="0" applyAlignment="0" applyProtection="0"/>
    <xf numFmtId="49" fontId="34" fillId="0" borderId="429" applyNumberFormat="0" applyFill="0" applyBorder="0" applyProtection="0">
      <alignment horizontal="left" vertical="center"/>
    </xf>
    <xf numFmtId="49" fontId="35" fillId="0" borderId="430" applyNumberFormat="0" applyFont="0" applyFill="0" applyBorder="0" applyProtection="0">
      <alignment horizontal="left" vertical="center" indent="5"/>
    </xf>
    <xf numFmtId="0" fontId="35" fillId="32" borderId="430">
      <alignment horizontal="left" vertical="center"/>
    </xf>
    <xf numFmtId="0" fontId="47" fillId="56" borderId="426" applyNumberFormat="0" applyAlignment="0" applyProtection="0"/>
    <xf numFmtId="4" fontId="33" fillId="34" borderId="431">
      <alignment horizontal="right" vertical="center"/>
    </xf>
    <xf numFmtId="0" fontId="59" fillId="43" borderId="426" applyNumberFormat="0" applyAlignment="0" applyProtection="0"/>
    <xf numFmtId="0" fontId="59" fillId="43" borderId="426" applyNumberFormat="0" applyAlignment="0" applyProtection="0"/>
    <xf numFmtId="0" fontId="41" fillId="59" borderId="428" applyNumberFormat="0" applyFont="0" applyAlignment="0" applyProtection="0"/>
    <xf numFmtId="0" fontId="63" fillId="56" borderId="425" applyNumberFormat="0" applyAlignment="0" applyProtection="0"/>
    <xf numFmtId="0" fontId="66" fillId="0" borderId="427" applyNumberFormat="0" applyFill="0" applyAlignment="0" applyProtection="0"/>
    <xf numFmtId="0" fontId="33" fillId="34" borderId="429">
      <alignment horizontal="right" vertical="center"/>
    </xf>
    <xf numFmtId="0" fontId="5" fillId="59" borderId="428" applyNumberFormat="0" applyFont="0" applyAlignment="0" applyProtection="0"/>
    <xf numFmtId="4" fontId="35" fillId="0" borderId="429">
      <alignment horizontal="right" vertical="center"/>
    </xf>
    <xf numFmtId="0" fontId="66" fillId="0" borderId="427" applyNumberFormat="0" applyFill="0" applyAlignment="0" applyProtection="0"/>
    <xf numFmtId="0" fontId="33" fillId="34" borderId="429">
      <alignment horizontal="right" vertical="center"/>
    </xf>
    <xf numFmtId="0" fontId="33" fillId="34" borderId="429">
      <alignment horizontal="right" vertical="center"/>
    </xf>
    <xf numFmtId="4" fontId="37" fillId="32" borderId="429">
      <alignment horizontal="right" vertical="center"/>
    </xf>
    <xf numFmtId="0" fontId="33" fillId="32" borderId="429">
      <alignment horizontal="right" vertical="center"/>
    </xf>
    <xf numFmtId="4" fontId="33" fillId="32" borderId="429">
      <alignment horizontal="right" vertical="center"/>
    </xf>
    <xf numFmtId="0" fontId="37" fillId="32" borderId="429">
      <alignment horizontal="right" vertical="center"/>
    </xf>
    <xf numFmtId="4" fontId="37" fillId="32" borderId="429">
      <alignment horizontal="right" vertical="center"/>
    </xf>
    <xf numFmtId="0" fontId="33" fillId="34" borderId="429">
      <alignment horizontal="right" vertical="center"/>
    </xf>
    <xf numFmtId="4" fontId="33" fillId="34" borderId="429">
      <alignment horizontal="right" vertical="center"/>
    </xf>
    <xf numFmtId="0" fontId="33" fillId="34" borderId="429">
      <alignment horizontal="right" vertical="center"/>
    </xf>
    <xf numFmtId="4" fontId="33" fillId="34" borderId="429">
      <alignment horizontal="right" vertical="center"/>
    </xf>
    <xf numFmtId="0" fontId="33" fillId="34" borderId="430">
      <alignment horizontal="right" vertical="center"/>
    </xf>
    <xf numFmtId="4" fontId="33" fillId="34" borderId="430">
      <alignment horizontal="right" vertical="center"/>
    </xf>
    <xf numFmtId="0" fontId="33" fillId="34" borderId="431">
      <alignment horizontal="right" vertical="center"/>
    </xf>
    <xf numFmtId="4" fontId="33" fillId="34" borderId="431">
      <alignment horizontal="right" vertical="center"/>
    </xf>
    <xf numFmtId="0" fontId="47" fillId="56" borderId="426" applyNumberFormat="0" applyAlignment="0" applyProtection="0"/>
    <xf numFmtId="0" fontId="35" fillId="34" borderId="432">
      <alignment horizontal="left" vertical="center" wrapText="1" indent="2"/>
    </xf>
    <xf numFmtId="0" fontId="35" fillId="0" borderId="432">
      <alignment horizontal="left" vertical="center" wrapText="1" indent="2"/>
    </xf>
    <xf numFmtId="0" fontId="35" fillId="32" borderId="430">
      <alignment horizontal="left" vertical="center"/>
    </xf>
    <xf numFmtId="0" fontId="59" fillId="43" borderId="426" applyNumberFormat="0" applyAlignment="0" applyProtection="0"/>
    <xf numFmtId="0" fontId="35" fillId="0" borderId="429">
      <alignment horizontal="right" vertical="center"/>
    </xf>
    <xf numFmtId="4" fontId="35" fillId="0" borderId="429">
      <alignment horizontal="right" vertical="center"/>
    </xf>
    <xf numFmtId="0" fontId="35" fillId="0" borderId="429" applyNumberFormat="0" applyFill="0" applyAlignment="0" applyProtection="0"/>
    <xf numFmtId="0" fontId="63" fillId="56" borderId="425" applyNumberFormat="0" applyAlignment="0" applyProtection="0"/>
    <xf numFmtId="173" fontId="35" fillId="60" borderId="429" applyNumberFormat="0" applyFont="0" applyBorder="0" applyAlignment="0" applyProtection="0">
      <alignment horizontal="right" vertical="center"/>
    </xf>
    <xf numFmtId="0" fontId="35" fillId="33" borderId="429"/>
    <xf numFmtId="4" fontId="35" fillId="33" borderId="429"/>
    <xf numFmtId="0" fontId="66" fillId="0" borderId="427" applyNumberFormat="0" applyFill="0" applyAlignment="0" applyProtection="0"/>
    <xf numFmtId="0" fontId="5" fillId="59" borderId="428" applyNumberFormat="0" applyFont="0" applyAlignment="0" applyProtection="0"/>
    <xf numFmtId="0" fontId="41" fillId="59" borderId="428" applyNumberFormat="0" applyFont="0" applyAlignment="0" applyProtection="0"/>
    <xf numFmtId="0" fontId="35" fillId="0" borderId="429" applyNumberFormat="0" applyFill="0" applyAlignment="0" applyProtection="0"/>
    <xf numFmtId="0" fontId="51" fillId="0" borderId="427" applyNumberFormat="0" applyFill="0" applyAlignment="0" applyProtection="0"/>
    <xf numFmtId="0" fontId="66" fillId="0" borderId="427" applyNumberFormat="0" applyFill="0" applyAlignment="0" applyProtection="0"/>
    <xf numFmtId="0" fontId="50" fillId="43" borderId="426" applyNumberFormat="0" applyAlignment="0" applyProtection="0"/>
    <xf numFmtId="0" fontId="47" fillId="56" borderId="426" applyNumberFormat="0" applyAlignment="0" applyProtection="0"/>
    <xf numFmtId="4" fontId="37" fillId="32" borderId="429">
      <alignment horizontal="right" vertical="center"/>
    </xf>
    <xf numFmtId="0" fontId="33" fillId="32" borderId="429">
      <alignment horizontal="right" vertical="center"/>
    </xf>
    <xf numFmtId="173" fontId="35" fillId="60" borderId="429" applyNumberFormat="0" applyFont="0" applyBorder="0" applyAlignment="0" applyProtection="0">
      <alignment horizontal="right" vertical="center"/>
    </xf>
    <xf numFmtId="0" fontId="51" fillId="0" borderId="427" applyNumberFormat="0" applyFill="0" applyAlignment="0" applyProtection="0"/>
    <xf numFmtId="49" fontId="35" fillId="0" borderId="429" applyNumberFormat="0" applyFont="0" applyFill="0" applyBorder="0" applyProtection="0">
      <alignment horizontal="left" vertical="center" indent="2"/>
    </xf>
    <xf numFmtId="49" fontId="35" fillId="0" borderId="430" applyNumberFormat="0" applyFont="0" applyFill="0" applyBorder="0" applyProtection="0">
      <alignment horizontal="left" vertical="center" indent="5"/>
    </xf>
    <xf numFmtId="49" fontId="35" fillId="0" borderId="429" applyNumberFormat="0" applyFont="0" applyFill="0" applyBorder="0" applyProtection="0">
      <alignment horizontal="left" vertical="center" indent="2"/>
    </xf>
    <xf numFmtId="4" fontId="35" fillId="0" borderId="429" applyFill="0" applyBorder="0" applyProtection="0">
      <alignment horizontal="right" vertical="center"/>
    </xf>
    <xf numFmtId="49" fontId="34" fillId="0" borderId="429" applyNumberFormat="0" applyFill="0" applyBorder="0" applyProtection="0">
      <alignment horizontal="left" vertical="center"/>
    </xf>
    <xf numFmtId="0" fontId="35" fillId="0" borderId="432">
      <alignment horizontal="left" vertical="center" wrapText="1" indent="2"/>
    </xf>
    <xf numFmtId="0" fontId="63" fillId="56" borderId="425" applyNumberFormat="0" applyAlignment="0" applyProtection="0"/>
    <xf numFmtId="0" fontId="33" fillId="34" borderId="431">
      <alignment horizontal="right" vertical="center"/>
    </xf>
    <xf numFmtId="0" fontId="50" fillId="43" borderId="426" applyNumberFormat="0" applyAlignment="0" applyProtection="0"/>
    <xf numFmtId="0" fontId="33" fillId="34" borderId="431">
      <alignment horizontal="right" vertical="center"/>
    </xf>
    <xf numFmtId="4" fontId="33" fillId="34" borderId="429">
      <alignment horizontal="right" vertical="center"/>
    </xf>
    <xf numFmtId="0" fontId="33" fillId="34" borderId="429">
      <alignment horizontal="right" vertical="center"/>
    </xf>
    <xf numFmtId="0" fontId="44" fillId="56" borderId="425" applyNumberFormat="0" applyAlignment="0" applyProtection="0"/>
    <xf numFmtId="0" fontId="46" fillId="56" borderId="426" applyNumberFormat="0" applyAlignment="0" applyProtection="0"/>
    <xf numFmtId="0" fontId="51" fillId="0" borderId="427" applyNumberFormat="0" applyFill="0" applyAlignment="0" applyProtection="0"/>
    <xf numFmtId="0" fontId="35" fillId="33" borderId="429"/>
    <xf numFmtId="4" fontId="35" fillId="33" borderId="429"/>
    <xf numFmtId="4" fontId="33" fillId="34" borderId="429">
      <alignment horizontal="right" vertical="center"/>
    </xf>
    <xf numFmtId="0" fontId="37" fillId="32" borderId="429">
      <alignment horizontal="right" vertical="center"/>
    </xf>
    <xf numFmtId="0" fontId="50" fillId="43" borderId="426" applyNumberFormat="0" applyAlignment="0" applyProtection="0"/>
    <xf numFmtId="0" fontId="47" fillId="56" borderId="426" applyNumberFormat="0" applyAlignment="0" applyProtection="0"/>
    <xf numFmtId="4" fontId="35" fillId="0" borderId="429">
      <alignment horizontal="right" vertical="center"/>
    </xf>
    <xf numFmtId="0" fontId="35" fillId="34" borderId="432">
      <alignment horizontal="left" vertical="center" wrapText="1" indent="2"/>
    </xf>
    <xf numFmtId="0" fontId="35" fillId="0" borderId="432">
      <alignment horizontal="left" vertical="center" wrapText="1" indent="2"/>
    </xf>
    <xf numFmtId="0" fontId="63" fillId="56" borderId="425" applyNumberFormat="0" applyAlignment="0" applyProtection="0"/>
    <xf numFmtId="0" fontId="59" fillId="43" borderId="426" applyNumberFormat="0" applyAlignment="0" applyProtection="0"/>
    <xf numFmtId="0" fontId="46" fillId="56" borderId="426" applyNumberFormat="0" applyAlignment="0" applyProtection="0"/>
    <xf numFmtId="0" fontId="44" fillId="56" borderId="425" applyNumberFormat="0" applyAlignment="0" applyProtection="0"/>
    <xf numFmtId="0" fontId="33" fillId="34" borderId="431">
      <alignment horizontal="right" vertical="center"/>
    </xf>
    <xf numFmtId="0" fontId="37" fillId="32" borderId="429">
      <alignment horizontal="right" vertical="center"/>
    </xf>
    <xf numFmtId="4" fontId="33" fillId="32" borderId="429">
      <alignment horizontal="right" vertical="center"/>
    </xf>
    <xf numFmtId="4" fontId="33" fillId="34" borderId="429">
      <alignment horizontal="right" vertical="center"/>
    </xf>
    <xf numFmtId="49" fontId="35" fillId="0" borderId="430" applyNumberFormat="0" applyFont="0" applyFill="0" applyBorder="0" applyProtection="0">
      <alignment horizontal="left" vertical="center" indent="5"/>
    </xf>
    <xf numFmtId="4" fontId="35" fillId="0" borderId="429" applyFill="0" applyBorder="0" applyProtection="0">
      <alignment horizontal="right" vertical="center"/>
    </xf>
    <xf numFmtId="4" fontId="33" fillId="32" borderId="429">
      <alignment horizontal="right" vertical="center"/>
    </xf>
    <xf numFmtId="0" fontId="59" fillId="43" borderId="426" applyNumberFormat="0" applyAlignment="0" applyProtection="0"/>
    <xf numFmtId="0" fontId="50" fillId="43" borderId="426" applyNumberFormat="0" applyAlignment="0" applyProtection="0"/>
    <xf numFmtId="0" fontId="46" fillId="56" borderId="426" applyNumberFormat="0" applyAlignment="0" applyProtection="0"/>
    <xf numFmtId="0" fontId="35" fillId="34" borderId="432">
      <alignment horizontal="left" vertical="center" wrapText="1" indent="2"/>
    </xf>
    <xf numFmtId="0" fontId="35" fillId="0" borderId="432">
      <alignment horizontal="left" vertical="center" wrapText="1" indent="2"/>
    </xf>
    <xf numFmtId="0" fontId="35" fillId="34" borderId="432">
      <alignment horizontal="left" vertical="center" wrapText="1" indent="2"/>
    </xf>
    <xf numFmtId="0" fontId="35" fillId="0" borderId="432">
      <alignment horizontal="left" vertical="center" wrapText="1" indent="2"/>
    </xf>
    <xf numFmtId="0" fontId="44" fillId="56" borderId="425" applyNumberFormat="0" applyAlignment="0" applyProtection="0"/>
    <xf numFmtId="0" fontId="46" fillId="56" borderId="426" applyNumberFormat="0" applyAlignment="0" applyProtection="0"/>
    <xf numFmtId="0" fontId="47" fillId="56" borderId="426" applyNumberFormat="0" applyAlignment="0" applyProtection="0"/>
    <xf numFmtId="0" fontId="50" fillId="43" borderId="426" applyNumberFormat="0" applyAlignment="0" applyProtection="0"/>
    <xf numFmtId="0" fontId="51" fillId="0" borderId="427" applyNumberFormat="0" applyFill="0" applyAlignment="0" applyProtection="0"/>
    <xf numFmtId="0" fontId="59" fillId="43" borderId="426" applyNumberFormat="0" applyAlignment="0" applyProtection="0"/>
    <xf numFmtId="0" fontId="41" fillId="59" borderId="428" applyNumberFormat="0" applyFont="0" applyAlignment="0" applyProtection="0"/>
    <xf numFmtId="0" fontId="5" fillId="59" borderId="428" applyNumberFormat="0" applyFont="0" applyAlignment="0" applyProtection="0"/>
    <xf numFmtId="0" fontId="63" fillId="56" borderId="425" applyNumberFormat="0" applyAlignment="0" applyProtection="0"/>
    <xf numFmtId="0" fontId="66" fillId="0" borderId="427" applyNumberFormat="0" applyFill="0" applyAlignment="0" applyProtection="0"/>
    <xf numFmtId="0" fontId="47" fillId="56" borderId="426" applyNumberFormat="0" applyAlignment="0" applyProtection="0"/>
    <xf numFmtId="0" fontId="59" fillId="43" borderId="426" applyNumberFormat="0" applyAlignment="0" applyProtection="0"/>
    <xf numFmtId="0" fontId="41" fillId="59" borderId="428" applyNumberFormat="0" applyFont="0" applyAlignment="0" applyProtection="0"/>
    <xf numFmtId="0" fontId="63" fillId="56" borderId="425" applyNumberFormat="0" applyAlignment="0" applyProtection="0"/>
    <xf numFmtId="0" fontId="66" fillId="0" borderId="427" applyNumberFormat="0" applyFill="0" applyAlignment="0" applyProtection="0"/>
    <xf numFmtId="0" fontId="47" fillId="56" borderId="426" applyNumberFormat="0" applyAlignment="0" applyProtection="0"/>
    <xf numFmtId="0" fontId="59" fillId="43" borderId="426" applyNumberFormat="0" applyAlignment="0" applyProtection="0"/>
    <xf numFmtId="0" fontId="63" fillId="56" borderId="425" applyNumberFormat="0" applyAlignment="0" applyProtection="0"/>
    <xf numFmtId="0" fontId="66" fillId="0" borderId="427" applyNumberFormat="0" applyFill="0" applyAlignment="0" applyProtection="0"/>
    <xf numFmtId="0" fontId="44" fillId="56" borderId="425" applyNumberFormat="0" applyAlignment="0" applyProtection="0"/>
    <xf numFmtId="0" fontId="46" fillId="56" borderId="426" applyNumberFormat="0" applyAlignment="0" applyProtection="0"/>
    <xf numFmtId="0" fontId="51" fillId="0" borderId="427" applyNumberFormat="0" applyFill="0" applyAlignment="0" applyProtection="0"/>
    <xf numFmtId="49" fontId="35" fillId="0" borderId="429" applyNumberFormat="0" applyFont="0" applyFill="0" applyBorder="0" applyProtection="0">
      <alignment horizontal="left" vertical="center" indent="2"/>
    </xf>
    <xf numFmtId="0" fontId="33" fillId="32" borderId="429">
      <alignment horizontal="right" vertical="center"/>
    </xf>
    <xf numFmtId="4" fontId="33" fillId="32" borderId="429">
      <alignment horizontal="right" vertical="center"/>
    </xf>
    <xf numFmtId="0" fontId="37" fillId="32" borderId="429">
      <alignment horizontal="right" vertical="center"/>
    </xf>
    <xf numFmtId="4" fontId="37" fillId="32" borderId="429">
      <alignment horizontal="right" vertical="center"/>
    </xf>
    <xf numFmtId="0" fontId="33" fillId="34" borderId="429">
      <alignment horizontal="right" vertical="center"/>
    </xf>
    <xf numFmtId="4" fontId="33" fillId="34" borderId="429">
      <alignment horizontal="right" vertical="center"/>
    </xf>
    <xf numFmtId="0" fontId="33" fillId="34" borderId="429">
      <alignment horizontal="right" vertical="center"/>
    </xf>
    <xf numFmtId="4" fontId="33" fillId="34" borderId="429">
      <alignment horizontal="right" vertical="center"/>
    </xf>
    <xf numFmtId="0" fontId="50" fillId="43" borderId="426" applyNumberFormat="0" applyAlignment="0" applyProtection="0"/>
    <xf numFmtId="0" fontId="35" fillId="0" borderId="429">
      <alignment horizontal="right" vertical="center"/>
    </xf>
    <xf numFmtId="4" fontId="35" fillId="0" borderId="429">
      <alignment horizontal="right" vertical="center"/>
    </xf>
    <xf numFmtId="4" fontId="35" fillId="0" borderId="429" applyFill="0" applyBorder="0" applyProtection="0">
      <alignment horizontal="right" vertical="center"/>
    </xf>
    <xf numFmtId="49" fontId="34" fillId="0" borderId="429" applyNumberFormat="0" applyFill="0" applyBorder="0" applyProtection="0">
      <alignment horizontal="left" vertical="center"/>
    </xf>
    <xf numFmtId="0" fontId="35" fillId="0" borderId="429" applyNumberFormat="0" applyFill="0" applyAlignment="0" applyProtection="0"/>
    <xf numFmtId="173" fontId="35" fillId="60" borderId="429" applyNumberFormat="0" applyFont="0" applyBorder="0" applyAlignment="0" applyProtection="0">
      <alignment horizontal="right" vertical="center"/>
    </xf>
    <xf numFmtId="0" fontId="35" fillId="33" borderId="429"/>
    <xf numFmtId="4" fontId="35" fillId="33" borderId="429"/>
    <xf numFmtId="4" fontId="33" fillId="34" borderId="429">
      <alignment horizontal="right" vertical="center"/>
    </xf>
    <xf numFmtId="0" fontId="35" fillId="33" borderId="429"/>
    <xf numFmtId="0" fontId="46" fillId="56" borderId="426" applyNumberFormat="0" applyAlignment="0" applyProtection="0"/>
    <xf numFmtId="0" fontId="33" fillId="32" borderId="429">
      <alignment horizontal="right" vertical="center"/>
    </xf>
    <xf numFmtId="0" fontId="35" fillId="0" borderId="429">
      <alignment horizontal="right" vertical="center"/>
    </xf>
    <xf numFmtId="0" fontId="66" fillId="0" borderId="427" applyNumberFormat="0" applyFill="0" applyAlignment="0" applyProtection="0"/>
    <xf numFmtId="0" fontId="35" fillId="32" borderId="430">
      <alignment horizontal="left" vertical="center"/>
    </xf>
    <xf numFmtId="0" fontId="59" fillId="43" borderId="426" applyNumberFormat="0" applyAlignment="0" applyProtection="0"/>
    <xf numFmtId="173" fontId="35" fillId="60" borderId="429" applyNumberFormat="0" applyFont="0" applyBorder="0" applyAlignment="0" applyProtection="0">
      <alignment horizontal="right" vertical="center"/>
    </xf>
    <xf numFmtId="0" fontId="41" fillId="59" borderId="428" applyNumberFormat="0" applyFont="0" applyAlignment="0" applyProtection="0"/>
    <xf numFmtId="0" fontId="35" fillId="0" borderId="432">
      <alignment horizontal="left" vertical="center" wrapText="1" indent="2"/>
    </xf>
    <xf numFmtId="4" fontId="35" fillId="33" borderId="429"/>
    <xf numFmtId="49" fontId="34" fillId="0" borderId="429" applyNumberFormat="0" applyFill="0" applyBorder="0" applyProtection="0">
      <alignment horizontal="left" vertical="center"/>
    </xf>
    <xf numFmtId="0" fontId="35" fillId="0" borderId="429">
      <alignment horizontal="right" vertical="center"/>
    </xf>
    <xf numFmtId="4" fontId="33" fillId="34" borderId="431">
      <alignment horizontal="right" vertical="center"/>
    </xf>
    <xf numFmtId="4" fontId="33" fillId="34" borderId="429">
      <alignment horizontal="right" vertical="center"/>
    </xf>
    <xf numFmtId="4" fontId="33" fillId="34" borderId="429">
      <alignment horizontal="right" vertical="center"/>
    </xf>
    <xf numFmtId="0" fontId="37" fillId="32" borderId="429">
      <alignment horizontal="right" vertical="center"/>
    </xf>
    <xf numFmtId="0" fontId="33" fillId="32" borderId="429">
      <alignment horizontal="right" vertical="center"/>
    </xf>
    <xf numFmtId="49" fontId="35" fillId="0" borderId="429" applyNumberFormat="0" applyFont="0" applyFill="0" applyBorder="0" applyProtection="0">
      <alignment horizontal="left" vertical="center" indent="2"/>
    </xf>
    <xf numFmtId="0" fontId="59" fillId="43" borderId="426" applyNumberFormat="0" applyAlignment="0" applyProtection="0"/>
    <xf numFmtId="0" fontId="44" fillId="56" borderId="425" applyNumberFormat="0" applyAlignment="0" applyProtection="0"/>
    <xf numFmtId="49" fontId="35" fillId="0" borderId="429" applyNumberFormat="0" applyFont="0" applyFill="0" applyBorder="0" applyProtection="0">
      <alignment horizontal="left" vertical="center" indent="2"/>
    </xf>
    <xf numFmtId="0" fontId="50" fillId="43" borderId="426" applyNumberFormat="0" applyAlignment="0" applyProtection="0"/>
    <xf numFmtId="4" fontId="35" fillId="0" borderId="429" applyFill="0" applyBorder="0" applyProtection="0">
      <alignment horizontal="right" vertical="center"/>
    </xf>
    <xf numFmtId="0" fontId="47" fillId="56" borderId="426" applyNumberFormat="0" applyAlignment="0" applyProtection="0"/>
    <xf numFmtId="0" fontId="66" fillId="0" borderId="427" applyNumberFormat="0" applyFill="0" applyAlignment="0" applyProtection="0"/>
    <xf numFmtId="0" fontId="63" fillId="56" borderId="425" applyNumberFormat="0" applyAlignment="0" applyProtection="0"/>
    <xf numFmtId="0" fontId="35" fillId="0" borderId="429" applyNumberFormat="0" applyFill="0" applyAlignment="0" applyProtection="0"/>
    <xf numFmtId="4" fontId="35" fillId="0" borderId="429">
      <alignment horizontal="right" vertical="center"/>
    </xf>
    <xf numFmtId="0" fontId="35" fillId="0" borderId="429">
      <alignment horizontal="right" vertical="center"/>
    </xf>
    <xf numFmtId="0" fontId="59" fillId="43" borderId="426" applyNumberFormat="0" applyAlignment="0" applyProtection="0"/>
    <xf numFmtId="0" fontId="44" fillId="56" borderId="425" applyNumberFormat="0" applyAlignment="0" applyProtection="0"/>
    <xf numFmtId="0" fontId="46" fillId="56" borderId="426" applyNumberFormat="0" applyAlignment="0" applyProtection="0"/>
    <xf numFmtId="0" fontId="35" fillId="34" borderId="432">
      <alignment horizontal="left" vertical="center" wrapText="1" indent="2"/>
    </xf>
    <xf numFmtId="0" fontId="47" fillId="56" borderId="426" applyNumberFormat="0" applyAlignment="0" applyProtection="0"/>
    <xf numFmtId="0" fontId="47" fillId="56" borderId="426" applyNumberFormat="0" applyAlignment="0" applyProtection="0"/>
    <xf numFmtId="4" fontId="33" fillId="34" borderId="430">
      <alignment horizontal="right" vertical="center"/>
    </xf>
    <xf numFmtId="0" fontId="33" fillId="34" borderId="430">
      <alignment horizontal="right" vertical="center"/>
    </xf>
    <xf numFmtId="0" fontId="33" fillId="34" borderId="429">
      <alignment horizontal="right" vertical="center"/>
    </xf>
    <xf numFmtId="4" fontId="37" fillId="32" borderId="429">
      <alignment horizontal="right" vertical="center"/>
    </xf>
    <xf numFmtId="0" fontId="50" fillId="43" borderId="426" applyNumberFormat="0" applyAlignment="0" applyProtection="0"/>
    <xf numFmtId="0" fontId="51" fillId="0" borderId="427" applyNumberFormat="0" applyFill="0" applyAlignment="0" applyProtection="0"/>
    <xf numFmtId="0" fontId="66" fillId="0" borderId="427" applyNumberFormat="0" applyFill="0" applyAlignment="0" applyProtection="0"/>
    <xf numFmtId="0" fontId="41" fillId="59" borderId="428" applyNumberFormat="0" applyFont="0" applyAlignment="0" applyProtection="0"/>
    <xf numFmtId="0" fontId="59" fillId="43" borderId="426" applyNumberFormat="0" applyAlignment="0" applyProtection="0"/>
    <xf numFmtId="49" fontId="34" fillId="0" borderId="429" applyNumberFormat="0" applyFill="0" applyBorder="0" applyProtection="0">
      <alignment horizontal="left" vertical="center"/>
    </xf>
    <xf numFmtId="0" fontId="35" fillId="34" borderId="432">
      <alignment horizontal="left" vertical="center" wrapText="1" indent="2"/>
    </xf>
    <xf numFmtId="0" fontId="47" fillId="56" borderId="426" applyNumberFormat="0" applyAlignment="0" applyProtection="0"/>
    <xf numFmtId="0" fontId="35" fillId="0" borderId="432">
      <alignment horizontal="left" vertical="center" wrapText="1" indent="2"/>
    </xf>
    <xf numFmtId="0" fontId="41" fillId="59" borderId="428" applyNumberFormat="0" applyFont="0" applyAlignment="0" applyProtection="0"/>
    <xf numFmtId="0" fontId="5" fillId="59" borderId="428" applyNumberFormat="0" applyFont="0" applyAlignment="0" applyProtection="0"/>
    <xf numFmtId="0" fontId="63" fillId="56" borderId="425" applyNumberFormat="0" applyAlignment="0" applyProtection="0"/>
    <xf numFmtId="0" fontId="66" fillId="0" borderId="427" applyNumberFormat="0" applyFill="0" applyAlignment="0" applyProtection="0"/>
    <xf numFmtId="4" fontId="35" fillId="33" borderId="429"/>
    <xf numFmtId="0" fontId="33" fillId="34" borderId="429">
      <alignment horizontal="right" vertical="center"/>
    </xf>
    <xf numFmtId="0" fontId="66" fillId="0" borderId="427" applyNumberFormat="0" applyFill="0" applyAlignment="0" applyProtection="0"/>
    <xf numFmtId="4" fontId="33" fillId="34" borderId="431">
      <alignment horizontal="right" vertical="center"/>
    </xf>
    <xf numFmtId="0" fontId="46" fillId="56" borderId="426" applyNumberFormat="0" applyAlignment="0" applyProtection="0"/>
    <xf numFmtId="0" fontId="33" fillId="34" borderId="430">
      <alignment horizontal="right" vertical="center"/>
    </xf>
    <xf numFmtId="0" fontId="47" fillId="56" borderId="426" applyNumberFormat="0" applyAlignment="0" applyProtection="0"/>
    <xf numFmtId="0" fontId="51" fillId="0" borderId="427" applyNumberFormat="0" applyFill="0" applyAlignment="0" applyProtection="0"/>
    <xf numFmtId="0" fontId="41" fillId="59" borderId="428" applyNumberFormat="0" applyFont="0" applyAlignment="0" applyProtection="0"/>
    <xf numFmtId="4" fontId="33" fillId="34" borderId="430">
      <alignment horizontal="right" vertical="center"/>
    </xf>
    <xf numFmtId="0" fontId="35" fillId="34" borderId="432">
      <alignment horizontal="left" vertical="center" wrapText="1" indent="2"/>
    </xf>
    <xf numFmtId="0" fontId="35" fillId="33" borderId="429"/>
    <xf numFmtId="173" fontId="35" fillId="60" borderId="429" applyNumberFormat="0" applyFont="0" applyBorder="0" applyAlignment="0" applyProtection="0">
      <alignment horizontal="right" vertical="center"/>
    </xf>
    <xf numFmtId="0" fontId="35" fillId="0" borderId="429" applyNumberFormat="0" applyFill="0" applyAlignment="0" applyProtection="0"/>
    <xf numFmtId="4" fontId="35" fillId="0" borderId="429" applyFill="0" applyBorder="0" applyProtection="0">
      <alignment horizontal="right" vertical="center"/>
    </xf>
    <xf numFmtId="4" fontId="33" fillId="32" borderId="429">
      <alignment horizontal="right" vertical="center"/>
    </xf>
    <xf numFmtId="0" fontId="51" fillId="0" borderId="427" applyNumberFormat="0" applyFill="0" applyAlignment="0" applyProtection="0"/>
    <xf numFmtId="49" fontId="34" fillId="0" borderId="429" applyNumberFormat="0" applyFill="0" applyBorder="0" applyProtection="0">
      <alignment horizontal="left" vertical="center"/>
    </xf>
    <xf numFmtId="49" fontId="35" fillId="0" borderId="430" applyNumberFormat="0" applyFont="0" applyFill="0" applyBorder="0" applyProtection="0">
      <alignment horizontal="left" vertical="center" indent="5"/>
    </xf>
    <xf numFmtId="0" fontId="35" fillId="32" borderId="430">
      <alignment horizontal="left" vertical="center"/>
    </xf>
    <xf numFmtId="0" fontId="47" fillId="56" borderId="426" applyNumberFormat="0" applyAlignment="0" applyProtection="0"/>
    <xf numFmtId="4" fontId="33" fillId="34" borderId="431">
      <alignment horizontal="right" vertical="center"/>
    </xf>
    <xf numFmtId="0" fontId="59" fillId="43" borderId="426" applyNumberFormat="0" applyAlignment="0" applyProtection="0"/>
    <xf numFmtId="0" fontId="59" fillId="43" borderId="426" applyNumberFormat="0" applyAlignment="0" applyProtection="0"/>
    <xf numFmtId="0" fontId="41" fillId="59" borderId="428" applyNumberFormat="0" applyFont="0" applyAlignment="0" applyProtection="0"/>
    <xf numFmtId="0" fontId="63" fillId="56" borderId="425" applyNumberFormat="0" applyAlignment="0" applyProtection="0"/>
    <xf numFmtId="0" fontId="66" fillId="0" borderId="427" applyNumberFormat="0" applyFill="0" applyAlignment="0" applyProtection="0"/>
    <xf numFmtId="0" fontId="33" fillId="34" borderId="429">
      <alignment horizontal="right" vertical="center"/>
    </xf>
    <xf numFmtId="0" fontId="5" fillId="59" borderId="428" applyNumberFormat="0" applyFont="0" applyAlignment="0" applyProtection="0"/>
    <xf numFmtId="4" fontId="35" fillId="0" borderId="429">
      <alignment horizontal="right" vertical="center"/>
    </xf>
    <xf numFmtId="0" fontId="66" fillId="0" borderId="427" applyNumberFormat="0" applyFill="0" applyAlignment="0" applyProtection="0"/>
    <xf numFmtId="0" fontId="33" fillId="34" borderId="429">
      <alignment horizontal="right" vertical="center"/>
    </xf>
    <xf numFmtId="0" fontId="33" fillId="34" borderId="429">
      <alignment horizontal="right" vertical="center"/>
    </xf>
    <xf numFmtId="4" fontId="37" fillId="32" borderId="429">
      <alignment horizontal="right" vertical="center"/>
    </xf>
    <xf numFmtId="0" fontId="33" fillId="32" borderId="429">
      <alignment horizontal="right" vertical="center"/>
    </xf>
    <xf numFmtId="4" fontId="33" fillId="32" borderId="429">
      <alignment horizontal="right" vertical="center"/>
    </xf>
    <xf numFmtId="0" fontId="37" fillId="32" borderId="429">
      <alignment horizontal="right" vertical="center"/>
    </xf>
    <xf numFmtId="4" fontId="37" fillId="32" borderId="429">
      <alignment horizontal="right" vertical="center"/>
    </xf>
    <xf numFmtId="0" fontId="33" fillId="34" borderId="429">
      <alignment horizontal="right" vertical="center"/>
    </xf>
    <xf numFmtId="4" fontId="33" fillId="34" borderId="429">
      <alignment horizontal="right" vertical="center"/>
    </xf>
    <xf numFmtId="0" fontId="33" fillId="34" borderId="429">
      <alignment horizontal="right" vertical="center"/>
    </xf>
    <xf numFmtId="4" fontId="33" fillId="34" borderId="429">
      <alignment horizontal="right" vertical="center"/>
    </xf>
    <xf numFmtId="0" fontId="33" fillId="34" borderId="430">
      <alignment horizontal="right" vertical="center"/>
    </xf>
    <xf numFmtId="4" fontId="33" fillId="34" borderId="430">
      <alignment horizontal="right" vertical="center"/>
    </xf>
    <xf numFmtId="0" fontId="33" fillId="34" borderId="431">
      <alignment horizontal="right" vertical="center"/>
    </xf>
    <xf numFmtId="4" fontId="33" fillId="34" borderId="431">
      <alignment horizontal="right" vertical="center"/>
    </xf>
    <xf numFmtId="0" fontId="47" fillId="56" borderId="426" applyNumberFormat="0" applyAlignment="0" applyProtection="0"/>
    <xf numFmtId="0" fontId="35" fillId="34" borderId="432">
      <alignment horizontal="left" vertical="center" wrapText="1" indent="2"/>
    </xf>
    <xf numFmtId="0" fontId="35" fillId="0" borderId="432">
      <alignment horizontal="left" vertical="center" wrapText="1" indent="2"/>
    </xf>
    <xf numFmtId="0" fontId="35" fillId="32" borderId="430">
      <alignment horizontal="left" vertical="center"/>
    </xf>
    <xf numFmtId="0" fontId="59" fillId="43" borderId="426" applyNumberFormat="0" applyAlignment="0" applyProtection="0"/>
    <xf numFmtId="0" fontId="35" fillId="0" borderId="429">
      <alignment horizontal="right" vertical="center"/>
    </xf>
    <xf numFmtId="4" fontId="35" fillId="0" borderId="429">
      <alignment horizontal="right" vertical="center"/>
    </xf>
    <xf numFmtId="0" fontId="35" fillId="0" borderId="429" applyNumberFormat="0" applyFill="0" applyAlignment="0" applyProtection="0"/>
    <xf numFmtId="0" fontId="63" fillId="56" borderId="425" applyNumberFormat="0" applyAlignment="0" applyProtection="0"/>
    <xf numFmtId="173" fontId="35" fillId="60" borderId="429" applyNumberFormat="0" applyFont="0" applyBorder="0" applyAlignment="0" applyProtection="0">
      <alignment horizontal="right" vertical="center"/>
    </xf>
    <xf numFmtId="0" fontId="35" fillId="33" borderId="429"/>
    <xf numFmtId="4" fontId="35" fillId="33" borderId="429"/>
    <xf numFmtId="0" fontId="66" fillId="0" borderId="427" applyNumberFormat="0" applyFill="0" applyAlignment="0" applyProtection="0"/>
    <xf numFmtId="0" fontId="5" fillId="59" borderId="428" applyNumberFormat="0" applyFont="0" applyAlignment="0" applyProtection="0"/>
    <xf numFmtId="0" fontId="41" fillId="59" borderId="428" applyNumberFormat="0" applyFont="0" applyAlignment="0" applyProtection="0"/>
    <xf numFmtId="0" fontId="35" fillId="0" borderId="429" applyNumberFormat="0" applyFill="0" applyAlignment="0" applyProtection="0"/>
    <xf numFmtId="0" fontId="51" fillId="0" borderId="427" applyNumberFormat="0" applyFill="0" applyAlignment="0" applyProtection="0"/>
    <xf numFmtId="0" fontId="66" fillId="0" borderId="427" applyNumberFormat="0" applyFill="0" applyAlignment="0" applyProtection="0"/>
    <xf numFmtId="0" fontId="50" fillId="43" borderId="426" applyNumberFormat="0" applyAlignment="0" applyProtection="0"/>
    <xf numFmtId="0" fontId="47" fillId="56" borderId="426" applyNumberFormat="0" applyAlignment="0" applyProtection="0"/>
    <xf numFmtId="4" fontId="37" fillId="32" borderId="429">
      <alignment horizontal="right" vertical="center"/>
    </xf>
    <xf numFmtId="0" fontId="33" fillId="32" borderId="429">
      <alignment horizontal="right" vertical="center"/>
    </xf>
    <xf numFmtId="173" fontId="35" fillId="60" borderId="429" applyNumberFormat="0" applyFont="0" applyBorder="0" applyAlignment="0" applyProtection="0">
      <alignment horizontal="right" vertical="center"/>
    </xf>
    <xf numFmtId="0" fontId="51" fillId="0" borderId="427" applyNumberFormat="0" applyFill="0" applyAlignment="0" applyProtection="0"/>
    <xf numFmtId="49" fontId="35" fillId="0" borderId="429" applyNumberFormat="0" applyFont="0" applyFill="0" applyBorder="0" applyProtection="0">
      <alignment horizontal="left" vertical="center" indent="2"/>
    </xf>
    <xf numFmtId="49" fontId="35" fillId="0" borderId="430" applyNumberFormat="0" applyFont="0" applyFill="0" applyBorder="0" applyProtection="0">
      <alignment horizontal="left" vertical="center" indent="5"/>
    </xf>
    <xf numFmtId="49" fontId="35" fillId="0" borderId="429" applyNumberFormat="0" applyFont="0" applyFill="0" applyBorder="0" applyProtection="0">
      <alignment horizontal="left" vertical="center" indent="2"/>
    </xf>
    <xf numFmtId="4" fontId="35" fillId="0" borderId="429" applyFill="0" applyBorder="0" applyProtection="0">
      <alignment horizontal="right" vertical="center"/>
    </xf>
    <xf numFmtId="49" fontId="34" fillId="0" borderId="429" applyNumberFormat="0" applyFill="0" applyBorder="0" applyProtection="0">
      <alignment horizontal="left" vertical="center"/>
    </xf>
    <xf numFmtId="0" fontId="35" fillId="0" borderId="432">
      <alignment horizontal="left" vertical="center" wrapText="1" indent="2"/>
    </xf>
    <xf numFmtId="0" fontId="63" fillId="56" borderId="425" applyNumberFormat="0" applyAlignment="0" applyProtection="0"/>
    <xf numFmtId="0" fontId="33" fillId="34" borderId="431">
      <alignment horizontal="right" vertical="center"/>
    </xf>
    <xf numFmtId="0" fontId="50" fillId="43" borderId="426" applyNumberFormat="0" applyAlignment="0" applyProtection="0"/>
    <xf numFmtId="0" fontId="33" fillId="34" borderId="431">
      <alignment horizontal="right" vertical="center"/>
    </xf>
    <xf numFmtId="4" fontId="33" fillId="34" borderId="429">
      <alignment horizontal="right" vertical="center"/>
    </xf>
    <xf numFmtId="0" fontId="33" fillId="34" borderId="429">
      <alignment horizontal="right" vertical="center"/>
    </xf>
    <xf numFmtId="0" fontId="44" fillId="56" borderId="425" applyNumberFormat="0" applyAlignment="0" applyProtection="0"/>
    <xf numFmtId="0" fontId="46" fillId="56" borderId="426" applyNumberFormat="0" applyAlignment="0" applyProtection="0"/>
    <xf numFmtId="0" fontId="51" fillId="0" borderId="427" applyNumberFormat="0" applyFill="0" applyAlignment="0" applyProtection="0"/>
    <xf numFmtId="0" fontId="35" fillId="33" borderId="429"/>
    <xf numFmtId="4" fontId="35" fillId="33" borderId="429"/>
    <xf numFmtId="4" fontId="33" fillId="34" borderId="429">
      <alignment horizontal="right" vertical="center"/>
    </xf>
    <xf numFmtId="0" fontId="37" fillId="32" borderId="429">
      <alignment horizontal="right" vertical="center"/>
    </xf>
    <xf numFmtId="0" fontId="50" fillId="43" borderId="426" applyNumberFormat="0" applyAlignment="0" applyProtection="0"/>
    <xf numFmtId="0" fontId="47" fillId="56" borderId="426" applyNumberFormat="0" applyAlignment="0" applyProtection="0"/>
    <xf numFmtId="4" fontId="35" fillId="0" borderId="429">
      <alignment horizontal="right" vertical="center"/>
    </xf>
    <xf numFmtId="0" fontId="35" fillId="34" borderId="432">
      <alignment horizontal="left" vertical="center" wrapText="1" indent="2"/>
    </xf>
    <xf numFmtId="0" fontId="35" fillId="0" borderId="432">
      <alignment horizontal="left" vertical="center" wrapText="1" indent="2"/>
    </xf>
    <xf numFmtId="0" fontId="63" fillId="56" borderId="425" applyNumberFormat="0" applyAlignment="0" applyProtection="0"/>
    <xf numFmtId="0" fontId="59" fillId="43" borderId="426" applyNumberFormat="0" applyAlignment="0" applyProtection="0"/>
    <xf numFmtId="0" fontId="46" fillId="56" borderId="426" applyNumberFormat="0" applyAlignment="0" applyProtection="0"/>
    <xf numFmtId="0" fontId="44" fillId="56" borderId="425" applyNumberFormat="0" applyAlignment="0" applyProtection="0"/>
    <xf numFmtId="0" fontId="33" fillId="34" borderId="431">
      <alignment horizontal="right" vertical="center"/>
    </xf>
    <xf numFmtId="0" fontId="37" fillId="32" borderId="429">
      <alignment horizontal="right" vertical="center"/>
    </xf>
    <xf numFmtId="4" fontId="33" fillId="32" borderId="429">
      <alignment horizontal="right" vertical="center"/>
    </xf>
    <xf numFmtId="4" fontId="33" fillId="34" borderId="429">
      <alignment horizontal="right" vertical="center"/>
    </xf>
    <xf numFmtId="49" fontId="35" fillId="0" borderId="430" applyNumberFormat="0" applyFont="0" applyFill="0" applyBorder="0" applyProtection="0">
      <alignment horizontal="left" vertical="center" indent="5"/>
    </xf>
    <xf numFmtId="4" fontId="35" fillId="0" borderId="429" applyFill="0" applyBorder="0" applyProtection="0">
      <alignment horizontal="right" vertical="center"/>
    </xf>
    <xf numFmtId="4" fontId="33" fillId="32" borderId="429">
      <alignment horizontal="right" vertical="center"/>
    </xf>
    <xf numFmtId="0" fontId="59" fillId="43" borderId="426" applyNumberFormat="0" applyAlignment="0" applyProtection="0"/>
    <xf numFmtId="0" fontId="50" fillId="43" borderId="426" applyNumberFormat="0" applyAlignment="0" applyProtection="0"/>
    <xf numFmtId="0" fontId="46" fillId="56" borderId="426" applyNumberFormat="0" applyAlignment="0" applyProtection="0"/>
    <xf numFmtId="0" fontId="35" fillId="34" borderId="432">
      <alignment horizontal="left" vertical="center" wrapText="1" indent="2"/>
    </xf>
    <xf numFmtId="0" fontId="35" fillId="0" borderId="432">
      <alignment horizontal="left" vertical="center" wrapText="1" indent="2"/>
    </xf>
    <xf numFmtId="0" fontId="35" fillId="34" borderId="432">
      <alignment horizontal="left" vertical="center" wrapText="1" indent="2"/>
    </xf>
    <xf numFmtId="0" fontId="27" fillId="27" borderId="0" applyNumberFormat="0" applyBorder="0" applyAlignment="0" applyProtection="0"/>
    <xf numFmtId="0" fontId="27" fillId="18" borderId="0" applyNumberFormat="0" applyBorder="0" applyAlignment="0" applyProtection="0"/>
    <xf numFmtId="0" fontId="27" fillId="21" borderId="0" applyNumberFormat="0" applyBorder="0" applyAlignment="0" applyProtection="0"/>
    <xf numFmtId="0" fontId="2" fillId="0" borderId="15" applyNumberFormat="0" applyFill="0" applyAlignment="0" applyProtection="0"/>
    <xf numFmtId="0" fontId="12" fillId="28" borderId="0" applyNumberFormat="0" applyBorder="0" applyAlignment="0" applyProtection="0"/>
    <xf numFmtId="0" fontId="27" fillId="21" borderId="0" applyNumberFormat="0" applyBorder="0" applyAlignment="0" applyProtection="0"/>
    <xf numFmtId="0" fontId="27" fillId="26" borderId="0" applyNumberFormat="0" applyBorder="0" applyAlignment="0" applyProtection="0"/>
    <xf numFmtId="0" fontId="12" fillId="31" borderId="0" applyNumberFormat="0" applyBorder="0" applyAlignment="0" applyProtection="0"/>
    <xf numFmtId="0" fontId="27" fillId="29" borderId="0" applyNumberFormat="0" applyBorder="0" applyAlignment="0" applyProtection="0"/>
    <xf numFmtId="0" fontId="27" fillId="29" borderId="0" applyNumberFormat="0" applyBorder="0" applyAlignment="0" applyProtection="0"/>
    <xf numFmtId="0" fontId="30" fillId="13" borderId="13" applyNumberFormat="0" applyAlignment="0" applyProtection="0"/>
    <xf numFmtId="0" fontId="27" fillId="24" borderId="0" applyNumberFormat="0" applyBorder="0" applyAlignment="0" applyProtection="0"/>
    <xf numFmtId="0" fontId="12" fillId="28" borderId="0" applyNumberFormat="0" applyBorder="0" applyAlignment="0" applyProtection="0"/>
    <xf numFmtId="0" fontId="12" fillId="25" borderId="0" applyNumberFormat="0" applyBorder="0" applyAlignment="0" applyProtection="0"/>
    <xf numFmtId="0" fontId="27" fillId="24" borderId="0" applyNumberFormat="0" applyBorder="0" applyAlignment="0" applyProtection="0"/>
    <xf numFmtId="0" fontId="27" fillId="20" borderId="0" applyNumberFormat="0" applyBorder="0" applyAlignment="0" applyProtection="0"/>
    <xf numFmtId="0" fontId="31" fillId="0" borderId="0" applyNumberFormat="0" applyFill="0" applyBorder="0" applyAlignment="0" applyProtection="0"/>
    <xf numFmtId="0" fontId="2" fillId="0" borderId="15" applyNumberFormat="0" applyFill="0" applyAlignment="0" applyProtection="0"/>
    <xf numFmtId="0" fontId="12" fillId="31" borderId="0" applyNumberFormat="0" applyBorder="0" applyAlignment="0" applyProtection="0"/>
    <xf numFmtId="0" fontId="12" fillId="25" borderId="0" applyNumberFormat="0" applyBorder="0" applyAlignment="0" applyProtection="0"/>
    <xf numFmtId="0" fontId="27" fillId="30" borderId="0" applyNumberFormat="0" applyBorder="0" applyAlignment="0" applyProtection="0"/>
    <xf numFmtId="0" fontId="27" fillId="17" borderId="0" applyNumberFormat="0" applyBorder="0" applyAlignment="0" applyProtection="0"/>
    <xf numFmtId="0" fontId="12" fillId="22" borderId="0" applyNumberFormat="0" applyBorder="0" applyAlignment="0" applyProtection="0"/>
    <xf numFmtId="0" fontId="12" fillId="19" borderId="0" applyNumberFormat="0" applyBorder="0" applyAlignment="0" applyProtection="0"/>
    <xf numFmtId="0" fontId="29" fillId="13" borderId="14" applyNumberFormat="0" applyAlignment="0" applyProtection="0"/>
    <xf numFmtId="0" fontId="33" fillId="34" borderId="462">
      <alignment horizontal="right" vertical="center"/>
    </xf>
    <xf numFmtId="0" fontId="35" fillId="33" borderId="454"/>
    <xf numFmtId="0" fontId="50" fillId="43" borderId="441" applyNumberFormat="0" applyAlignment="0" applyProtection="0"/>
    <xf numFmtId="0" fontId="29" fillId="13" borderId="14" applyNumberFormat="0" applyAlignment="0" applyProtection="0"/>
    <xf numFmtId="0" fontId="41" fillId="59" borderId="461" applyNumberFormat="0" applyFont="0" applyAlignment="0" applyProtection="0"/>
    <xf numFmtId="0" fontId="46" fillId="56" borderId="491" applyNumberFormat="0" applyAlignment="0" applyProtection="0"/>
    <xf numFmtId="0" fontId="33" fillId="34" borderId="446">
      <alignment horizontal="right" vertical="center"/>
    </xf>
    <xf numFmtId="0" fontId="63" fillId="56" borderId="466" applyNumberFormat="0" applyAlignment="0" applyProtection="0"/>
    <xf numFmtId="49" fontId="35" fillId="0" borderId="444" applyNumberFormat="0" applyFont="0" applyFill="0" applyBorder="0" applyProtection="0">
      <alignment horizontal="left" vertical="center" indent="2"/>
    </xf>
    <xf numFmtId="0" fontId="37" fillId="32" borderId="444">
      <alignment horizontal="right" vertical="center"/>
    </xf>
    <xf numFmtId="173" fontId="35" fillId="60" borderId="444" applyNumberFormat="0" applyFont="0" applyBorder="0" applyAlignment="0" applyProtection="0">
      <alignment horizontal="right" vertical="center"/>
    </xf>
    <xf numFmtId="0" fontId="59" fillId="43" borderId="491" applyNumberFormat="0" applyAlignment="0" applyProtection="0"/>
    <xf numFmtId="0" fontId="63" fillId="56" borderId="466" applyNumberFormat="0" applyAlignment="0" applyProtection="0"/>
    <xf numFmtId="4" fontId="35" fillId="0" borderId="444">
      <alignment horizontal="right" vertical="center"/>
    </xf>
    <xf numFmtId="0" fontId="66" fillId="0" borderId="460" applyNumberFormat="0" applyFill="0" applyAlignment="0" applyProtection="0"/>
    <xf numFmtId="0" fontId="27" fillId="14" borderId="0" applyNumberFormat="0" applyBorder="0" applyAlignment="0" applyProtection="0"/>
    <xf numFmtId="0" fontId="33" fillId="34" borderId="444">
      <alignment horizontal="right" vertical="center"/>
    </xf>
    <xf numFmtId="0" fontId="47" fillId="56" borderId="468" applyNumberFormat="0" applyAlignment="0" applyProtection="0"/>
    <xf numFmtId="0" fontId="66" fillId="0" borderId="477" applyNumberFormat="0" applyFill="0" applyAlignment="0" applyProtection="0"/>
    <xf numFmtId="0" fontId="30" fillId="13" borderId="13" applyNumberFormat="0" applyAlignment="0" applyProtection="0"/>
    <xf numFmtId="4" fontId="35" fillId="33" borderId="444"/>
    <xf numFmtId="0" fontId="33" fillId="34" borderId="462">
      <alignment horizontal="right" vertical="center"/>
    </xf>
    <xf numFmtId="0" fontId="5" fillId="59" borderId="443" applyNumberFormat="0" applyFont="0" applyAlignment="0" applyProtection="0"/>
    <xf numFmtId="0" fontId="35" fillId="0" borderId="444">
      <alignment horizontal="right" vertical="center"/>
    </xf>
    <xf numFmtId="0" fontId="33" fillId="32" borderId="444">
      <alignment horizontal="right" vertical="center"/>
    </xf>
    <xf numFmtId="4" fontId="33" fillId="34" borderId="446">
      <alignment horizontal="right" vertical="center"/>
    </xf>
    <xf numFmtId="0" fontId="50" fillId="43" borderId="468" applyNumberFormat="0" applyAlignment="0" applyProtection="0"/>
    <xf numFmtId="0" fontId="33" fillId="34" borderId="446">
      <alignment horizontal="right" vertical="center"/>
    </xf>
    <xf numFmtId="0" fontId="41" fillId="59" borderId="461" applyNumberFormat="0" applyFont="0" applyAlignment="0" applyProtection="0"/>
    <xf numFmtId="0" fontId="27" fillId="14" borderId="0" applyNumberFormat="0" applyBorder="0" applyAlignment="0" applyProtection="0"/>
    <xf numFmtId="0" fontId="27" fillId="29" borderId="0" applyNumberFormat="0" applyBorder="0" applyAlignment="0" applyProtection="0"/>
    <xf numFmtId="0" fontId="66" fillId="0" borderId="469" applyNumberFormat="0" applyFill="0" applyAlignment="0" applyProtection="0"/>
    <xf numFmtId="4" fontId="35" fillId="0" borderId="444">
      <alignment horizontal="right" vertical="center"/>
    </xf>
    <xf numFmtId="0" fontId="35" fillId="34" borderId="465">
      <alignment horizontal="left" vertical="center" wrapText="1" indent="2"/>
    </xf>
    <xf numFmtId="0" fontId="47" fillId="56" borderId="459" applyNumberFormat="0" applyAlignment="0" applyProtection="0"/>
    <xf numFmtId="4" fontId="35" fillId="0" borderId="462" applyFill="0" applyBorder="0" applyProtection="0">
      <alignment horizontal="right" vertical="center"/>
    </xf>
    <xf numFmtId="4" fontId="37" fillId="32" borderId="444">
      <alignment horizontal="right" vertical="center"/>
    </xf>
    <xf numFmtId="0" fontId="47" fillId="56" borderId="441" applyNumberFormat="0" applyAlignment="0" applyProtection="0"/>
    <xf numFmtId="0" fontId="33" fillId="34" borderId="445">
      <alignment horizontal="right" vertical="center"/>
    </xf>
    <xf numFmtId="0" fontId="63" fillId="56" borderId="450" applyNumberFormat="0" applyAlignment="0" applyProtection="0"/>
    <xf numFmtId="0" fontId="41" fillId="59" borderId="443" applyNumberFormat="0" applyFont="0" applyAlignment="0" applyProtection="0"/>
    <xf numFmtId="0" fontId="12" fillId="28" borderId="0" applyNumberFormat="0" applyBorder="0" applyAlignment="0" applyProtection="0"/>
    <xf numFmtId="4" fontId="35" fillId="33" borderId="462"/>
    <xf numFmtId="4" fontId="33" fillId="34" borderId="454">
      <alignment horizontal="right" vertical="center"/>
    </xf>
    <xf numFmtId="0" fontId="47" fillId="56" borderId="459" applyNumberFormat="0" applyAlignment="0" applyProtection="0"/>
    <xf numFmtId="4" fontId="35" fillId="33" borderId="444"/>
    <xf numFmtId="0" fontId="66" fillId="0" borderId="442" applyNumberFormat="0" applyFill="0" applyAlignment="0" applyProtection="0"/>
    <xf numFmtId="0" fontId="29" fillId="13" borderId="14" applyNumberFormat="0" applyAlignment="0" applyProtection="0"/>
    <xf numFmtId="0" fontId="30" fillId="13" borderId="13" applyNumberFormat="0" applyAlignment="0" applyProtection="0"/>
    <xf numFmtId="0" fontId="59" fillId="43" borderId="441" applyNumberFormat="0" applyAlignment="0" applyProtection="0"/>
    <xf numFmtId="0" fontId="1" fillId="0" borderId="0" applyNumberFormat="0" applyFill="0" applyBorder="0" applyAlignment="0" applyProtection="0"/>
    <xf numFmtId="4" fontId="33" fillId="34" borderId="444">
      <alignment horizontal="right" vertical="center"/>
    </xf>
    <xf numFmtId="0" fontId="31" fillId="0" borderId="0" applyNumberFormat="0" applyFill="0" applyBorder="0" applyAlignment="0" applyProtection="0"/>
    <xf numFmtId="0" fontId="2" fillId="0" borderId="15" applyNumberFormat="0" applyFill="0" applyAlignment="0" applyProtection="0"/>
    <xf numFmtId="0" fontId="41" fillId="59" borderId="453" applyNumberFormat="0" applyFont="0" applyAlignment="0" applyProtection="0"/>
    <xf numFmtId="0" fontId="27" fillId="14" borderId="0" applyNumberFormat="0" applyBorder="0" applyAlignment="0" applyProtection="0"/>
    <xf numFmtId="0" fontId="27" fillId="15" borderId="0" applyNumberFormat="0" applyBorder="0" applyAlignment="0" applyProtection="0"/>
    <xf numFmtId="0" fontId="12" fillId="16" borderId="0" applyNumberFormat="0" applyBorder="0" applyAlignment="0" applyProtection="0"/>
    <xf numFmtId="0" fontId="27" fillId="17" borderId="0" applyNumberFormat="0" applyBorder="0" applyAlignment="0" applyProtection="0"/>
    <xf numFmtId="0" fontId="27" fillId="18" borderId="0" applyNumberFormat="0" applyBorder="0" applyAlignment="0" applyProtection="0"/>
    <xf numFmtId="0" fontId="12" fillId="19" borderId="0" applyNumberFormat="0" applyBorder="0" applyAlignment="0" applyProtection="0"/>
    <xf numFmtId="0" fontId="27" fillId="26" borderId="0" applyNumberFormat="0" applyBorder="0" applyAlignment="0" applyProtection="0"/>
    <xf numFmtId="0" fontId="27" fillId="20" borderId="0" applyNumberFormat="0" applyBorder="0" applyAlignment="0" applyProtection="0"/>
    <xf numFmtId="0" fontId="27" fillId="21" borderId="0" applyNumberFormat="0" applyBorder="0" applyAlignment="0" applyProtection="0"/>
    <xf numFmtId="0" fontId="12" fillId="22" borderId="0" applyNumberFormat="0" applyBorder="0" applyAlignment="0" applyProtection="0"/>
    <xf numFmtId="4" fontId="33" fillId="34" borderId="464">
      <alignment horizontal="right" vertical="center"/>
    </xf>
    <xf numFmtId="0" fontId="27" fillId="23" borderId="0" applyNumberFormat="0" applyBorder="0" applyAlignment="0" applyProtection="0"/>
    <xf numFmtId="0" fontId="27" fillId="24" borderId="0" applyNumberFormat="0" applyBorder="0" applyAlignment="0" applyProtection="0"/>
    <xf numFmtId="0" fontId="12" fillId="25" borderId="0" applyNumberFormat="0" applyBorder="0" applyAlignment="0" applyProtection="0"/>
    <xf numFmtId="0" fontId="5" fillId="59" borderId="453" applyNumberFormat="0" applyFont="0" applyAlignment="0" applyProtection="0"/>
    <xf numFmtId="0" fontId="27" fillId="26" borderId="0" applyNumberFormat="0" applyBorder="0" applyAlignment="0" applyProtection="0"/>
    <xf numFmtId="0" fontId="27" fillId="27" borderId="0" applyNumberFormat="0" applyBorder="0" applyAlignment="0" applyProtection="0"/>
    <xf numFmtId="0" fontId="12" fillId="28" borderId="0" applyNumberFormat="0" applyBorder="0" applyAlignment="0" applyProtection="0"/>
    <xf numFmtId="0" fontId="27" fillId="29" borderId="0" applyNumberFormat="0" applyBorder="0" applyAlignment="0" applyProtection="0"/>
    <xf numFmtId="0" fontId="27" fillId="30" borderId="0" applyNumberFormat="0" applyBorder="0" applyAlignment="0" applyProtection="0"/>
    <xf numFmtId="0" fontId="12" fillId="31" borderId="0" applyNumberFormat="0" applyBorder="0" applyAlignment="0" applyProtection="0"/>
    <xf numFmtId="0" fontId="35" fillId="0" borderId="429" applyNumberFormat="0" applyFill="0" applyAlignment="0" applyProtection="0"/>
    <xf numFmtId="0" fontId="33" fillId="34" borderId="429">
      <alignment horizontal="right" vertical="center"/>
    </xf>
    <xf numFmtId="0" fontId="33" fillId="34" borderId="429">
      <alignment horizontal="right" vertical="center"/>
    </xf>
    <xf numFmtId="0" fontId="35" fillId="0" borderId="432">
      <alignment horizontal="left" vertical="center" wrapText="1" indent="2"/>
    </xf>
    <xf numFmtId="0" fontId="33" fillId="34" borderId="431">
      <alignment horizontal="right" vertical="center"/>
    </xf>
    <xf numFmtId="0" fontId="35" fillId="0" borderId="429">
      <alignment horizontal="right" vertical="center"/>
    </xf>
    <xf numFmtId="0" fontId="37" fillId="32" borderId="429">
      <alignment horizontal="right" vertical="center"/>
    </xf>
    <xf numFmtId="0" fontId="35" fillId="33" borderId="429"/>
    <xf numFmtId="0" fontId="33" fillId="32" borderId="429">
      <alignment horizontal="right" vertical="center"/>
    </xf>
    <xf numFmtId="4" fontId="33" fillId="34" borderId="444">
      <alignment horizontal="right" vertical="center"/>
    </xf>
    <xf numFmtId="0" fontId="37" fillId="32" borderId="444">
      <alignment horizontal="right" vertical="center"/>
    </xf>
    <xf numFmtId="0" fontId="66" fillId="0" borderId="442" applyNumberFormat="0" applyFill="0" applyAlignment="0" applyProtection="0"/>
    <xf numFmtId="0" fontId="47" fillId="56" borderId="441" applyNumberFormat="0" applyAlignment="0" applyProtection="0"/>
    <xf numFmtId="0" fontId="35" fillId="34" borderId="447">
      <alignment horizontal="left" vertical="center" wrapText="1" indent="2"/>
    </xf>
    <xf numFmtId="0" fontId="33" fillId="34" borderId="444">
      <alignment horizontal="right" vertical="center"/>
    </xf>
    <xf numFmtId="0" fontId="33" fillId="34" borderId="446">
      <alignment horizontal="right" vertical="center"/>
    </xf>
    <xf numFmtId="0" fontId="35" fillId="0" borderId="447">
      <alignment horizontal="left" vertical="center" wrapText="1" indent="2"/>
    </xf>
    <xf numFmtId="0" fontId="33" fillId="34" borderId="444">
      <alignment horizontal="right" vertical="center"/>
    </xf>
    <xf numFmtId="0" fontId="46" fillId="56" borderId="441" applyNumberFormat="0" applyAlignment="0" applyProtection="0"/>
    <xf numFmtId="0" fontId="35" fillId="33" borderId="444"/>
    <xf numFmtId="0" fontId="27" fillId="20" borderId="0" applyNumberFormat="0" applyBorder="0" applyAlignment="0" applyProtection="0"/>
    <xf numFmtId="0" fontId="44" fillId="56" borderId="498" applyNumberFormat="0" applyAlignment="0" applyProtection="0"/>
    <xf numFmtId="0" fontId="66" fillId="0" borderId="442" applyNumberFormat="0" applyFill="0" applyAlignment="0" applyProtection="0"/>
    <xf numFmtId="0" fontId="44" fillId="56" borderId="448" applyNumberFormat="0" applyAlignment="0" applyProtection="0"/>
    <xf numFmtId="0" fontId="33" fillId="34" borderId="445">
      <alignment horizontal="right" vertical="center"/>
    </xf>
    <xf numFmtId="4" fontId="37" fillId="32" borderId="462">
      <alignment horizontal="right" vertical="center"/>
    </xf>
    <xf numFmtId="4" fontId="33" fillId="32" borderId="471">
      <alignment horizontal="right" vertical="center"/>
    </xf>
    <xf numFmtId="173" fontId="35" fillId="60" borderId="444" applyNumberFormat="0" applyFont="0" applyBorder="0" applyAlignment="0" applyProtection="0">
      <alignment horizontal="right" vertical="center"/>
    </xf>
    <xf numFmtId="0" fontId="51" fillId="0" borderId="492" applyNumberFormat="0" applyFill="0" applyAlignment="0" applyProtection="0"/>
    <xf numFmtId="0" fontId="35" fillId="0" borderId="471" applyNumberFormat="0" applyFill="0" applyAlignment="0" applyProtection="0"/>
    <xf numFmtId="0" fontId="33" fillId="34" borderId="495">
      <alignment horizontal="right" vertical="center"/>
    </xf>
    <xf numFmtId="0" fontId="41" fillId="59" borderId="461" applyNumberFormat="0" applyFont="0" applyAlignment="0" applyProtection="0"/>
    <xf numFmtId="0" fontId="37" fillId="32" borderId="444">
      <alignment horizontal="right" vertical="center"/>
    </xf>
    <xf numFmtId="0" fontId="33" fillId="34" borderId="444">
      <alignment horizontal="right" vertical="center"/>
    </xf>
    <xf numFmtId="0" fontId="66" fillId="0" borderId="442" applyNumberFormat="0" applyFill="0" applyAlignment="0" applyProtection="0"/>
    <xf numFmtId="4" fontId="33" fillId="34" borderId="462">
      <alignment horizontal="right" vertical="center"/>
    </xf>
    <xf numFmtId="0" fontId="59" fillId="43" borderId="468" applyNumberFormat="0" applyAlignment="0" applyProtection="0"/>
    <xf numFmtId="0" fontId="47" fillId="56" borderId="468" applyNumberFormat="0" applyAlignment="0" applyProtection="0"/>
    <xf numFmtId="0" fontId="33" fillId="34" borderId="456">
      <alignment horizontal="right" vertical="center"/>
    </xf>
    <xf numFmtId="0" fontId="47" fillId="56" borderId="459" applyNumberFormat="0" applyAlignment="0" applyProtection="0"/>
    <xf numFmtId="0" fontId="59" fillId="43" borderId="451" applyNumberFormat="0" applyAlignment="0" applyProtection="0"/>
    <xf numFmtId="0" fontId="33" fillId="32" borderId="462">
      <alignment horizontal="right" vertical="center"/>
    </xf>
    <xf numFmtId="0" fontId="12" fillId="19" borderId="0" applyNumberFormat="0" applyBorder="0" applyAlignment="0" applyProtection="0"/>
    <xf numFmtId="0" fontId="35" fillId="0" borderId="462" applyNumberFormat="0" applyFill="0" applyAlignment="0" applyProtection="0"/>
    <xf numFmtId="0" fontId="47" fillId="56" borderId="459" applyNumberFormat="0" applyAlignment="0" applyProtection="0"/>
    <xf numFmtId="0" fontId="33" fillId="34" borderId="471">
      <alignment horizontal="right" vertical="center"/>
    </xf>
    <xf numFmtId="0" fontId="44" fillId="56" borderId="450" applyNumberFormat="0" applyAlignment="0" applyProtection="0"/>
    <xf numFmtId="49" fontId="35" fillId="0" borderId="472" applyNumberFormat="0" applyFont="0" applyFill="0" applyBorder="0" applyProtection="0">
      <alignment horizontal="left" vertical="center" indent="5"/>
    </xf>
    <xf numFmtId="0" fontId="33" fillId="34" borderId="444">
      <alignment horizontal="right" vertical="center"/>
    </xf>
    <xf numFmtId="4" fontId="37" fillId="32" borderId="444">
      <alignment horizontal="right" vertical="center"/>
    </xf>
    <xf numFmtId="0" fontId="66" fillId="0" borderId="442" applyNumberFormat="0" applyFill="0" applyAlignment="0" applyProtection="0"/>
    <xf numFmtId="0" fontId="51" fillId="0" borderId="442" applyNumberFormat="0" applyFill="0" applyAlignment="0" applyProtection="0"/>
    <xf numFmtId="4" fontId="33" fillId="34" borderId="445">
      <alignment horizontal="right" vertical="center"/>
    </xf>
    <xf numFmtId="4" fontId="37" fillId="32" borderId="444">
      <alignment horizontal="right" vertical="center"/>
    </xf>
    <xf numFmtId="4" fontId="33" fillId="34" borderId="444">
      <alignment horizontal="right" vertical="center"/>
    </xf>
    <xf numFmtId="4" fontId="33" fillId="34" borderId="444">
      <alignment horizontal="right" vertical="center"/>
    </xf>
    <xf numFmtId="4" fontId="33" fillId="34" borderId="445">
      <alignment horizontal="right" vertical="center"/>
    </xf>
    <xf numFmtId="4" fontId="33" fillId="34" borderId="446">
      <alignment horizontal="right" vertical="center"/>
    </xf>
    <xf numFmtId="0" fontId="50" fillId="43" borderId="441" applyNumberFormat="0" applyAlignment="0" applyProtection="0"/>
    <xf numFmtId="0" fontId="47" fillId="56" borderId="434" applyNumberFormat="0" applyAlignment="0" applyProtection="0"/>
    <xf numFmtId="4" fontId="33" fillId="34" borderId="444">
      <alignment horizontal="right" vertical="center"/>
    </xf>
    <xf numFmtId="43" fontId="38" fillId="0" borderId="0" applyFont="0" applyFill="0" applyBorder="0" applyAlignment="0" applyProtection="0"/>
    <xf numFmtId="4" fontId="35" fillId="33" borderId="444"/>
    <xf numFmtId="43" fontId="38" fillId="0" borderId="0" applyFont="0" applyFill="0" applyBorder="0" applyAlignment="0" applyProtection="0"/>
    <xf numFmtId="0" fontId="35" fillId="0" borderId="465">
      <alignment horizontal="left" vertical="center" wrapText="1" indent="2"/>
    </xf>
    <xf numFmtId="0" fontId="59" fillId="43" borderId="459" applyNumberFormat="0" applyAlignment="0" applyProtection="0"/>
    <xf numFmtId="4" fontId="35" fillId="0" borderId="444" applyFill="0" applyBorder="0" applyProtection="0">
      <alignment horizontal="right" vertical="center"/>
    </xf>
    <xf numFmtId="0" fontId="35" fillId="0" borderId="444">
      <alignment horizontal="right" vertical="center"/>
    </xf>
    <xf numFmtId="0" fontId="33" fillId="34" borderId="444">
      <alignment horizontal="right" vertical="center"/>
    </xf>
    <xf numFmtId="0" fontId="50" fillId="43" borderId="441" applyNumberFormat="0" applyAlignment="0" applyProtection="0"/>
    <xf numFmtId="0" fontId="35" fillId="34" borderId="447">
      <alignment horizontal="left" vertical="center" wrapText="1" indent="2"/>
    </xf>
    <xf numFmtId="0" fontId="63" fillId="56" borderId="448" applyNumberFormat="0" applyAlignment="0" applyProtection="0"/>
    <xf numFmtId="0" fontId="33" fillId="34" borderId="444">
      <alignment horizontal="right" vertical="center"/>
    </xf>
    <xf numFmtId="0" fontId="59" fillId="43" borderId="434" applyNumberFormat="0" applyAlignment="0" applyProtection="0"/>
    <xf numFmtId="49" fontId="35" fillId="0" borderId="444" applyNumberFormat="0" applyFont="0" applyFill="0" applyBorder="0" applyProtection="0">
      <alignment horizontal="left" vertical="center" indent="2"/>
    </xf>
    <xf numFmtId="4" fontId="33" fillId="34" borderId="464">
      <alignment horizontal="right" vertical="center"/>
    </xf>
    <xf numFmtId="0" fontId="33" fillId="34" borderId="471">
      <alignment horizontal="right" vertical="center"/>
    </xf>
    <xf numFmtId="0" fontId="35" fillId="33" borderId="444"/>
    <xf numFmtId="0" fontId="33" fillId="34" borderId="464">
      <alignment horizontal="right" vertical="center"/>
    </xf>
    <xf numFmtId="0" fontId="63" fillId="56" borderId="466" applyNumberFormat="0" applyAlignment="0" applyProtection="0"/>
    <xf numFmtId="0" fontId="47" fillId="56" borderId="468" applyNumberFormat="0" applyAlignment="0" applyProtection="0"/>
    <xf numFmtId="0" fontId="50" fillId="43" borderId="459" applyNumberFormat="0" applyAlignment="0" applyProtection="0"/>
    <xf numFmtId="0" fontId="31" fillId="0" borderId="0" applyNumberFormat="0" applyFill="0" applyBorder="0" applyAlignment="0" applyProtection="0"/>
    <xf numFmtId="0" fontId="27" fillId="21" borderId="0" applyNumberFormat="0" applyBorder="0" applyAlignment="0" applyProtection="0"/>
    <xf numFmtId="0" fontId="27" fillId="30" borderId="0" applyNumberFormat="0" applyBorder="0" applyAlignment="0" applyProtection="0"/>
    <xf numFmtId="49" fontId="34" fillId="0" borderId="454" applyNumberFormat="0" applyFill="0" applyBorder="0" applyProtection="0">
      <alignment horizontal="left" vertical="center"/>
    </xf>
    <xf numFmtId="0" fontId="35" fillId="0" borderId="471">
      <alignment horizontal="right" vertical="center"/>
    </xf>
    <xf numFmtId="0" fontId="27" fillId="23" borderId="0" applyNumberFormat="0" applyBorder="0" applyAlignment="0" applyProtection="0"/>
    <xf numFmtId="0" fontId="66" fillId="0" borderId="452" applyNumberFormat="0" applyFill="0" applyAlignment="0" applyProtection="0"/>
    <xf numFmtId="0" fontId="51" fillId="0" borderId="452" applyNumberFormat="0" applyFill="0" applyAlignment="0" applyProtection="0"/>
    <xf numFmtId="0" fontId="47" fillId="56" borderId="441" applyNumberFormat="0" applyAlignment="0" applyProtection="0"/>
    <xf numFmtId="4" fontId="33" fillId="34" borderId="464">
      <alignment horizontal="right" vertical="center"/>
    </xf>
    <xf numFmtId="0" fontId="66" fillId="0" borderId="492" applyNumberFormat="0" applyFill="0" applyAlignment="0" applyProtection="0"/>
    <xf numFmtId="4" fontId="35" fillId="0" borderId="429" applyFill="0" applyBorder="0" applyProtection="0">
      <alignment horizontal="right" vertical="center"/>
    </xf>
    <xf numFmtId="0" fontId="5" fillId="59" borderId="461" applyNumberFormat="0" applyFont="0" applyAlignment="0" applyProtection="0"/>
    <xf numFmtId="0" fontId="41" fillId="59" borderId="461" applyNumberFormat="0" applyFont="0" applyAlignment="0" applyProtection="0"/>
    <xf numFmtId="0" fontId="35" fillId="0" borderId="497">
      <alignment horizontal="left" vertical="center" wrapText="1" indent="2"/>
    </xf>
    <xf numFmtId="0" fontId="66" fillId="0" borderId="460" applyNumberFormat="0" applyFill="0" applyAlignment="0" applyProtection="0"/>
    <xf numFmtId="0" fontId="63" fillId="56" borderId="466" applyNumberFormat="0" applyAlignment="0" applyProtection="0"/>
    <xf numFmtId="4" fontId="33" fillId="34" borderId="444">
      <alignment horizontal="right" vertical="center"/>
    </xf>
    <xf numFmtId="0" fontId="37" fillId="32" borderId="444">
      <alignment horizontal="right" vertical="center"/>
    </xf>
    <xf numFmtId="0" fontId="44" fillId="56" borderId="467" applyNumberFormat="0" applyAlignment="0" applyProtection="0"/>
    <xf numFmtId="0" fontId="41" fillId="59" borderId="436" applyNumberFormat="0" applyFont="0" applyAlignment="0" applyProtection="0"/>
    <xf numFmtId="0" fontId="5" fillId="59" borderId="436" applyNumberFormat="0" applyFont="0" applyAlignment="0" applyProtection="0"/>
    <xf numFmtId="0" fontId="63" fillId="56" borderId="433" applyNumberFormat="0" applyAlignment="0" applyProtection="0"/>
    <xf numFmtId="4" fontId="35" fillId="33" borderId="462"/>
    <xf numFmtId="4" fontId="37" fillId="32" borderId="471">
      <alignment horizontal="right" vertical="center"/>
    </xf>
    <xf numFmtId="49" fontId="35" fillId="0" borderId="479" applyNumberFormat="0" applyFont="0" applyFill="0" applyBorder="0" applyProtection="0">
      <alignment horizontal="left" vertical="center" indent="2"/>
    </xf>
    <xf numFmtId="0" fontId="35" fillId="33" borderId="444"/>
    <xf numFmtId="0" fontId="66" fillId="0" borderId="442" applyNumberFormat="0" applyFill="0" applyAlignment="0" applyProtection="0"/>
    <xf numFmtId="0" fontId="12" fillId="16" borderId="0" applyNumberFormat="0" applyBorder="0" applyAlignment="0" applyProtection="0"/>
    <xf numFmtId="0" fontId="66" fillId="0" borderId="435" applyNumberFormat="0" applyFill="0" applyAlignment="0" applyProtection="0"/>
    <xf numFmtId="0" fontId="35" fillId="32" borderId="445">
      <alignment horizontal="left" vertical="center"/>
    </xf>
    <xf numFmtId="0" fontId="46" fillId="56" borderId="441" applyNumberFormat="0" applyAlignment="0" applyProtection="0"/>
    <xf numFmtId="4" fontId="33" fillId="34" borderId="444">
      <alignment horizontal="right" vertical="center"/>
    </xf>
    <xf numFmtId="49" fontId="34" fillId="0" borderId="462" applyNumberFormat="0" applyFill="0" applyBorder="0" applyProtection="0">
      <alignment horizontal="left" vertical="center"/>
    </xf>
    <xf numFmtId="0" fontId="12" fillId="31" borderId="0" applyNumberFormat="0" applyBorder="0" applyAlignment="0" applyProtection="0"/>
    <xf numFmtId="0" fontId="37" fillId="32" borderId="471">
      <alignment horizontal="right" vertical="center"/>
    </xf>
    <xf numFmtId="0" fontId="35" fillId="34" borderId="497">
      <alignment horizontal="left" vertical="center" wrapText="1" indent="2"/>
    </xf>
    <xf numFmtId="0" fontId="50" fillId="43" borderId="441" applyNumberFormat="0" applyAlignment="0" applyProtection="0"/>
    <xf numFmtId="0" fontId="37" fillId="32" borderId="444">
      <alignment horizontal="right" vertical="center"/>
    </xf>
    <xf numFmtId="0" fontId="33" fillId="34" borderId="462">
      <alignment horizontal="right" vertical="center"/>
    </xf>
    <xf numFmtId="49" fontId="35" fillId="0" borderId="472" applyNumberFormat="0" applyFont="0" applyFill="0" applyBorder="0" applyProtection="0">
      <alignment horizontal="left" vertical="center" indent="5"/>
    </xf>
    <xf numFmtId="4" fontId="33" fillId="34" borderId="446">
      <alignment horizontal="right" vertical="center"/>
    </xf>
    <xf numFmtId="0" fontId="66" fillId="0" borderId="460" applyNumberFormat="0" applyFill="0" applyAlignment="0" applyProtection="0"/>
    <xf numFmtId="49" fontId="34" fillId="0" borderId="444" applyNumberFormat="0" applyFill="0" applyBorder="0" applyProtection="0">
      <alignment horizontal="left" vertical="center"/>
    </xf>
    <xf numFmtId="0" fontId="12" fillId="28" borderId="0" applyNumberFormat="0" applyBorder="0" applyAlignment="0" applyProtection="0"/>
    <xf numFmtId="0" fontId="35" fillId="0" borderId="494" applyNumberFormat="0" applyFill="0" applyAlignment="0" applyProtection="0"/>
    <xf numFmtId="0" fontId="63" fillId="56" borderId="466" applyNumberFormat="0" applyAlignment="0" applyProtection="0"/>
    <xf numFmtId="0" fontId="47" fillId="56" borderId="441" applyNumberFormat="0" applyAlignment="0" applyProtection="0"/>
    <xf numFmtId="0" fontId="46" fillId="56" borderId="441" applyNumberFormat="0" applyAlignment="0" applyProtection="0"/>
    <xf numFmtId="0" fontId="41" fillId="59" borderId="443" applyNumberFormat="0" applyFont="0" applyAlignment="0" applyProtection="0"/>
    <xf numFmtId="0" fontId="33" fillId="34" borderId="444">
      <alignment horizontal="right" vertical="center"/>
    </xf>
    <xf numFmtId="0" fontId="33" fillId="34" borderId="445">
      <alignment horizontal="right" vertical="center"/>
    </xf>
    <xf numFmtId="0" fontId="47" fillId="56" borderId="441" applyNumberFormat="0" applyAlignment="0" applyProtection="0"/>
    <xf numFmtId="0" fontId="33" fillId="34" borderId="446">
      <alignment horizontal="right" vertical="center"/>
    </xf>
    <xf numFmtId="4" fontId="35" fillId="0" borderId="462" applyFill="0" applyBorder="0" applyProtection="0">
      <alignment horizontal="right" vertical="center"/>
    </xf>
    <xf numFmtId="0" fontId="35" fillId="34" borderId="487">
      <alignment horizontal="left" vertical="center" wrapText="1" indent="2"/>
    </xf>
    <xf numFmtId="0" fontId="50" fillId="43" borderId="441" applyNumberFormat="0" applyAlignment="0" applyProtection="0"/>
    <xf numFmtId="4" fontId="35" fillId="0" borderId="444">
      <alignment horizontal="right" vertical="center"/>
    </xf>
    <xf numFmtId="0" fontId="47" fillId="56" borderId="441" applyNumberFormat="0" applyAlignment="0" applyProtection="0"/>
    <xf numFmtId="0" fontId="35" fillId="32" borderId="445">
      <alignment horizontal="left" vertical="center"/>
    </xf>
    <xf numFmtId="4" fontId="35" fillId="33" borderId="471"/>
    <xf numFmtId="0" fontId="33" fillId="34" borderId="494">
      <alignment horizontal="right" vertical="center"/>
    </xf>
    <xf numFmtId="49" fontId="35" fillId="0" borderId="462" applyNumberFormat="0" applyFont="0" applyFill="0" applyBorder="0" applyProtection="0">
      <alignment horizontal="left" vertical="center" indent="2"/>
    </xf>
    <xf numFmtId="4" fontId="35" fillId="33" borderId="494"/>
    <xf numFmtId="4" fontId="33" fillId="34" borderId="445">
      <alignment horizontal="right" vertical="center"/>
    </xf>
    <xf numFmtId="4" fontId="35" fillId="0" borderId="444">
      <alignment horizontal="right" vertical="center"/>
    </xf>
    <xf numFmtId="173" fontId="35" fillId="60" borderId="444" applyNumberFormat="0" applyFont="0" applyBorder="0" applyAlignment="0" applyProtection="0">
      <alignment horizontal="right" vertical="center"/>
    </xf>
    <xf numFmtId="0" fontId="66" fillId="0" borderId="460" applyNumberFormat="0" applyFill="0" applyAlignment="0" applyProtection="0"/>
    <xf numFmtId="4" fontId="37" fillId="32" borderId="462">
      <alignment horizontal="right" vertical="center"/>
    </xf>
    <xf numFmtId="0" fontId="35" fillId="0" borderId="454" applyNumberFormat="0" applyFill="0" applyAlignment="0" applyProtection="0"/>
    <xf numFmtId="0" fontId="35" fillId="0" borderId="479">
      <alignment horizontal="right" vertical="center"/>
    </xf>
    <xf numFmtId="0" fontId="59" fillId="43" borderId="459" applyNumberFormat="0" applyAlignment="0" applyProtection="0"/>
    <xf numFmtId="0" fontId="35" fillId="34" borderId="447">
      <alignment horizontal="left" vertical="center" wrapText="1" indent="2"/>
    </xf>
    <xf numFmtId="0" fontId="47" fillId="56" borderId="434" applyNumberFormat="0" applyAlignment="0" applyProtection="0"/>
    <xf numFmtId="0" fontId="44" fillId="56" borderId="448" applyNumberFormat="0" applyAlignment="0" applyProtection="0"/>
    <xf numFmtId="0" fontId="63" fillId="56" borderId="448" applyNumberFormat="0" applyAlignment="0" applyProtection="0"/>
    <xf numFmtId="0" fontId="46" fillId="56" borderId="441" applyNumberFormat="0" applyAlignment="0" applyProtection="0"/>
    <xf numFmtId="0" fontId="66" fillId="0" borderId="442" applyNumberFormat="0" applyFill="0" applyAlignment="0" applyProtection="0"/>
    <xf numFmtId="0" fontId="35" fillId="0" borderId="447">
      <alignment horizontal="left" vertical="center" wrapText="1" indent="2"/>
    </xf>
    <xf numFmtId="0" fontId="33" fillId="34" borderId="444">
      <alignment horizontal="right" vertical="center"/>
    </xf>
    <xf numFmtId="4" fontId="37" fillId="32" borderId="444">
      <alignment horizontal="right" vertical="center"/>
    </xf>
    <xf numFmtId="0" fontId="59" fillId="43" borderId="434" applyNumberFormat="0" applyAlignment="0" applyProtection="0"/>
    <xf numFmtId="0" fontId="35" fillId="0" borderId="462" applyNumberFormat="0" applyFill="0" applyAlignment="0" applyProtection="0"/>
    <xf numFmtId="0" fontId="66" fillId="0" borderId="460" applyNumberFormat="0" applyFill="0" applyAlignment="0" applyProtection="0"/>
    <xf numFmtId="0" fontId="29" fillId="13" borderId="14" applyNumberFormat="0" applyAlignment="0" applyProtection="0"/>
    <xf numFmtId="0" fontId="41" fillId="59" borderId="436" applyNumberFormat="0" applyFont="0" applyAlignment="0" applyProtection="0"/>
    <xf numFmtId="0" fontId="63" fillId="56" borderId="433" applyNumberFormat="0" applyAlignment="0" applyProtection="0"/>
    <xf numFmtId="0" fontId="51" fillId="0" borderId="442" applyNumberFormat="0" applyFill="0" applyAlignment="0" applyProtection="0"/>
    <xf numFmtId="0" fontId="66" fillId="0" borderId="435" applyNumberFormat="0" applyFill="0" applyAlignment="0" applyProtection="0"/>
    <xf numFmtId="0" fontId="59" fillId="43" borderId="468" applyNumberFormat="0" applyAlignment="0" applyProtection="0"/>
    <xf numFmtId="0" fontId="5" fillId="59" borderId="443" applyNumberFormat="0" applyFont="0" applyAlignment="0" applyProtection="0"/>
    <xf numFmtId="0" fontId="63" fillId="56" borderId="467" applyNumberFormat="0" applyAlignment="0" applyProtection="0"/>
    <xf numFmtId="0" fontId="33" fillId="34" borderId="462">
      <alignment horizontal="right" vertical="center"/>
    </xf>
    <xf numFmtId="0" fontId="41" fillId="59" borderId="461" applyNumberFormat="0" applyFont="0" applyAlignment="0" applyProtection="0"/>
    <xf numFmtId="4" fontId="33" fillId="34" borderId="445">
      <alignment horizontal="right" vertical="center"/>
    </xf>
    <xf numFmtId="4" fontId="35" fillId="33" borderId="444"/>
    <xf numFmtId="0" fontId="27" fillId="30" borderId="0" applyNumberFormat="0" applyBorder="0" applyAlignment="0" applyProtection="0"/>
    <xf numFmtId="0" fontId="35" fillId="32" borderId="463">
      <alignment horizontal="left" vertical="center"/>
    </xf>
    <xf numFmtId="0" fontId="27" fillId="30" borderId="0" applyNumberFormat="0" applyBorder="0" applyAlignment="0" applyProtection="0"/>
    <xf numFmtId="4" fontId="33" fillId="34" borderId="462">
      <alignment horizontal="right" vertical="center"/>
    </xf>
    <xf numFmtId="0" fontId="33" fillId="34" borderId="445">
      <alignment horizontal="right" vertical="center"/>
    </xf>
    <xf numFmtId="4" fontId="33" fillId="34" borderId="455">
      <alignment horizontal="right" vertical="center"/>
    </xf>
    <xf numFmtId="0" fontId="59" fillId="43" borderId="459" applyNumberFormat="0" applyAlignment="0" applyProtection="0"/>
    <xf numFmtId="0" fontId="59" fillId="43" borderId="459" applyNumberFormat="0" applyAlignment="0" applyProtection="0"/>
    <xf numFmtId="0" fontId="35" fillId="0" borderId="465">
      <alignment horizontal="left" vertical="center" wrapText="1" indent="2"/>
    </xf>
    <xf numFmtId="4" fontId="35" fillId="0" borderId="484">
      <alignment horizontal="right" vertical="center"/>
    </xf>
    <xf numFmtId="0" fontId="41" fillId="59" borderId="478" applyNumberFormat="0" applyFont="0" applyAlignment="0" applyProtection="0"/>
    <xf numFmtId="0" fontId="41" fillId="59" borderId="461" applyNumberFormat="0" applyFont="0" applyAlignment="0" applyProtection="0"/>
    <xf numFmtId="0" fontId="33" fillId="32" borderId="437">
      <alignment horizontal="right" vertical="center"/>
    </xf>
    <xf numFmtId="4" fontId="33" fillId="32" borderId="437">
      <alignment horizontal="right" vertical="center"/>
    </xf>
    <xf numFmtId="0" fontId="37" fillId="32" borderId="437">
      <alignment horizontal="right" vertical="center"/>
    </xf>
    <xf numFmtId="4" fontId="37" fillId="32" borderId="437">
      <alignment horizontal="right" vertical="center"/>
    </xf>
    <xf numFmtId="0" fontId="33" fillId="34" borderId="437">
      <alignment horizontal="right" vertical="center"/>
    </xf>
    <xf numFmtId="4" fontId="33" fillId="34" borderId="437">
      <alignment horizontal="right" vertical="center"/>
    </xf>
    <xf numFmtId="0" fontId="33" fillId="34" borderId="437">
      <alignment horizontal="right" vertical="center"/>
    </xf>
    <xf numFmtId="4" fontId="33" fillId="34" borderId="437">
      <alignment horizontal="right" vertical="center"/>
    </xf>
    <xf numFmtId="0" fontId="33" fillId="34" borderId="438">
      <alignment horizontal="right" vertical="center"/>
    </xf>
    <xf numFmtId="4" fontId="33" fillId="34" borderId="438">
      <alignment horizontal="right" vertical="center"/>
    </xf>
    <xf numFmtId="0" fontId="33" fillId="34" borderId="439">
      <alignment horizontal="right" vertical="center"/>
    </xf>
    <xf numFmtId="4" fontId="33" fillId="34" borderId="439">
      <alignment horizontal="right" vertical="center"/>
    </xf>
    <xf numFmtId="0" fontId="47" fillId="56" borderId="434" applyNumberFormat="0" applyAlignment="0" applyProtection="0"/>
    <xf numFmtId="0" fontId="35" fillId="34" borderId="440">
      <alignment horizontal="left" vertical="center" wrapText="1" indent="2"/>
    </xf>
    <xf numFmtId="0" fontId="35" fillId="0" borderId="440">
      <alignment horizontal="left" vertical="center" wrapText="1" indent="2"/>
    </xf>
    <xf numFmtId="0" fontId="35" fillId="32" borderId="438">
      <alignment horizontal="left" vertical="center"/>
    </xf>
    <xf numFmtId="0" fontId="33" fillId="34" borderId="444">
      <alignment horizontal="right" vertical="center"/>
    </xf>
    <xf numFmtId="0" fontId="59" fillId="43" borderId="434" applyNumberFormat="0" applyAlignment="0" applyProtection="0"/>
    <xf numFmtId="0" fontId="35" fillId="0" borderId="437">
      <alignment horizontal="right" vertical="center"/>
    </xf>
    <xf numFmtId="4" fontId="35" fillId="0" borderId="437">
      <alignment horizontal="right" vertical="center"/>
    </xf>
    <xf numFmtId="0" fontId="33" fillId="34" borderId="445">
      <alignment horizontal="right" vertical="center"/>
    </xf>
    <xf numFmtId="0" fontId="35" fillId="0" borderId="437" applyNumberFormat="0" applyFill="0" applyAlignment="0" applyProtection="0"/>
    <xf numFmtId="0" fontId="63" fillId="56" borderId="433" applyNumberFormat="0" applyAlignment="0" applyProtection="0"/>
    <xf numFmtId="173" fontId="35" fillId="60" borderId="437" applyNumberFormat="0" applyFont="0" applyBorder="0" applyAlignment="0" applyProtection="0">
      <alignment horizontal="right" vertical="center"/>
    </xf>
    <xf numFmtId="0" fontId="35" fillId="33" borderId="437"/>
    <xf numFmtId="4" fontId="35" fillId="33" borderId="437"/>
    <xf numFmtId="0" fontId="66" fillId="0" borderId="435" applyNumberFormat="0" applyFill="0" applyAlignment="0" applyProtection="0"/>
    <xf numFmtId="0" fontId="27" fillId="27" borderId="0" applyNumberFormat="0" applyBorder="0" applyAlignment="0" applyProtection="0"/>
    <xf numFmtId="0" fontId="66" fillId="0" borderId="460" applyNumberFormat="0" applyFill="0" applyAlignment="0" applyProtection="0"/>
    <xf numFmtId="4" fontId="33" fillId="32" borderId="444">
      <alignment horizontal="right" vertical="center"/>
    </xf>
    <xf numFmtId="0" fontId="35" fillId="0" borderId="465">
      <alignment horizontal="left" vertical="center" wrapText="1" indent="2"/>
    </xf>
    <xf numFmtId="0" fontId="41" fillId="59" borderId="443" applyNumberFormat="0" applyFont="0" applyAlignment="0" applyProtection="0"/>
    <xf numFmtId="0" fontId="51" fillId="0" borderId="460" applyNumberFormat="0" applyFill="0" applyAlignment="0" applyProtection="0"/>
    <xf numFmtId="0" fontId="51" fillId="0" borderId="442" applyNumberFormat="0" applyFill="0" applyAlignment="0" applyProtection="0"/>
    <xf numFmtId="0" fontId="27" fillId="15" borderId="0" applyNumberFormat="0" applyBorder="0" applyAlignment="0" applyProtection="0"/>
    <xf numFmtId="0" fontId="63" fillId="56" borderId="467" applyNumberFormat="0" applyAlignment="0" applyProtection="0"/>
    <xf numFmtId="0" fontId="35" fillId="33" borderId="444"/>
    <xf numFmtId="0" fontId="12" fillId="28" borderId="0" applyNumberFormat="0" applyBorder="0" applyAlignment="0" applyProtection="0"/>
    <xf numFmtId="49" fontId="34" fillId="0" borderId="444" applyNumberFormat="0" applyFill="0" applyBorder="0" applyProtection="0">
      <alignment horizontal="left" vertical="center"/>
    </xf>
    <xf numFmtId="0" fontId="63" fillId="56" borderId="450" applyNumberFormat="0" applyAlignment="0" applyProtection="0"/>
    <xf numFmtId="0" fontId="12" fillId="31" borderId="0" applyNumberFormat="0" applyBorder="0" applyAlignment="0" applyProtection="0"/>
    <xf numFmtId="4" fontId="37" fillId="32" borderId="444">
      <alignment horizontal="right" vertical="center"/>
    </xf>
    <xf numFmtId="0" fontId="44" fillId="56" borderId="448" applyNumberFormat="0" applyAlignment="0" applyProtection="0"/>
    <xf numFmtId="0" fontId="44" fillId="56" borderId="448" applyNumberFormat="0" applyAlignment="0" applyProtection="0"/>
    <xf numFmtId="0" fontId="5" fillId="59" borderId="443" applyNumberFormat="0" applyFont="0" applyAlignment="0" applyProtection="0"/>
    <xf numFmtId="0" fontId="47" fillId="56" borderId="441" applyNumberFormat="0" applyAlignment="0" applyProtection="0"/>
    <xf numFmtId="0" fontId="47" fillId="56" borderId="441" applyNumberFormat="0" applyAlignment="0" applyProtection="0"/>
    <xf numFmtId="0" fontId="33" fillId="32" borderId="471">
      <alignment horizontal="right" vertical="center"/>
    </xf>
    <xf numFmtId="0" fontId="12" fillId="22" borderId="0" applyNumberFormat="0" applyBorder="0" applyAlignment="0" applyProtection="0"/>
    <xf numFmtId="0" fontId="27" fillId="27" borderId="0" applyNumberFormat="0" applyBorder="0" applyAlignment="0" applyProtection="0"/>
    <xf numFmtId="0" fontId="27" fillId="14" borderId="0" applyNumberFormat="0" applyBorder="0" applyAlignment="0" applyProtection="0"/>
    <xf numFmtId="0" fontId="35" fillId="0" borderId="444">
      <alignment horizontal="right" vertical="center"/>
    </xf>
    <xf numFmtId="0" fontId="27" fillId="15" borderId="0" applyNumberFormat="0" applyBorder="0" applyAlignment="0" applyProtection="0"/>
    <xf numFmtId="0" fontId="59" fillId="43" borderId="468" applyNumberFormat="0" applyAlignment="0" applyProtection="0"/>
    <xf numFmtId="0" fontId="59" fillId="43" borderId="459" applyNumberFormat="0" applyAlignment="0" applyProtection="0"/>
    <xf numFmtId="0" fontId="46" fillId="56" borderId="459" applyNumberFormat="0" applyAlignment="0" applyProtection="0"/>
    <xf numFmtId="0" fontId="27" fillId="21" borderId="0" applyNumberFormat="0" applyBorder="0" applyAlignment="0" applyProtection="0"/>
    <xf numFmtId="4" fontId="37" fillId="32" borderId="462">
      <alignment horizontal="right" vertical="center"/>
    </xf>
    <xf numFmtId="0" fontId="59" fillId="43" borderId="441" applyNumberFormat="0" applyAlignment="0" applyProtection="0"/>
    <xf numFmtId="0" fontId="35" fillId="0" borderId="447">
      <alignment horizontal="left" vertical="center" wrapText="1" indent="2"/>
    </xf>
    <xf numFmtId="0" fontId="46" fillId="56" borderId="441" applyNumberFormat="0" applyAlignment="0" applyProtection="0"/>
    <xf numFmtId="49" fontId="35" fillId="0" borderId="444" applyNumberFormat="0" applyFont="0" applyFill="0" applyBorder="0" applyProtection="0">
      <alignment horizontal="left" vertical="center" indent="2"/>
    </xf>
    <xf numFmtId="0" fontId="37" fillId="32" borderId="444">
      <alignment horizontal="right" vertical="center"/>
    </xf>
    <xf numFmtId="0" fontId="59" fillId="43" borderId="441" applyNumberFormat="0" applyAlignment="0" applyProtection="0"/>
    <xf numFmtId="0" fontId="41" fillId="59" borderId="443" applyNumberFormat="0" applyFont="0" applyAlignment="0" applyProtection="0"/>
    <xf numFmtId="0" fontId="66" fillId="0" borderId="442" applyNumberFormat="0" applyFill="0" applyAlignment="0" applyProtection="0"/>
    <xf numFmtId="4" fontId="35" fillId="0" borderId="444" applyFill="0" applyBorder="0" applyProtection="0">
      <alignment horizontal="right" vertical="center"/>
    </xf>
    <xf numFmtId="0" fontId="33" fillId="32" borderId="444">
      <alignment horizontal="right" vertical="center"/>
    </xf>
    <xf numFmtId="49" fontId="35" fillId="0" borderId="444" applyNumberFormat="0" applyFont="0" applyFill="0" applyBorder="0" applyProtection="0">
      <alignment horizontal="left" vertical="center" indent="2"/>
    </xf>
    <xf numFmtId="0" fontId="35" fillId="0" borderId="474">
      <alignment horizontal="left" vertical="center" wrapText="1" indent="2"/>
    </xf>
    <xf numFmtId="0" fontId="12" fillId="19" borderId="0" applyNumberFormat="0" applyBorder="0" applyAlignment="0" applyProtection="0"/>
    <xf numFmtId="0" fontId="27" fillId="24" borderId="0" applyNumberFormat="0" applyBorder="0" applyAlignment="0" applyProtection="0"/>
    <xf numFmtId="0" fontId="27" fillId="26" borderId="0" applyNumberFormat="0" applyBorder="0" applyAlignment="0" applyProtection="0"/>
    <xf numFmtId="0" fontId="27" fillId="21" borderId="0" applyNumberFormat="0" applyBorder="0" applyAlignment="0" applyProtection="0"/>
    <xf numFmtId="0" fontId="5" fillId="59" borderId="470" applyNumberFormat="0" applyFont="0" applyAlignment="0" applyProtection="0"/>
    <xf numFmtId="4" fontId="33" fillId="34" borderId="471">
      <alignment horizontal="right" vertical="center"/>
    </xf>
    <xf numFmtId="0" fontId="30" fillId="13" borderId="13" applyNumberFormat="0" applyAlignment="0" applyProtection="0"/>
    <xf numFmtId="0" fontId="33" fillId="34" borderId="473">
      <alignment horizontal="right" vertical="center"/>
    </xf>
    <xf numFmtId="173" fontId="35" fillId="60" borderId="444" applyNumberFormat="0" applyFont="0" applyBorder="0" applyAlignment="0" applyProtection="0">
      <alignment horizontal="right" vertical="center"/>
    </xf>
    <xf numFmtId="0" fontId="59" fillId="43" borderId="441" applyNumberFormat="0" applyAlignment="0" applyProtection="0"/>
    <xf numFmtId="0" fontId="51" fillId="0" borderId="469" applyNumberFormat="0" applyFill="0" applyAlignment="0" applyProtection="0"/>
    <xf numFmtId="4" fontId="33" fillId="34" borderId="462">
      <alignment horizontal="right" vertical="center"/>
    </xf>
    <xf numFmtId="0" fontId="1" fillId="0" borderId="0" applyNumberFormat="0" applyFill="0" applyBorder="0" applyAlignment="0" applyProtection="0"/>
    <xf numFmtId="49" fontId="35" fillId="0" borderId="437" applyNumberFormat="0" applyFont="0" applyFill="0" applyBorder="0" applyProtection="0">
      <alignment horizontal="left" vertical="center" indent="2"/>
    </xf>
    <xf numFmtId="49" fontId="35" fillId="0" borderId="438" applyNumberFormat="0" applyFont="0" applyFill="0" applyBorder="0" applyProtection="0">
      <alignment horizontal="left" vertical="center" indent="5"/>
    </xf>
    <xf numFmtId="0" fontId="35" fillId="33" borderId="462"/>
    <xf numFmtId="4" fontId="35" fillId="33" borderId="462"/>
    <xf numFmtId="4" fontId="33" fillId="32" borderId="471">
      <alignment horizontal="right" vertical="center"/>
    </xf>
    <xf numFmtId="0" fontId="33" fillId="34" borderId="446">
      <alignment horizontal="right" vertical="center"/>
    </xf>
    <xf numFmtId="4" fontId="37" fillId="32" borderId="444">
      <alignment horizontal="right" vertical="center"/>
    </xf>
    <xf numFmtId="0" fontId="47" fillId="56" borderId="441" applyNumberFormat="0" applyAlignment="0" applyProtection="0"/>
    <xf numFmtId="49" fontId="35" fillId="0" borderId="455" applyNumberFormat="0" applyFont="0" applyFill="0" applyBorder="0" applyProtection="0">
      <alignment horizontal="left" vertical="center" indent="5"/>
    </xf>
    <xf numFmtId="4" fontId="37" fillId="32" borderId="444">
      <alignment horizontal="right" vertical="center"/>
    </xf>
    <xf numFmtId="0" fontId="33" fillId="34" borderId="464">
      <alignment horizontal="right" vertical="center"/>
    </xf>
    <xf numFmtId="4" fontId="35" fillId="0" borderId="437" applyFill="0" applyBorder="0" applyProtection="0">
      <alignment horizontal="right" vertical="center"/>
    </xf>
    <xf numFmtId="49" fontId="34" fillId="0" borderId="437" applyNumberFormat="0" applyFill="0" applyBorder="0" applyProtection="0">
      <alignment horizontal="left" vertical="center"/>
    </xf>
    <xf numFmtId="49" fontId="34" fillId="0" borderId="462" applyNumberFormat="0" applyFill="0" applyBorder="0" applyProtection="0">
      <alignment horizontal="left" vertical="center"/>
    </xf>
    <xf numFmtId="0" fontId="63" fillId="56" borderId="448" applyNumberFormat="0" applyAlignment="0" applyProtection="0"/>
    <xf numFmtId="0" fontId="59" fillId="43" borderId="441" applyNumberFormat="0" applyAlignment="0" applyProtection="0"/>
    <xf numFmtId="0" fontId="5" fillId="59" borderId="443" applyNumberFormat="0" applyFont="0" applyAlignment="0" applyProtection="0"/>
    <xf numFmtId="4" fontId="35" fillId="0" borderId="444">
      <alignment horizontal="right" vertical="center"/>
    </xf>
    <xf numFmtId="4" fontId="33" fillId="32" borderId="444">
      <alignment horizontal="right" vertical="center"/>
    </xf>
    <xf numFmtId="0" fontId="66" fillId="0" borderId="460" applyNumberFormat="0" applyFill="0" applyAlignment="0" applyProtection="0"/>
    <xf numFmtId="0" fontId="51" fillId="0" borderId="442" applyNumberFormat="0" applyFill="0" applyAlignment="0" applyProtection="0"/>
    <xf numFmtId="0" fontId="46" fillId="56" borderId="441" applyNumberFormat="0" applyAlignment="0" applyProtection="0"/>
    <xf numFmtId="0" fontId="51" fillId="0" borderId="442" applyNumberFormat="0" applyFill="0" applyAlignment="0" applyProtection="0"/>
    <xf numFmtId="0" fontId="47" fillId="56" borderId="441" applyNumberFormat="0" applyAlignment="0" applyProtection="0"/>
    <xf numFmtId="0" fontId="51" fillId="0" borderId="460" applyNumberFormat="0" applyFill="0" applyAlignment="0" applyProtection="0"/>
    <xf numFmtId="0" fontId="35" fillId="0" borderId="457">
      <alignment horizontal="left" vertical="center" wrapText="1" indent="2"/>
    </xf>
    <xf numFmtId="173" fontId="35" fillId="60" borderId="462" applyNumberFormat="0" applyFont="0" applyBorder="0" applyAlignment="0" applyProtection="0">
      <alignment horizontal="right" vertical="center"/>
    </xf>
    <xf numFmtId="4" fontId="33" fillId="34" borderId="446">
      <alignment horizontal="right" vertical="center"/>
    </xf>
    <xf numFmtId="0" fontId="44" fillId="56" borderId="466" applyNumberFormat="0" applyAlignment="0" applyProtection="0"/>
    <xf numFmtId="0" fontId="12" fillId="19" borderId="0" applyNumberFormat="0" applyBorder="0" applyAlignment="0" applyProtection="0"/>
    <xf numFmtId="0" fontId="37" fillId="32" borderId="462">
      <alignment horizontal="right" vertical="center"/>
    </xf>
    <xf numFmtId="0" fontId="46" fillId="56" borderId="451" applyNumberFormat="0" applyAlignment="0" applyProtection="0"/>
    <xf numFmtId="4" fontId="33" fillId="34" borderId="463">
      <alignment horizontal="right" vertical="center"/>
    </xf>
    <xf numFmtId="0" fontId="5" fillId="59" borderId="443" applyNumberFormat="0" applyFont="0" applyAlignment="0" applyProtection="0"/>
    <xf numFmtId="0" fontId="33" fillId="34" borderId="496">
      <alignment horizontal="right" vertical="center"/>
    </xf>
    <xf numFmtId="0" fontId="50" fillId="43" borderId="468" applyNumberFormat="0" applyAlignment="0" applyProtection="0"/>
    <xf numFmtId="4" fontId="33" fillId="34" borderId="472">
      <alignment horizontal="right" vertical="center"/>
    </xf>
    <xf numFmtId="4" fontId="33" fillId="32" borderId="462">
      <alignment horizontal="right" vertical="center"/>
    </xf>
    <xf numFmtId="0" fontId="44" fillId="56" borderId="433" applyNumberFormat="0" applyAlignment="0" applyProtection="0"/>
    <xf numFmtId="0" fontId="46" fillId="56" borderId="434" applyNumberFormat="0" applyAlignment="0" applyProtection="0"/>
    <xf numFmtId="0" fontId="51" fillId="0" borderId="435" applyNumberFormat="0" applyFill="0" applyAlignment="0" applyProtection="0"/>
    <xf numFmtId="0" fontId="66" fillId="0" borderId="442" applyNumberFormat="0" applyFill="0" applyAlignment="0" applyProtection="0"/>
    <xf numFmtId="0" fontId="5" fillId="59" borderId="443" applyNumberFormat="0" applyFont="0" applyAlignment="0" applyProtection="0"/>
    <xf numFmtId="0" fontId="44" fillId="56" borderId="448" applyNumberFormat="0" applyAlignment="0" applyProtection="0"/>
    <xf numFmtId="0" fontId="29" fillId="13" borderId="14" applyNumberFormat="0" applyAlignment="0" applyProtection="0"/>
    <xf numFmtId="0" fontId="12" fillId="31" borderId="0" applyNumberFormat="0" applyBorder="0" applyAlignment="0" applyProtection="0"/>
    <xf numFmtId="0" fontId="41" fillId="59" borderId="461" applyNumberFormat="0" applyFont="0" applyAlignment="0" applyProtection="0"/>
    <xf numFmtId="4" fontId="33" fillId="34" borderId="444">
      <alignment horizontal="right" vertical="center"/>
    </xf>
    <xf numFmtId="49" fontId="34" fillId="0" borderId="444" applyNumberFormat="0" applyFill="0" applyBorder="0" applyProtection="0">
      <alignment horizontal="left" vertical="center"/>
    </xf>
    <xf numFmtId="0" fontId="27" fillId="17" borderId="0" applyNumberFormat="0" applyBorder="0" applyAlignment="0" applyProtection="0"/>
    <xf numFmtId="173" fontId="35" fillId="60" borderId="471" applyNumberFormat="0" applyFont="0" applyBorder="0" applyAlignment="0" applyProtection="0">
      <alignment horizontal="right" vertical="center"/>
    </xf>
    <xf numFmtId="0" fontId="27" fillId="20" borderId="0" applyNumberFormat="0" applyBorder="0" applyAlignment="0" applyProtection="0"/>
    <xf numFmtId="0" fontId="47" fillId="56" borderId="451" applyNumberFormat="0" applyAlignment="0" applyProtection="0"/>
    <xf numFmtId="4" fontId="35" fillId="0" borderId="494" applyFill="0" applyBorder="0" applyProtection="0">
      <alignment horizontal="right" vertical="center"/>
    </xf>
    <xf numFmtId="0" fontId="63" fillId="56" borderId="448" applyNumberFormat="0" applyAlignment="0" applyProtection="0"/>
    <xf numFmtId="0" fontId="35" fillId="32" borderId="445">
      <alignment horizontal="left" vertical="center"/>
    </xf>
    <xf numFmtId="4" fontId="33" fillId="32" borderId="454">
      <alignment horizontal="right" vertical="center"/>
    </xf>
    <xf numFmtId="0" fontId="35" fillId="34" borderId="447">
      <alignment horizontal="left" vertical="center" wrapText="1" indent="2"/>
    </xf>
    <xf numFmtId="4" fontId="33" fillId="34" borderId="446">
      <alignment horizontal="right" vertical="center"/>
    </xf>
    <xf numFmtId="0" fontId="33" fillId="34" borderId="444">
      <alignment horizontal="right" vertical="center"/>
    </xf>
    <xf numFmtId="4" fontId="33" fillId="34" borderId="473">
      <alignment horizontal="right" vertical="center"/>
    </xf>
    <xf numFmtId="4" fontId="35" fillId="0" borderId="462">
      <alignment horizontal="right" vertical="center"/>
    </xf>
    <xf numFmtId="0" fontId="37" fillId="32" borderId="462">
      <alignment horizontal="right" vertical="center"/>
    </xf>
    <xf numFmtId="0" fontId="27" fillId="17" borderId="0" applyNumberFormat="0" applyBorder="0" applyAlignment="0" applyProtection="0"/>
    <xf numFmtId="0" fontId="50" fillId="43" borderId="434" applyNumberFormat="0" applyAlignment="0" applyProtection="0"/>
    <xf numFmtId="0" fontId="41" fillId="59" borderId="443" applyNumberFormat="0" applyFont="0" applyAlignment="0" applyProtection="0"/>
    <xf numFmtId="0" fontId="35" fillId="0" borderId="465">
      <alignment horizontal="left" vertical="center" wrapText="1" indent="2"/>
    </xf>
    <xf numFmtId="49" fontId="34" fillId="0" borderId="471" applyNumberFormat="0" applyFill="0" applyBorder="0" applyProtection="0">
      <alignment horizontal="left" vertical="center"/>
    </xf>
    <xf numFmtId="49" fontId="35" fillId="0" borderId="462" applyNumberFormat="0" applyFont="0" applyFill="0" applyBorder="0" applyProtection="0">
      <alignment horizontal="left" vertical="center" indent="2"/>
    </xf>
    <xf numFmtId="0" fontId="35" fillId="0" borderId="462">
      <alignment horizontal="right" vertical="center"/>
    </xf>
    <xf numFmtId="0" fontId="33" fillId="32" borderId="494">
      <alignment horizontal="right" vertical="center"/>
    </xf>
    <xf numFmtId="0" fontId="51" fillId="0" borderId="442" applyNumberFormat="0" applyFill="0" applyAlignment="0" applyProtection="0"/>
    <xf numFmtId="4" fontId="33" fillId="34" borderId="445">
      <alignment horizontal="right" vertical="center"/>
    </xf>
    <xf numFmtId="0" fontId="27" fillId="17" borderId="0" applyNumberFormat="0" applyBorder="0" applyAlignment="0" applyProtection="0"/>
    <xf numFmtId="0" fontId="59" fillId="43" borderId="441" applyNumberFormat="0" applyAlignment="0" applyProtection="0"/>
    <xf numFmtId="0" fontId="35" fillId="34" borderId="474">
      <alignment horizontal="left" vertical="center" wrapText="1" indent="2"/>
    </xf>
    <xf numFmtId="0" fontId="66" fillId="0" borderId="460" applyNumberFormat="0" applyFill="0" applyAlignment="0" applyProtection="0"/>
    <xf numFmtId="4" fontId="33" fillId="34" borderId="462">
      <alignment horizontal="right" vertical="center"/>
    </xf>
    <xf numFmtId="4" fontId="35" fillId="33" borderId="471"/>
    <xf numFmtId="0" fontId="59" fillId="43" borderId="441" applyNumberFormat="0" applyAlignment="0" applyProtection="0"/>
    <xf numFmtId="0" fontId="35" fillId="34" borderId="447">
      <alignment horizontal="left" vertical="center" wrapText="1" indent="2"/>
    </xf>
    <xf numFmtId="0" fontId="51" fillId="0" borderId="442" applyNumberFormat="0" applyFill="0" applyAlignment="0" applyProtection="0"/>
    <xf numFmtId="4" fontId="35" fillId="33" borderId="444"/>
    <xf numFmtId="0" fontId="50" fillId="43" borderId="459" applyNumberFormat="0" applyAlignment="0" applyProtection="0"/>
    <xf numFmtId="0" fontId="35" fillId="34" borderId="440">
      <alignment horizontal="left" vertical="center" wrapText="1" indent="2"/>
    </xf>
    <xf numFmtId="0" fontId="35" fillId="0" borderId="440">
      <alignment horizontal="left" vertical="center" wrapText="1" indent="2"/>
    </xf>
    <xf numFmtId="0" fontId="30" fillId="13" borderId="13" applyNumberFormat="0" applyAlignment="0" applyProtection="0"/>
    <xf numFmtId="0" fontId="12" fillId="19" borderId="0" applyNumberFormat="0" applyBorder="0" applyAlignment="0" applyProtection="0"/>
    <xf numFmtId="0" fontId="46" fillId="56" borderId="441" applyNumberFormat="0" applyAlignment="0" applyProtection="0"/>
    <xf numFmtId="0" fontId="35" fillId="0" borderId="465">
      <alignment horizontal="left" vertical="center" wrapText="1" indent="2"/>
    </xf>
    <xf numFmtId="0" fontId="66" fillId="0" borderId="460" applyNumberFormat="0" applyFill="0" applyAlignment="0" applyProtection="0"/>
    <xf numFmtId="4" fontId="33" fillId="32" borderId="462">
      <alignment horizontal="right" vertical="center"/>
    </xf>
    <xf numFmtId="0" fontId="50" fillId="43" borderId="476" applyNumberFormat="0" applyAlignment="0" applyProtection="0"/>
    <xf numFmtId="173" fontId="35" fillId="60" borderId="462" applyNumberFormat="0" applyFont="0" applyBorder="0" applyAlignment="0" applyProtection="0">
      <alignment horizontal="right" vertical="center"/>
    </xf>
    <xf numFmtId="0" fontId="47" fillId="56" borderId="468" applyNumberFormat="0" applyAlignment="0" applyProtection="0"/>
    <xf numFmtId="0" fontId="12" fillId="28" borderId="0" applyNumberFormat="0" applyBorder="0" applyAlignment="0" applyProtection="0"/>
    <xf numFmtId="0" fontId="46" fillId="56" borderId="441" applyNumberFormat="0" applyAlignment="0" applyProtection="0"/>
    <xf numFmtId="0" fontId="59" fillId="43" borderId="459" applyNumberFormat="0" applyAlignment="0" applyProtection="0"/>
    <xf numFmtId="0" fontId="59" fillId="43" borderId="459" applyNumberFormat="0" applyAlignment="0" applyProtection="0"/>
    <xf numFmtId="4" fontId="33" fillId="34" borderId="454">
      <alignment horizontal="right" vertical="center"/>
    </xf>
    <xf numFmtId="0" fontId="27" fillId="15" borderId="0" applyNumberFormat="0" applyBorder="0" applyAlignment="0" applyProtection="0"/>
    <xf numFmtId="4" fontId="33" fillId="34" borderId="446">
      <alignment horizontal="right" vertical="center"/>
    </xf>
    <xf numFmtId="4" fontId="33" fillId="34" borderId="445">
      <alignment horizontal="right" vertical="center"/>
    </xf>
    <xf numFmtId="0" fontId="41" fillId="59" borderId="443" applyNumberFormat="0" applyFont="0" applyAlignment="0" applyProtection="0"/>
    <xf numFmtId="0" fontId="51" fillId="0" borderId="442" applyNumberFormat="0" applyFill="0" applyAlignment="0" applyProtection="0"/>
    <xf numFmtId="49" fontId="35" fillId="0" borderId="444" applyNumberFormat="0" applyFont="0" applyFill="0" applyBorder="0" applyProtection="0">
      <alignment horizontal="left" vertical="center" indent="2"/>
    </xf>
    <xf numFmtId="0" fontId="66" fillId="0" borderId="442" applyNumberFormat="0" applyFill="0" applyAlignment="0" applyProtection="0"/>
    <xf numFmtId="49" fontId="34" fillId="0" borderId="462" applyNumberFormat="0" applyFill="0" applyBorder="0" applyProtection="0">
      <alignment horizontal="left" vertical="center"/>
    </xf>
    <xf numFmtId="4" fontId="33" fillId="34" borderId="446">
      <alignment horizontal="right" vertical="center"/>
    </xf>
    <xf numFmtId="0" fontId="35" fillId="0" borderId="444" applyNumberFormat="0" applyFill="0" applyAlignment="0" applyProtection="0"/>
    <xf numFmtId="0" fontId="47" fillId="56" borderId="441" applyNumberFormat="0" applyAlignment="0" applyProtection="0"/>
    <xf numFmtId="0" fontId="35" fillId="34" borderId="447">
      <alignment horizontal="left" vertical="center" wrapText="1" indent="2"/>
    </xf>
    <xf numFmtId="4" fontId="37" fillId="32" borderId="444">
      <alignment horizontal="right" vertical="center"/>
    </xf>
    <xf numFmtId="0" fontId="35" fillId="0" borderId="444" applyNumberFormat="0" applyFill="0" applyAlignment="0" applyProtection="0"/>
    <xf numFmtId="0" fontId="66" fillId="0" borderId="442" applyNumberFormat="0" applyFill="0" applyAlignment="0" applyProtection="0"/>
    <xf numFmtId="4" fontId="33" fillId="34" borderId="446">
      <alignment horizontal="right" vertical="center"/>
    </xf>
    <xf numFmtId="0" fontId="63" fillId="56" borderId="448" applyNumberFormat="0" applyAlignment="0" applyProtection="0"/>
    <xf numFmtId="0" fontId="59" fillId="43" borderId="441" applyNumberFormat="0" applyAlignment="0" applyProtection="0"/>
    <xf numFmtId="0" fontId="33" fillId="32" borderId="444">
      <alignment horizontal="right" vertical="center"/>
    </xf>
    <xf numFmtId="0" fontId="33" fillId="34" borderId="444">
      <alignment horizontal="right" vertical="center"/>
    </xf>
    <xf numFmtId="0" fontId="41" fillId="59" borderId="443" applyNumberFormat="0" applyFont="0" applyAlignment="0" applyProtection="0"/>
    <xf numFmtId="0" fontId="1" fillId="0" borderId="0" applyNumberFormat="0" applyFill="0" applyBorder="0" applyAlignment="0" applyProtection="0"/>
    <xf numFmtId="49" fontId="35" fillId="0" borderId="445" applyNumberFormat="0" applyFont="0" applyFill="0" applyBorder="0" applyProtection="0">
      <alignment horizontal="left" vertical="center" indent="5"/>
    </xf>
    <xf numFmtId="0" fontId="51" fillId="0" borderId="442" applyNumberFormat="0" applyFill="0" applyAlignment="0" applyProtection="0"/>
    <xf numFmtId="0" fontId="35" fillId="0" borderId="447">
      <alignment horizontal="left" vertical="center" wrapText="1" indent="2"/>
    </xf>
    <xf numFmtId="0" fontId="50" fillId="43" borderId="441" applyNumberFormat="0" applyAlignment="0" applyProtection="0"/>
    <xf numFmtId="0" fontId="59" fillId="43" borderId="476" applyNumberFormat="0" applyAlignment="0" applyProtection="0"/>
    <xf numFmtId="0" fontId="35" fillId="33" borderId="444"/>
    <xf numFmtId="4" fontId="35" fillId="0" borderId="444">
      <alignment horizontal="right" vertical="center"/>
    </xf>
    <xf numFmtId="0" fontId="27" fillId="24" borderId="0" applyNumberFormat="0" applyBorder="0" applyAlignment="0" applyProtection="0"/>
    <xf numFmtId="0" fontId="27" fillId="30" borderId="0" applyNumberFormat="0" applyBorder="0" applyAlignment="0" applyProtection="0"/>
    <xf numFmtId="0" fontId="41" fillId="59" borderId="483" applyNumberFormat="0" applyFont="0" applyAlignment="0" applyProtection="0"/>
    <xf numFmtId="0" fontId="12" fillId="16" borderId="0" applyNumberFormat="0" applyBorder="0" applyAlignment="0" applyProtection="0"/>
    <xf numFmtId="0" fontId="27" fillId="20" borderId="0" applyNumberFormat="0" applyBorder="0" applyAlignment="0" applyProtection="0"/>
    <xf numFmtId="0" fontId="12" fillId="25" borderId="0" applyNumberFormat="0" applyBorder="0" applyAlignment="0" applyProtection="0"/>
    <xf numFmtId="0" fontId="1" fillId="0" borderId="0" applyNumberFormat="0" applyFill="0" applyBorder="0" applyAlignment="0" applyProtection="0"/>
    <xf numFmtId="0" fontId="27" fillId="23" borderId="0" applyNumberFormat="0" applyBorder="0" applyAlignment="0" applyProtection="0"/>
    <xf numFmtId="0" fontId="35" fillId="0" borderId="471" applyNumberFormat="0" applyFill="0" applyAlignment="0" applyProtection="0"/>
    <xf numFmtId="0" fontId="27" fillId="20" borderId="0" applyNumberFormat="0" applyBorder="0" applyAlignment="0" applyProtection="0"/>
    <xf numFmtId="0" fontId="27" fillId="18" borderId="0" applyNumberFormat="0" applyBorder="0" applyAlignment="0" applyProtection="0"/>
    <xf numFmtId="4" fontId="33" fillId="34" borderId="456">
      <alignment horizontal="right" vertical="center"/>
    </xf>
    <xf numFmtId="4" fontId="33" fillId="34" borderId="463">
      <alignment horizontal="right" vertical="center"/>
    </xf>
    <xf numFmtId="0" fontId="31" fillId="0" borderId="0" applyNumberFormat="0" applyFill="0" applyBorder="0" applyAlignment="0" applyProtection="0"/>
    <xf numFmtId="0" fontId="2" fillId="0" borderId="15" applyNumberFormat="0" applyFill="0" applyAlignment="0" applyProtection="0"/>
    <xf numFmtId="0" fontId="1" fillId="0" borderId="0" applyNumberFormat="0" applyFill="0" applyBorder="0" applyAlignment="0" applyProtection="0"/>
    <xf numFmtId="0" fontId="35" fillId="33" borderId="462"/>
    <xf numFmtId="0" fontId="29" fillId="13" borderId="14" applyNumberFormat="0" applyAlignment="0" applyProtection="0"/>
    <xf numFmtId="0" fontId="27" fillId="14" borderId="0" applyNumberFormat="0" applyBorder="0" applyAlignment="0" applyProtection="0"/>
    <xf numFmtId="4" fontId="37" fillId="32" borderId="471">
      <alignment horizontal="right" vertical="center"/>
    </xf>
    <xf numFmtId="0" fontId="1" fillId="0" borderId="0" applyNumberFormat="0" applyFill="0" applyBorder="0" applyAlignment="0" applyProtection="0"/>
    <xf numFmtId="0" fontId="50" fillId="43" borderId="468" applyNumberFormat="0" applyAlignment="0" applyProtection="0"/>
    <xf numFmtId="0" fontId="5" fillId="59" borderId="461" applyNumberFormat="0" applyFont="0" applyAlignment="0" applyProtection="0"/>
    <xf numFmtId="0" fontId="35" fillId="33" borderId="462"/>
    <xf numFmtId="0" fontId="2" fillId="0" borderId="15" applyNumberFormat="0" applyFill="0" applyAlignment="0" applyProtection="0"/>
    <xf numFmtId="4" fontId="33" fillId="34" borderId="437">
      <alignment horizontal="right" vertical="center"/>
    </xf>
    <xf numFmtId="0" fontId="35" fillId="33" borderId="437"/>
    <xf numFmtId="0" fontId="46" fillId="56" borderId="434" applyNumberFormat="0" applyAlignment="0" applyProtection="0"/>
    <xf numFmtId="0" fontId="33" fillId="32" borderId="437">
      <alignment horizontal="right" vertical="center"/>
    </xf>
    <xf numFmtId="0" fontId="35" fillId="0" borderId="437">
      <alignment horizontal="right" vertical="center"/>
    </xf>
    <xf numFmtId="0" fontId="66" fillId="0" borderId="435" applyNumberFormat="0" applyFill="0" applyAlignment="0" applyProtection="0"/>
    <xf numFmtId="0" fontId="35" fillId="32" borderId="438">
      <alignment horizontal="left" vertical="center"/>
    </xf>
    <xf numFmtId="0" fontId="59" fillId="43" borderId="434" applyNumberFormat="0" applyAlignment="0" applyProtection="0"/>
    <xf numFmtId="173" fontId="35" fillId="60" borderId="437" applyNumberFormat="0" applyFont="0" applyBorder="0" applyAlignment="0" applyProtection="0">
      <alignment horizontal="right" vertical="center"/>
    </xf>
    <xf numFmtId="0" fontId="41" fillId="59" borderId="436" applyNumberFormat="0" applyFont="0" applyAlignment="0" applyProtection="0"/>
    <xf numFmtId="0" fontId="35" fillId="0" borderId="440">
      <alignment horizontal="left" vertical="center" wrapText="1" indent="2"/>
    </xf>
    <xf numFmtId="4" fontId="35" fillId="33" borderId="437"/>
    <xf numFmtId="49" fontId="34" fillId="0" borderId="437" applyNumberFormat="0" applyFill="0" applyBorder="0" applyProtection="0">
      <alignment horizontal="left" vertical="center"/>
    </xf>
    <xf numFmtId="0" fontId="35" fillId="0" borderId="437">
      <alignment horizontal="right" vertical="center"/>
    </xf>
    <xf numFmtId="4" fontId="33" fillId="34" borderId="439">
      <alignment horizontal="right" vertical="center"/>
    </xf>
    <xf numFmtId="4" fontId="33" fillId="34" borderId="437">
      <alignment horizontal="right" vertical="center"/>
    </xf>
    <xf numFmtId="4" fontId="33" fillId="34" borderId="437">
      <alignment horizontal="right" vertical="center"/>
    </xf>
    <xf numFmtId="0" fontId="37" fillId="32" borderId="437">
      <alignment horizontal="right" vertical="center"/>
    </xf>
    <xf numFmtId="0" fontId="33" fillId="32" borderId="437">
      <alignment horizontal="right" vertical="center"/>
    </xf>
    <xf numFmtId="49" fontId="35" fillId="0" borderId="437" applyNumberFormat="0" applyFont="0" applyFill="0" applyBorder="0" applyProtection="0">
      <alignment horizontal="left" vertical="center" indent="2"/>
    </xf>
    <xf numFmtId="0" fontId="59" fillId="43" borderId="434" applyNumberFormat="0" applyAlignment="0" applyProtection="0"/>
    <xf numFmtId="0" fontId="44" fillId="56" borderId="433" applyNumberFormat="0" applyAlignment="0" applyProtection="0"/>
    <xf numFmtId="49" fontId="35" fillId="0" borderId="437" applyNumberFormat="0" applyFont="0" applyFill="0" applyBorder="0" applyProtection="0">
      <alignment horizontal="left" vertical="center" indent="2"/>
    </xf>
    <xf numFmtId="0" fontId="50" fillId="43" borderId="434" applyNumberFormat="0" applyAlignment="0" applyProtection="0"/>
    <xf numFmtId="4" fontId="35" fillId="0" borderId="437" applyFill="0" applyBorder="0" applyProtection="0">
      <alignment horizontal="right" vertical="center"/>
    </xf>
    <xf numFmtId="0" fontId="47" fillId="56" borderId="434" applyNumberFormat="0" applyAlignment="0" applyProtection="0"/>
    <xf numFmtId="0" fontId="66" fillId="0" borderId="435" applyNumberFormat="0" applyFill="0" applyAlignment="0" applyProtection="0"/>
    <xf numFmtId="0" fontId="63" fillId="56" borderId="433" applyNumberFormat="0" applyAlignment="0" applyProtection="0"/>
    <xf numFmtId="0" fontId="35" fillId="0" borderId="437" applyNumberFormat="0" applyFill="0" applyAlignment="0" applyProtection="0"/>
    <xf numFmtId="4" fontId="35" fillId="0" borderId="437">
      <alignment horizontal="right" vertical="center"/>
    </xf>
    <xf numFmtId="0" fontId="35" fillId="0" borderId="437">
      <alignment horizontal="right" vertical="center"/>
    </xf>
    <xf numFmtId="0" fontId="59" fillId="43" borderId="434" applyNumberFormat="0" applyAlignment="0" applyProtection="0"/>
    <xf numFmtId="0" fontId="44" fillId="56" borderId="433" applyNumberFormat="0" applyAlignment="0" applyProtection="0"/>
    <xf numFmtId="0" fontId="46" fillId="56" borderId="434" applyNumberFormat="0" applyAlignment="0" applyProtection="0"/>
    <xf numFmtId="0" fontId="35" fillId="34" borderId="440">
      <alignment horizontal="left" vertical="center" wrapText="1" indent="2"/>
    </xf>
    <xf numFmtId="0" fontId="47" fillId="56" borderId="434" applyNumberFormat="0" applyAlignment="0" applyProtection="0"/>
    <xf numFmtId="0" fontId="47" fillId="56" borderId="434" applyNumberFormat="0" applyAlignment="0" applyProtection="0"/>
    <xf numFmtId="4" fontId="33" fillId="34" borderId="438">
      <alignment horizontal="right" vertical="center"/>
    </xf>
    <xf numFmtId="0" fontId="33" fillId="34" borderId="438">
      <alignment horizontal="right" vertical="center"/>
    </xf>
    <xf numFmtId="0" fontId="33" fillId="34" borderId="437">
      <alignment horizontal="right" vertical="center"/>
    </xf>
    <xf numFmtId="4" fontId="37" fillId="32" borderId="437">
      <alignment horizontal="right" vertical="center"/>
    </xf>
    <xf numFmtId="0" fontId="50" fillId="43" borderId="434" applyNumberFormat="0" applyAlignment="0" applyProtection="0"/>
    <xf numFmtId="0" fontId="51" fillId="0" borderId="435" applyNumberFormat="0" applyFill="0" applyAlignment="0" applyProtection="0"/>
    <xf numFmtId="0" fontId="66" fillId="0" borderId="435" applyNumberFormat="0" applyFill="0" applyAlignment="0" applyProtection="0"/>
    <xf numFmtId="0" fontId="41" fillId="59" borderId="436" applyNumberFormat="0" applyFont="0" applyAlignment="0" applyProtection="0"/>
    <xf numFmtId="0" fontId="59" fillId="43" borderId="434" applyNumberFormat="0" applyAlignment="0" applyProtection="0"/>
    <xf numFmtId="49" fontId="34" fillId="0" borderId="437" applyNumberFormat="0" applyFill="0" applyBorder="0" applyProtection="0">
      <alignment horizontal="left" vertical="center"/>
    </xf>
    <xf numFmtId="0" fontId="35" fillId="34" borderId="440">
      <alignment horizontal="left" vertical="center" wrapText="1" indent="2"/>
    </xf>
    <xf numFmtId="0" fontId="47" fillId="56" borderId="434" applyNumberFormat="0" applyAlignment="0" applyProtection="0"/>
    <xf numFmtId="0" fontId="35" fillId="0" borderId="440">
      <alignment horizontal="left" vertical="center" wrapText="1" indent="2"/>
    </xf>
    <xf numFmtId="0" fontId="41" fillId="59" borderId="436" applyNumberFormat="0" applyFont="0" applyAlignment="0" applyProtection="0"/>
    <xf numFmtId="0" fontId="5" fillId="59" borderId="436" applyNumberFormat="0" applyFont="0" applyAlignment="0" applyProtection="0"/>
    <xf numFmtId="0" fontId="63" fillId="56" borderId="433" applyNumberFormat="0" applyAlignment="0" applyProtection="0"/>
    <xf numFmtId="0" fontId="66" fillId="0" borderId="435" applyNumberFormat="0" applyFill="0" applyAlignment="0" applyProtection="0"/>
    <xf numFmtId="4" fontId="35" fillId="33" borderId="437"/>
    <xf numFmtId="0" fontId="33" fillId="34" borderId="437">
      <alignment horizontal="right" vertical="center"/>
    </xf>
    <xf numFmtId="0" fontId="66" fillId="0" borderId="435" applyNumberFormat="0" applyFill="0" applyAlignment="0" applyProtection="0"/>
    <xf numFmtId="4" fontId="33" fillId="34" borderId="439">
      <alignment horizontal="right" vertical="center"/>
    </xf>
    <xf numFmtId="0" fontId="46" fillId="56" borderId="434" applyNumberFormat="0" applyAlignment="0" applyProtection="0"/>
    <xf numFmtId="0" fontId="33" fillId="34" borderId="438">
      <alignment horizontal="right" vertical="center"/>
    </xf>
    <xf numFmtId="0" fontId="47" fillId="56" borderId="434" applyNumberFormat="0" applyAlignment="0" applyProtection="0"/>
    <xf numFmtId="0" fontId="51" fillId="0" borderId="435" applyNumberFormat="0" applyFill="0" applyAlignment="0" applyProtection="0"/>
    <xf numFmtId="0" fontId="41" fillId="59" borderId="436" applyNumberFormat="0" applyFont="0" applyAlignment="0" applyProtection="0"/>
    <xf numFmtId="4" fontId="33" fillId="34" borderId="438">
      <alignment horizontal="right" vertical="center"/>
    </xf>
    <xf numFmtId="0" fontId="35" fillId="34" borderId="440">
      <alignment horizontal="left" vertical="center" wrapText="1" indent="2"/>
    </xf>
    <xf numFmtId="0" fontId="35" fillId="33" borderId="437"/>
    <xf numFmtId="173" fontId="35" fillId="60" borderId="437" applyNumberFormat="0" applyFont="0" applyBorder="0" applyAlignment="0" applyProtection="0">
      <alignment horizontal="right" vertical="center"/>
    </xf>
    <xf numFmtId="0" fontId="35" fillId="0" borderId="437" applyNumberFormat="0" applyFill="0" applyAlignment="0" applyProtection="0"/>
    <xf numFmtId="4" fontId="35" fillId="0" borderId="437" applyFill="0" applyBorder="0" applyProtection="0">
      <alignment horizontal="right" vertical="center"/>
    </xf>
    <xf numFmtId="4" fontId="33" fillId="32" borderId="437">
      <alignment horizontal="right" vertical="center"/>
    </xf>
    <xf numFmtId="0" fontId="51" fillId="0" borderId="435" applyNumberFormat="0" applyFill="0" applyAlignment="0" applyProtection="0"/>
    <xf numFmtId="49" fontId="34" fillId="0" borderId="437" applyNumberFormat="0" applyFill="0" applyBorder="0" applyProtection="0">
      <alignment horizontal="left" vertical="center"/>
    </xf>
    <xf numFmtId="49" fontId="35" fillId="0" borderId="438" applyNumberFormat="0" applyFont="0" applyFill="0" applyBorder="0" applyProtection="0">
      <alignment horizontal="left" vertical="center" indent="5"/>
    </xf>
    <xf numFmtId="0" fontId="35" fillId="32" borderId="438">
      <alignment horizontal="left" vertical="center"/>
    </xf>
    <xf numFmtId="0" fontId="47" fillId="56" borderId="434" applyNumberFormat="0" applyAlignment="0" applyProtection="0"/>
    <xf numFmtId="4" fontId="33" fillId="34" borderId="439">
      <alignment horizontal="right" vertical="center"/>
    </xf>
    <xf numFmtId="0" fontId="59" fillId="43" borderId="434" applyNumberFormat="0" applyAlignment="0" applyProtection="0"/>
    <xf numFmtId="0" fontId="59" fillId="43" borderId="434" applyNumberFormat="0" applyAlignment="0" applyProtection="0"/>
    <xf numFmtId="0" fontId="41" fillId="59" borderId="436" applyNumberFormat="0" applyFont="0" applyAlignment="0" applyProtection="0"/>
    <xf numFmtId="0" fontId="63" fillId="56" borderId="433" applyNumberFormat="0" applyAlignment="0" applyProtection="0"/>
    <xf numFmtId="0" fontId="66" fillId="0" borderId="435" applyNumberFormat="0" applyFill="0" applyAlignment="0" applyProtection="0"/>
    <xf numFmtId="0" fontId="33" fillId="34" borderId="437">
      <alignment horizontal="right" vertical="center"/>
    </xf>
    <xf numFmtId="0" fontId="5" fillId="59" borderId="436" applyNumberFormat="0" applyFont="0" applyAlignment="0" applyProtection="0"/>
    <xf numFmtId="4" fontId="35" fillId="0" borderId="437">
      <alignment horizontal="right" vertical="center"/>
    </xf>
    <xf numFmtId="0" fontId="66" fillId="0" borderId="435" applyNumberFormat="0" applyFill="0" applyAlignment="0" applyProtection="0"/>
    <xf numFmtId="0" fontId="33" fillId="34" borderId="437">
      <alignment horizontal="right" vertical="center"/>
    </xf>
    <xf numFmtId="0" fontId="33" fillId="34" borderId="437">
      <alignment horizontal="right" vertical="center"/>
    </xf>
    <xf numFmtId="4" fontId="37" fillId="32" borderId="437">
      <alignment horizontal="right" vertical="center"/>
    </xf>
    <xf numFmtId="0" fontId="33" fillId="32" borderId="437">
      <alignment horizontal="right" vertical="center"/>
    </xf>
    <xf numFmtId="4" fontId="33" fillId="32" borderId="437">
      <alignment horizontal="right" vertical="center"/>
    </xf>
    <xf numFmtId="0" fontId="37" fillId="32" borderId="437">
      <alignment horizontal="right" vertical="center"/>
    </xf>
    <xf numFmtId="4" fontId="37" fillId="32" borderId="437">
      <alignment horizontal="right" vertical="center"/>
    </xf>
    <xf numFmtId="0" fontId="33" fillId="34" borderId="437">
      <alignment horizontal="right" vertical="center"/>
    </xf>
    <xf numFmtId="4" fontId="33" fillId="34" borderId="437">
      <alignment horizontal="right" vertical="center"/>
    </xf>
    <xf numFmtId="0" fontId="33" fillId="34" borderId="437">
      <alignment horizontal="right" vertical="center"/>
    </xf>
    <xf numFmtId="4" fontId="33" fillId="34" borderId="437">
      <alignment horizontal="right" vertical="center"/>
    </xf>
    <xf numFmtId="0" fontId="33" fillId="34" borderId="438">
      <alignment horizontal="right" vertical="center"/>
    </xf>
    <xf numFmtId="4" fontId="33" fillId="34" borderId="438">
      <alignment horizontal="right" vertical="center"/>
    </xf>
    <xf numFmtId="0" fontId="33" fillId="34" borderId="439">
      <alignment horizontal="right" vertical="center"/>
    </xf>
    <xf numFmtId="4" fontId="33" fillId="34" borderId="439">
      <alignment horizontal="right" vertical="center"/>
    </xf>
    <xf numFmtId="0" fontId="47" fillId="56" borderId="434" applyNumberFormat="0" applyAlignment="0" applyProtection="0"/>
    <xf numFmtId="0" fontId="35" fillId="34" borderId="440">
      <alignment horizontal="left" vertical="center" wrapText="1" indent="2"/>
    </xf>
    <xf numFmtId="0" fontId="35" fillId="0" borderId="440">
      <alignment horizontal="left" vertical="center" wrapText="1" indent="2"/>
    </xf>
    <xf numFmtId="0" fontId="35" fillId="32" borderId="438">
      <alignment horizontal="left" vertical="center"/>
    </xf>
    <xf numFmtId="0" fontId="59" fillId="43" borderId="434" applyNumberFormat="0" applyAlignment="0" applyProtection="0"/>
    <xf numFmtId="0" fontId="35" fillId="0" borderId="437">
      <alignment horizontal="right" vertical="center"/>
    </xf>
    <xf numFmtId="4" fontId="35" fillId="0" borderId="437">
      <alignment horizontal="right" vertical="center"/>
    </xf>
    <xf numFmtId="0" fontId="35" fillId="0" borderId="437" applyNumberFormat="0" applyFill="0" applyAlignment="0" applyProtection="0"/>
    <xf numFmtId="0" fontId="63" fillId="56" borderId="433" applyNumberFormat="0" applyAlignment="0" applyProtection="0"/>
    <xf numFmtId="173" fontId="35" fillId="60" borderId="437" applyNumberFormat="0" applyFont="0" applyBorder="0" applyAlignment="0" applyProtection="0">
      <alignment horizontal="right" vertical="center"/>
    </xf>
    <xf numFmtId="0" fontId="35" fillId="33" borderId="437"/>
    <xf numFmtId="4" fontId="35" fillId="33" borderId="437"/>
    <xf numFmtId="0" fontId="66" fillId="0" borderId="435" applyNumberFormat="0" applyFill="0" applyAlignment="0" applyProtection="0"/>
    <xf numFmtId="0" fontId="5" fillId="59" borderId="436" applyNumberFormat="0" applyFont="0" applyAlignment="0" applyProtection="0"/>
    <xf numFmtId="0" fontId="41" fillId="59" borderId="436" applyNumberFormat="0" applyFont="0" applyAlignment="0" applyProtection="0"/>
    <xf numFmtId="0" fontId="35" fillId="0" borderId="437" applyNumberFormat="0" applyFill="0" applyAlignment="0" applyProtection="0"/>
    <xf numFmtId="0" fontId="51" fillId="0" borderId="435" applyNumberFormat="0" applyFill="0" applyAlignment="0" applyProtection="0"/>
    <xf numFmtId="0" fontId="66" fillId="0" borderId="435" applyNumberFormat="0" applyFill="0" applyAlignment="0" applyProtection="0"/>
    <xf numFmtId="0" fontId="50" fillId="43" borderId="434" applyNumberFormat="0" applyAlignment="0" applyProtection="0"/>
    <xf numFmtId="0" fontId="47" fillId="56" borderId="434" applyNumberFormat="0" applyAlignment="0" applyProtection="0"/>
    <xf numFmtId="4" fontId="37" fillId="32" borderId="437">
      <alignment horizontal="right" vertical="center"/>
    </xf>
    <xf numFmtId="0" fontId="33" fillId="32" borderId="437">
      <alignment horizontal="right" vertical="center"/>
    </xf>
    <xf numFmtId="173" fontId="35" fillId="60" borderId="437" applyNumberFormat="0" applyFont="0" applyBorder="0" applyAlignment="0" applyProtection="0">
      <alignment horizontal="right" vertical="center"/>
    </xf>
    <xf numFmtId="0" fontId="51" fillId="0" borderId="435" applyNumberFormat="0" applyFill="0" applyAlignment="0" applyProtection="0"/>
    <xf numFmtId="49" fontId="35" fillId="0" borderId="437" applyNumberFormat="0" applyFont="0" applyFill="0" applyBorder="0" applyProtection="0">
      <alignment horizontal="left" vertical="center" indent="2"/>
    </xf>
    <xf numFmtId="49" fontId="35" fillId="0" borderId="438" applyNumberFormat="0" applyFont="0" applyFill="0" applyBorder="0" applyProtection="0">
      <alignment horizontal="left" vertical="center" indent="5"/>
    </xf>
    <xf numFmtId="49" fontId="35" fillId="0" borderId="437" applyNumberFormat="0" applyFont="0" applyFill="0" applyBorder="0" applyProtection="0">
      <alignment horizontal="left" vertical="center" indent="2"/>
    </xf>
    <xf numFmtId="4" fontId="35" fillId="0" borderId="437" applyFill="0" applyBorder="0" applyProtection="0">
      <alignment horizontal="right" vertical="center"/>
    </xf>
    <xf numFmtId="49" fontId="34" fillId="0" borderId="437" applyNumberFormat="0" applyFill="0" applyBorder="0" applyProtection="0">
      <alignment horizontal="left" vertical="center"/>
    </xf>
    <xf numFmtId="0" fontId="35" fillId="0" borderId="440">
      <alignment horizontal="left" vertical="center" wrapText="1" indent="2"/>
    </xf>
    <xf numFmtId="0" fontId="63" fillId="56" borderId="433" applyNumberFormat="0" applyAlignment="0" applyProtection="0"/>
    <xf numFmtId="0" fontId="33" fillId="34" borderId="439">
      <alignment horizontal="right" vertical="center"/>
    </xf>
    <xf numFmtId="0" fontId="50" fillId="43" borderId="434" applyNumberFormat="0" applyAlignment="0" applyProtection="0"/>
    <xf numFmtId="0" fontId="33" fillId="34" borderId="439">
      <alignment horizontal="right" vertical="center"/>
    </xf>
    <xf numFmtId="4" fontId="33" fillId="34" borderId="437">
      <alignment horizontal="right" vertical="center"/>
    </xf>
    <xf numFmtId="0" fontId="33" fillId="34" borderId="437">
      <alignment horizontal="right" vertical="center"/>
    </xf>
    <xf numFmtId="0" fontId="44" fillId="56" borderId="433" applyNumberFormat="0" applyAlignment="0" applyProtection="0"/>
    <xf numFmtId="0" fontId="46" fillId="56" borderId="434" applyNumberFormat="0" applyAlignment="0" applyProtection="0"/>
    <xf numFmtId="0" fontId="51" fillId="0" borderId="435" applyNumberFormat="0" applyFill="0" applyAlignment="0" applyProtection="0"/>
    <xf numFmtId="0" fontId="35" fillId="33" borderId="437"/>
    <xf numFmtId="4" fontId="35" fillId="33" borderId="437"/>
    <xf numFmtId="4" fontId="33" fillId="34" borderId="437">
      <alignment horizontal="right" vertical="center"/>
    </xf>
    <xf numFmtId="0" fontId="37" fillId="32" borderId="437">
      <alignment horizontal="right" vertical="center"/>
    </xf>
    <xf numFmtId="0" fontId="50" fillId="43" borderId="434" applyNumberFormat="0" applyAlignment="0" applyProtection="0"/>
    <xf numFmtId="0" fontId="47" fillId="56" borderId="434" applyNumberFormat="0" applyAlignment="0" applyProtection="0"/>
    <xf numFmtId="4" fontId="35" fillId="0" borderId="437">
      <alignment horizontal="right" vertical="center"/>
    </xf>
    <xf numFmtId="0" fontId="35" fillId="34" borderId="440">
      <alignment horizontal="left" vertical="center" wrapText="1" indent="2"/>
    </xf>
    <xf numFmtId="0" fontId="35" fillId="0" borderId="440">
      <alignment horizontal="left" vertical="center" wrapText="1" indent="2"/>
    </xf>
    <xf numFmtId="0" fontId="63" fillId="56" borderId="433" applyNumberFormat="0" applyAlignment="0" applyProtection="0"/>
    <xf numFmtId="0" fontId="59" fillId="43" borderId="434" applyNumberFormat="0" applyAlignment="0" applyProtection="0"/>
    <xf numFmtId="0" fontId="46" fillId="56" borderId="434" applyNumberFormat="0" applyAlignment="0" applyProtection="0"/>
    <xf numFmtId="0" fontId="44" fillId="56" borderId="433" applyNumberFormat="0" applyAlignment="0" applyProtection="0"/>
    <xf numFmtId="0" fontId="33" fillId="34" borderId="439">
      <alignment horizontal="right" vertical="center"/>
    </xf>
    <xf numFmtId="0" fontId="37" fillId="32" borderId="437">
      <alignment horizontal="right" vertical="center"/>
    </xf>
    <xf numFmtId="4" fontId="33" fillId="32" borderId="437">
      <alignment horizontal="right" vertical="center"/>
    </xf>
    <xf numFmtId="4" fontId="33" fillId="34" borderId="437">
      <alignment horizontal="right" vertical="center"/>
    </xf>
    <xf numFmtId="49" fontId="35" fillId="0" borderId="438" applyNumberFormat="0" applyFont="0" applyFill="0" applyBorder="0" applyProtection="0">
      <alignment horizontal="left" vertical="center" indent="5"/>
    </xf>
    <xf numFmtId="4" fontId="35" fillId="0" borderId="437" applyFill="0" applyBorder="0" applyProtection="0">
      <alignment horizontal="right" vertical="center"/>
    </xf>
    <xf numFmtId="4" fontId="33" fillId="32" borderId="437">
      <alignment horizontal="right" vertical="center"/>
    </xf>
    <xf numFmtId="0" fontId="30" fillId="13" borderId="13" applyNumberFormat="0" applyAlignment="0" applyProtection="0"/>
    <xf numFmtId="0" fontId="59" fillId="43" borderId="434" applyNumberFormat="0" applyAlignment="0" applyProtection="0"/>
    <xf numFmtId="0" fontId="50" fillId="43" borderId="434" applyNumberFormat="0" applyAlignment="0" applyProtection="0"/>
    <xf numFmtId="0" fontId="46" fillId="56" borderId="434" applyNumberFormat="0" applyAlignment="0" applyProtection="0"/>
    <xf numFmtId="0" fontId="35" fillId="34" borderId="440">
      <alignment horizontal="left" vertical="center" wrapText="1" indent="2"/>
    </xf>
    <xf numFmtId="0" fontId="35" fillId="0" borderId="440">
      <alignment horizontal="left" vertical="center" wrapText="1" indent="2"/>
    </xf>
    <xf numFmtId="0" fontId="35" fillId="34" borderId="440">
      <alignment horizontal="left" vertical="center" wrapText="1" indent="2"/>
    </xf>
    <xf numFmtId="0" fontId="35" fillId="0" borderId="440">
      <alignment horizontal="left" vertical="center" wrapText="1" indent="2"/>
    </xf>
    <xf numFmtId="0" fontId="44" fillId="56" borderId="433" applyNumberFormat="0" applyAlignment="0" applyProtection="0"/>
    <xf numFmtId="0" fontId="46" fillId="56" borderId="434" applyNumberFormat="0" applyAlignment="0" applyProtection="0"/>
    <xf numFmtId="0" fontId="47" fillId="56" borderId="434" applyNumberFormat="0" applyAlignment="0" applyProtection="0"/>
    <xf numFmtId="0" fontId="50" fillId="43" borderId="434" applyNumberFormat="0" applyAlignment="0" applyProtection="0"/>
    <xf numFmtId="0" fontId="51" fillId="0" borderId="435" applyNumberFormat="0" applyFill="0" applyAlignment="0" applyProtection="0"/>
    <xf numFmtId="0" fontId="59" fillId="43" borderId="434" applyNumberFormat="0" applyAlignment="0" applyProtection="0"/>
    <xf numFmtId="0" fontId="41" fillId="59" borderId="436" applyNumberFormat="0" applyFont="0" applyAlignment="0" applyProtection="0"/>
    <xf numFmtId="0" fontId="5" fillId="59" borderId="436" applyNumberFormat="0" applyFont="0" applyAlignment="0" applyProtection="0"/>
    <xf numFmtId="0" fontId="63" fillId="56" borderId="433" applyNumberFormat="0" applyAlignment="0" applyProtection="0"/>
    <xf numFmtId="0" fontId="66" fillId="0" borderId="435" applyNumberFormat="0" applyFill="0" applyAlignment="0" applyProtection="0"/>
    <xf numFmtId="0" fontId="47" fillId="56" borderId="434" applyNumberFormat="0" applyAlignment="0" applyProtection="0"/>
    <xf numFmtId="0" fontId="59" fillId="43" borderId="434" applyNumberFormat="0" applyAlignment="0" applyProtection="0"/>
    <xf numFmtId="0" fontId="41" fillId="59" borderId="436" applyNumberFormat="0" applyFont="0" applyAlignment="0" applyProtection="0"/>
    <xf numFmtId="0" fontId="63" fillId="56" borderId="433" applyNumberFormat="0" applyAlignment="0" applyProtection="0"/>
    <xf numFmtId="0" fontId="66" fillId="0" borderId="435" applyNumberFormat="0" applyFill="0" applyAlignment="0" applyProtection="0"/>
    <xf numFmtId="0" fontId="47" fillId="56" borderId="441" applyNumberFormat="0" applyAlignment="0" applyProtection="0"/>
    <xf numFmtId="0" fontId="33" fillId="34" borderId="446">
      <alignment horizontal="right" vertical="center"/>
    </xf>
    <xf numFmtId="0" fontId="33" fillId="34" borderId="431">
      <alignment horizontal="right" vertical="center"/>
    </xf>
    <xf numFmtId="4" fontId="33" fillId="34" borderId="431">
      <alignment horizontal="right" vertical="center"/>
    </xf>
    <xf numFmtId="0" fontId="47" fillId="56" borderId="434" applyNumberFormat="0" applyAlignment="0" applyProtection="0"/>
    <xf numFmtId="0" fontId="35" fillId="34" borderId="432">
      <alignment horizontal="left" vertical="center" wrapText="1" indent="2"/>
    </xf>
    <xf numFmtId="0" fontId="35" fillId="0" borderId="432">
      <alignment horizontal="left" vertical="center" wrapText="1" indent="2"/>
    </xf>
    <xf numFmtId="0" fontId="47" fillId="56" borderId="468" applyNumberFormat="0" applyAlignment="0" applyProtection="0"/>
    <xf numFmtId="0" fontId="59" fillId="43" borderId="434" applyNumberFormat="0" applyAlignment="0" applyProtection="0"/>
    <xf numFmtId="0" fontId="63" fillId="56" borderId="433" applyNumberFormat="0" applyAlignment="0" applyProtection="0"/>
    <xf numFmtId="0" fontId="66" fillId="0" borderId="435" applyNumberFormat="0" applyFill="0" applyAlignment="0" applyProtection="0"/>
    <xf numFmtId="0" fontId="63" fillId="56" borderId="466" applyNumberFormat="0" applyAlignment="0" applyProtection="0"/>
    <xf numFmtId="0" fontId="44" fillId="56" borderId="433" applyNumberFormat="0" applyAlignment="0" applyProtection="0"/>
    <xf numFmtId="0" fontId="46" fillId="56" borderId="434" applyNumberFormat="0" applyAlignment="0" applyProtection="0"/>
    <xf numFmtId="0" fontId="51" fillId="0" borderId="435" applyNumberFormat="0" applyFill="0" applyAlignment="0" applyProtection="0"/>
    <xf numFmtId="49" fontId="35" fillId="0" borderId="437" applyNumberFormat="0" applyFont="0" applyFill="0" applyBorder="0" applyProtection="0">
      <alignment horizontal="left" vertical="center" indent="2"/>
    </xf>
    <xf numFmtId="0" fontId="33" fillId="32" borderId="437">
      <alignment horizontal="right" vertical="center"/>
    </xf>
    <xf numFmtId="4" fontId="33" fillId="32" borderId="437">
      <alignment horizontal="right" vertical="center"/>
    </xf>
    <xf numFmtId="0" fontId="37" fillId="32" borderId="437">
      <alignment horizontal="right" vertical="center"/>
    </xf>
    <xf numFmtId="4" fontId="37" fillId="32" borderId="437">
      <alignment horizontal="right" vertical="center"/>
    </xf>
    <xf numFmtId="0" fontId="33" fillId="34" borderId="437">
      <alignment horizontal="right" vertical="center"/>
    </xf>
    <xf numFmtId="4" fontId="33" fillId="34" borderId="437">
      <alignment horizontal="right" vertical="center"/>
    </xf>
    <xf numFmtId="0" fontId="33" fillId="34" borderId="437">
      <alignment horizontal="right" vertical="center"/>
    </xf>
    <xf numFmtId="4" fontId="33" fillId="34" borderId="437">
      <alignment horizontal="right" vertical="center"/>
    </xf>
    <xf numFmtId="0" fontId="50" fillId="43" borderId="434" applyNumberFormat="0" applyAlignment="0" applyProtection="0"/>
    <xf numFmtId="0" fontId="35" fillId="0" borderId="437">
      <alignment horizontal="right" vertical="center"/>
    </xf>
    <xf numFmtId="4" fontId="35" fillId="0" borderId="437">
      <alignment horizontal="right" vertical="center"/>
    </xf>
    <xf numFmtId="4" fontId="35" fillId="0" borderId="437" applyFill="0" applyBorder="0" applyProtection="0">
      <alignment horizontal="right" vertical="center"/>
    </xf>
    <xf numFmtId="49" fontId="34" fillId="0" borderId="437" applyNumberFormat="0" applyFill="0" applyBorder="0" applyProtection="0">
      <alignment horizontal="left" vertical="center"/>
    </xf>
    <xf numFmtId="0" fontId="35" fillId="0" borderId="437" applyNumberFormat="0" applyFill="0" applyAlignment="0" applyProtection="0"/>
    <xf numFmtId="173" fontId="35" fillId="60" borderId="437" applyNumberFormat="0" applyFont="0" applyBorder="0" applyAlignment="0" applyProtection="0">
      <alignment horizontal="right" vertical="center"/>
    </xf>
    <xf numFmtId="0" fontId="35" fillId="33" borderId="437"/>
    <xf numFmtId="4" fontId="35" fillId="33" borderId="437"/>
    <xf numFmtId="4" fontId="33" fillId="34" borderId="437">
      <alignment horizontal="right" vertical="center"/>
    </xf>
    <xf numFmtId="0" fontId="35" fillId="33" borderId="437"/>
    <xf numFmtId="0" fontId="46" fillId="56" borderId="434" applyNumberFormat="0" applyAlignment="0" applyProtection="0"/>
    <xf numFmtId="0" fontId="33" fillId="32" borderId="437">
      <alignment horizontal="right" vertical="center"/>
    </xf>
    <xf numFmtId="0" fontId="35" fillId="0" borderId="437">
      <alignment horizontal="right" vertical="center"/>
    </xf>
    <xf numFmtId="0" fontId="66" fillId="0" borderId="435" applyNumberFormat="0" applyFill="0" applyAlignment="0" applyProtection="0"/>
    <xf numFmtId="0" fontId="35" fillId="32" borderId="438">
      <alignment horizontal="left" vertical="center"/>
    </xf>
    <xf numFmtId="0" fontId="59" fillId="43" borderId="434" applyNumberFormat="0" applyAlignment="0" applyProtection="0"/>
    <xf numFmtId="173" fontId="35" fillId="60" borderId="437" applyNumberFormat="0" applyFont="0" applyBorder="0" applyAlignment="0" applyProtection="0">
      <alignment horizontal="right" vertical="center"/>
    </xf>
    <xf numFmtId="0" fontId="41" fillId="59" borderId="436" applyNumberFormat="0" applyFont="0" applyAlignment="0" applyProtection="0"/>
    <xf numFmtId="0" fontId="35" fillId="0" borderId="440">
      <alignment horizontal="left" vertical="center" wrapText="1" indent="2"/>
    </xf>
    <xf numFmtId="4" fontId="35" fillId="33" borderId="437"/>
    <xf numFmtId="49" fontId="34" fillId="0" borderId="437" applyNumberFormat="0" applyFill="0" applyBorder="0" applyProtection="0">
      <alignment horizontal="left" vertical="center"/>
    </xf>
    <xf numFmtId="0" fontId="35" fillId="0" borderId="437">
      <alignment horizontal="right" vertical="center"/>
    </xf>
    <xf numFmtId="4" fontId="33" fillId="34" borderId="439">
      <alignment horizontal="right" vertical="center"/>
    </xf>
    <xf numFmtId="4" fontId="33" fillId="34" borderId="437">
      <alignment horizontal="right" vertical="center"/>
    </xf>
    <xf numFmtId="4" fontId="33" fillId="34" borderId="437">
      <alignment horizontal="right" vertical="center"/>
    </xf>
    <xf numFmtId="0" fontId="37" fillId="32" borderId="437">
      <alignment horizontal="right" vertical="center"/>
    </xf>
    <xf numFmtId="0" fontId="33" fillId="32" borderId="437">
      <alignment horizontal="right" vertical="center"/>
    </xf>
    <xf numFmtId="49" fontId="35" fillId="0" borderId="437" applyNumberFormat="0" applyFont="0" applyFill="0" applyBorder="0" applyProtection="0">
      <alignment horizontal="left" vertical="center" indent="2"/>
    </xf>
    <xf numFmtId="0" fontId="59" fillId="43" borderId="434" applyNumberFormat="0" applyAlignment="0" applyProtection="0"/>
    <xf numFmtId="0" fontId="44" fillId="56" borderId="433" applyNumberFormat="0" applyAlignment="0" applyProtection="0"/>
    <xf numFmtId="49" fontId="35" fillId="0" borderId="437" applyNumberFormat="0" applyFont="0" applyFill="0" applyBorder="0" applyProtection="0">
      <alignment horizontal="left" vertical="center" indent="2"/>
    </xf>
    <xf numFmtId="0" fontId="50" fillId="43" borderId="434" applyNumberFormat="0" applyAlignment="0" applyProtection="0"/>
    <xf numFmtId="4" fontId="35" fillId="0" borderId="437" applyFill="0" applyBorder="0" applyProtection="0">
      <alignment horizontal="right" vertical="center"/>
    </xf>
    <xf numFmtId="0" fontId="47" fillId="56" borderId="434" applyNumberFormat="0" applyAlignment="0" applyProtection="0"/>
    <xf numFmtId="0" fontId="66" fillId="0" borderId="435" applyNumberFormat="0" applyFill="0" applyAlignment="0" applyProtection="0"/>
    <xf numFmtId="0" fontId="63" fillId="56" borderId="433" applyNumberFormat="0" applyAlignment="0" applyProtection="0"/>
    <xf numFmtId="0" fontId="35" fillId="0" borderId="437" applyNumberFormat="0" applyFill="0" applyAlignment="0" applyProtection="0"/>
    <xf numFmtId="4" fontId="35" fillId="0" borderId="437">
      <alignment horizontal="right" vertical="center"/>
    </xf>
    <xf numFmtId="0" fontId="35" fillId="0" borderId="437">
      <alignment horizontal="right" vertical="center"/>
    </xf>
    <xf numFmtId="0" fontId="59" fillId="43" borderId="434" applyNumberFormat="0" applyAlignment="0" applyProtection="0"/>
    <xf numFmtId="0" fontId="44" fillId="56" borderId="433" applyNumberFormat="0" applyAlignment="0" applyProtection="0"/>
    <xf numFmtId="0" fontId="46" fillId="56" borderId="434" applyNumberFormat="0" applyAlignment="0" applyProtection="0"/>
    <xf numFmtId="0" fontId="35" fillId="34" borderId="440">
      <alignment horizontal="left" vertical="center" wrapText="1" indent="2"/>
    </xf>
    <xf numFmtId="0" fontId="47" fillId="56" borderId="434" applyNumberFormat="0" applyAlignment="0" applyProtection="0"/>
    <xf numFmtId="0" fontId="47" fillId="56" borderId="434" applyNumberFormat="0" applyAlignment="0" applyProtection="0"/>
    <xf numFmtId="4" fontId="33" fillId="34" borderId="438">
      <alignment horizontal="right" vertical="center"/>
    </xf>
    <xf numFmtId="0" fontId="33" fillId="34" borderId="438">
      <alignment horizontal="right" vertical="center"/>
    </xf>
    <xf numFmtId="0" fontId="33" fillId="34" borderId="437">
      <alignment horizontal="right" vertical="center"/>
    </xf>
    <xf numFmtId="4" fontId="37" fillId="32" borderId="437">
      <alignment horizontal="right" vertical="center"/>
    </xf>
    <xf numFmtId="0" fontId="50" fillId="43" borderId="434" applyNumberFormat="0" applyAlignment="0" applyProtection="0"/>
    <xf numFmtId="0" fontId="51" fillId="0" borderId="435" applyNumberFormat="0" applyFill="0" applyAlignment="0" applyProtection="0"/>
    <xf numFmtId="0" fontId="66" fillId="0" borderId="435" applyNumberFormat="0" applyFill="0" applyAlignment="0" applyProtection="0"/>
    <xf numFmtId="0" fontId="41" fillId="59" borderId="436" applyNumberFormat="0" applyFont="0" applyAlignment="0" applyProtection="0"/>
    <xf numFmtId="0" fontId="59" fillId="43" borderId="434" applyNumberFormat="0" applyAlignment="0" applyProtection="0"/>
    <xf numFmtId="49" fontId="34" fillId="0" borderId="437" applyNumberFormat="0" applyFill="0" applyBorder="0" applyProtection="0">
      <alignment horizontal="left" vertical="center"/>
    </xf>
    <xf numFmtId="0" fontId="35" fillId="34" borderId="440">
      <alignment horizontal="left" vertical="center" wrapText="1" indent="2"/>
    </xf>
    <xf numFmtId="0" fontId="47" fillId="56" borderId="434" applyNumberFormat="0" applyAlignment="0" applyProtection="0"/>
    <xf numFmtId="0" fontId="35" fillId="0" borderId="440">
      <alignment horizontal="left" vertical="center" wrapText="1" indent="2"/>
    </xf>
    <xf numFmtId="0" fontId="41" fillId="59" borderId="436" applyNumberFormat="0" applyFont="0" applyAlignment="0" applyProtection="0"/>
    <xf numFmtId="0" fontId="5" fillId="59" borderId="436" applyNumberFormat="0" applyFont="0" applyAlignment="0" applyProtection="0"/>
    <xf numFmtId="0" fontId="63" fillId="56" borderId="433" applyNumberFormat="0" applyAlignment="0" applyProtection="0"/>
    <xf numFmtId="0" fontId="66" fillId="0" borderId="435" applyNumberFormat="0" applyFill="0" applyAlignment="0" applyProtection="0"/>
    <xf numFmtId="4" fontId="35" fillId="33" borderId="437"/>
    <xf numFmtId="0" fontId="33" fillId="34" borderId="437">
      <alignment horizontal="right" vertical="center"/>
    </xf>
    <xf numFmtId="0" fontId="66" fillId="0" borderId="435" applyNumberFormat="0" applyFill="0" applyAlignment="0" applyProtection="0"/>
    <xf numFmtId="4" fontId="33" fillId="34" borderId="439">
      <alignment horizontal="right" vertical="center"/>
    </xf>
    <xf numFmtId="0" fontId="46" fillId="56" borderId="434" applyNumberFormat="0" applyAlignment="0" applyProtection="0"/>
    <xf numFmtId="0" fontId="33" fillId="34" borderId="438">
      <alignment horizontal="right" vertical="center"/>
    </xf>
    <xf numFmtId="0" fontId="47" fillId="56" borderId="434" applyNumberFormat="0" applyAlignment="0" applyProtection="0"/>
    <xf numFmtId="0" fontId="51" fillId="0" borderId="435" applyNumberFormat="0" applyFill="0" applyAlignment="0" applyProtection="0"/>
    <xf numFmtId="0" fontId="41" fillId="59" borderId="436" applyNumberFormat="0" applyFont="0" applyAlignment="0" applyProtection="0"/>
    <xf numFmtId="4" fontId="33" fillId="34" borderId="438">
      <alignment horizontal="right" vertical="center"/>
    </xf>
    <xf numFmtId="0" fontId="35" fillId="34" borderId="440">
      <alignment horizontal="left" vertical="center" wrapText="1" indent="2"/>
    </xf>
    <xf numFmtId="0" fontId="35" fillId="33" borderId="437"/>
    <xf numFmtId="173" fontId="35" fillId="60" borderId="437" applyNumberFormat="0" applyFont="0" applyBorder="0" applyAlignment="0" applyProtection="0">
      <alignment horizontal="right" vertical="center"/>
    </xf>
    <xf numFmtId="0" fontId="35" fillId="0" borderId="437" applyNumberFormat="0" applyFill="0" applyAlignment="0" applyProtection="0"/>
    <xf numFmtId="4" fontId="35" fillId="0" borderId="437" applyFill="0" applyBorder="0" applyProtection="0">
      <alignment horizontal="right" vertical="center"/>
    </xf>
    <xf numFmtId="4" fontId="33" fillId="32" borderId="437">
      <alignment horizontal="right" vertical="center"/>
    </xf>
    <xf numFmtId="0" fontId="51" fillId="0" borderId="435" applyNumberFormat="0" applyFill="0" applyAlignment="0" applyProtection="0"/>
    <xf numFmtId="49" fontId="34" fillId="0" borderId="437" applyNumberFormat="0" applyFill="0" applyBorder="0" applyProtection="0">
      <alignment horizontal="left" vertical="center"/>
    </xf>
    <xf numFmtId="49" fontId="35" fillId="0" borderId="438" applyNumberFormat="0" applyFont="0" applyFill="0" applyBorder="0" applyProtection="0">
      <alignment horizontal="left" vertical="center" indent="5"/>
    </xf>
    <xf numFmtId="0" fontId="35" fillId="32" borderId="438">
      <alignment horizontal="left" vertical="center"/>
    </xf>
    <xf numFmtId="0" fontId="47" fillId="56" borderId="434" applyNumberFormat="0" applyAlignment="0" applyProtection="0"/>
    <xf numFmtId="4" fontId="33" fillId="34" borderId="439">
      <alignment horizontal="right" vertical="center"/>
    </xf>
    <xf numFmtId="0" fontId="59" fillId="43" borderId="434" applyNumberFormat="0" applyAlignment="0" applyProtection="0"/>
    <xf numFmtId="0" fontId="59" fillId="43" borderId="434" applyNumberFormat="0" applyAlignment="0" applyProtection="0"/>
    <xf numFmtId="0" fontId="41" fillId="59" borderId="436" applyNumberFormat="0" applyFont="0" applyAlignment="0" applyProtection="0"/>
    <xf numFmtId="0" fontId="63" fillId="56" borderId="433" applyNumberFormat="0" applyAlignment="0" applyProtection="0"/>
    <xf numFmtId="0" fontId="66" fillId="0" borderId="435" applyNumberFormat="0" applyFill="0" applyAlignment="0" applyProtection="0"/>
    <xf numFmtId="0" fontId="33" fillId="34" borderId="437">
      <alignment horizontal="right" vertical="center"/>
    </xf>
    <xf numFmtId="0" fontId="5" fillId="59" borderId="436" applyNumberFormat="0" applyFont="0" applyAlignment="0" applyProtection="0"/>
    <xf numFmtId="4" fontId="35" fillId="0" borderId="437">
      <alignment horizontal="right" vertical="center"/>
    </xf>
    <xf numFmtId="0" fontId="66" fillId="0" borderId="435" applyNumberFormat="0" applyFill="0" applyAlignment="0" applyProtection="0"/>
    <xf numFmtId="0" fontId="33" fillId="34" borderId="437">
      <alignment horizontal="right" vertical="center"/>
    </xf>
    <xf numFmtId="0" fontId="33" fillId="34" borderId="437">
      <alignment horizontal="right" vertical="center"/>
    </xf>
    <xf numFmtId="4" fontId="37" fillId="32" borderId="437">
      <alignment horizontal="right" vertical="center"/>
    </xf>
    <xf numFmtId="0" fontId="33" fillId="32" borderId="437">
      <alignment horizontal="right" vertical="center"/>
    </xf>
    <xf numFmtId="4" fontId="33" fillId="32" borderId="437">
      <alignment horizontal="right" vertical="center"/>
    </xf>
    <xf numFmtId="0" fontId="37" fillId="32" borderId="437">
      <alignment horizontal="right" vertical="center"/>
    </xf>
    <xf numFmtId="4" fontId="37" fillId="32" borderId="437">
      <alignment horizontal="right" vertical="center"/>
    </xf>
    <xf numFmtId="0" fontId="33" fillId="34" borderId="437">
      <alignment horizontal="right" vertical="center"/>
    </xf>
    <xf numFmtId="4" fontId="33" fillId="34" borderId="437">
      <alignment horizontal="right" vertical="center"/>
    </xf>
    <xf numFmtId="0" fontId="33" fillId="34" borderId="437">
      <alignment horizontal="right" vertical="center"/>
    </xf>
    <xf numFmtId="4" fontId="33" fillId="34" borderId="437">
      <alignment horizontal="right" vertical="center"/>
    </xf>
    <xf numFmtId="0" fontId="33" fillId="34" borderId="438">
      <alignment horizontal="right" vertical="center"/>
    </xf>
    <xf numFmtId="4" fontId="33" fillId="34" borderId="438">
      <alignment horizontal="right" vertical="center"/>
    </xf>
    <xf numFmtId="0" fontId="33" fillId="34" borderId="439">
      <alignment horizontal="right" vertical="center"/>
    </xf>
    <xf numFmtId="4" fontId="33" fillId="34" borderId="439">
      <alignment horizontal="right" vertical="center"/>
    </xf>
    <xf numFmtId="0" fontId="47" fillId="56" borderId="434" applyNumberFormat="0" applyAlignment="0" applyProtection="0"/>
    <xf numFmtId="0" fontId="35" fillId="34" borderId="440">
      <alignment horizontal="left" vertical="center" wrapText="1" indent="2"/>
    </xf>
    <xf numFmtId="0" fontId="35" fillId="0" borderId="440">
      <alignment horizontal="left" vertical="center" wrapText="1" indent="2"/>
    </xf>
    <xf numFmtId="0" fontId="35" fillId="32" borderId="438">
      <alignment horizontal="left" vertical="center"/>
    </xf>
    <xf numFmtId="0" fontId="59" fillId="43" borderId="434" applyNumberFormat="0" applyAlignment="0" applyProtection="0"/>
    <xf numFmtId="0" fontId="35" fillId="0" borderId="437">
      <alignment horizontal="right" vertical="center"/>
    </xf>
    <xf numFmtId="4" fontId="35" fillId="0" borderId="437">
      <alignment horizontal="right" vertical="center"/>
    </xf>
    <xf numFmtId="0" fontId="35" fillId="0" borderId="437" applyNumberFormat="0" applyFill="0" applyAlignment="0" applyProtection="0"/>
    <xf numFmtId="0" fontId="63" fillId="56" borderId="433" applyNumberFormat="0" applyAlignment="0" applyProtection="0"/>
    <xf numFmtId="173" fontId="35" fillId="60" borderId="437" applyNumberFormat="0" applyFont="0" applyBorder="0" applyAlignment="0" applyProtection="0">
      <alignment horizontal="right" vertical="center"/>
    </xf>
    <xf numFmtId="0" fontId="35" fillId="33" borderId="437"/>
    <xf numFmtId="4" fontId="35" fillId="33" borderId="437"/>
    <xf numFmtId="0" fontId="66" fillId="0" borderId="435" applyNumberFormat="0" applyFill="0" applyAlignment="0" applyProtection="0"/>
    <xf numFmtId="0" fontId="5" fillId="59" borderId="436" applyNumberFormat="0" applyFont="0" applyAlignment="0" applyProtection="0"/>
    <xf numFmtId="0" fontId="41" fillId="59" borderId="436" applyNumberFormat="0" applyFont="0" applyAlignment="0" applyProtection="0"/>
    <xf numFmtId="0" fontId="35" fillId="0" borderId="437" applyNumberFormat="0" applyFill="0" applyAlignment="0" applyProtection="0"/>
    <xf numFmtId="0" fontId="51" fillId="0" borderId="435" applyNumberFormat="0" applyFill="0" applyAlignment="0" applyProtection="0"/>
    <xf numFmtId="0" fontId="66" fillId="0" borderId="435" applyNumberFormat="0" applyFill="0" applyAlignment="0" applyProtection="0"/>
    <xf numFmtId="0" fontId="50" fillId="43" borderId="434" applyNumberFormat="0" applyAlignment="0" applyProtection="0"/>
    <xf numFmtId="0" fontId="47" fillId="56" borderId="434" applyNumberFormat="0" applyAlignment="0" applyProtection="0"/>
    <xf numFmtId="4" fontId="37" fillId="32" borderId="437">
      <alignment horizontal="right" vertical="center"/>
    </xf>
    <xf numFmtId="0" fontId="33" fillId="32" borderId="437">
      <alignment horizontal="right" vertical="center"/>
    </xf>
    <xf numFmtId="173" fontId="35" fillId="60" borderId="437" applyNumberFormat="0" applyFont="0" applyBorder="0" applyAlignment="0" applyProtection="0">
      <alignment horizontal="right" vertical="center"/>
    </xf>
    <xf numFmtId="0" fontId="51" fillId="0" borderId="435" applyNumberFormat="0" applyFill="0" applyAlignment="0" applyProtection="0"/>
    <xf numFmtId="49" fontId="35" fillId="0" borderId="437" applyNumberFormat="0" applyFont="0" applyFill="0" applyBorder="0" applyProtection="0">
      <alignment horizontal="left" vertical="center" indent="2"/>
    </xf>
    <xf numFmtId="49" fontId="35" fillId="0" borderId="438" applyNumberFormat="0" applyFont="0" applyFill="0" applyBorder="0" applyProtection="0">
      <alignment horizontal="left" vertical="center" indent="5"/>
    </xf>
    <xf numFmtId="49" fontId="35" fillId="0" borderId="437" applyNumberFormat="0" applyFont="0" applyFill="0" applyBorder="0" applyProtection="0">
      <alignment horizontal="left" vertical="center" indent="2"/>
    </xf>
    <xf numFmtId="4" fontId="35" fillId="0" borderId="437" applyFill="0" applyBorder="0" applyProtection="0">
      <alignment horizontal="right" vertical="center"/>
    </xf>
    <xf numFmtId="49" fontId="34" fillId="0" borderId="437" applyNumberFormat="0" applyFill="0" applyBorder="0" applyProtection="0">
      <alignment horizontal="left" vertical="center"/>
    </xf>
    <xf numFmtId="0" fontId="35" fillId="0" borderId="440">
      <alignment horizontal="left" vertical="center" wrapText="1" indent="2"/>
    </xf>
    <xf numFmtId="0" fontId="63" fillId="56" borderId="433" applyNumberFormat="0" applyAlignment="0" applyProtection="0"/>
    <xf numFmtId="0" fontId="33" fillId="34" borderId="439">
      <alignment horizontal="right" vertical="center"/>
    </xf>
    <xf numFmtId="0" fontId="50" fillId="43" borderId="434" applyNumberFormat="0" applyAlignment="0" applyProtection="0"/>
    <xf numFmtId="0" fontId="33" fillId="34" borderId="439">
      <alignment horizontal="right" vertical="center"/>
    </xf>
    <xf numFmtId="4" fontId="33" fillId="34" borderId="437">
      <alignment horizontal="right" vertical="center"/>
    </xf>
    <xf numFmtId="0" fontId="33" fillId="34" borderId="437">
      <alignment horizontal="right" vertical="center"/>
    </xf>
    <xf numFmtId="0" fontId="44" fillId="56" borderId="433" applyNumberFormat="0" applyAlignment="0" applyProtection="0"/>
    <xf numFmtId="0" fontId="46" fillId="56" borderId="434" applyNumberFormat="0" applyAlignment="0" applyProtection="0"/>
    <xf numFmtId="0" fontId="51" fillId="0" borderId="435" applyNumberFormat="0" applyFill="0" applyAlignment="0" applyProtection="0"/>
    <xf numFmtId="0" fontId="35" fillId="33" borderId="437"/>
    <xf numFmtId="4" fontId="35" fillId="33" borderId="437"/>
    <xf numFmtId="4" fontId="33" fillId="34" borderId="437">
      <alignment horizontal="right" vertical="center"/>
    </xf>
    <xf numFmtId="0" fontId="37" fillId="32" borderId="437">
      <alignment horizontal="right" vertical="center"/>
    </xf>
    <xf numFmtId="0" fontId="50" fillId="43" borderId="434" applyNumberFormat="0" applyAlignment="0" applyProtection="0"/>
    <xf numFmtId="0" fontId="47" fillId="56" borderId="434" applyNumberFormat="0" applyAlignment="0" applyProtection="0"/>
    <xf numFmtId="4" fontId="35" fillId="0" borderId="437">
      <alignment horizontal="right" vertical="center"/>
    </xf>
    <xf numFmtId="0" fontId="35" fillId="34" borderId="440">
      <alignment horizontal="left" vertical="center" wrapText="1" indent="2"/>
    </xf>
    <xf numFmtId="0" fontId="35" fillId="0" borderId="440">
      <alignment horizontal="left" vertical="center" wrapText="1" indent="2"/>
    </xf>
    <xf numFmtId="0" fontId="63" fillId="56" borderId="433" applyNumberFormat="0" applyAlignment="0" applyProtection="0"/>
    <xf numFmtId="0" fontId="59" fillId="43" borderId="434" applyNumberFormat="0" applyAlignment="0" applyProtection="0"/>
    <xf numFmtId="0" fontId="46" fillId="56" borderId="434" applyNumberFormat="0" applyAlignment="0" applyProtection="0"/>
    <xf numFmtId="0" fontId="44" fillId="56" borderId="433" applyNumberFormat="0" applyAlignment="0" applyProtection="0"/>
    <xf numFmtId="0" fontId="33" fillId="34" borderId="439">
      <alignment horizontal="right" vertical="center"/>
    </xf>
    <xf numFmtId="0" fontId="37" fillId="32" borderId="437">
      <alignment horizontal="right" vertical="center"/>
    </xf>
    <xf numFmtId="4" fontId="33" fillId="32" borderId="437">
      <alignment horizontal="right" vertical="center"/>
    </xf>
    <xf numFmtId="4" fontId="33" fillId="34" borderId="437">
      <alignment horizontal="right" vertical="center"/>
    </xf>
    <xf numFmtId="49" fontId="35" fillId="0" borderId="438" applyNumberFormat="0" applyFont="0" applyFill="0" applyBorder="0" applyProtection="0">
      <alignment horizontal="left" vertical="center" indent="5"/>
    </xf>
    <xf numFmtId="4" fontId="35" fillId="0" borderId="437" applyFill="0" applyBorder="0" applyProtection="0">
      <alignment horizontal="right" vertical="center"/>
    </xf>
    <xf numFmtId="4" fontId="33" fillId="32" borderId="437">
      <alignment horizontal="right" vertical="center"/>
    </xf>
    <xf numFmtId="0" fontId="59" fillId="43" borderId="434" applyNumberFormat="0" applyAlignment="0" applyProtection="0"/>
    <xf numFmtId="0" fontId="50" fillId="43" borderId="434" applyNumberFormat="0" applyAlignment="0" applyProtection="0"/>
    <xf numFmtId="0" fontId="46" fillId="56" borderId="434" applyNumberFormat="0" applyAlignment="0" applyProtection="0"/>
    <xf numFmtId="0" fontId="35" fillId="34" borderId="440">
      <alignment horizontal="left" vertical="center" wrapText="1" indent="2"/>
    </xf>
    <xf numFmtId="0" fontId="35" fillId="0" borderId="440">
      <alignment horizontal="left" vertical="center" wrapText="1" indent="2"/>
    </xf>
    <xf numFmtId="0" fontId="35" fillId="34" borderId="440">
      <alignment horizontal="left" vertical="center" wrapText="1" indent="2"/>
    </xf>
    <xf numFmtId="0" fontId="35" fillId="33" borderId="462"/>
    <xf numFmtId="0" fontId="35" fillId="0" borderId="444">
      <alignment horizontal="right" vertical="center"/>
    </xf>
    <xf numFmtId="0" fontId="66" fillId="0" borderId="442" applyNumberFormat="0" applyFill="0" applyAlignment="0" applyProtection="0"/>
    <xf numFmtId="0" fontId="66" fillId="0" borderId="442" applyNumberFormat="0" applyFill="0" applyAlignment="0" applyProtection="0"/>
    <xf numFmtId="49" fontId="35" fillId="0" borderId="445" applyNumberFormat="0" applyFont="0" applyFill="0" applyBorder="0" applyProtection="0">
      <alignment horizontal="left" vertical="center" indent="5"/>
    </xf>
    <xf numFmtId="0" fontId="44" fillId="56" borderId="448" applyNumberFormat="0" applyAlignment="0" applyProtection="0"/>
    <xf numFmtId="49" fontId="35" fillId="0" borderId="444" applyNumberFormat="0" applyFont="0" applyFill="0" applyBorder="0" applyProtection="0">
      <alignment horizontal="left" vertical="center" indent="2"/>
    </xf>
    <xf numFmtId="0" fontId="33" fillId="34" borderId="444">
      <alignment horizontal="right" vertical="center"/>
    </xf>
    <xf numFmtId="0" fontId="47" fillId="56" borderId="441" applyNumberFormat="0" applyAlignment="0" applyProtection="0"/>
    <xf numFmtId="173" fontId="35" fillId="60" borderId="444" applyNumberFormat="0" applyFont="0" applyBorder="0" applyAlignment="0" applyProtection="0">
      <alignment horizontal="right" vertical="center"/>
    </xf>
    <xf numFmtId="0" fontId="59" fillId="43" borderId="441" applyNumberFormat="0" applyAlignment="0" applyProtection="0"/>
    <xf numFmtId="0" fontId="33" fillId="32" borderId="444">
      <alignment horizontal="right" vertical="center"/>
    </xf>
    <xf numFmtId="0" fontId="27" fillId="23" borderId="0" applyNumberFormat="0" applyBorder="0" applyAlignment="0" applyProtection="0"/>
    <xf numFmtId="0" fontId="35" fillId="34" borderId="474">
      <alignment horizontal="left" vertical="center" wrapText="1" indent="2"/>
    </xf>
    <xf numFmtId="0" fontId="50" fillId="43" borderId="459" applyNumberFormat="0" applyAlignment="0" applyProtection="0"/>
    <xf numFmtId="0" fontId="35" fillId="34" borderId="465">
      <alignment horizontal="left" vertical="center" wrapText="1" indent="2"/>
    </xf>
    <xf numFmtId="0" fontId="27" fillId="27" borderId="0" applyNumberFormat="0" applyBorder="0" applyAlignment="0" applyProtection="0"/>
    <xf numFmtId="0" fontId="41" fillId="59" borderId="461" applyNumberFormat="0" applyFont="0" applyAlignment="0" applyProtection="0"/>
    <xf numFmtId="0" fontId="2" fillId="0" borderId="15" applyNumberFormat="0" applyFill="0" applyAlignment="0" applyProtection="0"/>
    <xf numFmtId="0" fontId="31" fillId="0" borderId="0" applyNumberFormat="0" applyFill="0" applyBorder="0" applyAlignment="0" applyProtection="0"/>
    <xf numFmtId="4" fontId="37" fillId="32" borderId="462">
      <alignment horizontal="right" vertical="center"/>
    </xf>
    <xf numFmtId="0" fontId="35" fillId="0" borderId="447">
      <alignment horizontal="left" vertical="center" wrapText="1" indent="2"/>
    </xf>
    <xf numFmtId="0" fontId="35" fillId="0" borderId="462" applyNumberFormat="0" applyFill="0" applyAlignment="0" applyProtection="0"/>
    <xf numFmtId="0" fontId="27" fillId="18" borderId="0" applyNumberFormat="0" applyBorder="0" applyAlignment="0" applyProtection="0"/>
    <xf numFmtId="0" fontId="66" fillId="0" borderId="442" applyNumberFormat="0" applyFill="0" applyAlignment="0" applyProtection="0"/>
    <xf numFmtId="0" fontId="66" fillId="0" borderId="452" applyNumberFormat="0" applyFill="0" applyAlignment="0" applyProtection="0"/>
    <xf numFmtId="0" fontId="35" fillId="34" borderId="465">
      <alignment horizontal="left" vertical="center" wrapText="1" indent="2"/>
    </xf>
    <xf numFmtId="0" fontId="46" fillId="56" borderId="459" applyNumberFormat="0" applyAlignment="0" applyProtection="0"/>
    <xf numFmtId="0" fontId="5" fillId="59" borderId="461" applyNumberFormat="0" applyFont="0" applyAlignment="0" applyProtection="0"/>
    <xf numFmtId="4" fontId="35" fillId="33" borderId="454"/>
    <xf numFmtId="0" fontId="33" fillId="34" borderId="462">
      <alignment horizontal="right" vertical="center"/>
    </xf>
    <xf numFmtId="0" fontId="27" fillId="20" borderId="0" applyNumberFormat="0" applyBorder="0" applyAlignment="0" applyProtection="0"/>
    <xf numFmtId="0" fontId="27" fillId="15" borderId="0" applyNumberFormat="0" applyBorder="0" applyAlignment="0" applyProtection="0"/>
    <xf numFmtId="0" fontId="51" fillId="0" borderId="460" applyNumberFormat="0" applyFill="0" applyAlignment="0" applyProtection="0"/>
    <xf numFmtId="0" fontId="29" fillId="13" borderId="14" applyNumberFormat="0" applyAlignment="0" applyProtection="0"/>
    <xf numFmtId="4" fontId="35" fillId="0" borderId="462">
      <alignment horizontal="right" vertical="center"/>
    </xf>
    <xf numFmtId="4" fontId="35" fillId="33" borderId="462"/>
    <xf numFmtId="0" fontId="29" fillId="13" borderId="14" applyNumberFormat="0" applyAlignment="0" applyProtection="0"/>
    <xf numFmtId="0" fontId="12" fillId="25" borderId="0" applyNumberFormat="0" applyBorder="0" applyAlignment="0" applyProtection="0"/>
    <xf numFmtId="4" fontId="33" fillId="34" borderId="463">
      <alignment horizontal="right" vertical="center"/>
    </xf>
    <xf numFmtId="0" fontId="47" fillId="56" borderId="441" applyNumberFormat="0" applyAlignment="0" applyProtection="0"/>
    <xf numFmtId="0" fontId="35" fillId="0" borderId="444" applyNumberFormat="0" applyFill="0" applyAlignment="0" applyProtection="0"/>
    <xf numFmtId="0" fontId="35" fillId="33" borderId="444"/>
    <xf numFmtId="4" fontId="35" fillId="33" borderId="444"/>
    <xf numFmtId="173" fontId="35" fillId="60" borderId="454" applyNumberFormat="0" applyFont="0" applyBorder="0" applyAlignment="0" applyProtection="0">
      <alignment horizontal="right" vertical="center"/>
    </xf>
    <xf numFmtId="0" fontId="59" fillId="43" borderId="441" applyNumberFormat="0" applyAlignment="0" applyProtection="0"/>
    <xf numFmtId="0" fontId="35" fillId="0" borderId="444">
      <alignment horizontal="right" vertical="center"/>
    </xf>
    <xf numFmtId="0" fontId="35" fillId="32" borderId="445">
      <alignment horizontal="left" vertical="center"/>
    </xf>
    <xf numFmtId="0" fontId="35" fillId="34" borderId="447">
      <alignment horizontal="left" vertical="center" wrapText="1" indent="2"/>
    </xf>
    <xf numFmtId="0" fontId="33" fillId="34" borderId="444">
      <alignment horizontal="right" vertical="center"/>
    </xf>
    <xf numFmtId="4" fontId="33" fillId="34" borderId="444">
      <alignment horizontal="right" vertical="center"/>
    </xf>
    <xf numFmtId="0" fontId="33" fillId="34" borderId="445">
      <alignment horizontal="right" vertical="center"/>
    </xf>
    <xf numFmtId="4" fontId="33" fillId="34" borderId="444">
      <alignment horizontal="right" vertical="center"/>
    </xf>
    <xf numFmtId="0" fontId="33" fillId="32" borderId="444">
      <alignment horizontal="right" vertical="center"/>
    </xf>
    <xf numFmtId="4" fontId="33" fillId="32" borderId="444">
      <alignment horizontal="right" vertical="center"/>
    </xf>
    <xf numFmtId="0" fontId="41" fillId="59" borderId="470" applyNumberFormat="0" applyFont="0" applyAlignment="0" applyProtection="0"/>
    <xf numFmtId="0" fontId="50" fillId="43" borderId="451" applyNumberFormat="0" applyAlignment="0" applyProtection="0"/>
    <xf numFmtId="0" fontId="27" fillId="15" borderId="0" applyNumberFormat="0" applyBorder="0" applyAlignment="0" applyProtection="0"/>
    <xf numFmtId="4" fontId="33" fillId="34" borderId="494">
      <alignment horizontal="right" vertical="center"/>
    </xf>
    <xf numFmtId="0" fontId="12" fillId="19" borderId="0" applyNumberFormat="0" applyBorder="0" applyAlignment="0" applyProtection="0"/>
    <xf numFmtId="0" fontId="35" fillId="34" borderId="465">
      <alignment horizontal="left" vertical="center" wrapText="1" indent="2"/>
    </xf>
    <xf numFmtId="0" fontId="50" fillId="43" borderId="459" applyNumberFormat="0" applyAlignment="0" applyProtection="0"/>
    <xf numFmtId="0" fontId="51" fillId="0" borderId="469" applyNumberFormat="0" applyFill="0" applyAlignment="0" applyProtection="0"/>
    <xf numFmtId="49" fontId="34" fillId="0" borderId="471" applyNumberFormat="0" applyFill="0" applyBorder="0" applyProtection="0">
      <alignment horizontal="left" vertical="center"/>
    </xf>
    <xf numFmtId="0" fontId="66" fillId="0" borderId="442" applyNumberFormat="0" applyFill="0" applyAlignment="0" applyProtection="0"/>
    <xf numFmtId="0" fontId="41" fillId="59" borderId="443" applyNumberFormat="0" applyFont="0" applyAlignment="0" applyProtection="0"/>
    <xf numFmtId="0" fontId="63" fillId="56" borderId="467" applyNumberFormat="0" applyAlignment="0" applyProtection="0"/>
    <xf numFmtId="0" fontId="66" fillId="0" borderId="460" applyNumberFormat="0" applyFill="0" applyAlignment="0" applyProtection="0"/>
    <xf numFmtId="0" fontId="47" fillId="56" borderId="441" applyNumberFormat="0" applyAlignment="0" applyProtection="0"/>
    <xf numFmtId="4" fontId="35" fillId="0" borderId="462">
      <alignment horizontal="right" vertical="center"/>
    </xf>
    <xf numFmtId="0" fontId="66" fillId="0" borderId="460" applyNumberFormat="0" applyFill="0" applyAlignment="0" applyProtection="0"/>
    <xf numFmtId="0" fontId="59" fillId="43" borderId="451" applyNumberFormat="0" applyAlignment="0" applyProtection="0"/>
    <xf numFmtId="4" fontId="35" fillId="0" borderId="454" applyFill="0" applyBorder="0" applyProtection="0">
      <alignment horizontal="right" vertical="center"/>
    </xf>
    <xf numFmtId="0" fontId="35" fillId="32" borderId="463">
      <alignment horizontal="left" vertical="center"/>
    </xf>
    <xf numFmtId="0" fontId="50" fillId="43" borderId="459" applyNumberFormat="0" applyAlignment="0" applyProtection="0"/>
    <xf numFmtId="0" fontId="33" fillId="34" borderId="464">
      <alignment horizontal="right" vertical="center"/>
    </xf>
    <xf numFmtId="0" fontId="33" fillId="34" borderId="463">
      <alignment horizontal="right" vertical="center"/>
    </xf>
    <xf numFmtId="0" fontId="27" fillId="30" borderId="0" applyNumberFormat="0" applyBorder="0" applyAlignment="0" applyProtection="0"/>
    <xf numFmtId="4" fontId="33" fillId="32" borderId="471">
      <alignment horizontal="right" vertical="center"/>
    </xf>
    <xf numFmtId="0" fontId="50" fillId="43" borderId="468" applyNumberFormat="0" applyAlignment="0" applyProtection="0"/>
    <xf numFmtId="0" fontId="66" fillId="0" borderId="460" applyNumberFormat="0" applyFill="0" applyAlignment="0" applyProtection="0"/>
    <xf numFmtId="0" fontId="50" fillId="43" borderId="459" applyNumberFormat="0" applyAlignment="0" applyProtection="0"/>
    <xf numFmtId="0" fontId="37" fillId="32" borderId="471">
      <alignment horizontal="right" vertical="center"/>
    </xf>
    <xf numFmtId="0" fontId="59" fillId="43" borderId="468" applyNumberFormat="0" applyAlignment="0" applyProtection="0"/>
    <xf numFmtId="0" fontId="27" fillId="14" borderId="0" applyNumberFormat="0" applyBorder="0" applyAlignment="0" applyProtection="0"/>
    <xf numFmtId="0" fontId="35" fillId="32" borderId="463">
      <alignment horizontal="left" vertical="center"/>
    </xf>
    <xf numFmtId="0" fontId="63" fillId="56" borderId="467" applyNumberFormat="0" applyAlignment="0" applyProtection="0"/>
    <xf numFmtId="0" fontId="63" fillId="56" borderId="466" applyNumberFormat="0" applyAlignment="0" applyProtection="0"/>
    <xf numFmtId="0" fontId="63" fillId="56" borderId="466" applyNumberFormat="0" applyAlignment="0" applyProtection="0"/>
    <xf numFmtId="0" fontId="12" fillId="28" borderId="0" applyNumberFormat="0" applyBorder="0" applyAlignment="0" applyProtection="0"/>
    <xf numFmtId="0" fontId="46" fillId="56" borderId="459" applyNumberFormat="0" applyAlignment="0" applyProtection="0"/>
    <xf numFmtId="4" fontId="33" fillId="34" borderId="464">
      <alignment horizontal="right" vertical="center"/>
    </xf>
    <xf numFmtId="0" fontId="33" fillId="34" borderId="480">
      <alignment horizontal="right" vertical="center"/>
    </xf>
    <xf numFmtId="4" fontId="33" fillId="34" borderId="464">
      <alignment horizontal="right" vertical="center"/>
    </xf>
    <xf numFmtId="0" fontId="35" fillId="0" borderId="471">
      <alignment horizontal="right" vertical="center"/>
    </xf>
    <xf numFmtId="0" fontId="35" fillId="0" borderId="494">
      <alignment horizontal="right" vertical="center"/>
    </xf>
    <xf numFmtId="0" fontId="41" fillId="59" borderId="443" applyNumberFormat="0" applyFont="0" applyAlignment="0" applyProtection="0"/>
    <xf numFmtId="0" fontId="30" fillId="13" borderId="13" applyNumberFormat="0" applyAlignment="0" applyProtection="0"/>
    <xf numFmtId="4" fontId="35" fillId="0" borderId="462" applyFill="0" applyBorder="0" applyProtection="0">
      <alignment horizontal="right" vertical="center"/>
    </xf>
    <xf numFmtId="0" fontId="50" fillId="43" borderId="491" applyNumberFormat="0" applyAlignment="0" applyProtection="0"/>
    <xf numFmtId="0" fontId="2" fillId="0" borderId="15" applyNumberFormat="0" applyFill="0" applyAlignment="0" applyProtection="0"/>
    <xf numFmtId="0" fontId="33" fillId="34" borderId="481">
      <alignment horizontal="right" vertical="center"/>
    </xf>
    <xf numFmtId="0" fontId="35" fillId="34" borderId="465">
      <alignment horizontal="left" vertical="center" wrapText="1" indent="2"/>
    </xf>
    <xf numFmtId="0" fontId="27" fillId="14" borderId="0" applyNumberFormat="0" applyBorder="0" applyAlignment="0" applyProtection="0"/>
    <xf numFmtId="0" fontId="59" fillId="43" borderId="441" applyNumberFormat="0" applyAlignment="0" applyProtection="0"/>
    <xf numFmtId="0" fontId="5" fillId="59" borderId="461" applyNumberFormat="0" applyFont="0" applyAlignment="0" applyProtection="0"/>
    <xf numFmtId="0" fontId="35" fillId="34" borderId="447">
      <alignment horizontal="left" vertical="center" wrapText="1" indent="2"/>
    </xf>
    <xf numFmtId="4" fontId="37" fillId="32" borderId="444">
      <alignment horizontal="right" vertical="center"/>
    </xf>
    <xf numFmtId="0" fontId="31" fillId="0" borderId="0" applyNumberFormat="0" applyFill="0" applyBorder="0" applyAlignment="0" applyProtection="0"/>
    <xf numFmtId="49" fontId="34" fillId="0" borderId="471" applyNumberFormat="0" applyFill="0" applyBorder="0" applyProtection="0">
      <alignment horizontal="left" vertical="center"/>
    </xf>
    <xf numFmtId="0" fontId="30" fillId="13" borderId="13" applyNumberFormat="0" applyAlignment="0" applyProtection="0"/>
    <xf numFmtId="0" fontId="51" fillId="0" borderId="469" applyNumberFormat="0" applyFill="0" applyAlignment="0" applyProtection="0"/>
    <xf numFmtId="0" fontId="27" fillId="15" borderId="0" applyNumberFormat="0" applyBorder="0" applyAlignment="0" applyProtection="0"/>
    <xf numFmtId="0" fontId="12" fillId="16" borderId="0" applyNumberFormat="0" applyBorder="0" applyAlignment="0" applyProtection="0"/>
    <xf numFmtId="0" fontId="5" fillId="59" borderId="461" applyNumberFormat="0" applyFont="0" applyAlignment="0" applyProtection="0"/>
    <xf numFmtId="0" fontId="44" fillId="56" borderId="467" applyNumberFormat="0" applyAlignment="0" applyProtection="0"/>
    <xf numFmtId="4" fontId="33" fillId="34" borderId="480">
      <alignment horizontal="right" vertical="center"/>
    </xf>
    <xf numFmtId="4" fontId="37" fillId="32" borderId="444">
      <alignment horizontal="right" vertical="center"/>
    </xf>
    <xf numFmtId="4" fontId="33" fillId="32" borderId="444">
      <alignment horizontal="right" vertical="center"/>
    </xf>
    <xf numFmtId="0" fontId="35" fillId="0" borderId="447">
      <alignment horizontal="left" vertical="center" wrapText="1" indent="2"/>
    </xf>
    <xf numFmtId="0" fontId="63" fillId="56" borderId="448" applyNumberFormat="0" applyAlignment="0" applyProtection="0"/>
    <xf numFmtId="0" fontId="35" fillId="0" borderId="444">
      <alignment horizontal="right" vertical="center"/>
    </xf>
    <xf numFmtId="0" fontId="66" fillId="0" borderId="442" applyNumberFormat="0" applyFill="0" applyAlignment="0" applyProtection="0"/>
    <xf numFmtId="49" fontId="34" fillId="0" borderId="444" applyNumberFormat="0" applyFill="0" applyBorder="0" applyProtection="0">
      <alignment horizontal="left" vertical="center"/>
    </xf>
    <xf numFmtId="4" fontId="35" fillId="33" borderId="444"/>
    <xf numFmtId="0" fontId="59" fillId="43" borderId="441" applyNumberFormat="0" applyAlignment="0" applyProtection="0"/>
    <xf numFmtId="0" fontId="12" fillId="16" borderId="0" applyNumberFormat="0" applyBorder="0" applyAlignment="0" applyProtection="0"/>
    <xf numFmtId="173" fontId="35" fillId="60" borderId="444" applyNumberFormat="0" applyFont="0" applyBorder="0" applyAlignment="0" applyProtection="0">
      <alignment horizontal="right" vertical="center"/>
    </xf>
    <xf numFmtId="0" fontId="66" fillId="0" borderId="469" applyNumberFormat="0" applyFill="0" applyAlignment="0" applyProtection="0"/>
    <xf numFmtId="0" fontId="47" fillId="56" borderId="441" applyNumberFormat="0" applyAlignment="0" applyProtection="0"/>
    <xf numFmtId="4" fontId="35" fillId="0" borderId="471">
      <alignment horizontal="right" vertical="center"/>
    </xf>
    <xf numFmtId="4" fontId="35" fillId="33" borderId="462"/>
    <xf numFmtId="0" fontId="33" fillId="34" borderId="463">
      <alignment horizontal="right" vertical="center"/>
    </xf>
    <xf numFmtId="0" fontId="59" fillId="43" borderId="441" applyNumberFormat="0" applyAlignment="0" applyProtection="0"/>
    <xf numFmtId="0" fontId="44" fillId="56" borderId="448" applyNumberFormat="0" applyAlignment="0" applyProtection="0"/>
    <xf numFmtId="4" fontId="37" fillId="32" borderId="494">
      <alignment horizontal="right" vertical="center"/>
    </xf>
    <xf numFmtId="49" fontId="34" fillId="0" borderId="444" applyNumberFormat="0" applyFill="0" applyBorder="0" applyProtection="0">
      <alignment horizontal="left" vertical="center"/>
    </xf>
    <xf numFmtId="0" fontId="66" fillId="0" borderId="442" applyNumberFormat="0" applyFill="0" applyAlignment="0" applyProtection="0"/>
    <xf numFmtId="0" fontId="35" fillId="0" borderId="444">
      <alignment horizontal="right" vertical="center"/>
    </xf>
    <xf numFmtId="0" fontId="33" fillId="34" borderId="445">
      <alignment horizontal="right" vertical="center"/>
    </xf>
    <xf numFmtId="0" fontId="66" fillId="0" borderId="442" applyNumberFormat="0" applyFill="0" applyAlignment="0" applyProtection="0"/>
    <xf numFmtId="4" fontId="37" fillId="32" borderId="471">
      <alignment horizontal="right" vertical="center"/>
    </xf>
    <xf numFmtId="0" fontId="27" fillId="17" borderId="0" applyNumberFormat="0" applyBorder="0" applyAlignment="0" applyProtection="0"/>
    <xf numFmtId="0" fontId="27" fillId="20" borderId="0" applyNumberFormat="0" applyBorder="0" applyAlignment="0" applyProtection="0"/>
    <xf numFmtId="4" fontId="33" fillId="34" borderId="463">
      <alignment horizontal="right" vertical="center"/>
    </xf>
    <xf numFmtId="4" fontId="35" fillId="0" borderId="462">
      <alignment horizontal="right" vertical="center"/>
    </xf>
    <xf numFmtId="0" fontId="27" fillId="24" borderId="0" applyNumberFormat="0" applyBorder="0" applyAlignment="0" applyProtection="0"/>
    <xf numFmtId="0" fontId="47" fillId="56" borderId="441" applyNumberFormat="0" applyAlignment="0" applyProtection="0"/>
    <xf numFmtId="49" fontId="35" fillId="0" borderId="462" applyNumberFormat="0" applyFont="0" applyFill="0" applyBorder="0" applyProtection="0">
      <alignment horizontal="left" vertical="center" indent="2"/>
    </xf>
    <xf numFmtId="4" fontId="35" fillId="0" borderId="444" applyFill="0" applyBorder="0" applyProtection="0">
      <alignment horizontal="right" vertical="center"/>
    </xf>
    <xf numFmtId="0" fontId="33" fillId="34" borderId="471">
      <alignment horizontal="right" vertical="center"/>
    </xf>
    <xf numFmtId="49" fontId="34" fillId="0" borderId="471" applyNumberFormat="0" applyFill="0" applyBorder="0" applyProtection="0">
      <alignment horizontal="left" vertical="center"/>
    </xf>
    <xf numFmtId="0" fontId="47" fillId="56" borderId="459" applyNumberFormat="0" applyAlignment="0" applyProtection="0"/>
    <xf numFmtId="0" fontId="27" fillId="29" borderId="0" applyNumberFormat="0" applyBorder="0" applyAlignment="0" applyProtection="0"/>
    <xf numFmtId="0" fontId="59" fillId="43" borderId="459" applyNumberFormat="0" applyAlignment="0" applyProtection="0"/>
    <xf numFmtId="0" fontId="35" fillId="0" borderId="447">
      <alignment horizontal="left" vertical="center" wrapText="1" indent="2"/>
    </xf>
    <xf numFmtId="49" fontId="35" fillId="0" borderId="454" applyNumberFormat="0" applyFont="0" applyFill="0" applyBorder="0" applyProtection="0">
      <alignment horizontal="left" vertical="center" indent="2"/>
    </xf>
    <xf numFmtId="0" fontId="66" fillId="0" borderId="442" applyNumberFormat="0" applyFill="0" applyAlignment="0" applyProtection="0"/>
    <xf numFmtId="0" fontId="44" fillId="56" borderId="448" applyNumberFormat="0" applyAlignment="0" applyProtection="0"/>
    <xf numFmtId="0" fontId="33" fillId="34" borderId="444">
      <alignment horizontal="right" vertical="center"/>
    </xf>
    <xf numFmtId="0" fontId="46" fillId="56" borderId="441" applyNumberFormat="0" applyAlignment="0" applyProtection="0"/>
    <xf numFmtId="0" fontId="35" fillId="34" borderId="457">
      <alignment horizontal="left" vertical="center" wrapText="1" indent="2"/>
    </xf>
    <xf numFmtId="0" fontId="35" fillId="0" borderId="474">
      <alignment horizontal="left" vertical="center" wrapText="1" indent="2"/>
    </xf>
    <xf numFmtId="0" fontId="35" fillId="32" borderId="445">
      <alignment horizontal="left" vertical="center"/>
    </xf>
    <xf numFmtId="0" fontId="35" fillId="34" borderId="474">
      <alignment horizontal="left" vertical="center" wrapText="1" indent="2"/>
    </xf>
    <xf numFmtId="0" fontId="35" fillId="0" borderId="497">
      <alignment horizontal="left" vertical="center" wrapText="1" indent="2"/>
    </xf>
    <xf numFmtId="0" fontId="35" fillId="0" borderId="462">
      <alignment horizontal="right" vertical="center"/>
    </xf>
    <xf numFmtId="0" fontId="66" fillId="0" borderId="452" applyNumberFormat="0" applyFill="0" applyAlignment="0" applyProtection="0"/>
    <xf numFmtId="0" fontId="59" fillId="43" borderId="459" applyNumberFormat="0" applyAlignment="0" applyProtection="0"/>
    <xf numFmtId="0" fontId="33" fillId="32" borderId="444">
      <alignment horizontal="right" vertical="center"/>
    </xf>
    <xf numFmtId="0" fontId="33" fillId="34" borderId="454">
      <alignment horizontal="right" vertical="center"/>
    </xf>
    <xf numFmtId="0" fontId="35" fillId="32" borderId="455">
      <alignment horizontal="left" vertical="center"/>
    </xf>
    <xf numFmtId="0" fontId="51" fillId="0" borderId="442" applyNumberFormat="0" applyFill="0" applyAlignment="0" applyProtection="0"/>
    <xf numFmtId="0" fontId="33" fillId="34" borderId="471">
      <alignment horizontal="right" vertical="center"/>
    </xf>
    <xf numFmtId="0" fontId="35" fillId="0" borderId="444">
      <alignment horizontal="right" vertical="center"/>
    </xf>
    <xf numFmtId="0" fontId="5" fillId="59" borderId="443" applyNumberFormat="0" applyFont="0" applyAlignment="0" applyProtection="0"/>
    <xf numFmtId="0" fontId="35" fillId="33" borderId="471"/>
    <xf numFmtId="0" fontId="63" fillId="56" borderId="450" applyNumberFormat="0" applyAlignment="0" applyProtection="0"/>
    <xf numFmtId="0" fontId="35" fillId="34" borderId="457">
      <alignment horizontal="left" vertical="center" wrapText="1" indent="2"/>
    </xf>
    <xf numFmtId="0" fontId="12" fillId="25" borderId="0" applyNumberFormat="0" applyBorder="0" applyAlignment="0" applyProtection="0"/>
    <xf numFmtId="0" fontId="37" fillId="32" borderId="462">
      <alignment horizontal="right" vertical="center"/>
    </xf>
    <xf numFmtId="0" fontId="59" fillId="43" borderId="441" applyNumberFormat="0" applyAlignment="0" applyProtection="0"/>
    <xf numFmtId="4" fontId="35" fillId="33" borderId="471"/>
    <xf numFmtId="49" fontId="35" fillId="0" borderId="445" applyNumberFormat="0" applyFont="0" applyFill="0" applyBorder="0" applyProtection="0">
      <alignment horizontal="left" vertical="center" indent="5"/>
    </xf>
    <xf numFmtId="4" fontId="35" fillId="33" borderId="462"/>
    <xf numFmtId="0" fontId="35" fillId="0" borderId="444" applyNumberFormat="0" applyFill="0" applyAlignment="0" applyProtection="0"/>
    <xf numFmtId="0" fontId="51" fillId="0" borderId="442" applyNumberFormat="0" applyFill="0" applyAlignment="0" applyProtection="0"/>
    <xf numFmtId="0" fontId="63" fillId="56" borderId="448" applyNumberFormat="0" applyAlignment="0" applyProtection="0"/>
    <xf numFmtId="4" fontId="33" fillId="34" borderId="444">
      <alignment horizontal="right" vertical="center"/>
    </xf>
    <xf numFmtId="4" fontId="35" fillId="33" borderId="444"/>
    <xf numFmtId="0" fontId="66" fillId="0" borderId="442" applyNumberFormat="0" applyFill="0" applyAlignment="0" applyProtection="0"/>
    <xf numFmtId="0" fontId="33" fillId="34" borderId="454">
      <alignment horizontal="right" vertical="center"/>
    </xf>
    <xf numFmtId="0" fontId="44" fillId="56" borderId="448" applyNumberFormat="0" applyAlignment="0" applyProtection="0"/>
    <xf numFmtId="0" fontId="46" fillId="56" borderId="441" applyNumberFormat="0" applyAlignment="0" applyProtection="0"/>
    <xf numFmtId="0" fontId="47" fillId="56" borderId="441" applyNumberFormat="0" applyAlignment="0" applyProtection="0"/>
    <xf numFmtId="0" fontId="63" fillId="56" borderId="448" applyNumberFormat="0" applyAlignment="0" applyProtection="0"/>
    <xf numFmtId="0" fontId="33" fillId="34" borderId="446">
      <alignment horizontal="right" vertical="center"/>
    </xf>
    <xf numFmtId="0" fontId="35" fillId="0" borderId="444" applyNumberFormat="0" applyFill="0" applyAlignment="0" applyProtection="0"/>
    <xf numFmtId="49" fontId="35" fillId="0" borderId="445" applyNumberFormat="0" applyFont="0" applyFill="0" applyBorder="0" applyProtection="0">
      <alignment horizontal="left" vertical="center" indent="5"/>
    </xf>
    <xf numFmtId="0" fontId="66" fillId="0" borderId="442" applyNumberFormat="0" applyFill="0" applyAlignment="0" applyProtection="0"/>
    <xf numFmtId="0" fontId="35" fillId="0" borderId="444" applyNumberFormat="0" applyFill="0" applyAlignment="0" applyProtection="0"/>
    <xf numFmtId="0" fontId="50" fillId="43" borderId="459" applyNumberFormat="0" applyAlignment="0" applyProtection="0"/>
    <xf numFmtId="0" fontId="47" fillId="56" borderId="451" applyNumberFormat="0" applyAlignment="0" applyProtection="0"/>
    <xf numFmtId="0" fontId="51" fillId="0" borderId="460" applyNumberFormat="0" applyFill="0" applyAlignment="0" applyProtection="0"/>
    <xf numFmtId="0" fontId="12" fillId="22" borderId="0" applyNumberFormat="0" applyBorder="0" applyAlignment="0" applyProtection="0"/>
    <xf numFmtId="0" fontId="33" fillId="32" borderId="494">
      <alignment horizontal="right" vertical="center"/>
    </xf>
    <xf numFmtId="0" fontId="46" fillId="56" borderId="459" applyNumberFormat="0" applyAlignment="0" applyProtection="0"/>
    <xf numFmtId="0" fontId="41" fillId="59" borderId="443" applyNumberFormat="0" applyFont="0" applyAlignment="0" applyProtection="0"/>
    <xf numFmtId="0" fontId="27" fillId="14" borderId="0" applyNumberFormat="0" applyBorder="0" applyAlignment="0" applyProtection="0"/>
    <xf numFmtId="0" fontId="35" fillId="0" borderId="462" applyNumberFormat="0" applyFill="0" applyAlignment="0" applyProtection="0"/>
    <xf numFmtId="4" fontId="35" fillId="0" borderId="462">
      <alignment horizontal="right" vertical="center"/>
    </xf>
    <xf numFmtId="0" fontId="31" fillId="0" borderId="0" applyNumberFormat="0" applyFill="0" applyBorder="0" applyAlignment="0" applyProtection="0"/>
    <xf numFmtId="0" fontId="33" fillId="32" borderId="454">
      <alignment horizontal="right" vertical="center"/>
    </xf>
    <xf numFmtId="0" fontId="66" fillId="0" borderId="460" applyNumberFormat="0" applyFill="0" applyAlignment="0" applyProtection="0"/>
    <xf numFmtId="0" fontId="44" fillId="56" borderId="466" applyNumberFormat="0" applyAlignment="0" applyProtection="0"/>
    <xf numFmtId="0" fontId="27" fillId="18" borderId="0" applyNumberFormat="0" applyBorder="0" applyAlignment="0" applyProtection="0"/>
    <xf numFmtId="0" fontId="33" fillId="32" borderId="462">
      <alignment horizontal="right" vertical="center"/>
    </xf>
    <xf numFmtId="0" fontId="27" fillId="17" borderId="0" applyNumberFormat="0" applyBorder="0" applyAlignment="0" applyProtection="0"/>
    <xf numFmtId="0" fontId="35" fillId="0" borderId="447">
      <alignment horizontal="left" vertical="center" wrapText="1" indent="2"/>
    </xf>
    <xf numFmtId="49" fontId="34" fillId="0" borderId="471" applyNumberFormat="0" applyFill="0" applyBorder="0" applyProtection="0">
      <alignment horizontal="left" vertical="center"/>
    </xf>
    <xf numFmtId="4" fontId="33" fillId="32" borderId="444">
      <alignment horizontal="right" vertical="center"/>
    </xf>
    <xf numFmtId="0" fontId="33" fillId="34" borderId="462">
      <alignment horizontal="right" vertical="center"/>
    </xf>
    <xf numFmtId="4" fontId="33" fillId="34" borderId="463">
      <alignment horizontal="right" vertical="center"/>
    </xf>
    <xf numFmtId="0" fontId="63" fillId="56" borderId="448" applyNumberFormat="0" applyAlignment="0" applyProtection="0"/>
    <xf numFmtId="49" fontId="35" fillId="0" borderId="445" applyNumberFormat="0" applyFont="0" applyFill="0" applyBorder="0" applyProtection="0">
      <alignment horizontal="left" vertical="center" indent="5"/>
    </xf>
    <xf numFmtId="4" fontId="35" fillId="0" borderId="444">
      <alignment horizontal="right" vertical="center"/>
    </xf>
    <xf numFmtId="0" fontId="47" fillId="56" borderId="459" applyNumberFormat="0" applyAlignment="0" applyProtection="0"/>
    <xf numFmtId="0" fontId="47" fillId="56" borderId="451" applyNumberFormat="0" applyAlignment="0" applyProtection="0"/>
    <xf numFmtId="0" fontId="33" fillId="34" borderId="462">
      <alignment horizontal="right" vertical="center"/>
    </xf>
    <xf numFmtId="0" fontId="27" fillId="23" borderId="0" applyNumberFormat="0" applyBorder="0" applyAlignment="0" applyProtection="0"/>
    <xf numFmtId="0" fontId="51" fillId="0" borderId="442" applyNumberFormat="0" applyFill="0" applyAlignment="0" applyProtection="0"/>
    <xf numFmtId="0" fontId="44" fillId="56" borderId="467" applyNumberFormat="0" applyAlignment="0" applyProtection="0"/>
    <xf numFmtId="4" fontId="33" fillId="34" borderId="446">
      <alignment horizontal="right" vertical="center"/>
    </xf>
    <xf numFmtId="4" fontId="33" fillId="34" borderId="444">
      <alignment horizontal="right" vertical="center"/>
    </xf>
    <xf numFmtId="4" fontId="33" fillId="34" borderId="444">
      <alignment horizontal="right" vertical="center"/>
    </xf>
    <xf numFmtId="0" fontId="66" fillId="0" borderId="442" applyNumberFormat="0" applyFill="0" applyAlignment="0" applyProtection="0"/>
    <xf numFmtId="0" fontId="47" fillId="56" borderId="441" applyNumberFormat="0" applyAlignment="0" applyProtection="0"/>
    <xf numFmtId="0" fontId="50" fillId="43" borderId="441" applyNumberFormat="0" applyAlignment="0" applyProtection="0"/>
    <xf numFmtId="0" fontId="47" fillId="56" borderId="459" applyNumberFormat="0" applyAlignment="0" applyProtection="0"/>
    <xf numFmtId="0" fontId="59" fillId="43" borderId="468" applyNumberFormat="0" applyAlignment="0" applyProtection="0"/>
    <xf numFmtId="49" fontId="34" fillId="0" borderId="444" applyNumberFormat="0" applyFill="0" applyBorder="0" applyProtection="0">
      <alignment horizontal="left" vertical="center"/>
    </xf>
    <xf numFmtId="0" fontId="5" fillId="59" borderId="443" applyNumberFormat="0" applyFont="0" applyAlignment="0" applyProtection="0"/>
    <xf numFmtId="0" fontId="41" fillId="59" borderId="453" applyNumberFormat="0" applyFont="0" applyAlignment="0" applyProtection="0"/>
    <xf numFmtId="4" fontId="33" fillId="34" borderId="444">
      <alignment horizontal="right" vertical="center"/>
    </xf>
    <xf numFmtId="0" fontId="27" fillId="24" borderId="0" applyNumberFormat="0" applyBorder="0" applyAlignment="0" applyProtection="0"/>
    <xf numFmtId="0" fontId="50" fillId="43" borderId="459" applyNumberFormat="0" applyAlignment="0" applyProtection="0"/>
    <xf numFmtId="0" fontId="37" fillId="32" borderId="471">
      <alignment horizontal="right" vertical="center"/>
    </xf>
    <xf numFmtId="0" fontId="12" fillId="28" borderId="0" applyNumberFormat="0" applyBorder="0" applyAlignment="0" applyProtection="0"/>
    <xf numFmtId="0" fontId="63" fillId="56" borderId="475" applyNumberFormat="0" applyAlignment="0" applyProtection="0"/>
    <xf numFmtId="49" fontId="35" fillId="0" borderId="444" applyNumberFormat="0" applyFont="0" applyFill="0" applyBorder="0" applyProtection="0">
      <alignment horizontal="left" vertical="center" indent="2"/>
    </xf>
    <xf numFmtId="0" fontId="66" fillId="0" borderId="442" applyNumberFormat="0" applyFill="0" applyAlignment="0" applyProtection="0"/>
    <xf numFmtId="4" fontId="35" fillId="0" borderId="444" applyFill="0" applyBorder="0" applyProtection="0">
      <alignment horizontal="right" vertical="center"/>
    </xf>
    <xf numFmtId="0" fontId="59" fillId="43" borderId="441" applyNumberFormat="0" applyAlignment="0" applyProtection="0"/>
    <xf numFmtId="49" fontId="34" fillId="0" borderId="444" applyNumberFormat="0" applyFill="0" applyBorder="0" applyProtection="0">
      <alignment horizontal="left" vertical="center"/>
    </xf>
    <xf numFmtId="49" fontId="35" fillId="0" borderId="444" applyNumberFormat="0" applyFont="0" applyFill="0" applyBorder="0" applyProtection="0">
      <alignment horizontal="left" vertical="center" indent="2"/>
    </xf>
    <xf numFmtId="4" fontId="35" fillId="0" borderId="444" applyFill="0" applyBorder="0" applyProtection="0">
      <alignment horizontal="right" vertical="center"/>
    </xf>
    <xf numFmtId="0" fontId="33" fillId="34" borderId="464">
      <alignment horizontal="right" vertical="center"/>
    </xf>
    <xf numFmtId="173" fontId="35" fillId="60" borderId="444" applyNumberFormat="0" applyFont="0" applyBorder="0" applyAlignment="0" applyProtection="0">
      <alignment horizontal="right" vertical="center"/>
    </xf>
    <xf numFmtId="173" fontId="35" fillId="60" borderId="462" applyNumberFormat="0" applyFont="0" applyBorder="0" applyAlignment="0" applyProtection="0">
      <alignment horizontal="right" vertical="center"/>
    </xf>
    <xf numFmtId="0" fontId="35" fillId="0" borderId="474">
      <alignment horizontal="left" vertical="center" wrapText="1" indent="2"/>
    </xf>
    <xf numFmtId="173" fontId="35" fillId="60" borderId="471" applyNumberFormat="0" applyFont="0" applyBorder="0" applyAlignment="0" applyProtection="0">
      <alignment horizontal="right" vertical="center"/>
    </xf>
    <xf numFmtId="0" fontId="37" fillId="32" borderId="444">
      <alignment horizontal="right" vertical="center"/>
    </xf>
    <xf numFmtId="0" fontId="47" fillId="56" borderId="459" applyNumberFormat="0" applyAlignment="0" applyProtection="0"/>
    <xf numFmtId="0" fontId="59" fillId="43" borderId="459" applyNumberFormat="0" applyAlignment="0" applyProtection="0"/>
    <xf numFmtId="0" fontId="35" fillId="0" borderId="462">
      <alignment horizontal="right" vertical="center"/>
    </xf>
    <xf numFmtId="0" fontId="50" fillId="43" borderId="441" applyNumberFormat="0" applyAlignment="0" applyProtection="0"/>
    <xf numFmtId="4" fontId="33" fillId="34" borderId="444">
      <alignment horizontal="right" vertical="center"/>
    </xf>
    <xf numFmtId="0" fontId="35" fillId="32" borderId="445">
      <alignment horizontal="left" vertical="center"/>
    </xf>
    <xf numFmtId="0" fontId="59" fillId="43" borderId="459" applyNumberFormat="0" applyAlignment="0" applyProtection="0"/>
    <xf numFmtId="4" fontId="35" fillId="0" borderId="471" applyFill="0" applyBorder="0" applyProtection="0">
      <alignment horizontal="right" vertical="center"/>
    </xf>
    <xf numFmtId="0" fontId="33" fillId="34" borderId="464">
      <alignment horizontal="right" vertical="center"/>
    </xf>
    <xf numFmtId="0" fontId="41" fillId="59" borderId="461" applyNumberFormat="0" applyFont="0" applyAlignment="0" applyProtection="0"/>
    <xf numFmtId="0" fontId="12" fillId="31" borderId="0" applyNumberFormat="0" applyBorder="0" applyAlignment="0" applyProtection="0"/>
    <xf numFmtId="0" fontId="27" fillId="26" borderId="0" applyNumberFormat="0" applyBorder="0" applyAlignment="0" applyProtection="0"/>
    <xf numFmtId="0" fontId="47" fillId="56" borderId="459" applyNumberFormat="0" applyAlignment="0" applyProtection="0"/>
    <xf numFmtId="4" fontId="37" fillId="32" borderId="454">
      <alignment horizontal="right" vertical="center"/>
    </xf>
    <xf numFmtId="0" fontId="33" fillId="32" borderId="462">
      <alignment horizontal="right" vertical="center"/>
    </xf>
    <xf numFmtId="4" fontId="35" fillId="33" borderId="471"/>
    <xf numFmtId="0" fontId="12" fillId="22" borderId="0" applyNumberFormat="0" applyBorder="0" applyAlignment="0" applyProtection="0"/>
    <xf numFmtId="4" fontId="35" fillId="0" borderId="462" applyFill="0" applyBorder="0" applyProtection="0">
      <alignment horizontal="right" vertical="center"/>
    </xf>
    <xf numFmtId="0" fontId="33" fillId="34" borderId="444">
      <alignment horizontal="right" vertical="center"/>
    </xf>
    <xf numFmtId="0" fontId="35" fillId="34" borderId="447">
      <alignment horizontal="left" vertical="center" wrapText="1" indent="2"/>
    </xf>
    <xf numFmtId="173" fontId="35" fillId="60" borderId="444" applyNumberFormat="0" applyFont="0" applyBorder="0" applyAlignment="0" applyProtection="0">
      <alignment horizontal="right" vertical="center"/>
    </xf>
    <xf numFmtId="0" fontId="41" fillId="59" borderId="443" applyNumberFormat="0" applyFont="0" applyAlignment="0" applyProtection="0"/>
    <xf numFmtId="49" fontId="35" fillId="0" borderId="444" applyNumberFormat="0" applyFont="0" applyFill="0" applyBorder="0" applyProtection="0">
      <alignment horizontal="left" vertical="center" indent="2"/>
    </xf>
    <xf numFmtId="0" fontId="47" fillId="56" borderId="459" applyNumberFormat="0" applyAlignment="0" applyProtection="0"/>
    <xf numFmtId="0" fontId="59" fillId="43" borderId="451" applyNumberFormat="0" applyAlignment="0" applyProtection="0"/>
    <xf numFmtId="0" fontId="46" fillId="56" borderId="459" applyNumberFormat="0" applyAlignment="0" applyProtection="0"/>
    <xf numFmtId="0" fontId="31" fillId="0" borderId="0" applyNumberFormat="0" applyFill="0" applyBorder="0" applyAlignment="0" applyProtection="0"/>
    <xf numFmtId="49" fontId="34" fillId="0" borderId="444" applyNumberFormat="0" applyFill="0" applyBorder="0" applyProtection="0">
      <alignment horizontal="left" vertical="center"/>
    </xf>
    <xf numFmtId="0" fontId="35" fillId="0" borderId="471" applyNumberFormat="0" applyFill="0" applyAlignment="0" applyProtection="0"/>
    <xf numFmtId="173" fontId="35" fillId="60" borderId="444" applyNumberFormat="0" applyFont="0" applyBorder="0" applyAlignment="0" applyProtection="0">
      <alignment horizontal="right" vertical="center"/>
    </xf>
    <xf numFmtId="0" fontId="63" fillId="56" borderId="448" applyNumberFormat="0" applyAlignment="0" applyProtection="0"/>
    <xf numFmtId="0" fontId="35" fillId="0" borderId="444">
      <alignment horizontal="right" vertical="center"/>
    </xf>
    <xf numFmtId="0" fontId="27" fillId="29" borderId="0" applyNumberFormat="0" applyBorder="0" applyAlignment="0" applyProtection="0"/>
    <xf numFmtId="0" fontId="35" fillId="33" borderId="444"/>
    <xf numFmtId="4" fontId="33" fillId="34" borderId="444">
      <alignment horizontal="right" vertical="center"/>
    </xf>
    <xf numFmtId="0" fontId="35" fillId="33" borderId="444"/>
    <xf numFmtId="0" fontId="59" fillId="43" borderId="441" applyNumberFormat="0" applyAlignment="0" applyProtection="0"/>
    <xf numFmtId="0" fontId="50" fillId="43" borderId="459" applyNumberFormat="0" applyAlignment="0" applyProtection="0"/>
    <xf numFmtId="0" fontId="37" fillId="32" borderId="444">
      <alignment horizontal="right" vertical="center"/>
    </xf>
    <xf numFmtId="0" fontId="35" fillId="0" borderId="447">
      <alignment horizontal="left" vertical="center" wrapText="1" indent="2"/>
    </xf>
    <xf numFmtId="0" fontId="33" fillId="32" borderId="444">
      <alignment horizontal="right" vertical="center"/>
    </xf>
    <xf numFmtId="0" fontId="50" fillId="43" borderId="441" applyNumberFormat="0" applyAlignment="0" applyProtection="0"/>
    <xf numFmtId="0" fontId="35" fillId="34" borderId="447">
      <alignment horizontal="left" vertical="center" wrapText="1" indent="2"/>
    </xf>
    <xf numFmtId="0" fontId="27" fillId="27" borderId="0" applyNumberFormat="0" applyBorder="0" applyAlignment="0" applyProtection="0"/>
    <xf numFmtId="0" fontId="27" fillId="20" borderId="0" applyNumberFormat="0" applyBorder="0" applyAlignment="0" applyProtection="0"/>
    <xf numFmtId="4" fontId="35" fillId="0" borderId="462" applyFill="0" applyBorder="0" applyProtection="0">
      <alignment horizontal="right" vertical="center"/>
    </xf>
    <xf numFmtId="0" fontId="27" fillId="17" borderId="0" applyNumberFormat="0" applyBorder="0" applyAlignment="0" applyProtection="0"/>
    <xf numFmtId="0" fontId="27" fillId="18" borderId="0" applyNumberFormat="0" applyBorder="0" applyAlignment="0" applyProtection="0"/>
    <xf numFmtId="0" fontId="33" fillId="34" borderId="495">
      <alignment horizontal="right" vertical="center"/>
    </xf>
    <xf numFmtId="4" fontId="33" fillId="34" borderId="462">
      <alignment horizontal="right" vertical="center"/>
    </xf>
    <xf numFmtId="0" fontId="44" fillId="56" borderId="466" applyNumberFormat="0" applyAlignment="0" applyProtection="0"/>
    <xf numFmtId="0" fontId="35" fillId="34" borderId="497">
      <alignment horizontal="left" vertical="center" wrapText="1" indent="2"/>
    </xf>
    <xf numFmtId="0" fontId="46" fillId="56" borderId="441" applyNumberFormat="0" applyAlignment="0" applyProtection="0"/>
    <xf numFmtId="0" fontId="37" fillId="32" borderId="444">
      <alignment horizontal="right" vertical="center"/>
    </xf>
    <xf numFmtId="0" fontId="50" fillId="43" borderId="459" applyNumberFormat="0" applyAlignment="0" applyProtection="0"/>
    <xf numFmtId="0" fontId="27" fillId="21" borderId="0" applyNumberFormat="0" applyBorder="0" applyAlignment="0" applyProtection="0"/>
    <xf numFmtId="0" fontId="41" fillId="59" borderId="478" applyNumberFormat="0" applyFont="0" applyAlignment="0" applyProtection="0"/>
    <xf numFmtId="0" fontId="30" fillId="13" borderId="13" applyNumberFormat="0" applyAlignment="0" applyProtection="0"/>
    <xf numFmtId="0" fontId="27" fillId="14" borderId="0" applyNumberFormat="0" applyBorder="0" applyAlignment="0" applyProtection="0"/>
    <xf numFmtId="0" fontId="37" fillId="32" borderId="471">
      <alignment horizontal="right" vertical="center"/>
    </xf>
    <xf numFmtId="4" fontId="37" fillId="32" borderId="471">
      <alignment horizontal="right" vertical="center"/>
    </xf>
    <xf numFmtId="0" fontId="33" fillId="34" borderId="463">
      <alignment horizontal="right" vertical="center"/>
    </xf>
    <xf numFmtId="0" fontId="46" fillId="56" borderId="459" applyNumberFormat="0" applyAlignment="0" applyProtection="0"/>
    <xf numFmtId="0" fontId="33" fillId="34" borderId="444">
      <alignment horizontal="right" vertical="center"/>
    </xf>
    <xf numFmtId="4" fontId="35" fillId="0" borderId="444" applyFill="0" applyBorder="0" applyProtection="0">
      <alignment horizontal="right" vertical="center"/>
    </xf>
    <xf numFmtId="0" fontId="35" fillId="34" borderId="447">
      <alignment horizontal="left" vertical="center" wrapText="1" indent="2"/>
    </xf>
    <xf numFmtId="0" fontId="41" fillId="59" borderId="443" applyNumberFormat="0" applyFont="0" applyAlignment="0" applyProtection="0"/>
    <xf numFmtId="0" fontId="50" fillId="43" borderId="441" applyNumberFormat="0" applyAlignment="0" applyProtection="0"/>
    <xf numFmtId="4" fontId="35" fillId="33" borderId="444"/>
    <xf numFmtId="4" fontId="35" fillId="0" borderId="444" applyFill="0" applyBorder="0" applyProtection="0">
      <alignment horizontal="right" vertical="center"/>
    </xf>
    <xf numFmtId="0" fontId="66" fillId="0" borderId="442" applyNumberFormat="0" applyFill="0" applyAlignment="0" applyProtection="0"/>
    <xf numFmtId="0" fontId="35" fillId="32" borderId="445">
      <alignment horizontal="left" vertical="center"/>
    </xf>
    <xf numFmtId="0" fontId="35" fillId="0" borderId="447">
      <alignment horizontal="left" vertical="center" wrapText="1" indent="2"/>
    </xf>
    <xf numFmtId="0" fontId="33" fillId="34" borderId="462">
      <alignment horizontal="right" vertical="center"/>
    </xf>
    <xf numFmtId="0" fontId="59" fillId="43" borderId="441" applyNumberFormat="0" applyAlignment="0" applyProtection="0"/>
    <xf numFmtId="0" fontId="35" fillId="34" borderId="447">
      <alignment horizontal="left" vertical="center" wrapText="1" indent="2"/>
    </xf>
    <xf numFmtId="0" fontId="12" fillId="16" borderId="0" applyNumberFormat="0" applyBorder="0" applyAlignment="0" applyProtection="0"/>
    <xf numFmtId="0" fontId="50" fillId="43" borderId="459" applyNumberFormat="0" applyAlignment="0" applyProtection="0"/>
    <xf numFmtId="0" fontId="41" fillId="59" borderId="443" applyNumberFormat="0" applyFont="0" applyAlignment="0" applyProtection="0"/>
    <xf numFmtId="0" fontId="59" fillId="43" borderId="441" applyNumberFormat="0" applyAlignment="0" applyProtection="0"/>
    <xf numFmtId="0" fontId="27" fillId="21" borderId="0" applyNumberFormat="0" applyBorder="0" applyAlignment="0" applyProtection="0"/>
    <xf numFmtId="4" fontId="35" fillId="33" borderId="444"/>
    <xf numFmtId="0" fontId="47" fillId="56" borderId="441" applyNumberFormat="0" applyAlignment="0" applyProtection="0"/>
    <xf numFmtId="0" fontId="59" fillId="43" borderId="441" applyNumberFormat="0" applyAlignment="0" applyProtection="0"/>
    <xf numFmtId="4" fontId="33" fillId="34" borderId="444">
      <alignment horizontal="right" vertical="center"/>
    </xf>
    <xf numFmtId="0" fontId="51" fillId="0" borderId="442" applyNumberFormat="0" applyFill="0" applyAlignment="0" applyProtection="0"/>
    <xf numFmtId="4" fontId="33" fillId="34" borderId="463">
      <alignment horizontal="right" vertical="center"/>
    </xf>
    <xf numFmtId="0" fontId="41" fillId="59" borderId="461" applyNumberFormat="0" applyFont="0" applyAlignment="0" applyProtection="0"/>
    <xf numFmtId="4" fontId="37" fillId="32" borderId="462">
      <alignment horizontal="right" vertical="center"/>
    </xf>
    <xf numFmtId="4" fontId="35" fillId="0" borderId="454">
      <alignment horizontal="right" vertical="center"/>
    </xf>
    <xf numFmtId="4" fontId="35" fillId="33" borderId="462"/>
    <xf numFmtId="0" fontId="50" fillId="43" borderId="441" applyNumberFormat="0" applyAlignment="0" applyProtection="0"/>
    <xf numFmtId="0" fontId="27" fillId="17" borderId="0" applyNumberFormat="0" applyBorder="0" applyAlignment="0" applyProtection="0"/>
    <xf numFmtId="0" fontId="33" fillId="34" borderId="462">
      <alignment horizontal="right" vertical="center"/>
    </xf>
    <xf numFmtId="0" fontId="35" fillId="32" borderId="463">
      <alignment horizontal="left" vertical="center"/>
    </xf>
    <xf numFmtId="0" fontId="41" fillId="59" borderId="461" applyNumberFormat="0" applyFont="0" applyAlignment="0" applyProtection="0"/>
    <xf numFmtId="0" fontId="33" fillId="34" borderId="496">
      <alignment horizontal="right" vertical="center"/>
    </xf>
    <xf numFmtId="0" fontId="35" fillId="32" borderId="480">
      <alignment horizontal="left" vertical="center"/>
    </xf>
    <xf numFmtId="0" fontId="35" fillId="34" borderId="447">
      <alignment horizontal="left" vertical="center" wrapText="1" indent="2"/>
    </xf>
    <xf numFmtId="0" fontId="30" fillId="13" borderId="13" applyNumberFormat="0" applyAlignment="0" applyProtection="0"/>
    <xf numFmtId="0" fontId="63" fillId="56" borderId="448" applyNumberFormat="0" applyAlignment="0" applyProtection="0"/>
    <xf numFmtId="0" fontId="59" fillId="43" borderId="441" applyNumberFormat="0" applyAlignment="0" applyProtection="0"/>
    <xf numFmtId="4" fontId="33" fillId="34" borderId="444">
      <alignment horizontal="right" vertical="center"/>
    </xf>
    <xf numFmtId="0" fontId="35" fillId="33" borderId="444"/>
    <xf numFmtId="0" fontId="66" fillId="0" borderId="460" applyNumberFormat="0" applyFill="0" applyAlignment="0" applyProtection="0"/>
    <xf numFmtId="0" fontId="46" fillId="56" borderId="468" applyNumberFormat="0" applyAlignment="0" applyProtection="0"/>
    <xf numFmtId="0" fontId="35" fillId="0" borderId="447">
      <alignment horizontal="left" vertical="center" wrapText="1" indent="2"/>
    </xf>
    <xf numFmtId="0" fontId="27" fillId="24" borderId="0" applyNumberFormat="0" applyBorder="0" applyAlignment="0" applyProtection="0"/>
    <xf numFmtId="0" fontId="12" fillId="19" borderId="0" applyNumberFormat="0" applyBorder="0" applyAlignment="0" applyProtection="0"/>
    <xf numFmtId="0" fontId="46" fillId="56" borderId="459" applyNumberFormat="0" applyAlignment="0" applyProtection="0"/>
    <xf numFmtId="0" fontId="63" fillId="56" borderId="466" applyNumberFormat="0" applyAlignment="0" applyProtection="0"/>
    <xf numFmtId="0" fontId="46" fillId="56" borderId="441" applyNumberFormat="0" applyAlignment="0" applyProtection="0"/>
    <xf numFmtId="0" fontId="33" fillId="34" borderId="455">
      <alignment horizontal="right" vertical="center"/>
    </xf>
    <xf numFmtId="0" fontId="35" fillId="0" borderId="454">
      <alignment horizontal="right" vertical="center"/>
    </xf>
    <xf numFmtId="4" fontId="33" fillId="32" borderId="444">
      <alignment horizontal="right" vertical="center"/>
    </xf>
    <xf numFmtId="0" fontId="44" fillId="56" borderId="466" applyNumberFormat="0" applyAlignment="0" applyProtection="0"/>
    <xf numFmtId="0" fontId="33" fillId="32" borderId="444">
      <alignment horizontal="right" vertical="center"/>
    </xf>
    <xf numFmtId="0" fontId="33" fillId="34" borderId="444">
      <alignment horizontal="right" vertical="center"/>
    </xf>
    <xf numFmtId="0" fontId="33" fillId="34" borderId="462">
      <alignment horizontal="right" vertical="center"/>
    </xf>
    <xf numFmtId="173" fontId="35" fillId="60" borderId="471" applyNumberFormat="0" applyFont="0" applyBorder="0" applyAlignment="0" applyProtection="0">
      <alignment horizontal="right" vertical="center"/>
    </xf>
    <xf numFmtId="0" fontId="35" fillId="0" borderId="462">
      <alignment horizontal="right" vertical="center"/>
    </xf>
    <xf numFmtId="0" fontId="27" fillId="24" borderId="0" applyNumberFormat="0" applyBorder="0" applyAlignment="0" applyProtection="0"/>
    <xf numFmtId="0" fontId="63" fillId="56" borderId="448" applyNumberFormat="0" applyAlignment="0" applyProtection="0"/>
    <xf numFmtId="0" fontId="27" fillId="14" borderId="0" applyNumberFormat="0" applyBorder="0" applyAlignment="0" applyProtection="0"/>
    <xf numFmtId="49" fontId="35" fillId="0" borderId="444" applyNumberFormat="0" applyFont="0" applyFill="0" applyBorder="0" applyProtection="0">
      <alignment horizontal="left" vertical="center" indent="2"/>
    </xf>
    <xf numFmtId="0" fontId="41" fillId="59" borderId="461" applyNumberFormat="0" applyFont="0" applyAlignment="0" applyProtection="0"/>
    <xf numFmtId="0" fontId="41" fillId="59" borderId="443" applyNumberFormat="0" applyFont="0" applyAlignment="0" applyProtection="0"/>
    <xf numFmtId="173" fontId="35" fillId="60" borderId="444" applyNumberFormat="0" applyFont="0" applyBorder="0" applyAlignment="0" applyProtection="0">
      <alignment horizontal="right" vertical="center"/>
    </xf>
    <xf numFmtId="0" fontId="59" fillId="43" borderId="441" applyNumberFormat="0" applyAlignment="0" applyProtection="0"/>
    <xf numFmtId="0" fontId="33" fillId="34" borderId="444">
      <alignment horizontal="right" vertical="center"/>
    </xf>
    <xf numFmtId="0" fontId="35" fillId="33" borderId="444"/>
    <xf numFmtId="0" fontId="63" fillId="56" borderId="448" applyNumberFormat="0" applyAlignment="0" applyProtection="0"/>
    <xf numFmtId="0" fontId="47" fillId="56" borderId="441" applyNumberFormat="0" applyAlignment="0" applyProtection="0"/>
    <xf numFmtId="0" fontId="46" fillId="56" borderId="441" applyNumberFormat="0" applyAlignment="0" applyProtection="0"/>
    <xf numFmtId="0" fontId="50" fillId="43" borderId="441" applyNumberFormat="0" applyAlignment="0" applyProtection="0"/>
    <xf numFmtId="0" fontId="50" fillId="43" borderId="441" applyNumberFormat="0" applyAlignment="0" applyProtection="0"/>
    <xf numFmtId="0" fontId="35" fillId="0" borderId="447">
      <alignment horizontal="left" vertical="center" wrapText="1" indent="2"/>
    </xf>
    <xf numFmtId="4" fontId="33" fillId="34" borderId="445">
      <alignment horizontal="right" vertical="center"/>
    </xf>
    <xf numFmtId="4" fontId="35" fillId="0" borderId="444">
      <alignment horizontal="right" vertical="center"/>
    </xf>
    <xf numFmtId="49" fontId="34" fillId="0" borderId="444" applyNumberFormat="0" applyFill="0" applyBorder="0" applyProtection="0">
      <alignment horizontal="left" vertical="center"/>
    </xf>
    <xf numFmtId="4" fontId="35" fillId="0" borderId="444">
      <alignment horizontal="right" vertical="center"/>
    </xf>
    <xf numFmtId="0" fontId="63" fillId="56" borderId="448" applyNumberFormat="0" applyAlignment="0" applyProtection="0"/>
    <xf numFmtId="0" fontId="35" fillId="32" borderId="495">
      <alignment horizontal="left" vertical="center"/>
    </xf>
    <xf numFmtId="0" fontId="51" fillId="0" borderId="460" applyNumberFormat="0" applyFill="0" applyAlignment="0" applyProtection="0"/>
    <xf numFmtId="173" fontId="35" fillId="60" borderId="494" applyNumberFormat="0" applyFont="0" applyBorder="0" applyAlignment="0" applyProtection="0">
      <alignment horizontal="right" vertical="center"/>
    </xf>
    <xf numFmtId="0" fontId="66" fillId="0" borderId="460" applyNumberFormat="0" applyFill="0" applyAlignment="0" applyProtection="0"/>
    <xf numFmtId="4" fontId="33" fillId="32" borderId="462">
      <alignment horizontal="right" vertical="center"/>
    </xf>
    <xf numFmtId="0" fontId="27" fillId="14" borderId="0" applyNumberFormat="0" applyBorder="0" applyAlignment="0" applyProtection="0"/>
    <xf numFmtId="0" fontId="35" fillId="0" borderId="447">
      <alignment horizontal="left" vertical="center" wrapText="1" indent="2"/>
    </xf>
    <xf numFmtId="0" fontId="12" fillId="16" borderId="0" applyNumberFormat="0" applyBorder="0" applyAlignment="0" applyProtection="0"/>
    <xf numFmtId="0" fontId="59" fillId="43" borderId="491" applyNumberFormat="0" applyAlignment="0" applyProtection="0"/>
    <xf numFmtId="0" fontId="47" fillId="56" borderId="459" applyNumberFormat="0" applyAlignment="0" applyProtection="0"/>
    <xf numFmtId="0" fontId="27" fillId="23" borderId="0" applyNumberFormat="0" applyBorder="0" applyAlignment="0" applyProtection="0"/>
    <xf numFmtId="0" fontId="63" fillId="56" borderId="467" applyNumberFormat="0" applyAlignment="0" applyProtection="0"/>
    <xf numFmtId="0" fontId="27" fillId="15" borderId="0" applyNumberFormat="0" applyBorder="0" applyAlignment="0" applyProtection="0"/>
    <xf numFmtId="0" fontId="12" fillId="31" borderId="0" applyNumberFormat="0" applyBorder="0" applyAlignment="0" applyProtection="0"/>
    <xf numFmtId="0" fontId="46" fillId="56" borderId="459" applyNumberFormat="0" applyAlignment="0" applyProtection="0"/>
    <xf numFmtId="0" fontId="51" fillId="0" borderId="460" applyNumberFormat="0" applyFill="0" applyAlignment="0" applyProtection="0"/>
    <xf numFmtId="0" fontId="41" fillId="59" borderId="461" applyNumberFormat="0" applyFont="0" applyAlignment="0" applyProtection="0"/>
    <xf numFmtId="0" fontId="41" fillId="59" borderId="443" applyNumberFormat="0" applyFont="0" applyAlignment="0" applyProtection="0"/>
    <xf numFmtId="0" fontId="35" fillId="0" borderId="462" applyNumberFormat="0" applyFill="0" applyAlignment="0" applyProtection="0"/>
    <xf numFmtId="0" fontId="33" fillId="32" borderId="444">
      <alignment horizontal="right" vertical="center"/>
    </xf>
    <xf numFmtId="0" fontId="2" fillId="0" borderId="15" applyNumberFormat="0" applyFill="0" applyAlignment="0" applyProtection="0"/>
    <xf numFmtId="4" fontId="33" fillId="34" borderId="462">
      <alignment horizontal="right" vertical="center"/>
    </xf>
    <xf numFmtId="0" fontId="35" fillId="0" borderId="444" applyNumberFormat="0" applyFill="0" applyAlignment="0" applyProtection="0"/>
    <xf numFmtId="49" fontId="34" fillId="0" borderId="444" applyNumberFormat="0" applyFill="0" applyBorder="0" applyProtection="0">
      <alignment horizontal="left" vertical="center"/>
    </xf>
    <xf numFmtId="0" fontId="35" fillId="0" borderId="444">
      <alignment horizontal="right" vertical="center"/>
    </xf>
    <xf numFmtId="0" fontId="33" fillId="34" borderId="471">
      <alignment horizontal="right" vertical="center"/>
    </xf>
    <xf numFmtId="0" fontId="35" fillId="0" borderId="457">
      <alignment horizontal="left" vertical="center" wrapText="1" indent="2"/>
    </xf>
    <xf numFmtId="0" fontId="12" fillId="19" borderId="0" applyNumberFormat="0" applyBorder="0" applyAlignment="0" applyProtection="0"/>
    <xf numFmtId="0" fontId="47" fillId="56" borderId="459" applyNumberFormat="0" applyAlignment="0" applyProtection="0"/>
    <xf numFmtId="4" fontId="33" fillId="32" borderId="444">
      <alignment horizontal="right" vertical="center"/>
    </xf>
    <xf numFmtId="0" fontId="35" fillId="0" borderId="471">
      <alignment horizontal="right" vertical="center"/>
    </xf>
    <xf numFmtId="0" fontId="47" fillId="56" borderId="441" applyNumberFormat="0" applyAlignment="0" applyProtection="0"/>
    <xf numFmtId="0" fontId="33" fillId="34" borderId="446">
      <alignment horizontal="right" vertical="center"/>
    </xf>
    <xf numFmtId="4" fontId="33" fillId="32" borderId="444">
      <alignment horizontal="right" vertical="center"/>
    </xf>
    <xf numFmtId="0" fontId="33" fillId="34" borderId="444">
      <alignment horizontal="right" vertical="center"/>
    </xf>
    <xf numFmtId="0" fontId="47" fillId="56" borderId="441" applyNumberFormat="0" applyAlignment="0" applyProtection="0"/>
    <xf numFmtId="49" fontId="34" fillId="0" borderId="462" applyNumberFormat="0" applyFill="0" applyBorder="0" applyProtection="0">
      <alignment horizontal="left" vertical="center"/>
    </xf>
    <xf numFmtId="0" fontId="27" fillId="26" borderId="0" applyNumberFormat="0" applyBorder="0" applyAlignment="0" applyProtection="0"/>
    <xf numFmtId="0" fontId="2" fillId="0" borderId="15" applyNumberFormat="0" applyFill="0" applyAlignment="0" applyProtection="0"/>
    <xf numFmtId="4" fontId="35" fillId="0" borderId="444" applyFill="0" applyBorder="0" applyProtection="0">
      <alignment horizontal="right" vertical="center"/>
    </xf>
    <xf numFmtId="0" fontId="41" fillId="59" borderId="443" applyNumberFormat="0" applyFont="0" applyAlignment="0" applyProtection="0"/>
    <xf numFmtId="4" fontId="33" fillId="34" borderId="496">
      <alignment horizontal="right" vertical="center"/>
    </xf>
    <xf numFmtId="0" fontId="29" fillId="13" borderId="14" applyNumberFormat="0" applyAlignment="0" applyProtection="0"/>
    <xf numFmtId="0" fontId="27" fillId="29" borderId="0" applyNumberFormat="0" applyBorder="0" applyAlignment="0" applyProtection="0"/>
    <xf numFmtId="0" fontId="27" fillId="20" borderId="0" applyNumberFormat="0" applyBorder="0" applyAlignment="0" applyProtection="0"/>
    <xf numFmtId="0" fontId="33" fillId="34" borderId="462">
      <alignment horizontal="right" vertical="center"/>
    </xf>
    <xf numFmtId="0" fontId="27" fillId="27" borderId="0" applyNumberFormat="0" applyBorder="0" applyAlignment="0" applyProtection="0"/>
    <xf numFmtId="0" fontId="66" fillId="0" borderId="460" applyNumberFormat="0" applyFill="0" applyAlignment="0" applyProtection="0"/>
    <xf numFmtId="0" fontId="33" fillId="32" borderId="444">
      <alignment horizontal="right" vertical="center"/>
    </xf>
    <xf numFmtId="0" fontId="51" fillId="0" borderId="442" applyNumberFormat="0" applyFill="0" applyAlignment="0" applyProtection="0"/>
    <xf numFmtId="0" fontId="35" fillId="0" borderId="444" applyNumberFormat="0" applyFill="0" applyAlignment="0" applyProtection="0"/>
    <xf numFmtId="0" fontId="51" fillId="0" borderId="442" applyNumberFormat="0" applyFill="0" applyAlignment="0" applyProtection="0"/>
    <xf numFmtId="4" fontId="35" fillId="0" borderId="444" applyFill="0" applyBorder="0" applyProtection="0">
      <alignment horizontal="right" vertical="center"/>
    </xf>
    <xf numFmtId="49" fontId="35" fillId="0" borderId="445" applyNumberFormat="0" applyFont="0" applyFill="0" applyBorder="0" applyProtection="0">
      <alignment horizontal="left" vertical="center" indent="5"/>
    </xf>
    <xf numFmtId="0" fontId="35" fillId="0" borderId="444" applyNumberFormat="0" applyFill="0" applyAlignment="0" applyProtection="0"/>
    <xf numFmtId="0" fontId="59" fillId="43" borderId="441" applyNumberFormat="0" applyAlignment="0" applyProtection="0"/>
    <xf numFmtId="0" fontId="35" fillId="0" borderId="444" applyNumberFormat="0" applyFill="0" applyAlignment="0" applyProtection="0"/>
    <xf numFmtId="0" fontId="29" fillId="13" borderId="14" applyNumberFormat="0" applyAlignment="0" applyProtection="0"/>
    <xf numFmtId="4" fontId="33" fillId="34" borderId="444">
      <alignment horizontal="right" vertical="center"/>
    </xf>
    <xf numFmtId="0" fontId="44" fillId="56" borderId="466" applyNumberFormat="0" applyAlignment="0" applyProtection="0"/>
    <xf numFmtId="0" fontId="12" fillId="22" borderId="0" applyNumberFormat="0" applyBorder="0" applyAlignment="0" applyProtection="0"/>
    <xf numFmtId="0" fontId="51" fillId="0" borderId="460" applyNumberFormat="0" applyFill="0" applyAlignment="0" applyProtection="0"/>
    <xf numFmtId="0" fontId="50" fillId="43" borderId="441" applyNumberFormat="0" applyAlignment="0" applyProtection="0"/>
    <xf numFmtId="0" fontId="47" fillId="56" borderId="441" applyNumberFormat="0" applyAlignment="0" applyProtection="0"/>
    <xf numFmtId="4" fontId="35" fillId="0" borderId="444">
      <alignment horizontal="right" vertical="center"/>
    </xf>
    <xf numFmtId="0" fontId="35" fillId="34" borderId="447">
      <alignment horizontal="left" vertical="center" wrapText="1" indent="2"/>
    </xf>
    <xf numFmtId="0" fontId="35" fillId="0" borderId="447">
      <alignment horizontal="left" vertical="center" wrapText="1" indent="2"/>
    </xf>
    <xf numFmtId="0" fontId="63" fillId="56" borderId="448" applyNumberFormat="0" applyAlignment="0" applyProtection="0"/>
    <xf numFmtId="0" fontId="59" fillId="43" borderId="441" applyNumberFormat="0" applyAlignment="0" applyProtection="0"/>
    <xf numFmtId="0" fontId="46" fillId="56" borderId="441" applyNumberFormat="0" applyAlignment="0" applyProtection="0"/>
    <xf numFmtId="0" fontId="44" fillId="56" borderId="448" applyNumberFormat="0" applyAlignment="0" applyProtection="0"/>
    <xf numFmtId="0" fontId="33" fillId="34" borderId="446">
      <alignment horizontal="right" vertical="center"/>
    </xf>
    <xf numFmtId="0" fontId="37" fillId="32" borderId="444">
      <alignment horizontal="right" vertical="center"/>
    </xf>
    <xf numFmtId="4" fontId="33" fillId="32" borderId="444">
      <alignment horizontal="right" vertical="center"/>
    </xf>
    <xf numFmtId="4" fontId="33" fillId="34" borderId="444">
      <alignment horizontal="right" vertical="center"/>
    </xf>
    <xf numFmtId="49" fontId="35" fillId="0" borderId="445" applyNumberFormat="0" applyFont="0" applyFill="0" applyBorder="0" applyProtection="0">
      <alignment horizontal="left" vertical="center" indent="5"/>
    </xf>
    <xf numFmtId="4" fontId="35" fillId="0" borderId="444" applyFill="0" applyBorder="0" applyProtection="0">
      <alignment horizontal="right" vertical="center"/>
    </xf>
    <xf numFmtId="4" fontId="33" fillId="32" borderId="444">
      <alignment horizontal="right" vertical="center"/>
    </xf>
    <xf numFmtId="0" fontId="59" fillId="43" borderId="441" applyNumberFormat="0" applyAlignment="0" applyProtection="0"/>
    <xf numFmtId="0" fontId="50" fillId="43" borderId="441" applyNumberFormat="0" applyAlignment="0" applyProtection="0"/>
    <xf numFmtId="0" fontId="46" fillId="56" borderId="441" applyNumberFormat="0" applyAlignment="0" applyProtection="0"/>
    <xf numFmtId="0" fontId="35" fillId="34" borderId="447">
      <alignment horizontal="left" vertical="center" wrapText="1" indent="2"/>
    </xf>
    <xf numFmtId="0" fontId="35" fillId="0" borderId="447">
      <alignment horizontal="left" vertical="center" wrapText="1" indent="2"/>
    </xf>
    <xf numFmtId="0" fontId="35" fillId="34" borderId="447">
      <alignment horizontal="left" vertical="center" wrapText="1" indent="2"/>
    </xf>
    <xf numFmtId="0" fontId="37" fillId="32" borderId="454">
      <alignment horizontal="right" vertical="center"/>
    </xf>
    <xf numFmtId="4" fontId="35" fillId="0" borderId="462">
      <alignment horizontal="right" vertical="center"/>
    </xf>
    <xf numFmtId="173" fontId="35" fillId="60" borderId="462" applyNumberFormat="0" applyFont="0" applyBorder="0" applyAlignment="0" applyProtection="0">
      <alignment horizontal="right" vertical="center"/>
    </xf>
    <xf numFmtId="0" fontId="51" fillId="0" borderId="469" applyNumberFormat="0" applyFill="0" applyAlignment="0" applyProtection="0"/>
    <xf numFmtId="0" fontId="35" fillId="34" borderId="465">
      <alignment horizontal="left" vertical="center" wrapText="1" indent="2"/>
    </xf>
    <xf numFmtId="0" fontId="33" fillId="34" borderId="463">
      <alignment horizontal="right" vertical="center"/>
    </xf>
    <xf numFmtId="0" fontId="44" fillId="56" borderId="467" applyNumberFormat="0" applyAlignment="0" applyProtection="0"/>
    <xf numFmtId="0" fontId="33" fillId="32" borderId="484">
      <alignment horizontal="right" vertical="center"/>
    </xf>
    <xf numFmtId="0" fontId="33" fillId="34" borderId="472">
      <alignment horizontal="right" vertical="center"/>
    </xf>
    <xf numFmtId="0" fontId="66" fillId="0" borderId="477" applyNumberFormat="0" applyFill="0" applyAlignment="0" applyProtection="0"/>
    <xf numFmtId="4" fontId="37" fillId="32" borderId="462">
      <alignment horizontal="right" vertical="center"/>
    </xf>
    <xf numFmtId="0" fontId="33" fillId="34" borderId="462">
      <alignment horizontal="right" vertical="center"/>
    </xf>
    <xf numFmtId="49" fontId="34" fillId="0" borderId="471" applyNumberFormat="0" applyFill="0" applyBorder="0" applyProtection="0">
      <alignment horizontal="left" vertical="center"/>
    </xf>
    <xf numFmtId="4" fontId="33" fillId="32" borderId="494">
      <alignment horizontal="right" vertical="center"/>
    </xf>
    <xf numFmtId="0" fontId="33" fillId="34" borderId="462">
      <alignment horizontal="right" vertical="center"/>
    </xf>
    <xf numFmtId="173" fontId="35" fillId="60" borderId="462" applyNumberFormat="0" applyFont="0" applyBorder="0" applyAlignment="0" applyProtection="0">
      <alignment horizontal="right" vertical="center"/>
    </xf>
    <xf numFmtId="4" fontId="33" fillId="34" borderId="462">
      <alignment horizontal="right" vertical="center"/>
    </xf>
    <xf numFmtId="0" fontId="37" fillId="32" borderId="484">
      <alignment horizontal="right" vertical="center"/>
    </xf>
    <xf numFmtId="0" fontId="59" fillId="43" borderId="459" applyNumberFormat="0" applyAlignment="0" applyProtection="0"/>
    <xf numFmtId="0" fontId="35" fillId="32" borderId="463">
      <alignment horizontal="left" vertical="center"/>
    </xf>
    <xf numFmtId="0" fontId="63" fillId="56" borderId="467" applyNumberFormat="0" applyAlignment="0" applyProtection="0"/>
    <xf numFmtId="0" fontId="31" fillId="0" borderId="0" applyNumberFormat="0" applyFill="0" applyBorder="0" applyAlignment="0" applyProtection="0"/>
    <xf numFmtId="0" fontId="59" fillId="43" borderId="468" applyNumberFormat="0" applyAlignment="0" applyProtection="0"/>
    <xf numFmtId="173" fontId="35" fillId="60" borderId="471" applyNumberFormat="0" applyFont="0" applyBorder="0" applyAlignment="0" applyProtection="0">
      <alignment horizontal="right" vertical="center"/>
    </xf>
    <xf numFmtId="0" fontId="33" fillId="34" borderId="473">
      <alignment horizontal="right" vertical="center"/>
    </xf>
    <xf numFmtId="0" fontId="33" fillId="34" borderId="484">
      <alignment horizontal="right" vertical="center"/>
    </xf>
    <xf numFmtId="0" fontId="37" fillId="32" borderId="462">
      <alignment horizontal="right" vertical="center"/>
    </xf>
    <xf numFmtId="0" fontId="27" fillId="27" borderId="0" applyNumberFormat="0" applyBorder="0" applyAlignment="0" applyProtection="0"/>
    <xf numFmtId="0" fontId="33" fillId="34" borderId="462">
      <alignment horizontal="right" vertical="center"/>
    </xf>
    <xf numFmtId="4" fontId="33" fillId="34" borderId="471">
      <alignment horizontal="right" vertical="center"/>
    </xf>
    <xf numFmtId="0" fontId="66" fillId="0" borderId="469" applyNumberFormat="0" applyFill="0" applyAlignment="0" applyProtection="0"/>
    <xf numFmtId="0" fontId="27" fillId="18" borderId="0" applyNumberFormat="0" applyBorder="0" applyAlignment="0" applyProtection="0"/>
    <xf numFmtId="0" fontId="27" fillId="30" borderId="0" applyNumberFormat="0" applyBorder="0" applyAlignment="0" applyProtection="0"/>
    <xf numFmtId="0" fontId="41" fillId="59" borderId="470" applyNumberFormat="0" applyFont="0" applyAlignment="0" applyProtection="0"/>
    <xf numFmtId="0" fontId="1" fillId="0" borderId="0" applyNumberFormat="0" applyFill="0" applyBorder="0" applyAlignment="0" applyProtection="0"/>
    <xf numFmtId="0" fontId="63" fillId="56" borderId="498" applyNumberFormat="0" applyAlignment="0" applyProtection="0"/>
    <xf numFmtId="0" fontId="35" fillId="33" borderId="462"/>
    <xf numFmtId="0" fontId="63" fillId="56" borderId="467" applyNumberFormat="0" applyAlignment="0" applyProtection="0"/>
    <xf numFmtId="0" fontId="12" fillId="31" borderId="0" applyNumberFormat="0" applyBorder="0" applyAlignment="0" applyProtection="0"/>
    <xf numFmtId="0" fontId="27" fillId="24" borderId="0" applyNumberFormat="0" applyBorder="0" applyAlignment="0" applyProtection="0"/>
    <xf numFmtId="0" fontId="27" fillId="26" borderId="0" applyNumberFormat="0" applyBorder="0" applyAlignment="0" applyProtection="0"/>
    <xf numFmtId="0" fontId="27" fillId="27" borderId="0" applyNumberFormat="0" applyBorder="0" applyAlignment="0" applyProtection="0"/>
    <xf numFmtId="0" fontId="12" fillId="25" borderId="0" applyNumberFormat="0" applyBorder="0" applyAlignment="0" applyProtection="0"/>
    <xf numFmtId="0" fontId="27" fillId="21" borderId="0" applyNumberFormat="0" applyBorder="0" applyAlignment="0" applyProtection="0"/>
    <xf numFmtId="0" fontId="12" fillId="22" borderId="0" applyNumberFormat="0" applyBorder="0" applyAlignment="0" applyProtection="0"/>
    <xf numFmtId="0" fontId="12" fillId="16" borderId="0" applyNumberFormat="0" applyBorder="0" applyAlignment="0" applyProtection="0"/>
    <xf numFmtId="0" fontId="27" fillId="23" borderId="0" applyNumberFormat="0" applyBorder="0" applyAlignment="0" applyProtection="0"/>
    <xf numFmtId="4" fontId="33" fillId="34" borderId="462">
      <alignment horizontal="right" vertical="center"/>
    </xf>
    <xf numFmtId="0" fontId="35" fillId="33" borderId="471"/>
    <xf numFmtId="49" fontId="35" fillId="0" borderId="462" applyNumberFormat="0" applyFont="0" applyFill="0" applyBorder="0" applyProtection="0">
      <alignment horizontal="left" vertical="center" indent="2"/>
    </xf>
    <xf numFmtId="4" fontId="33" fillId="34" borderId="454">
      <alignment horizontal="right" vertical="center"/>
    </xf>
    <xf numFmtId="0" fontId="35" fillId="33" borderId="454"/>
    <xf numFmtId="0" fontId="46" fillId="56" borderId="451" applyNumberFormat="0" applyAlignment="0" applyProtection="0"/>
    <xf numFmtId="0" fontId="33" fillId="32" borderId="454">
      <alignment horizontal="right" vertical="center"/>
    </xf>
    <xf numFmtId="0" fontId="35" fillId="0" borderId="454">
      <alignment horizontal="right" vertical="center"/>
    </xf>
    <xf numFmtId="0" fontId="66" fillId="0" borderId="452" applyNumberFormat="0" applyFill="0" applyAlignment="0" applyProtection="0"/>
    <xf numFmtId="0" fontId="35" fillId="32" borderId="455">
      <alignment horizontal="left" vertical="center"/>
    </xf>
    <xf numFmtId="0" fontId="59" fillId="43" borderId="451" applyNumberFormat="0" applyAlignment="0" applyProtection="0"/>
    <xf numFmtId="173" fontId="35" fillId="60" borderId="454" applyNumberFormat="0" applyFont="0" applyBorder="0" applyAlignment="0" applyProtection="0">
      <alignment horizontal="right" vertical="center"/>
    </xf>
    <xf numFmtId="0" fontId="41" fillId="59" borderId="453" applyNumberFormat="0" applyFont="0" applyAlignment="0" applyProtection="0"/>
    <xf numFmtId="0" fontId="35" fillId="0" borderId="457">
      <alignment horizontal="left" vertical="center" wrapText="1" indent="2"/>
    </xf>
    <xf numFmtId="4" fontId="35" fillId="33" borderId="454"/>
    <xf numFmtId="49" fontId="34" fillId="0" borderId="454" applyNumberFormat="0" applyFill="0" applyBorder="0" applyProtection="0">
      <alignment horizontal="left" vertical="center"/>
    </xf>
    <xf numFmtId="0" fontId="35" fillId="0" borderId="454">
      <alignment horizontal="right" vertical="center"/>
    </xf>
    <xf numFmtId="4" fontId="33" fillId="34" borderId="456">
      <alignment horizontal="right" vertical="center"/>
    </xf>
    <xf numFmtId="4" fontId="33" fillId="34" borderId="454">
      <alignment horizontal="right" vertical="center"/>
    </xf>
    <xf numFmtId="4" fontId="33" fillId="34" borderId="454">
      <alignment horizontal="right" vertical="center"/>
    </xf>
    <xf numFmtId="0" fontId="37" fillId="32" borderId="454">
      <alignment horizontal="right" vertical="center"/>
    </xf>
    <xf numFmtId="0" fontId="33" fillId="32" borderId="454">
      <alignment horizontal="right" vertical="center"/>
    </xf>
    <xf numFmtId="49" fontId="35" fillId="0" borderId="454" applyNumberFormat="0" applyFont="0" applyFill="0" applyBorder="0" applyProtection="0">
      <alignment horizontal="left" vertical="center" indent="2"/>
    </xf>
    <xf numFmtId="0" fontId="59" fillId="43" borderId="451" applyNumberFormat="0" applyAlignment="0" applyProtection="0"/>
    <xf numFmtId="0" fontId="44" fillId="56" borderId="450" applyNumberFormat="0" applyAlignment="0" applyProtection="0"/>
    <xf numFmtId="49" fontId="35" fillId="0" borderId="454" applyNumberFormat="0" applyFont="0" applyFill="0" applyBorder="0" applyProtection="0">
      <alignment horizontal="left" vertical="center" indent="2"/>
    </xf>
    <xf numFmtId="0" fontId="50" fillId="43" borderId="451" applyNumberFormat="0" applyAlignment="0" applyProtection="0"/>
    <xf numFmtId="4" fontId="35" fillId="0" borderId="454" applyFill="0" applyBorder="0" applyProtection="0">
      <alignment horizontal="right" vertical="center"/>
    </xf>
    <xf numFmtId="0" fontId="47" fillId="56" borderId="451" applyNumberFormat="0" applyAlignment="0" applyProtection="0"/>
    <xf numFmtId="0" fontId="66" fillId="0" borderId="452" applyNumberFormat="0" applyFill="0" applyAlignment="0" applyProtection="0"/>
    <xf numFmtId="0" fontId="63" fillId="56" borderId="450" applyNumberFormat="0" applyAlignment="0" applyProtection="0"/>
    <xf numFmtId="0" fontId="35" fillId="0" borderId="454" applyNumberFormat="0" applyFill="0" applyAlignment="0" applyProtection="0"/>
    <xf numFmtId="4" fontId="35" fillId="0" borderId="454">
      <alignment horizontal="right" vertical="center"/>
    </xf>
    <xf numFmtId="0" fontId="35" fillId="0" borderId="454">
      <alignment horizontal="right" vertical="center"/>
    </xf>
    <xf numFmtId="0" fontId="59" fillId="43" borderId="451" applyNumberFormat="0" applyAlignment="0" applyProtection="0"/>
    <xf numFmtId="0" fontId="44" fillId="56" borderId="450" applyNumberFormat="0" applyAlignment="0" applyProtection="0"/>
    <xf numFmtId="0" fontId="46" fillId="56" borderId="451" applyNumberFormat="0" applyAlignment="0" applyProtection="0"/>
    <xf numFmtId="0" fontId="35" fillId="34" borderId="457">
      <alignment horizontal="left" vertical="center" wrapText="1" indent="2"/>
    </xf>
    <xf numFmtId="0" fontId="47" fillId="56" borderId="451" applyNumberFormat="0" applyAlignment="0" applyProtection="0"/>
    <xf numFmtId="0" fontId="47" fillId="56" borderId="451" applyNumberFormat="0" applyAlignment="0" applyProtection="0"/>
    <xf numFmtId="4" fontId="33" fillId="34" borderId="455">
      <alignment horizontal="right" vertical="center"/>
    </xf>
    <xf numFmtId="0" fontId="33" fillId="34" borderId="455">
      <alignment horizontal="right" vertical="center"/>
    </xf>
    <xf numFmtId="0" fontId="33" fillId="34" borderId="454">
      <alignment horizontal="right" vertical="center"/>
    </xf>
    <xf numFmtId="4" fontId="37" fillId="32" borderId="454">
      <alignment horizontal="right" vertical="center"/>
    </xf>
    <xf numFmtId="0" fontId="50" fillId="43" borderId="451" applyNumberFormat="0" applyAlignment="0" applyProtection="0"/>
    <xf numFmtId="0" fontId="51" fillId="0" borderId="452" applyNumberFormat="0" applyFill="0" applyAlignment="0" applyProtection="0"/>
    <xf numFmtId="0" fontId="66" fillId="0" borderId="452" applyNumberFormat="0" applyFill="0" applyAlignment="0" applyProtection="0"/>
    <xf numFmtId="0" fontId="41" fillId="59" borderId="453" applyNumberFormat="0" applyFont="0" applyAlignment="0" applyProtection="0"/>
    <xf numFmtId="0" fontId="59" fillId="43" borderId="451" applyNumberFormat="0" applyAlignment="0" applyProtection="0"/>
    <xf numFmtId="49" fontId="34" fillId="0" borderId="454" applyNumberFormat="0" applyFill="0" applyBorder="0" applyProtection="0">
      <alignment horizontal="left" vertical="center"/>
    </xf>
    <xf numFmtId="0" fontId="35" fillId="34" borderId="457">
      <alignment horizontal="left" vertical="center" wrapText="1" indent="2"/>
    </xf>
    <xf numFmtId="0" fontId="47" fillId="56" borderId="451" applyNumberFormat="0" applyAlignment="0" applyProtection="0"/>
    <xf numFmtId="0" fontId="35" fillId="0" borderId="457">
      <alignment horizontal="left" vertical="center" wrapText="1" indent="2"/>
    </xf>
    <xf numFmtId="0" fontId="41" fillId="59" borderId="453" applyNumberFormat="0" applyFont="0" applyAlignment="0" applyProtection="0"/>
    <xf numFmtId="0" fontId="5" fillId="59" borderId="453" applyNumberFormat="0" applyFont="0" applyAlignment="0" applyProtection="0"/>
    <xf numFmtId="0" fontId="63" fillId="56" borderId="450" applyNumberFormat="0" applyAlignment="0" applyProtection="0"/>
    <xf numFmtId="0" fontId="66" fillId="0" borderId="452" applyNumberFormat="0" applyFill="0" applyAlignment="0" applyProtection="0"/>
    <xf numFmtId="4" fontId="35" fillId="33" borderId="454"/>
    <xf numFmtId="0" fontId="33" fillId="34" borderId="454">
      <alignment horizontal="right" vertical="center"/>
    </xf>
    <xf numFmtId="0" fontId="66" fillId="0" borderId="452" applyNumberFormat="0" applyFill="0" applyAlignment="0" applyProtection="0"/>
    <xf numFmtId="4" fontId="33" fillId="34" borderId="456">
      <alignment horizontal="right" vertical="center"/>
    </xf>
    <xf numFmtId="0" fontId="46" fillId="56" borderId="451" applyNumberFormat="0" applyAlignment="0" applyProtection="0"/>
    <xf numFmtId="0" fontId="33" fillId="34" borderId="455">
      <alignment horizontal="right" vertical="center"/>
    </xf>
    <xf numFmtId="0" fontId="47" fillId="56" borderId="451" applyNumberFormat="0" applyAlignment="0" applyProtection="0"/>
    <xf numFmtId="0" fontId="51" fillId="0" borderId="452" applyNumberFormat="0" applyFill="0" applyAlignment="0" applyProtection="0"/>
    <xf numFmtId="0" fontId="41" fillId="59" borderId="453" applyNumberFormat="0" applyFont="0" applyAlignment="0" applyProtection="0"/>
    <xf numFmtId="4" fontId="33" fillId="34" borderId="455">
      <alignment horizontal="right" vertical="center"/>
    </xf>
    <xf numFmtId="0" fontId="35" fillId="34" borderId="457">
      <alignment horizontal="left" vertical="center" wrapText="1" indent="2"/>
    </xf>
    <xf numFmtId="0" fontId="35" fillId="33" borderId="454"/>
    <xf numFmtId="173" fontId="35" fillId="60" borderId="454" applyNumberFormat="0" applyFont="0" applyBorder="0" applyAlignment="0" applyProtection="0">
      <alignment horizontal="right" vertical="center"/>
    </xf>
    <xf numFmtId="0" fontId="35" fillId="0" borderId="454" applyNumberFormat="0" applyFill="0" applyAlignment="0" applyProtection="0"/>
    <xf numFmtId="4" fontId="35" fillId="0" borderId="454" applyFill="0" applyBorder="0" applyProtection="0">
      <alignment horizontal="right" vertical="center"/>
    </xf>
    <xf numFmtId="4" fontId="33" fillId="32" borderId="454">
      <alignment horizontal="right" vertical="center"/>
    </xf>
    <xf numFmtId="0" fontId="51" fillId="0" borderId="452" applyNumberFormat="0" applyFill="0" applyAlignment="0" applyProtection="0"/>
    <xf numFmtId="49" fontId="34" fillId="0" borderId="454" applyNumberFormat="0" applyFill="0" applyBorder="0" applyProtection="0">
      <alignment horizontal="left" vertical="center"/>
    </xf>
    <xf numFmtId="49" fontId="35" fillId="0" borderId="455" applyNumberFormat="0" applyFont="0" applyFill="0" applyBorder="0" applyProtection="0">
      <alignment horizontal="left" vertical="center" indent="5"/>
    </xf>
    <xf numFmtId="0" fontId="35" fillId="32" borderId="455">
      <alignment horizontal="left" vertical="center"/>
    </xf>
    <xf numFmtId="0" fontId="47" fillId="56" borderId="451" applyNumberFormat="0" applyAlignment="0" applyProtection="0"/>
    <xf numFmtId="4" fontId="33" fillId="34" borderId="456">
      <alignment horizontal="right" vertical="center"/>
    </xf>
    <xf numFmtId="0" fontId="59" fillId="43" borderId="451" applyNumberFormat="0" applyAlignment="0" applyProtection="0"/>
    <xf numFmtId="0" fontId="59" fillId="43" borderId="451" applyNumberFormat="0" applyAlignment="0" applyProtection="0"/>
    <xf numFmtId="0" fontId="41" fillId="59" borderId="453" applyNumberFormat="0" applyFont="0" applyAlignment="0" applyProtection="0"/>
    <xf numFmtId="0" fontId="63" fillId="56" borderId="450" applyNumberFormat="0" applyAlignment="0" applyProtection="0"/>
    <xf numFmtId="0" fontId="66" fillId="0" borderId="452" applyNumberFormat="0" applyFill="0" applyAlignment="0" applyProtection="0"/>
    <xf numFmtId="0" fontId="33" fillId="34" borderId="454">
      <alignment horizontal="right" vertical="center"/>
    </xf>
    <xf numFmtId="0" fontId="5" fillId="59" borderId="453" applyNumberFormat="0" applyFont="0" applyAlignment="0" applyProtection="0"/>
    <xf numFmtId="4" fontId="35" fillId="0" borderId="454">
      <alignment horizontal="right" vertical="center"/>
    </xf>
    <xf numFmtId="0" fontId="66" fillId="0" borderId="452" applyNumberFormat="0" applyFill="0" applyAlignment="0" applyProtection="0"/>
    <xf numFmtId="0" fontId="33" fillId="34" borderId="454">
      <alignment horizontal="right" vertical="center"/>
    </xf>
    <xf numFmtId="0" fontId="33" fillId="34" borderId="454">
      <alignment horizontal="right" vertical="center"/>
    </xf>
    <xf numFmtId="4" fontId="37" fillId="32" borderId="454">
      <alignment horizontal="right" vertical="center"/>
    </xf>
    <xf numFmtId="0" fontId="33" fillId="32" borderId="454">
      <alignment horizontal="right" vertical="center"/>
    </xf>
    <xf numFmtId="4" fontId="33" fillId="32" borderId="454">
      <alignment horizontal="right" vertical="center"/>
    </xf>
    <xf numFmtId="0" fontId="37" fillId="32" borderId="454">
      <alignment horizontal="right" vertical="center"/>
    </xf>
    <xf numFmtId="4" fontId="37" fillId="32" borderId="454">
      <alignment horizontal="right" vertical="center"/>
    </xf>
    <xf numFmtId="0" fontId="33" fillId="34" borderId="454">
      <alignment horizontal="right" vertical="center"/>
    </xf>
    <xf numFmtId="4" fontId="33" fillId="34" borderId="454">
      <alignment horizontal="right" vertical="center"/>
    </xf>
    <xf numFmtId="0" fontId="33" fillId="34" borderId="454">
      <alignment horizontal="right" vertical="center"/>
    </xf>
    <xf numFmtId="4" fontId="33" fillId="34" borderId="454">
      <alignment horizontal="right" vertical="center"/>
    </xf>
    <xf numFmtId="0" fontId="33" fillId="34" borderId="455">
      <alignment horizontal="right" vertical="center"/>
    </xf>
    <xf numFmtId="4" fontId="33" fillId="34" borderId="455">
      <alignment horizontal="right" vertical="center"/>
    </xf>
    <xf numFmtId="0" fontId="33" fillId="34" borderId="456">
      <alignment horizontal="right" vertical="center"/>
    </xf>
    <xf numFmtId="4" fontId="33" fillId="34" borderId="456">
      <alignment horizontal="right" vertical="center"/>
    </xf>
    <xf numFmtId="0" fontId="47" fillId="56" borderId="451" applyNumberFormat="0" applyAlignment="0" applyProtection="0"/>
    <xf numFmtId="0" fontId="35" fillId="34" borderId="457">
      <alignment horizontal="left" vertical="center" wrapText="1" indent="2"/>
    </xf>
    <xf numFmtId="0" fontId="35" fillId="0" borderId="457">
      <alignment horizontal="left" vertical="center" wrapText="1" indent="2"/>
    </xf>
    <xf numFmtId="0" fontId="35" fillId="32" borderId="455">
      <alignment horizontal="left" vertical="center"/>
    </xf>
    <xf numFmtId="0" fontId="59" fillId="43" borderId="451" applyNumberFormat="0" applyAlignment="0" applyProtection="0"/>
    <xf numFmtId="0" fontId="35" fillId="0" borderId="454">
      <alignment horizontal="right" vertical="center"/>
    </xf>
    <xf numFmtId="4" fontId="35" fillId="0" borderId="454">
      <alignment horizontal="right" vertical="center"/>
    </xf>
    <xf numFmtId="0" fontId="35" fillId="0" borderId="454" applyNumberFormat="0" applyFill="0" applyAlignment="0" applyProtection="0"/>
    <xf numFmtId="0" fontId="63" fillId="56" borderId="450" applyNumberFormat="0" applyAlignment="0" applyProtection="0"/>
    <xf numFmtId="173" fontId="35" fillId="60" borderId="454" applyNumberFormat="0" applyFont="0" applyBorder="0" applyAlignment="0" applyProtection="0">
      <alignment horizontal="right" vertical="center"/>
    </xf>
    <xf numFmtId="0" fontId="35" fillId="33" borderId="454"/>
    <xf numFmtId="4" fontId="35" fillId="33" borderId="454"/>
    <xf numFmtId="0" fontId="66" fillId="0" borderId="452" applyNumberFormat="0" applyFill="0" applyAlignment="0" applyProtection="0"/>
    <xf numFmtId="0" fontId="5" fillId="59" borderId="453" applyNumberFormat="0" applyFont="0" applyAlignment="0" applyProtection="0"/>
    <xf numFmtId="0" fontId="41" fillId="59" borderId="453" applyNumberFormat="0" applyFont="0" applyAlignment="0" applyProtection="0"/>
    <xf numFmtId="0" fontId="35" fillId="0" borderId="454" applyNumberFormat="0" applyFill="0" applyAlignment="0" applyProtection="0"/>
    <xf numFmtId="0" fontId="51" fillId="0" borderId="452" applyNumberFormat="0" applyFill="0" applyAlignment="0" applyProtection="0"/>
    <xf numFmtId="0" fontId="66" fillId="0" borderId="452" applyNumberFormat="0" applyFill="0" applyAlignment="0" applyProtection="0"/>
    <xf numFmtId="0" fontId="50" fillId="43" borderId="451" applyNumberFormat="0" applyAlignment="0" applyProtection="0"/>
    <xf numFmtId="0" fontId="47" fillId="56" borderId="451" applyNumberFormat="0" applyAlignment="0" applyProtection="0"/>
    <xf numFmtId="4" fontId="37" fillId="32" borderId="454">
      <alignment horizontal="right" vertical="center"/>
    </xf>
    <xf numFmtId="0" fontId="33" fillId="32" borderId="454">
      <alignment horizontal="right" vertical="center"/>
    </xf>
    <xf numFmtId="173" fontId="35" fillId="60" borderId="454" applyNumberFormat="0" applyFont="0" applyBorder="0" applyAlignment="0" applyProtection="0">
      <alignment horizontal="right" vertical="center"/>
    </xf>
    <xf numFmtId="0" fontId="51" fillId="0" borderId="452" applyNumberFormat="0" applyFill="0" applyAlignment="0" applyProtection="0"/>
    <xf numFmtId="49" fontId="35" fillId="0" borderId="454" applyNumberFormat="0" applyFont="0" applyFill="0" applyBorder="0" applyProtection="0">
      <alignment horizontal="left" vertical="center" indent="2"/>
    </xf>
    <xf numFmtId="49" fontId="35" fillId="0" borderId="455" applyNumberFormat="0" applyFont="0" applyFill="0" applyBorder="0" applyProtection="0">
      <alignment horizontal="left" vertical="center" indent="5"/>
    </xf>
    <xf numFmtId="49" fontId="35" fillId="0" borderId="454" applyNumberFormat="0" applyFont="0" applyFill="0" applyBorder="0" applyProtection="0">
      <alignment horizontal="left" vertical="center" indent="2"/>
    </xf>
    <xf numFmtId="4" fontId="35" fillId="0" borderId="454" applyFill="0" applyBorder="0" applyProtection="0">
      <alignment horizontal="right" vertical="center"/>
    </xf>
    <xf numFmtId="49" fontId="34" fillId="0" borderId="454" applyNumberFormat="0" applyFill="0" applyBorder="0" applyProtection="0">
      <alignment horizontal="left" vertical="center"/>
    </xf>
    <xf numFmtId="0" fontId="35" fillId="0" borderId="457">
      <alignment horizontal="left" vertical="center" wrapText="1" indent="2"/>
    </xf>
    <xf numFmtId="0" fontId="63" fillId="56" borderId="450" applyNumberFormat="0" applyAlignment="0" applyProtection="0"/>
    <xf numFmtId="0" fontId="33" fillId="34" borderId="456">
      <alignment horizontal="right" vertical="center"/>
    </xf>
    <xf numFmtId="0" fontId="50" fillId="43" borderId="451" applyNumberFormat="0" applyAlignment="0" applyProtection="0"/>
    <xf numFmtId="0" fontId="33" fillId="34" borderId="456">
      <alignment horizontal="right" vertical="center"/>
    </xf>
    <xf numFmtId="4" fontId="33" fillId="34" borderId="454">
      <alignment horizontal="right" vertical="center"/>
    </xf>
    <xf numFmtId="0" fontId="33" fillId="34" borderId="454">
      <alignment horizontal="right" vertical="center"/>
    </xf>
    <xf numFmtId="0" fontId="44" fillId="56" borderId="450" applyNumberFormat="0" applyAlignment="0" applyProtection="0"/>
    <xf numFmtId="0" fontId="46" fillId="56" borderId="451" applyNumberFormat="0" applyAlignment="0" applyProtection="0"/>
    <xf numFmtId="0" fontId="51" fillId="0" borderId="452" applyNumberFormat="0" applyFill="0" applyAlignment="0" applyProtection="0"/>
    <xf numFmtId="0" fontId="35" fillId="33" borderId="454"/>
    <xf numFmtId="4" fontId="35" fillId="33" borderId="454"/>
    <xf numFmtId="4" fontId="33" fillId="34" borderId="454">
      <alignment horizontal="right" vertical="center"/>
    </xf>
    <xf numFmtId="0" fontId="37" fillId="32" borderId="454">
      <alignment horizontal="right" vertical="center"/>
    </xf>
    <xf numFmtId="0" fontId="50" fillId="43" borderId="451" applyNumberFormat="0" applyAlignment="0" applyProtection="0"/>
    <xf numFmtId="0" fontId="47" fillId="56" borderId="451" applyNumberFormat="0" applyAlignment="0" applyProtection="0"/>
    <xf numFmtId="4" fontId="35" fillId="0" borderId="454">
      <alignment horizontal="right" vertical="center"/>
    </xf>
    <xf numFmtId="0" fontId="35" fillId="34" borderId="457">
      <alignment horizontal="left" vertical="center" wrapText="1" indent="2"/>
    </xf>
    <xf numFmtId="0" fontId="35" fillId="0" borderId="457">
      <alignment horizontal="left" vertical="center" wrapText="1" indent="2"/>
    </xf>
    <xf numFmtId="0" fontId="63" fillId="56" borderId="450" applyNumberFormat="0" applyAlignment="0" applyProtection="0"/>
    <xf numFmtId="0" fontId="59" fillId="43" borderId="451" applyNumberFormat="0" applyAlignment="0" applyProtection="0"/>
    <xf numFmtId="0" fontId="46" fillId="56" borderId="451" applyNumberFormat="0" applyAlignment="0" applyProtection="0"/>
    <xf numFmtId="0" fontId="44" fillId="56" borderId="450" applyNumberFormat="0" applyAlignment="0" applyProtection="0"/>
    <xf numFmtId="0" fontId="33" fillId="34" borderId="456">
      <alignment horizontal="right" vertical="center"/>
    </xf>
    <xf numFmtId="0" fontId="37" fillId="32" borderId="454">
      <alignment horizontal="right" vertical="center"/>
    </xf>
    <xf numFmtId="4" fontId="33" fillId="32" borderId="454">
      <alignment horizontal="right" vertical="center"/>
    </xf>
    <xf numFmtId="4" fontId="33" fillId="34" borderId="454">
      <alignment horizontal="right" vertical="center"/>
    </xf>
    <xf numFmtId="49" fontId="35" fillId="0" borderId="455" applyNumberFormat="0" applyFont="0" applyFill="0" applyBorder="0" applyProtection="0">
      <alignment horizontal="left" vertical="center" indent="5"/>
    </xf>
    <xf numFmtId="4" fontId="35" fillId="0" borderId="454" applyFill="0" applyBorder="0" applyProtection="0">
      <alignment horizontal="right" vertical="center"/>
    </xf>
    <xf numFmtId="4" fontId="33" fillId="32" borderId="454">
      <alignment horizontal="right" vertical="center"/>
    </xf>
    <xf numFmtId="0" fontId="59" fillId="43" borderId="459" applyNumberFormat="0" applyAlignment="0" applyProtection="0"/>
    <xf numFmtId="0" fontId="59" fillId="43" borderId="451" applyNumberFormat="0" applyAlignment="0" applyProtection="0"/>
    <xf numFmtId="0" fontId="50" fillId="43" borderId="451" applyNumberFormat="0" applyAlignment="0" applyProtection="0"/>
    <xf numFmtId="0" fontId="46" fillId="56" borderId="451" applyNumberFormat="0" applyAlignment="0" applyProtection="0"/>
    <xf numFmtId="0" fontId="35" fillId="34" borderId="457">
      <alignment horizontal="left" vertical="center" wrapText="1" indent="2"/>
    </xf>
    <xf numFmtId="0" fontId="35" fillId="0" borderId="457">
      <alignment horizontal="left" vertical="center" wrapText="1" indent="2"/>
    </xf>
    <xf numFmtId="0" fontId="35" fillId="34" borderId="457">
      <alignment horizontal="left" vertical="center" wrapText="1" indent="2"/>
    </xf>
    <xf numFmtId="0" fontId="35" fillId="0" borderId="457">
      <alignment horizontal="left" vertical="center" wrapText="1" indent="2"/>
    </xf>
    <xf numFmtId="0" fontId="44" fillId="56" borderId="450" applyNumberFormat="0" applyAlignment="0" applyProtection="0"/>
    <xf numFmtId="0" fontId="46" fillId="56" borderId="451" applyNumberFormat="0" applyAlignment="0" applyProtection="0"/>
    <xf numFmtId="0" fontId="47" fillId="56" borderId="451" applyNumberFormat="0" applyAlignment="0" applyProtection="0"/>
    <xf numFmtId="0" fontId="50" fillId="43" borderId="451" applyNumberFormat="0" applyAlignment="0" applyProtection="0"/>
    <xf numFmtId="0" fontId="51" fillId="0" borderId="452" applyNumberFormat="0" applyFill="0" applyAlignment="0" applyProtection="0"/>
    <xf numFmtId="0" fontId="59" fillId="43" borderId="451" applyNumberFormat="0" applyAlignment="0" applyProtection="0"/>
    <xf numFmtId="0" fontId="41" fillId="59" borderId="453" applyNumberFormat="0" applyFont="0" applyAlignment="0" applyProtection="0"/>
    <xf numFmtId="0" fontId="5" fillId="59" borderId="453" applyNumberFormat="0" applyFont="0" applyAlignment="0" applyProtection="0"/>
    <xf numFmtId="0" fontId="63" fillId="56" borderId="450" applyNumberFormat="0" applyAlignment="0" applyProtection="0"/>
    <xf numFmtId="0" fontId="66" fillId="0" borderId="452" applyNumberFormat="0" applyFill="0" applyAlignment="0" applyProtection="0"/>
    <xf numFmtId="0" fontId="47" fillId="56" borderId="451" applyNumberFormat="0" applyAlignment="0" applyProtection="0"/>
    <xf numFmtId="0" fontId="59" fillId="43" borderId="451" applyNumberFormat="0" applyAlignment="0" applyProtection="0"/>
    <xf numFmtId="0" fontId="41" fillId="59" borderId="453" applyNumberFormat="0" applyFont="0" applyAlignment="0" applyProtection="0"/>
    <xf numFmtId="0" fontId="63" fillId="56" borderId="450" applyNumberFormat="0" applyAlignment="0" applyProtection="0"/>
    <xf numFmtId="0" fontId="66" fillId="0" borderId="452" applyNumberFormat="0" applyFill="0" applyAlignment="0" applyProtection="0"/>
    <xf numFmtId="4" fontId="33" fillId="34" borderId="464">
      <alignment horizontal="right" vertical="center"/>
    </xf>
    <xf numFmtId="0" fontId="66" fillId="0" borderId="469" applyNumberFormat="0" applyFill="0" applyAlignment="0" applyProtection="0"/>
    <xf numFmtId="0" fontId="63" fillId="56" borderId="498" applyNumberFormat="0" applyAlignment="0" applyProtection="0"/>
    <xf numFmtId="0" fontId="47" fillId="56" borderId="451" applyNumberFormat="0" applyAlignment="0" applyProtection="0"/>
    <xf numFmtId="4" fontId="35" fillId="0" borderId="462" applyFill="0" applyBorder="0" applyProtection="0">
      <alignment horizontal="right" vertical="center"/>
    </xf>
    <xf numFmtId="0" fontId="47" fillId="56" borderId="468" applyNumberFormat="0" applyAlignment="0" applyProtection="0"/>
    <xf numFmtId="0" fontId="59" fillId="43" borderId="451" applyNumberFormat="0" applyAlignment="0" applyProtection="0"/>
    <xf numFmtId="0" fontId="63" fillId="56" borderId="450" applyNumberFormat="0" applyAlignment="0" applyProtection="0"/>
    <xf numFmtId="0" fontId="66" fillId="0" borderId="452" applyNumberFormat="0" applyFill="0" applyAlignment="0" applyProtection="0"/>
    <xf numFmtId="0" fontId="35" fillId="0" borderId="462">
      <alignment horizontal="right" vertical="center"/>
    </xf>
    <xf numFmtId="0" fontId="44" fillId="56" borderId="450" applyNumberFormat="0" applyAlignment="0" applyProtection="0"/>
    <xf numFmtId="0" fontId="46" fillId="56" borderId="451" applyNumberFormat="0" applyAlignment="0" applyProtection="0"/>
    <xf numFmtId="0" fontId="51" fillId="0" borderId="452" applyNumberFormat="0" applyFill="0" applyAlignment="0" applyProtection="0"/>
    <xf numFmtId="49" fontId="35" fillId="0" borderId="454" applyNumberFormat="0" applyFont="0" applyFill="0" applyBorder="0" applyProtection="0">
      <alignment horizontal="left" vertical="center" indent="2"/>
    </xf>
    <xf numFmtId="0" fontId="33" fillId="32" borderId="454">
      <alignment horizontal="right" vertical="center"/>
    </xf>
    <xf numFmtId="4" fontId="33" fillId="32" borderId="454">
      <alignment horizontal="right" vertical="center"/>
    </xf>
    <xf numFmtId="0" fontId="37" fillId="32" borderId="454">
      <alignment horizontal="right" vertical="center"/>
    </xf>
    <xf numFmtId="4" fontId="37" fillId="32" borderId="454">
      <alignment horizontal="right" vertical="center"/>
    </xf>
    <xf numFmtId="0" fontId="33" fillId="34" borderId="454">
      <alignment horizontal="right" vertical="center"/>
    </xf>
    <xf numFmtId="4" fontId="33" fillId="34" borderId="454">
      <alignment horizontal="right" vertical="center"/>
    </xf>
    <xf numFmtId="0" fontId="33" fillId="34" borderId="454">
      <alignment horizontal="right" vertical="center"/>
    </xf>
    <xf numFmtId="4" fontId="33" fillId="34" borderId="454">
      <alignment horizontal="right" vertical="center"/>
    </xf>
    <xf numFmtId="0" fontId="50" fillId="43" borderId="451" applyNumberFormat="0" applyAlignment="0" applyProtection="0"/>
    <xf numFmtId="0" fontId="35" fillId="0" borderId="454">
      <alignment horizontal="right" vertical="center"/>
    </xf>
    <xf numFmtId="4" fontId="35" fillId="0" borderId="454">
      <alignment horizontal="right" vertical="center"/>
    </xf>
    <xf numFmtId="4" fontId="35" fillId="0" borderId="454" applyFill="0" applyBorder="0" applyProtection="0">
      <alignment horizontal="right" vertical="center"/>
    </xf>
    <xf numFmtId="49" fontId="34" fillId="0" borderId="454" applyNumberFormat="0" applyFill="0" applyBorder="0" applyProtection="0">
      <alignment horizontal="left" vertical="center"/>
    </xf>
    <xf numFmtId="0" fontId="35" fillId="0" borderId="454" applyNumberFormat="0" applyFill="0" applyAlignment="0" applyProtection="0"/>
    <xf numFmtId="173" fontId="35" fillId="60" borderId="454" applyNumberFormat="0" applyFont="0" applyBorder="0" applyAlignment="0" applyProtection="0">
      <alignment horizontal="right" vertical="center"/>
    </xf>
    <xf numFmtId="0" fontId="35" fillId="33" borderId="454"/>
    <xf numFmtId="4" fontId="35" fillId="33" borderId="454"/>
    <xf numFmtId="4" fontId="33" fillId="34" borderId="454">
      <alignment horizontal="right" vertical="center"/>
    </xf>
    <xf numFmtId="0" fontId="35" fillId="33" borderId="454"/>
    <xf numFmtId="0" fontId="46" fillId="56" borderId="451" applyNumberFormat="0" applyAlignment="0" applyProtection="0"/>
    <xf numFmtId="0" fontId="33" fillId="32" borderId="454">
      <alignment horizontal="right" vertical="center"/>
    </xf>
    <xf numFmtId="0" fontId="35" fillId="0" borderId="454">
      <alignment horizontal="right" vertical="center"/>
    </xf>
    <xf numFmtId="0" fontId="66" fillId="0" borderId="452" applyNumberFormat="0" applyFill="0" applyAlignment="0" applyProtection="0"/>
    <xf numFmtId="0" fontId="35" fillId="32" borderId="455">
      <alignment horizontal="left" vertical="center"/>
    </xf>
    <xf numFmtId="0" fontId="59" fillId="43" borderId="451" applyNumberFormat="0" applyAlignment="0" applyProtection="0"/>
    <xf numFmtId="173" fontId="35" fillId="60" borderId="454" applyNumberFormat="0" applyFont="0" applyBorder="0" applyAlignment="0" applyProtection="0">
      <alignment horizontal="right" vertical="center"/>
    </xf>
    <xf numFmtId="0" fontId="41" fillId="59" borderId="453" applyNumberFormat="0" applyFont="0" applyAlignment="0" applyProtection="0"/>
    <xf numFmtId="0" fontId="35" fillId="0" borderId="457">
      <alignment horizontal="left" vertical="center" wrapText="1" indent="2"/>
    </xf>
    <xf numFmtId="4" fontId="35" fillId="33" borderId="454"/>
    <xf numFmtId="49" fontId="34" fillId="0" borderId="454" applyNumberFormat="0" applyFill="0" applyBorder="0" applyProtection="0">
      <alignment horizontal="left" vertical="center"/>
    </xf>
    <xf numFmtId="0" fontId="35" fillId="0" borderId="454">
      <alignment horizontal="right" vertical="center"/>
    </xf>
    <xf numFmtId="4" fontId="33" fillId="34" borderId="456">
      <alignment horizontal="right" vertical="center"/>
    </xf>
    <xf numFmtId="4" fontId="33" fillId="34" borderId="454">
      <alignment horizontal="right" vertical="center"/>
    </xf>
    <xf numFmtId="4" fontId="33" fillId="34" borderId="454">
      <alignment horizontal="right" vertical="center"/>
    </xf>
    <xf numFmtId="0" fontId="37" fillId="32" borderId="454">
      <alignment horizontal="right" vertical="center"/>
    </xf>
    <xf numFmtId="0" fontId="33" fillId="32" borderId="454">
      <alignment horizontal="right" vertical="center"/>
    </xf>
    <xf numFmtId="49" fontId="35" fillId="0" borderId="454" applyNumberFormat="0" applyFont="0" applyFill="0" applyBorder="0" applyProtection="0">
      <alignment horizontal="left" vertical="center" indent="2"/>
    </xf>
    <xf numFmtId="0" fontId="59" fillId="43" borderId="451" applyNumberFormat="0" applyAlignment="0" applyProtection="0"/>
    <xf numFmtId="0" fontId="44" fillId="56" borderId="450" applyNumberFormat="0" applyAlignment="0" applyProtection="0"/>
    <xf numFmtId="49" fontId="35" fillId="0" borderId="454" applyNumberFormat="0" applyFont="0" applyFill="0" applyBorder="0" applyProtection="0">
      <alignment horizontal="left" vertical="center" indent="2"/>
    </xf>
    <xf numFmtId="0" fontId="50" fillId="43" borderId="451" applyNumberFormat="0" applyAlignment="0" applyProtection="0"/>
    <xf numFmtId="4" fontId="35" fillId="0" borderId="454" applyFill="0" applyBorder="0" applyProtection="0">
      <alignment horizontal="right" vertical="center"/>
    </xf>
    <xf numFmtId="0" fontId="47" fillId="56" borderId="451" applyNumberFormat="0" applyAlignment="0" applyProtection="0"/>
    <xf numFmtId="0" fontId="66" fillId="0" borderId="452" applyNumberFormat="0" applyFill="0" applyAlignment="0" applyProtection="0"/>
    <xf numFmtId="0" fontId="63" fillId="56" borderId="450" applyNumberFormat="0" applyAlignment="0" applyProtection="0"/>
    <xf numFmtId="0" fontId="35" fillId="0" borderId="454" applyNumberFormat="0" applyFill="0" applyAlignment="0" applyProtection="0"/>
    <xf numFmtId="4" fontId="35" fillId="0" borderId="454">
      <alignment horizontal="right" vertical="center"/>
    </xf>
    <xf numFmtId="0" fontId="35" fillId="0" borderId="454">
      <alignment horizontal="right" vertical="center"/>
    </xf>
    <xf numFmtId="0" fontId="59" fillId="43" borderId="451" applyNumberFormat="0" applyAlignment="0" applyProtection="0"/>
    <xf numFmtId="0" fontId="44" fillId="56" borderId="450" applyNumberFormat="0" applyAlignment="0" applyProtection="0"/>
    <xf numFmtId="0" fontId="46" fillId="56" borderId="451" applyNumberFormat="0" applyAlignment="0" applyProtection="0"/>
    <xf numFmtId="0" fontId="35" fillId="34" borderId="457">
      <alignment horizontal="left" vertical="center" wrapText="1" indent="2"/>
    </xf>
    <xf numFmtId="0" fontId="47" fillId="56" borderId="451" applyNumberFormat="0" applyAlignment="0" applyProtection="0"/>
    <xf numFmtId="0" fontId="47" fillId="56" borderId="451" applyNumberFormat="0" applyAlignment="0" applyProtection="0"/>
    <xf numFmtId="4" fontId="33" fillId="34" borderId="455">
      <alignment horizontal="right" vertical="center"/>
    </xf>
    <xf numFmtId="0" fontId="33" fillId="34" borderId="455">
      <alignment horizontal="right" vertical="center"/>
    </xf>
    <xf numFmtId="0" fontId="33" fillId="34" borderId="454">
      <alignment horizontal="right" vertical="center"/>
    </xf>
    <xf numFmtId="4" fontId="37" fillId="32" borderId="454">
      <alignment horizontal="right" vertical="center"/>
    </xf>
    <xf numFmtId="0" fontId="50" fillId="43" borderId="451" applyNumberFormat="0" applyAlignment="0" applyProtection="0"/>
    <xf numFmtId="0" fontId="51" fillId="0" borderId="452" applyNumberFormat="0" applyFill="0" applyAlignment="0" applyProtection="0"/>
    <xf numFmtId="0" fontId="66" fillId="0" borderId="452" applyNumberFormat="0" applyFill="0" applyAlignment="0" applyProtection="0"/>
    <xf numFmtId="0" fontId="41" fillId="59" borderId="453" applyNumberFormat="0" applyFont="0" applyAlignment="0" applyProtection="0"/>
    <xf numFmtId="0" fontId="59" fillId="43" borderId="451" applyNumberFormat="0" applyAlignment="0" applyProtection="0"/>
    <xf numFmtId="49" fontId="34" fillId="0" borderId="454" applyNumberFormat="0" applyFill="0" applyBorder="0" applyProtection="0">
      <alignment horizontal="left" vertical="center"/>
    </xf>
    <xf numFmtId="0" fontId="35" fillId="34" borderId="457">
      <alignment horizontal="left" vertical="center" wrapText="1" indent="2"/>
    </xf>
    <xf numFmtId="0" fontId="47" fillId="56" borderId="451" applyNumberFormat="0" applyAlignment="0" applyProtection="0"/>
    <xf numFmtId="0" fontId="35" fillId="0" borderId="457">
      <alignment horizontal="left" vertical="center" wrapText="1" indent="2"/>
    </xf>
    <xf numFmtId="0" fontId="41" fillId="59" borderId="453" applyNumberFormat="0" applyFont="0" applyAlignment="0" applyProtection="0"/>
    <xf numFmtId="0" fontId="5" fillId="59" borderId="453" applyNumberFormat="0" applyFont="0" applyAlignment="0" applyProtection="0"/>
    <xf numFmtId="0" fontId="63" fillId="56" borderId="450" applyNumberFormat="0" applyAlignment="0" applyProtection="0"/>
    <xf numFmtId="0" fontId="66" fillId="0" borderId="452" applyNumberFormat="0" applyFill="0" applyAlignment="0" applyProtection="0"/>
    <xf numFmtId="4" fontId="35" fillId="33" borderId="454"/>
    <xf numFmtId="0" fontId="33" fillId="34" borderId="454">
      <alignment horizontal="right" vertical="center"/>
    </xf>
    <xf numFmtId="0" fontId="66" fillId="0" borderId="452" applyNumberFormat="0" applyFill="0" applyAlignment="0" applyProtection="0"/>
    <xf numFmtId="4" fontId="33" fillId="34" borderId="456">
      <alignment horizontal="right" vertical="center"/>
    </xf>
    <xf numFmtId="0" fontId="46" fillId="56" borderId="451" applyNumberFormat="0" applyAlignment="0" applyProtection="0"/>
    <xf numFmtId="0" fontId="33" fillId="34" borderId="455">
      <alignment horizontal="right" vertical="center"/>
    </xf>
    <xf numFmtId="0" fontId="47" fillId="56" borderId="451" applyNumberFormat="0" applyAlignment="0" applyProtection="0"/>
    <xf numFmtId="0" fontId="51" fillId="0" borderId="452" applyNumberFormat="0" applyFill="0" applyAlignment="0" applyProtection="0"/>
    <xf numFmtId="0" fontId="41" fillId="59" borderId="453" applyNumberFormat="0" applyFont="0" applyAlignment="0" applyProtection="0"/>
    <xf numFmtId="4" fontId="33" fillId="34" borderId="455">
      <alignment horizontal="right" vertical="center"/>
    </xf>
    <xf numFmtId="0" fontId="35" fillId="34" borderId="457">
      <alignment horizontal="left" vertical="center" wrapText="1" indent="2"/>
    </xf>
    <xf numFmtId="0" fontId="35" fillId="33" borderId="454"/>
    <xf numFmtId="173" fontId="35" fillId="60" borderId="454" applyNumberFormat="0" applyFont="0" applyBorder="0" applyAlignment="0" applyProtection="0">
      <alignment horizontal="right" vertical="center"/>
    </xf>
    <xf numFmtId="0" fontId="35" fillId="0" borderId="454" applyNumberFormat="0" applyFill="0" applyAlignment="0" applyProtection="0"/>
    <xf numFmtId="4" fontId="35" fillId="0" borderId="454" applyFill="0" applyBorder="0" applyProtection="0">
      <alignment horizontal="right" vertical="center"/>
    </xf>
    <xf numFmtId="4" fontId="33" fillId="32" borderId="454">
      <alignment horizontal="right" vertical="center"/>
    </xf>
    <xf numFmtId="0" fontId="51" fillId="0" borderId="452" applyNumberFormat="0" applyFill="0" applyAlignment="0" applyProtection="0"/>
    <xf numFmtId="49" fontId="34" fillId="0" borderId="454" applyNumberFormat="0" applyFill="0" applyBorder="0" applyProtection="0">
      <alignment horizontal="left" vertical="center"/>
    </xf>
    <xf numFmtId="49" fontId="35" fillId="0" borderId="455" applyNumberFormat="0" applyFont="0" applyFill="0" applyBorder="0" applyProtection="0">
      <alignment horizontal="left" vertical="center" indent="5"/>
    </xf>
    <xf numFmtId="0" fontId="35" fillId="32" borderId="455">
      <alignment horizontal="left" vertical="center"/>
    </xf>
    <xf numFmtId="0" fontId="47" fillId="56" borderId="451" applyNumberFormat="0" applyAlignment="0" applyProtection="0"/>
    <xf numFmtId="4" fontId="33" fillId="34" borderId="456">
      <alignment horizontal="right" vertical="center"/>
    </xf>
    <xf numFmtId="0" fontId="59" fillId="43" borderId="451" applyNumberFormat="0" applyAlignment="0" applyProtection="0"/>
    <xf numFmtId="0" fontId="59" fillId="43" borderId="451" applyNumberFormat="0" applyAlignment="0" applyProtection="0"/>
    <xf numFmtId="0" fontId="41" fillId="59" borderId="453" applyNumberFormat="0" applyFont="0" applyAlignment="0" applyProtection="0"/>
    <xf numFmtId="0" fontId="63" fillId="56" borderId="450" applyNumberFormat="0" applyAlignment="0" applyProtection="0"/>
    <xf numFmtId="0" fontId="66" fillId="0" borderId="452" applyNumberFormat="0" applyFill="0" applyAlignment="0" applyProtection="0"/>
    <xf numFmtId="0" fontId="33" fillId="34" borderId="454">
      <alignment horizontal="right" vertical="center"/>
    </xf>
    <xf numFmtId="0" fontId="5" fillId="59" borderId="453" applyNumberFormat="0" applyFont="0" applyAlignment="0" applyProtection="0"/>
    <xf numFmtId="4" fontId="35" fillId="0" borderId="454">
      <alignment horizontal="right" vertical="center"/>
    </xf>
    <xf numFmtId="0" fontId="66" fillId="0" borderId="452" applyNumberFormat="0" applyFill="0" applyAlignment="0" applyProtection="0"/>
    <xf numFmtId="0" fontId="33" fillId="34" borderId="454">
      <alignment horizontal="right" vertical="center"/>
    </xf>
    <xf numFmtId="0" fontId="33" fillId="34" borderId="454">
      <alignment horizontal="right" vertical="center"/>
    </xf>
    <xf numFmtId="4" fontId="37" fillId="32" borderId="454">
      <alignment horizontal="right" vertical="center"/>
    </xf>
    <xf numFmtId="0" fontId="33" fillId="32" borderId="454">
      <alignment horizontal="right" vertical="center"/>
    </xf>
    <xf numFmtId="4" fontId="33" fillId="32" borderId="454">
      <alignment horizontal="right" vertical="center"/>
    </xf>
    <xf numFmtId="0" fontId="37" fillId="32" borderId="454">
      <alignment horizontal="right" vertical="center"/>
    </xf>
    <xf numFmtId="4" fontId="37" fillId="32" borderId="454">
      <alignment horizontal="right" vertical="center"/>
    </xf>
    <xf numFmtId="0" fontId="33" fillId="34" borderId="454">
      <alignment horizontal="right" vertical="center"/>
    </xf>
    <xf numFmtId="4" fontId="33" fillId="34" borderId="454">
      <alignment horizontal="right" vertical="center"/>
    </xf>
    <xf numFmtId="0" fontId="33" fillId="34" borderId="454">
      <alignment horizontal="right" vertical="center"/>
    </xf>
    <xf numFmtId="4" fontId="33" fillId="34" borderId="454">
      <alignment horizontal="right" vertical="center"/>
    </xf>
    <xf numFmtId="0" fontId="33" fillId="34" borderId="455">
      <alignment horizontal="right" vertical="center"/>
    </xf>
    <xf numFmtId="4" fontId="33" fillId="34" borderId="455">
      <alignment horizontal="right" vertical="center"/>
    </xf>
    <xf numFmtId="0" fontId="33" fillId="34" borderId="456">
      <alignment horizontal="right" vertical="center"/>
    </xf>
    <xf numFmtId="4" fontId="33" fillId="34" borderId="456">
      <alignment horizontal="right" vertical="center"/>
    </xf>
    <xf numFmtId="0" fontId="47" fillId="56" borderId="451" applyNumberFormat="0" applyAlignment="0" applyProtection="0"/>
    <xf numFmtId="0" fontId="35" fillId="34" borderId="457">
      <alignment horizontal="left" vertical="center" wrapText="1" indent="2"/>
    </xf>
    <xf numFmtId="0" fontId="35" fillId="0" borderId="457">
      <alignment horizontal="left" vertical="center" wrapText="1" indent="2"/>
    </xf>
    <xf numFmtId="0" fontId="35" fillId="32" borderId="455">
      <alignment horizontal="left" vertical="center"/>
    </xf>
    <xf numFmtId="0" fontId="59" fillId="43" borderId="451" applyNumberFormat="0" applyAlignment="0" applyProtection="0"/>
    <xf numFmtId="0" fontId="35" fillId="0" borderId="454">
      <alignment horizontal="right" vertical="center"/>
    </xf>
    <xf numFmtId="4" fontId="35" fillId="0" borderId="454">
      <alignment horizontal="right" vertical="center"/>
    </xf>
    <xf numFmtId="0" fontId="35" fillId="0" borderId="454" applyNumberFormat="0" applyFill="0" applyAlignment="0" applyProtection="0"/>
    <xf numFmtId="0" fontId="63" fillId="56" borderId="450" applyNumberFormat="0" applyAlignment="0" applyProtection="0"/>
    <xf numFmtId="173" fontId="35" fillId="60" borderId="454" applyNumberFormat="0" applyFont="0" applyBorder="0" applyAlignment="0" applyProtection="0">
      <alignment horizontal="right" vertical="center"/>
    </xf>
    <xf numFmtId="0" fontId="35" fillId="33" borderId="454"/>
    <xf numFmtId="4" fontId="35" fillId="33" borderId="454"/>
    <xf numFmtId="0" fontId="66" fillId="0" borderId="452" applyNumberFormat="0" applyFill="0" applyAlignment="0" applyProtection="0"/>
    <xf numFmtId="0" fontId="5" fillId="59" borderId="453" applyNumberFormat="0" applyFont="0" applyAlignment="0" applyProtection="0"/>
    <xf numFmtId="0" fontId="41" fillId="59" borderId="453" applyNumberFormat="0" applyFont="0" applyAlignment="0" applyProtection="0"/>
    <xf numFmtId="0" fontId="35" fillId="0" borderId="454" applyNumberFormat="0" applyFill="0" applyAlignment="0" applyProtection="0"/>
    <xf numFmtId="0" fontId="51" fillId="0" borderId="452" applyNumberFormat="0" applyFill="0" applyAlignment="0" applyProtection="0"/>
    <xf numFmtId="0" fontId="66" fillId="0" borderId="452" applyNumberFormat="0" applyFill="0" applyAlignment="0" applyProtection="0"/>
    <xf numFmtId="0" fontId="50" fillId="43" borderId="451" applyNumberFormat="0" applyAlignment="0" applyProtection="0"/>
    <xf numFmtId="0" fontId="47" fillId="56" borderId="451" applyNumberFormat="0" applyAlignment="0" applyProtection="0"/>
    <xf numFmtId="4" fontId="37" fillId="32" borderId="454">
      <alignment horizontal="right" vertical="center"/>
    </xf>
    <xf numFmtId="0" fontId="33" fillId="32" borderId="454">
      <alignment horizontal="right" vertical="center"/>
    </xf>
    <xf numFmtId="173" fontId="35" fillId="60" borderId="454" applyNumberFormat="0" applyFont="0" applyBorder="0" applyAlignment="0" applyProtection="0">
      <alignment horizontal="right" vertical="center"/>
    </xf>
    <xf numFmtId="0" fontId="51" fillId="0" borderId="452" applyNumberFormat="0" applyFill="0" applyAlignment="0" applyProtection="0"/>
    <xf numFmtId="49" fontId="35" fillId="0" borderId="454" applyNumberFormat="0" applyFont="0" applyFill="0" applyBorder="0" applyProtection="0">
      <alignment horizontal="left" vertical="center" indent="2"/>
    </xf>
    <xf numFmtId="49" fontId="35" fillId="0" borderId="455" applyNumberFormat="0" applyFont="0" applyFill="0" applyBorder="0" applyProtection="0">
      <alignment horizontal="left" vertical="center" indent="5"/>
    </xf>
    <xf numFmtId="49" fontId="35" fillId="0" borderId="454" applyNumberFormat="0" applyFont="0" applyFill="0" applyBorder="0" applyProtection="0">
      <alignment horizontal="left" vertical="center" indent="2"/>
    </xf>
    <xf numFmtId="4" fontId="35" fillId="0" borderId="454" applyFill="0" applyBorder="0" applyProtection="0">
      <alignment horizontal="right" vertical="center"/>
    </xf>
    <xf numFmtId="49" fontId="34" fillId="0" borderId="454" applyNumberFormat="0" applyFill="0" applyBorder="0" applyProtection="0">
      <alignment horizontal="left" vertical="center"/>
    </xf>
    <xf numFmtId="0" fontId="35" fillId="0" borderId="457">
      <alignment horizontal="left" vertical="center" wrapText="1" indent="2"/>
    </xf>
    <xf numFmtId="0" fontId="63" fillId="56" borderId="450" applyNumberFormat="0" applyAlignment="0" applyProtection="0"/>
    <xf numFmtId="0" fontId="33" fillId="34" borderId="456">
      <alignment horizontal="right" vertical="center"/>
    </xf>
    <xf numFmtId="0" fontId="50" fillId="43" borderId="451" applyNumberFormat="0" applyAlignment="0" applyProtection="0"/>
    <xf numFmtId="0" fontId="33" fillId="34" borderId="456">
      <alignment horizontal="right" vertical="center"/>
    </xf>
    <xf numFmtId="4" fontId="33" fillId="34" borderId="454">
      <alignment horizontal="right" vertical="center"/>
    </xf>
    <xf numFmtId="0" fontId="33" fillId="34" borderId="454">
      <alignment horizontal="right" vertical="center"/>
    </xf>
    <xf numFmtId="0" fontId="44" fillId="56" borderId="450" applyNumberFormat="0" applyAlignment="0" applyProtection="0"/>
    <xf numFmtId="0" fontId="46" fillId="56" borderId="451" applyNumberFormat="0" applyAlignment="0" applyProtection="0"/>
    <xf numFmtId="0" fontId="51" fillId="0" borderId="452" applyNumberFormat="0" applyFill="0" applyAlignment="0" applyProtection="0"/>
    <xf numFmtId="0" fontId="35" fillId="33" borderId="454"/>
    <xf numFmtId="4" fontId="35" fillId="33" borderId="454"/>
    <xf numFmtId="4" fontId="33" fillId="34" borderId="454">
      <alignment horizontal="right" vertical="center"/>
    </xf>
    <xf numFmtId="0" fontId="37" fillId="32" borderId="454">
      <alignment horizontal="right" vertical="center"/>
    </xf>
    <xf numFmtId="0" fontId="50" fillId="43" borderId="451" applyNumberFormat="0" applyAlignment="0" applyProtection="0"/>
    <xf numFmtId="0" fontId="47" fillId="56" borderId="451" applyNumberFormat="0" applyAlignment="0" applyProtection="0"/>
    <xf numFmtId="4" fontId="35" fillId="0" borderId="454">
      <alignment horizontal="right" vertical="center"/>
    </xf>
    <xf numFmtId="0" fontId="35" fillId="34" borderId="457">
      <alignment horizontal="left" vertical="center" wrapText="1" indent="2"/>
    </xf>
    <xf numFmtId="0" fontId="35" fillId="0" borderId="457">
      <alignment horizontal="left" vertical="center" wrapText="1" indent="2"/>
    </xf>
    <xf numFmtId="0" fontId="63" fillId="56" borderId="450" applyNumberFormat="0" applyAlignment="0" applyProtection="0"/>
    <xf numFmtId="0" fontId="59" fillId="43" borderId="451" applyNumberFormat="0" applyAlignment="0" applyProtection="0"/>
    <xf numFmtId="0" fontId="46" fillId="56" borderId="451" applyNumberFormat="0" applyAlignment="0" applyProtection="0"/>
    <xf numFmtId="0" fontId="44" fillId="56" borderId="450" applyNumberFormat="0" applyAlignment="0" applyProtection="0"/>
    <xf numFmtId="0" fontId="33" fillId="34" borderId="456">
      <alignment horizontal="right" vertical="center"/>
    </xf>
    <xf numFmtId="0" fontId="37" fillId="32" borderId="454">
      <alignment horizontal="right" vertical="center"/>
    </xf>
    <xf numFmtId="4" fontId="33" fillId="32" borderId="454">
      <alignment horizontal="right" vertical="center"/>
    </xf>
    <xf numFmtId="4" fontId="33" fillId="34" borderId="454">
      <alignment horizontal="right" vertical="center"/>
    </xf>
    <xf numFmtId="49" fontId="35" fillId="0" borderId="455" applyNumberFormat="0" applyFont="0" applyFill="0" applyBorder="0" applyProtection="0">
      <alignment horizontal="left" vertical="center" indent="5"/>
    </xf>
    <xf numFmtId="4" fontId="35" fillId="0" borderId="454" applyFill="0" applyBorder="0" applyProtection="0">
      <alignment horizontal="right" vertical="center"/>
    </xf>
    <xf numFmtId="4" fontId="33" fillId="32" borderId="454">
      <alignment horizontal="right" vertical="center"/>
    </xf>
    <xf numFmtId="0" fontId="59" fillId="43" borderId="451" applyNumberFormat="0" applyAlignment="0" applyProtection="0"/>
    <xf numFmtId="0" fontId="50" fillId="43" borderId="451" applyNumberFormat="0" applyAlignment="0" applyProtection="0"/>
    <xf numFmtId="0" fontId="46" fillId="56" borderId="451" applyNumberFormat="0" applyAlignment="0" applyProtection="0"/>
    <xf numFmtId="0" fontId="35" fillId="34" borderId="457">
      <alignment horizontal="left" vertical="center" wrapText="1" indent="2"/>
    </xf>
    <xf numFmtId="0" fontId="35" fillId="0" borderId="457">
      <alignment horizontal="left" vertical="center" wrapText="1" indent="2"/>
    </xf>
    <xf numFmtId="0" fontId="35" fillId="34" borderId="457">
      <alignment horizontal="left" vertical="center" wrapText="1" indent="2"/>
    </xf>
    <xf numFmtId="0" fontId="33" fillId="32" borderId="462">
      <alignment horizontal="right" vertical="center"/>
    </xf>
    <xf numFmtId="0" fontId="33" fillId="34" borderId="464">
      <alignment horizontal="right" vertical="center"/>
    </xf>
    <xf numFmtId="0" fontId="33" fillId="34" borderId="464">
      <alignment horizontal="right" vertical="center"/>
    </xf>
    <xf numFmtId="4" fontId="33" fillId="34" borderId="464">
      <alignment horizontal="right" vertical="center"/>
    </xf>
    <xf numFmtId="0" fontId="35" fillId="34" borderId="465">
      <alignment horizontal="left" vertical="center" wrapText="1" indent="2"/>
    </xf>
    <xf numFmtId="0" fontId="33" fillId="34" borderId="462">
      <alignment horizontal="right" vertical="center"/>
    </xf>
    <xf numFmtId="4" fontId="33" fillId="34" borderId="462">
      <alignment horizontal="right" vertical="center"/>
    </xf>
    <xf numFmtId="0" fontId="33" fillId="34" borderId="462">
      <alignment horizontal="right" vertical="center"/>
    </xf>
    <xf numFmtId="4" fontId="33" fillId="34" borderId="462">
      <alignment horizontal="right" vertical="center"/>
    </xf>
    <xf numFmtId="4" fontId="33" fillId="34" borderId="462">
      <alignment horizontal="right" vertical="center"/>
    </xf>
    <xf numFmtId="0" fontId="33" fillId="34" borderId="471">
      <alignment horizontal="right" vertical="center"/>
    </xf>
    <xf numFmtId="4" fontId="35" fillId="33" borderId="462"/>
    <xf numFmtId="4" fontId="33" fillId="34" borderId="462">
      <alignment horizontal="right" vertical="center"/>
    </xf>
    <xf numFmtId="0" fontId="50" fillId="43" borderId="459" applyNumberFormat="0" applyAlignment="0" applyProtection="0"/>
    <xf numFmtId="0" fontId="51" fillId="0" borderId="460" applyNumberFormat="0" applyFill="0" applyAlignment="0" applyProtection="0"/>
    <xf numFmtId="4" fontId="33" fillId="34" borderId="472">
      <alignment horizontal="right" vertical="center"/>
    </xf>
    <xf numFmtId="0" fontId="47" fillId="56" borderId="491" applyNumberFormat="0" applyAlignment="0" applyProtection="0"/>
    <xf numFmtId="0" fontId="47" fillId="56" borderId="491" applyNumberFormat="0" applyAlignment="0" applyProtection="0"/>
    <xf numFmtId="0" fontId="33" fillId="34" borderId="462">
      <alignment horizontal="right" vertical="center"/>
    </xf>
    <xf numFmtId="0" fontId="66" fillId="0" borderId="460" applyNumberFormat="0" applyFill="0" applyAlignment="0" applyProtection="0"/>
    <xf numFmtId="0" fontId="1" fillId="0" borderId="0" applyNumberFormat="0" applyFill="0" applyBorder="0" applyAlignment="0" applyProtection="0"/>
    <xf numFmtId="0" fontId="51" fillId="0" borderId="469" applyNumberFormat="0" applyFill="0" applyAlignment="0" applyProtection="0"/>
    <xf numFmtId="0" fontId="30" fillId="13" borderId="13" applyNumberFormat="0" applyAlignment="0" applyProtection="0"/>
    <xf numFmtId="0" fontId="35" fillId="0" borderId="462">
      <alignment horizontal="right" vertical="center"/>
    </xf>
    <xf numFmtId="0" fontId="63" fillId="56" borderId="466" applyNumberFormat="0" applyAlignment="0" applyProtection="0"/>
    <xf numFmtId="0" fontId="47" fillId="56" borderId="459" applyNumberFormat="0" applyAlignment="0" applyProtection="0"/>
    <xf numFmtId="0" fontId="33" fillId="34" borderId="462">
      <alignment horizontal="right" vertical="center"/>
    </xf>
    <xf numFmtId="0" fontId="35" fillId="0" borderId="465">
      <alignment horizontal="left" vertical="center" wrapText="1" indent="2"/>
    </xf>
    <xf numFmtId="0" fontId="35" fillId="34" borderId="465">
      <alignment horizontal="left" vertical="center" wrapText="1" indent="2"/>
    </xf>
    <xf numFmtId="0" fontId="63" fillId="56" borderId="466" applyNumberFormat="0" applyAlignment="0" applyProtection="0"/>
    <xf numFmtId="4" fontId="33" fillId="32" borderId="462">
      <alignment horizontal="right" vertical="center"/>
    </xf>
    <xf numFmtId="4" fontId="37" fillId="32" borderId="462">
      <alignment horizontal="right" vertical="center"/>
    </xf>
    <xf numFmtId="4" fontId="37" fillId="32" borderId="462">
      <alignment horizontal="right" vertical="center"/>
    </xf>
    <xf numFmtId="49" fontId="35" fillId="0" borderId="462" applyNumberFormat="0" applyFont="0" applyFill="0" applyBorder="0" applyProtection="0">
      <alignment horizontal="left" vertical="center" indent="2"/>
    </xf>
    <xf numFmtId="49" fontId="34" fillId="0" borderId="462" applyNumberFormat="0" applyFill="0" applyBorder="0" applyProtection="0">
      <alignment horizontal="left" vertical="center"/>
    </xf>
    <xf numFmtId="0" fontId="33" fillId="34" borderId="472">
      <alignment horizontal="right" vertical="center"/>
    </xf>
    <xf numFmtId="0" fontId="2" fillId="0" borderId="15" applyNumberFormat="0" applyFill="0" applyAlignment="0" applyProtection="0"/>
    <xf numFmtId="0" fontId="5" fillId="59" borderId="478" applyNumberFormat="0" applyFont="0" applyAlignment="0" applyProtection="0"/>
    <xf numFmtId="0" fontId="35" fillId="33" borderId="462"/>
    <xf numFmtId="0" fontId="27" fillId="23" borderId="0" applyNumberFormat="0" applyBorder="0" applyAlignment="0" applyProtection="0"/>
    <xf numFmtId="0" fontId="47" fillId="56" borderId="468" applyNumberFormat="0" applyAlignment="0" applyProtection="0"/>
    <xf numFmtId="49" fontId="35" fillId="0" borderId="471" applyNumberFormat="0" applyFont="0" applyFill="0" applyBorder="0" applyProtection="0">
      <alignment horizontal="left" vertical="center" indent="2"/>
    </xf>
    <xf numFmtId="0" fontId="35" fillId="34" borderId="474">
      <alignment horizontal="left" vertical="center" wrapText="1" indent="2"/>
    </xf>
    <xf numFmtId="4" fontId="35" fillId="0" borderId="471">
      <alignment horizontal="right" vertical="center"/>
    </xf>
    <xf numFmtId="0" fontId="27" fillId="30" borderId="0" applyNumberFormat="0" applyBorder="0" applyAlignment="0" applyProtection="0"/>
    <xf numFmtId="0" fontId="27" fillId="21" borderId="0" applyNumberFormat="0" applyBorder="0" applyAlignment="0" applyProtection="0"/>
    <xf numFmtId="0" fontId="12" fillId="25" borderId="0" applyNumberFormat="0" applyBorder="0" applyAlignment="0" applyProtection="0"/>
    <xf numFmtId="49" fontId="35" fillId="0" borderId="471" applyNumberFormat="0" applyFont="0" applyFill="0" applyBorder="0" applyProtection="0">
      <alignment horizontal="left" vertical="center" indent="2"/>
    </xf>
    <xf numFmtId="0" fontId="47" fillId="56" borderId="491" applyNumberFormat="0" applyAlignment="0" applyProtection="0"/>
    <xf numFmtId="0" fontId="33" fillId="34" borderId="473">
      <alignment horizontal="right" vertical="center"/>
    </xf>
    <xf numFmtId="0" fontId="12" fillId="31" borderId="0" applyNumberFormat="0" applyBorder="0" applyAlignment="0" applyProtection="0"/>
    <xf numFmtId="4" fontId="33" fillId="34" borderId="462">
      <alignment horizontal="right" vertical="center"/>
    </xf>
    <xf numFmtId="0" fontId="33" fillId="32" borderId="471">
      <alignment horizontal="right" vertical="center"/>
    </xf>
    <xf numFmtId="4" fontId="33" fillId="34" borderId="471">
      <alignment horizontal="right" vertical="center"/>
    </xf>
    <xf numFmtId="49" fontId="35" fillId="0" borderId="494" applyNumberFormat="0" applyFont="0" applyFill="0" applyBorder="0" applyProtection="0">
      <alignment horizontal="left" vertical="center" indent="2"/>
    </xf>
    <xf numFmtId="173" fontId="35" fillId="60" borderId="471" applyNumberFormat="0" applyFont="0" applyBorder="0" applyAlignment="0" applyProtection="0">
      <alignment horizontal="right" vertical="center"/>
    </xf>
    <xf numFmtId="0" fontId="59" fillId="43" borderId="468" applyNumberFormat="0" applyAlignment="0" applyProtection="0"/>
    <xf numFmtId="0" fontId="35" fillId="0" borderId="497">
      <alignment horizontal="left" vertical="center" wrapText="1" indent="2"/>
    </xf>
    <xf numFmtId="0" fontId="51" fillId="0" borderId="460" applyNumberFormat="0" applyFill="0" applyAlignment="0" applyProtection="0"/>
    <xf numFmtId="0" fontId="35" fillId="34" borderId="465">
      <alignment horizontal="left" vertical="center" wrapText="1" indent="2"/>
    </xf>
    <xf numFmtId="0" fontId="66" fillId="0" borderId="492" applyNumberFormat="0" applyFill="0" applyAlignment="0" applyProtection="0"/>
    <xf numFmtId="0" fontId="27" fillId="15" borderId="0" applyNumberFormat="0" applyBorder="0" applyAlignment="0" applyProtection="0"/>
    <xf numFmtId="0" fontId="51" fillId="0" borderId="460" applyNumberFormat="0" applyFill="0" applyAlignment="0" applyProtection="0"/>
    <xf numFmtId="0" fontId="47" fillId="56" borderId="459" applyNumberFormat="0" applyAlignment="0" applyProtection="0"/>
    <xf numFmtId="0" fontId="27" fillId="17" borderId="0" applyNumberFormat="0" applyBorder="0" applyAlignment="0" applyProtection="0"/>
    <xf numFmtId="0" fontId="46" fillId="56" borderId="459" applyNumberFormat="0" applyAlignment="0" applyProtection="0"/>
    <xf numFmtId="0" fontId="59" fillId="43" borderId="468" applyNumberFormat="0" applyAlignment="0" applyProtection="0"/>
    <xf numFmtId="0" fontId="63" fillId="56" borderId="466" applyNumberFormat="0" applyAlignment="0" applyProtection="0"/>
    <xf numFmtId="173" fontId="35" fillId="60" borderId="462" applyNumberFormat="0" applyFont="0" applyBorder="0" applyAlignment="0" applyProtection="0">
      <alignment horizontal="right" vertical="center"/>
    </xf>
    <xf numFmtId="173" fontId="35" fillId="60" borderId="494" applyNumberFormat="0" applyFont="0" applyBorder="0" applyAlignment="0" applyProtection="0">
      <alignment horizontal="right" vertical="center"/>
    </xf>
    <xf numFmtId="0" fontId="12" fillId="22" borderId="0" applyNumberFormat="0" applyBorder="0" applyAlignment="0" applyProtection="0"/>
    <xf numFmtId="0" fontId="12" fillId="16" borderId="0" applyNumberFormat="0" applyBorder="0" applyAlignment="0" applyProtection="0"/>
    <xf numFmtId="0" fontId="35" fillId="0" borderId="471" applyNumberFormat="0" applyFill="0" applyAlignment="0" applyProtection="0"/>
    <xf numFmtId="0" fontId="33" fillId="34" borderId="494">
      <alignment horizontal="right" vertical="center"/>
    </xf>
    <xf numFmtId="0" fontId="27" fillId="17" borderId="0" applyNumberFormat="0" applyBorder="0" applyAlignment="0" applyProtection="0"/>
    <xf numFmtId="0" fontId="33" fillId="32" borderId="494">
      <alignment horizontal="right" vertical="center"/>
    </xf>
    <xf numFmtId="0" fontId="27" fillId="15" borderId="0" applyNumberFormat="0" applyBorder="0" applyAlignment="0" applyProtection="0"/>
    <xf numFmtId="49" fontId="35" fillId="0" borderId="462" applyNumberFormat="0" applyFont="0" applyFill="0" applyBorder="0" applyProtection="0">
      <alignment horizontal="left" vertical="center" indent="2"/>
    </xf>
    <xf numFmtId="4" fontId="35" fillId="0" borderId="462" applyFill="0" applyBorder="0" applyProtection="0">
      <alignment horizontal="right" vertical="center"/>
    </xf>
    <xf numFmtId="0" fontId="35" fillId="33" borderId="462"/>
    <xf numFmtId="49" fontId="35" fillId="0" borderId="494" applyNumberFormat="0" applyFont="0" applyFill="0" applyBorder="0" applyProtection="0">
      <alignment horizontal="left" vertical="center" indent="2"/>
    </xf>
    <xf numFmtId="0" fontId="27" fillId="18" borderId="0" applyNumberFormat="0" applyBorder="0" applyAlignment="0" applyProtection="0"/>
    <xf numFmtId="0" fontId="27" fillId="20" borderId="0" applyNumberFormat="0" applyBorder="0" applyAlignment="0" applyProtection="0"/>
    <xf numFmtId="4" fontId="35" fillId="33" borderId="471"/>
    <xf numFmtId="4" fontId="35" fillId="33" borderId="462"/>
    <xf numFmtId="0" fontId="27" fillId="30" borderId="0" applyNumberFormat="0" applyBorder="0" applyAlignment="0" applyProtection="0"/>
    <xf numFmtId="0" fontId="12" fillId="22" borderId="0" applyNumberFormat="0" applyBorder="0" applyAlignment="0" applyProtection="0"/>
    <xf numFmtId="0" fontId="33" fillId="34" borderId="464">
      <alignment horizontal="right" vertical="center"/>
    </xf>
    <xf numFmtId="0" fontId="63" fillId="56" borderId="498" applyNumberFormat="0" applyAlignment="0" applyProtection="0"/>
    <xf numFmtId="0" fontId="41" fillId="59" borderId="461" applyNumberFormat="0" applyFont="0" applyAlignment="0" applyProtection="0"/>
    <xf numFmtId="0" fontId="35" fillId="34" borderId="474">
      <alignment horizontal="left" vertical="center" wrapText="1" indent="2"/>
    </xf>
    <xf numFmtId="0" fontId="35" fillId="0" borderId="462">
      <alignment horizontal="right" vertical="center"/>
    </xf>
    <xf numFmtId="4" fontId="35" fillId="33" borderId="462"/>
    <xf numFmtId="0" fontId="35" fillId="0" borderId="465">
      <alignment horizontal="left" vertical="center" wrapText="1" indent="2"/>
    </xf>
    <xf numFmtId="4" fontId="33" fillId="34" borderId="462">
      <alignment horizontal="right" vertical="center"/>
    </xf>
    <xf numFmtId="0" fontId="35" fillId="0" borderId="462">
      <alignment horizontal="right" vertical="center"/>
    </xf>
    <xf numFmtId="0" fontId="35" fillId="0" borderId="484">
      <alignment horizontal="right" vertical="center"/>
    </xf>
    <xf numFmtId="4" fontId="33" fillId="32" borderId="494">
      <alignment horizontal="right" vertical="center"/>
    </xf>
    <xf numFmtId="0" fontId="33" fillId="32" borderId="462">
      <alignment horizontal="right" vertical="center"/>
    </xf>
    <xf numFmtId="49" fontId="34" fillId="0" borderId="494" applyNumberFormat="0" applyFill="0" applyBorder="0" applyProtection="0">
      <alignment horizontal="left" vertical="center"/>
    </xf>
    <xf numFmtId="0" fontId="27" fillId="29" borderId="0" applyNumberFormat="0" applyBorder="0" applyAlignment="0" applyProtection="0"/>
    <xf numFmtId="49" fontId="35" fillId="0" borderId="463" applyNumberFormat="0" applyFont="0" applyFill="0" applyBorder="0" applyProtection="0">
      <alignment horizontal="left" vertical="center" indent="5"/>
    </xf>
    <xf numFmtId="0" fontId="59" fillId="43" borderId="459" applyNumberFormat="0" applyAlignment="0" applyProtection="0"/>
    <xf numFmtId="4" fontId="35" fillId="0" borderId="471" applyFill="0" applyBorder="0" applyProtection="0">
      <alignment horizontal="right" vertical="center"/>
    </xf>
    <xf numFmtId="0" fontId="33" fillId="32" borderId="462">
      <alignment horizontal="right" vertical="center"/>
    </xf>
    <xf numFmtId="0" fontId="41" fillId="59" borderId="493" applyNumberFormat="0" applyFont="0" applyAlignment="0" applyProtection="0"/>
    <xf numFmtId="0" fontId="59" fillId="43" borderId="459" applyNumberFormat="0" applyAlignment="0" applyProtection="0"/>
    <xf numFmtId="0" fontId="47" fillId="56" borderId="459" applyNumberFormat="0" applyAlignment="0" applyProtection="0"/>
    <xf numFmtId="0" fontId="35" fillId="34" borderId="465">
      <alignment horizontal="left" vertical="center" wrapText="1" indent="2"/>
    </xf>
    <xf numFmtId="0" fontId="27" fillId="23" borderId="0" applyNumberFormat="0" applyBorder="0" applyAlignment="0" applyProtection="0"/>
    <xf numFmtId="4" fontId="37" fillId="32" borderId="462">
      <alignment horizontal="right" vertical="center"/>
    </xf>
    <xf numFmtId="4" fontId="33" fillId="34" borderId="473">
      <alignment horizontal="right" vertical="center"/>
    </xf>
    <xf numFmtId="0" fontId="12" fillId="22" borderId="0" applyNumberFormat="0" applyBorder="0" applyAlignment="0" applyProtection="0"/>
    <xf numFmtId="49" fontId="34" fillId="0" borderId="494" applyNumberFormat="0" applyFill="0" applyBorder="0" applyProtection="0">
      <alignment horizontal="left" vertical="center"/>
    </xf>
    <xf numFmtId="0" fontId="33" fillId="34" borderId="463">
      <alignment horizontal="right" vertical="center"/>
    </xf>
    <xf numFmtId="0" fontId="44" fillId="56" borderId="467" applyNumberFormat="0" applyAlignment="0" applyProtection="0"/>
    <xf numFmtId="0" fontId="37" fillId="32" borderId="462">
      <alignment horizontal="right" vertical="center"/>
    </xf>
    <xf numFmtId="0" fontId="35" fillId="34" borderId="474">
      <alignment horizontal="left" vertical="center" wrapText="1" indent="2"/>
    </xf>
    <xf numFmtId="0" fontId="27" fillId="15" borderId="0" applyNumberFormat="0" applyBorder="0" applyAlignment="0" applyProtection="0"/>
    <xf numFmtId="0" fontId="12" fillId="19" borderId="0" applyNumberFormat="0" applyBorder="0" applyAlignment="0" applyProtection="0"/>
    <xf numFmtId="4" fontId="33" fillId="34" borderId="462">
      <alignment horizontal="right" vertical="center"/>
    </xf>
    <xf numFmtId="4" fontId="35" fillId="33" borderId="494"/>
    <xf numFmtId="0" fontId="33" fillId="34" borderId="463">
      <alignment horizontal="right" vertical="center"/>
    </xf>
    <xf numFmtId="0" fontId="33" fillId="34" borderId="471">
      <alignment horizontal="right" vertical="center"/>
    </xf>
    <xf numFmtId="49" fontId="35" fillId="0" borderId="463" applyNumberFormat="0" applyFont="0" applyFill="0" applyBorder="0" applyProtection="0">
      <alignment horizontal="left" vertical="center" indent="5"/>
    </xf>
    <xf numFmtId="0" fontId="12" fillId="25" borderId="0" applyNumberFormat="0" applyBorder="0" applyAlignment="0" applyProtection="0"/>
    <xf numFmtId="0" fontId="35" fillId="33" borderId="462"/>
    <xf numFmtId="4" fontId="33" fillId="34" borderId="473">
      <alignment horizontal="right" vertical="center"/>
    </xf>
    <xf numFmtId="0" fontId="5" fillId="59" borderId="461" applyNumberFormat="0" applyFont="0" applyAlignment="0" applyProtection="0"/>
    <xf numFmtId="0" fontId="35" fillId="32" borderId="463">
      <alignment horizontal="left" vertical="center"/>
    </xf>
    <xf numFmtId="0" fontId="66" fillId="0" borderId="460" applyNumberFormat="0" applyFill="0" applyAlignment="0" applyProtection="0"/>
    <xf numFmtId="4" fontId="33" fillId="32" borderId="494">
      <alignment horizontal="right" vertical="center"/>
    </xf>
    <xf numFmtId="0" fontId="41" fillId="59" borderId="470" applyNumberFormat="0" applyFont="0" applyAlignment="0" applyProtection="0"/>
    <xf numFmtId="49" fontId="34" fillId="0" borderId="462" applyNumberFormat="0" applyFill="0" applyBorder="0" applyProtection="0">
      <alignment horizontal="left" vertical="center"/>
    </xf>
    <xf numFmtId="0" fontId="35" fillId="0" borderId="465">
      <alignment horizontal="left" vertical="center" wrapText="1" indent="2"/>
    </xf>
    <xf numFmtId="0" fontId="50" fillId="43" borderId="468" applyNumberFormat="0" applyAlignment="0" applyProtection="0"/>
    <xf numFmtId="0" fontId="33" fillId="34" borderId="496">
      <alignment horizontal="right" vertical="center"/>
    </xf>
    <xf numFmtId="0" fontId="35" fillId="33" borderId="494"/>
    <xf numFmtId="0" fontId="66" fillId="0" borderId="460" applyNumberFormat="0" applyFill="0" applyAlignment="0" applyProtection="0"/>
    <xf numFmtId="0" fontId="37" fillId="32" borderId="462">
      <alignment horizontal="right" vertical="center"/>
    </xf>
    <xf numFmtId="0" fontId="35" fillId="0" borderId="465">
      <alignment horizontal="left" vertical="center" wrapText="1" indent="2"/>
    </xf>
    <xf numFmtId="0" fontId="27" fillId="23" borderId="0" applyNumberFormat="0" applyBorder="0" applyAlignment="0" applyProtection="0"/>
    <xf numFmtId="49" fontId="35" fillId="0" borderId="463" applyNumberFormat="0" applyFont="0" applyFill="0" applyBorder="0" applyProtection="0">
      <alignment horizontal="left" vertical="center" indent="5"/>
    </xf>
    <xf numFmtId="0" fontId="12" fillId="25" borderId="0" applyNumberFormat="0" applyBorder="0" applyAlignment="0" applyProtection="0"/>
    <xf numFmtId="0" fontId="51" fillId="0" borderId="460" applyNumberFormat="0" applyFill="0" applyAlignment="0" applyProtection="0"/>
    <xf numFmtId="0" fontId="35" fillId="32" borderId="472">
      <alignment horizontal="left" vertical="center"/>
    </xf>
    <xf numFmtId="0" fontId="44" fillId="56" borderId="498" applyNumberFormat="0" applyAlignment="0" applyProtection="0"/>
    <xf numFmtId="0" fontId="33" fillId="34" borderId="471">
      <alignment horizontal="right" vertical="center"/>
    </xf>
    <xf numFmtId="0" fontId="66" fillId="0" borderId="469" applyNumberFormat="0" applyFill="0" applyAlignment="0" applyProtection="0"/>
    <xf numFmtId="4" fontId="33" fillId="34" borderId="462">
      <alignment horizontal="right" vertical="center"/>
    </xf>
    <xf numFmtId="0" fontId="35" fillId="0" borderId="471">
      <alignment horizontal="right" vertical="center"/>
    </xf>
    <xf numFmtId="173" fontId="35" fillId="60" borderId="462" applyNumberFormat="0" applyFont="0" applyBorder="0" applyAlignment="0" applyProtection="0">
      <alignment horizontal="right" vertical="center"/>
    </xf>
    <xf numFmtId="4" fontId="33" fillId="34" borderId="463">
      <alignment horizontal="right" vertical="center"/>
    </xf>
    <xf numFmtId="0" fontId="12" fillId="31" borderId="0" applyNumberFormat="0" applyBorder="0" applyAlignment="0" applyProtection="0"/>
    <xf numFmtId="4" fontId="33" fillId="34" borderId="471">
      <alignment horizontal="right" vertical="center"/>
    </xf>
    <xf numFmtId="0" fontId="47" fillId="56" borderId="459" applyNumberFormat="0" applyAlignment="0" applyProtection="0"/>
    <xf numFmtId="0" fontId="44" fillId="56" borderId="467" applyNumberFormat="0" applyAlignment="0" applyProtection="0"/>
    <xf numFmtId="0" fontId="41" fillId="59" borderId="461" applyNumberFormat="0" applyFont="0" applyAlignment="0" applyProtection="0"/>
    <xf numFmtId="0" fontId="46" fillId="56" borderId="459" applyNumberFormat="0" applyAlignment="0" applyProtection="0"/>
    <xf numFmtId="0" fontId="47" fillId="56" borderId="459" applyNumberFormat="0" applyAlignment="0" applyProtection="0"/>
    <xf numFmtId="0" fontId="35" fillId="34" borderId="465">
      <alignment horizontal="left" vertical="center" wrapText="1" indent="2"/>
    </xf>
    <xf numFmtId="0" fontId="66" fillId="0" borderId="460" applyNumberFormat="0" applyFill="0" applyAlignment="0" applyProtection="0"/>
    <xf numFmtId="0" fontId="27" fillId="26" borderId="0" applyNumberFormat="0" applyBorder="0" applyAlignment="0" applyProtection="0"/>
    <xf numFmtId="0" fontId="35" fillId="34" borderId="465">
      <alignment horizontal="left" vertical="center" wrapText="1" indent="2"/>
    </xf>
    <xf numFmtId="0" fontId="35" fillId="33" borderId="462"/>
    <xf numFmtId="0" fontId="63" fillId="56" borderId="467" applyNumberFormat="0" applyAlignment="0" applyProtection="0"/>
    <xf numFmtId="0" fontId="27" fillId="14" borderId="0" applyNumberFormat="0" applyBorder="0" applyAlignment="0" applyProtection="0"/>
    <xf numFmtId="0" fontId="35" fillId="0" borderId="465">
      <alignment horizontal="left" vertical="center" wrapText="1" indent="2"/>
    </xf>
    <xf numFmtId="4" fontId="33" fillId="32" borderId="462">
      <alignment horizontal="right" vertical="center"/>
    </xf>
    <xf numFmtId="0" fontId="27" fillId="26" borderId="0" applyNumberFormat="0" applyBorder="0" applyAlignment="0" applyProtection="0"/>
    <xf numFmtId="0" fontId="51" fillId="0" borderId="492" applyNumberFormat="0" applyFill="0" applyAlignment="0" applyProtection="0"/>
    <xf numFmtId="0" fontId="59" fillId="43" borderId="468" applyNumberFormat="0" applyAlignment="0" applyProtection="0"/>
    <xf numFmtId="0" fontId="27" fillId="23" borderId="0" applyNumberFormat="0" applyBorder="0" applyAlignment="0" applyProtection="0"/>
    <xf numFmtId="0" fontId="27" fillId="17" borderId="0" applyNumberFormat="0" applyBorder="0" applyAlignment="0" applyProtection="0"/>
    <xf numFmtId="0" fontId="5" fillId="59" borderId="470" applyNumberFormat="0" applyFont="0" applyAlignment="0" applyProtection="0"/>
    <xf numFmtId="0" fontId="5" fillId="59" borderId="461" applyNumberFormat="0" applyFont="0" applyAlignment="0" applyProtection="0"/>
    <xf numFmtId="4" fontId="33" fillId="34" borderId="462">
      <alignment horizontal="right" vertical="center"/>
    </xf>
    <xf numFmtId="49" fontId="35" fillId="0" borderId="462" applyNumberFormat="0" applyFont="0" applyFill="0" applyBorder="0" applyProtection="0">
      <alignment horizontal="left" vertical="center" indent="2"/>
    </xf>
    <xf numFmtId="0" fontId="66" fillId="0" borderId="460" applyNumberFormat="0" applyFill="0" applyAlignment="0" applyProtection="0"/>
    <xf numFmtId="0" fontId="27" fillId="18" borderId="0" applyNumberFormat="0" applyBorder="0" applyAlignment="0" applyProtection="0"/>
    <xf numFmtId="0" fontId="27" fillId="20" borderId="0" applyNumberFormat="0" applyBorder="0" applyAlignment="0" applyProtection="0"/>
    <xf numFmtId="0" fontId="1" fillId="0" borderId="0" applyNumberFormat="0" applyFill="0" applyBorder="0" applyAlignment="0" applyProtection="0"/>
    <xf numFmtId="0" fontId="12" fillId="31" borderId="0" applyNumberFormat="0" applyBorder="0" applyAlignment="0" applyProtection="0"/>
    <xf numFmtId="0" fontId="35" fillId="0" borderId="462" applyNumberFormat="0" applyFill="0" applyAlignment="0" applyProtection="0"/>
    <xf numFmtId="0" fontId="59" fillId="43" borderId="459" applyNumberFormat="0" applyAlignment="0" applyProtection="0"/>
    <xf numFmtId="0" fontId="12" fillId="31" borderId="0" applyNumberFormat="0" applyBorder="0" applyAlignment="0" applyProtection="0"/>
    <xf numFmtId="0" fontId="47" fillId="56" borderId="476" applyNumberFormat="0" applyAlignment="0" applyProtection="0"/>
    <xf numFmtId="0" fontId="47" fillId="56" borderId="491" applyNumberFormat="0" applyAlignment="0" applyProtection="0"/>
    <xf numFmtId="0" fontId="12" fillId="28" borderId="0" applyNumberFormat="0" applyBorder="0" applyAlignment="0" applyProtection="0"/>
    <xf numFmtId="0" fontId="27" fillId="30" borderId="0" applyNumberFormat="0" applyBorder="0" applyAlignment="0" applyProtection="0"/>
    <xf numFmtId="0" fontId="66" fillId="0" borderId="460" applyNumberFormat="0" applyFill="0" applyAlignment="0" applyProtection="0"/>
    <xf numFmtId="0" fontId="50" fillId="43" borderId="468" applyNumberFormat="0" applyAlignment="0" applyProtection="0"/>
    <xf numFmtId="0" fontId="47" fillId="56" borderId="468" applyNumberFormat="0" applyAlignment="0" applyProtection="0"/>
    <xf numFmtId="4" fontId="35" fillId="0" borderId="462">
      <alignment horizontal="right" vertical="center"/>
    </xf>
    <xf numFmtId="0" fontId="35" fillId="32" borderId="485">
      <alignment horizontal="left" vertical="center"/>
    </xf>
    <xf numFmtId="0" fontId="47" fillId="56" borderId="476" applyNumberFormat="0" applyAlignment="0" applyProtection="0"/>
    <xf numFmtId="0" fontId="27" fillId="18" borderId="0" applyNumberFormat="0" applyBorder="0" applyAlignment="0" applyProtection="0"/>
    <xf numFmtId="0" fontId="35" fillId="32" borderId="472">
      <alignment horizontal="left" vertical="center"/>
    </xf>
    <xf numFmtId="0" fontId="30" fillId="13" borderId="13" applyNumberFormat="0" applyAlignment="0" applyProtection="0"/>
    <xf numFmtId="0" fontId="63" fillId="56" borderId="466" applyNumberFormat="0" applyAlignment="0" applyProtection="0"/>
    <xf numFmtId="0" fontId="44" fillId="56" borderId="467" applyNumberFormat="0" applyAlignment="0" applyProtection="0"/>
    <xf numFmtId="4" fontId="33" fillId="34" borderId="471">
      <alignment horizontal="right" vertical="center"/>
    </xf>
    <xf numFmtId="0" fontId="66" fillId="0" borderId="469" applyNumberFormat="0" applyFill="0" applyAlignment="0" applyProtection="0"/>
    <xf numFmtId="0" fontId="27" fillId="23" borderId="0" applyNumberFormat="0" applyBorder="0" applyAlignment="0" applyProtection="0"/>
    <xf numFmtId="0" fontId="27" fillId="17" borderId="0" applyNumberFormat="0" applyBorder="0" applyAlignment="0" applyProtection="0"/>
    <xf numFmtId="4" fontId="33" fillId="32" borderId="462">
      <alignment horizontal="right" vertical="center"/>
    </xf>
    <xf numFmtId="0" fontId="33" fillId="32" borderId="471">
      <alignment horizontal="right" vertical="center"/>
    </xf>
    <xf numFmtId="0" fontId="35" fillId="34" borderId="474">
      <alignment horizontal="left" vertical="center" wrapText="1" indent="2"/>
    </xf>
    <xf numFmtId="0" fontId="33" fillId="32" borderId="462">
      <alignment horizontal="right" vertical="center"/>
    </xf>
    <xf numFmtId="0" fontId="12" fillId="31" borderId="0" applyNumberFormat="0" applyBorder="0" applyAlignment="0" applyProtection="0"/>
    <xf numFmtId="0" fontId="27" fillId="26" borderId="0" applyNumberFormat="0" applyBorder="0" applyAlignment="0" applyProtection="0"/>
    <xf numFmtId="0" fontId="37" fillId="32" borderId="494">
      <alignment horizontal="right" vertical="center"/>
    </xf>
    <xf numFmtId="0" fontId="33" fillId="32" borderId="479">
      <alignment horizontal="right" vertical="center"/>
    </xf>
    <xf numFmtId="0" fontId="30" fillId="13" borderId="13" applyNumberFormat="0" applyAlignment="0" applyProtection="0"/>
    <xf numFmtId="0" fontId="50" fillId="43" borderId="468" applyNumberFormat="0" applyAlignment="0" applyProtection="0"/>
    <xf numFmtId="0" fontId="12" fillId="22" borderId="0" applyNumberFormat="0" applyBorder="0" applyAlignment="0" applyProtection="0"/>
    <xf numFmtId="0" fontId="44" fillId="56" borderId="466" applyNumberFormat="0" applyAlignment="0" applyProtection="0"/>
    <xf numFmtId="0" fontId="51" fillId="0" borderId="492" applyNumberFormat="0" applyFill="0" applyAlignment="0" applyProtection="0"/>
    <xf numFmtId="49" fontId="34" fillId="0" borderId="471" applyNumberFormat="0" applyFill="0" applyBorder="0" applyProtection="0">
      <alignment horizontal="left" vertical="center"/>
    </xf>
    <xf numFmtId="49" fontId="35" fillId="0" borderId="495" applyNumberFormat="0" applyFont="0" applyFill="0" applyBorder="0" applyProtection="0">
      <alignment horizontal="left" vertical="center" indent="5"/>
    </xf>
    <xf numFmtId="0" fontId="59" fillId="43" borderId="459" applyNumberFormat="0" applyAlignment="0" applyProtection="0"/>
    <xf numFmtId="0" fontId="59" fillId="43" borderId="468" applyNumberFormat="0" applyAlignment="0" applyProtection="0"/>
    <xf numFmtId="49" fontId="34" fillId="0" borderId="494" applyNumberFormat="0" applyFill="0" applyBorder="0" applyProtection="0">
      <alignment horizontal="left" vertical="center"/>
    </xf>
    <xf numFmtId="0" fontId="35" fillId="0" borderId="462">
      <alignment horizontal="right" vertical="center"/>
    </xf>
    <xf numFmtId="0" fontId="47" fillId="56" borderId="468" applyNumberFormat="0" applyAlignment="0" applyProtection="0"/>
    <xf numFmtId="0" fontId="47" fillId="56" borderId="459" applyNumberFormat="0" applyAlignment="0" applyProtection="0"/>
    <xf numFmtId="0" fontId="66" fillId="0" borderId="460" applyNumberFormat="0" applyFill="0" applyAlignment="0" applyProtection="0"/>
    <xf numFmtId="0" fontId="12" fillId="19" borderId="0" applyNumberFormat="0" applyBorder="0" applyAlignment="0" applyProtection="0"/>
    <xf numFmtId="0" fontId="27" fillId="29" borderId="0" applyNumberFormat="0" applyBorder="0" applyAlignment="0" applyProtection="0"/>
    <xf numFmtId="0" fontId="31" fillId="0" borderId="0" applyNumberFormat="0" applyFill="0" applyBorder="0" applyAlignment="0" applyProtection="0"/>
    <xf numFmtId="0" fontId="59" fillId="43" borderId="459" applyNumberFormat="0" applyAlignment="0" applyProtection="0"/>
    <xf numFmtId="4" fontId="35" fillId="0" borderId="471" applyFill="0" applyBorder="0" applyProtection="0">
      <alignment horizontal="right" vertical="center"/>
    </xf>
    <xf numFmtId="0" fontId="50" fillId="43" borderId="459" applyNumberFormat="0" applyAlignment="0" applyProtection="0"/>
    <xf numFmtId="4" fontId="35" fillId="0" borderId="471">
      <alignment horizontal="right" vertical="center"/>
    </xf>
    <xf numFmtId="0" fontId="59" fillId="43" borderId="468" applyNumberFormat="0" applyAlignment="0" applyProtection="0"/>
    <xf numFmtId="0" fontId="50" fillId="43" borderId="468" applyNumberFormat="0" applyAlignment="0" applyProtection="0"/>
    <xf numFmtId="0" fontId="59" fillId="43" borderId="459" applyNumberFormat="0" applyAlignment="0" applyProtection="0"/>
    <xf numFmtId="0" fontId="33" fillId="34" borderId="462">
      <alignment horizontal="right" vertical="center"/>
    </xf>
    <xf numFmtId="4" fontId="33" fillId="32" borderId="462">
      <alignment horizontal="right" vertical="center"/>
    </xf>
    <xf numFmtId="0" fontId="5" fillId="59" borderId="470" applyNumberFormat="0" applyFont="0" applyAlignment="0" applyProtection="0"/>
    <xf numFmtId="4" fontId="33" fillId="34" borderId="473">
      <alignment horizontal="right" vertical="center"/>
    </xf>
    <xf numFmtId="0" fontId="27" fillId="27" borderId="0" applyNumberFormat="0" applyBorder="0" applyAlignment="0" applyProtection="0"/>
    <xf numFmtId="0" fontId="59" fillId="43" borderId="468" applyNumberFormat="0" applyAlignment="0" applyProtection="0"/>
    <xf numFmtId="0" fontId="51" fillId="0" borderId="460" applyNumberFormat="0" applyFill="0" applyAlignment="0" applyProtection="0"/>
    <xf numFmtId="0" fontId="27" fillId="18" borderId="0" applyNumberFormat="0" applyBorder="0" applyAlignment="0" applyProtection="0"/>
    <xf numFmtId="0" fontId="41" fillId="59" borderId="470" applyNumberFormat="0" applyFont="0" applyAlignment="0" applyProtection="0"/>
    <xf numFmtId="0" fontId="1" fillId="0" borderId="0" applyNumberFormat="0" applyFill="0" applyBorder="0" applyAlignment="0" applyProtection="0"/>
    <xf numFmtId="0" fontId="35" fillId="0" borderId="471">
      <alignment horizontal="right" vertical="center"/>
    </xf>
    <xf numFmtId="0" fontId="37" fillId="32" borderId="462">
      <alignment horizontal="right" vertical="center"/>
    </xf>
    <xf numFmtId="0" fontId="44" fillId="56" borderId="466" applyNumberFormat="0" applyAlignment="0" applyProtection="0"/>
    <xf numFmtId="0" fontId="59" fillId="43" borderId="459" applyNumberFormat="0" applyAlignment="0" applyProtection="0"/>
    <xf numFmtId="0" fontId="27" fillId="18" borderId="0" applyNumberFormat="0" applyBorder="0" applyAlignment="0" applyProtection="0"/>
    <xf numFmtId="0" fontId="37" fillId="32" borderId="462">
      <alignment horizontal="right" vertical="center"/>
    </xf>
    <xf numFmtId="0" fontId="35" fillId="32" borderId="463">
      <alignment horizontal="left" vertical="center"/>
    </xf>
    <xf numFmtId="0" fontId="51" fillId="0" borderId="469" applyNumberFormat="0" applyFill="0" applyAlignment="0" applyProtection="0"/>
    <xf numFmtId="0" fontId="27" fillId="14" borderId="0" applyNumberFormat="0" applyBorder="0" applyAlignment="0" applyProtection="0"/>
    <xf numFmtId="0" fontId="47" fillId="56" borderId="459" applyNumberFormat="0" applyAlignment="0" applyProtection="0"/>
    <xf numFmtId="0" fontId="33" fillId="34" borderId="494">
      <alignment horizontal="right" vertical="center"/>
    </xf>
    <xf numFmtId="0" fontId="27" fillId="17" borderId="0" applyNumberFormat="0" applyBorder="0" applyAlignment="0" applyProtection="0"/>
    <xf numFmtId="4" fontId="35" fillId="0" borderId="494">
      <alignment horizontal="right" vertical="center"/>
    </xf>
    <xf numFmtId="0" fontId="51" fillId="0" borderId="469" applyNumberFormat="0" applyFill="0" applyAlignment="0" applyProtection="0"/>
    <xf numFmtId="0" fontId="51" fillId="0" borderId="460" applyNumberFormat="0" applyFill="0" applyAlignment="0" applyProtection="0"/>
    <xf numFmtId="0" fontId="33" fillId="34" borderId="471">
      <alignment horizontal="right" vertical="center"/>
    </xf>
    <xf numFmtId="0" fontId="35" fillId="34" borderId="465">
      <alignment horizontal="left" vertical="center" wrapText="1" indent="2"/>
    </xf>
    <xf numFmtId="0" fontId="27" fillId="30" borderId="0" applyNumberFormat="0" applyBorder="0" applyAlignment="0" applyProtection="0"/>
    <xf numFmtId="0" fontId="50" fillId="43" borderId="468" applyNumberFormat="0" applyAlignment="0" applyProtection="0"/>
    <xf numFmtId="4" fontId="33" fillId="34" borderId="471">
      <alignment horizontal="right" vertical="center"/>
    </xf>
    <xf numFmtId="0" fontId="46" fillId="56" borderId="468" applyNumberFormat="0" applyAlignment="0" applyProtection="0"/>
    <xf numFmtId="0" fontId="46" fillId="56" borderId="491" applyNumberFormat="0" applyAlignment="0" applyProtection="0"/>
    <xf numFmtId="0" fontId="44" fillId="56" borderId="466" applyNumberFormat="0" applyAlignment="0" applyProtection="0"/>
    <xf numFmtId="4" fontId="33" fillId="34" borderId="471">
      <alignment horizontal="right" vertical="center"/>
    </xf>
    <xf numFmtId="0" fontId="44" fillId="56" borderId="466" applyNumberFormat="0" applyAlignment="0" applyProtection="0"/>
    <xf numFmtId="0" fontId="46" fillId="56" borderId="468" applyNumberFormat="0" applyAlignment="0" applyProtection="0"/>
    <xf numFmtId="0" fontId="35" fillId="34" borderId="497">
      <alignment horizontal="left" vertical="center" wrapText="1" indent="2"/>
    </xf>
    <xf numFmtId="0" fontId="5" fillId="59" borderId="470" applyNumberFormat="0" applyFont="0" applyAlignment="0" applyProtection="0"/>
    <xf numFmtId="0" fontId="35" fillId="0" borderId="474">
      <alignment horizontal="left" vertical="center" wrapText="1" indent="2"/>
    </xf>
    <xf numFmtId="49" fontId="34" fillId="0" borderId="462" applyNumberFormat="0" applyFill="0" applyBorder="0" applyProtection="0">
      <alignment horizontal="left" vertical="center"/>
    </xf>
    <xf numFmtId="0" fontId="46" fillId="56" borderId="468" applyNumberFormat="0" applyAlignment="0" applyProtection="0"/>
    <xf numFmtId="0" fontId="47" fillId="56" borderId="468" applyNumberFormat="0" applyAlignment="0" applyProtection="0"/>
    <xf numFmtId="173" fontId="35" fillId="60" borderId="462" applyNumberFormat="0" applyFont="0" applyBorder="0" applyAlignment="0" applyProtection="0">
      <alignment horizontal="right" vertical="center"/>
    </xf>
    <xf numFmtId="0" fontId="46" fillId="56" borderId="491" applyNumberFormat="0" applyAlignment="0" applyProtection="0"/>
    <xf numFmtId="0" fontId="63" fillId="56" borderId="466" applyNumberFormat="0" applyAlignment="0" applyProtection="0"/>
    <xf numFmtId="0" fontId="50" fillId="43" borderId="468" applyNumberFormat="0" applyAlignment="0" applyProtection="0"/>
    <xf numFmtId="173" fontId="35" fillId="60" borderId="462" applyNumberFormat="0" applyFont="0" applyBorder="0" applyAlignment="0" applyProtection="0">
      <alignment horizontal="right" vertical="center"/>
    </xf>
    <xf numFmtId="0" fontId="27" fillId="24" borderId="0" applyNumberFormat="0" applyBorder="0" applyAlignment="0" applyProtection="0"/>
    <xf numFmtId="4" fontId="35" fillId="0" borderId="462">
      <alignment horizontal="right" vertical="center"/>
    </xf>
    <xf numFmtId="0" fontId="47" fillId="56" borderId="459" applyNumberFormat="0" applyAlignment="0" applyProtection="0"/>
    <xf numFmtId="0" fontId="1" fillId="0" borderId="0" applyNumberFormat="0" applyFill="0" applyBorder="0" applyAlignment="0" applyProtection="0"/>
    <xf numFmtId="0" fontId="59" fillId="43" borderId="491" applyNumberFormat="0" applyAlignment="0" applyProtection="0"/>
    <xf numFmtId="4" fontId="33" fillId="34" borderId="464">
      <alignment horizontal="right" vertical="center"/>
    </xf>
    <xf numFmtId="4" fontId="35" fillId="0" borderId="479">
      <alignment horizontal="right" vertical="center"/>
    </xf>
    <xf numFmtId="0" fontId="33" fillId="34" borderId="471">
      <alignment horizontal="right" vertical="center"/>
    </xf>
    <xf numFmtId="0" fontId="37" fillId="32" borderId="462">
      <alignment horizontal="right" vertical="center"/>
    </xf>
    <xf numFmtId="0" fontId="35" fillId="33" borderId="462"/>
    <xf numFmtId="0" fontId="66" fillId="0" borderId="460" applyNumberFormat="0" applyFill="0" applyAlignment="0" applyProtection="0"/>
    <xf numFmtId="0" fontId="29" fillId="13" borderId="14" applyNumberFormat="0" applyAlignment="0" applyProtection="0"/>
    <xf numFmtId="0" fontId="66" fillId="0" borderId="469" applyNumberFormat="0" applyFill="0" applyAlignment="0" applyProtection="0"/>
    <xf numFmtId="0" fontId="12" fillId="25" borderId="0" applyNumberFormat="0" applyBorder="0" applyAlignment="0" applyProtection="0"/>
    <xf numFmtId="0" fontId="35" fillId="34" borderId="497">
      <alignment horizontal="left" vertical="center" wrapText="1" indent="2"/>
    </xf>
    <xf numFmtId="0" fontId="46" fillId="56" borderId="459" applyNumberFormat="0" applyAlignment="0" applyProtection="0"/>
    <xf numFmtId="0" fontId="35" fillId="34" borderId="497">
      <alignment horizontal="left" vertical="center" wrapText="1" indent="2"/>
    </xf>
    <xf numFmtId="0" fontId="33" fillId="32" borderId="462">
      <alignment horizontal="right" vertical="center"/>
    </xf>
    <xf numFmtId="49" fontId="35" fillId="0" borderId="462" applyNumberFormat="0" applyFont="0" applyFill="0" applyBorder="0" applyProtection="0">
      <alignment horizontal="left" vertical="center" indent="2"/>
    </xf>
    <xf numFmtId="173" fontId="35" fillId="60" borderId="471" applyNumberFormat="0" applyFont="0" applyBorder="0" applyAlignment="0" applyProtection="0">
      <alignment horizontal="right" vertical="center"/>
    </xf>
    <xf numFmtId="0" fontId="37" fillId="32" borderId="494">
      <alignment horizontal="right" vertical="center"/>
    </xf>
    <xf numFmtId="0" fontId="66" fillId="0" borderId="469" applyNumberFormat="0" applyFill="0" applyAlignment="0" applyProtection="0"/>
    <xf numFmtId="0" fontId="12" fillId="19" borderId="0" applyNumberFormat="0" applyBorder="0" applyAlignment="0" applyProtection="0"/>
    <xf numFmtId="0" fontId="47" fillId="56" borderId="459" applyNumberFormat="0" applyAlignment="0" applyProtection="0"/>
    <xf numFmtId="0" fontId="46" fillId="56" borderId="459" applyNumberFormat="0" applyAlignment="0" applyProtection="0"/>
    <xf numFmtId="0" fontId="1" fillId="0" borderId="0" applyNumberFormat="0" applyFill="0" applyBorder="0" applyAlignment="0" applyProtection="0"/>
    <xf numFmtId="0" fontId="46" fillId="56" borderId="459" applyNumberFormat="0" applyAlignment="0" applyProtection="0"/>
    <xf numFmtId="0" fontId="33" fillId="34" borderId="462">
      <alignment horizontal="right" vertical="center"/>
    </xf>
    <xf numFmtId="4" fontId="37" fillId="32" borderId="462">
      <alignment horizontal="right" vertical="center"/>
    </xf>
    <xf numFmtId="0" fontId="59" fillId="43" borderId="459" applyNumberFormat="0" applyAlignment="0" applyProtection="0"/>
    <xf numFmtId="4" fontId="37" fillId="32" borderId="471">
      <alignment horizontal="right" vertical="center"/>
    </xf>
    <xf numFmtId="4" fontId="35" fillId="0" borderId="462" applyFill="0" applyBorder="0" applyProtection="0">
      <alignment horizontal="right" vertical="center"/>
    </xf>
    <xf numFmtId="0" fontId="27" fillId="24" borderId="0" applyNumberFormat="0" applyBorder="0" applyAlignment="0" applyProtection="0"/>
    <xf numFmtId="0" fontId="66" fillId="0" borderId="469" applyNumberFormat="0" applyFill="0" applyAlignment="0" applyProtection="0"/>
    <xf numFmtId="0" fontId="12" fillId="28" borderId="0" applyNumberFormat="0" applyBorder="0" applyAlignment="0" applyProtection="0"/>
    <xf numFmtId="0" fontId="33" fillId="34" borderId="494">
      <alignment horizontal="right" vertical="center"/>
    </xf>
    <xf numFmtId="173" fontId="35" fillId="60" borderId="462" applyNumberFormat="0" applyFont="0" applyBorder="0" applyAlignment="0" applyProtection="0">
      <alignment horizontal="right" vertical="center"/>
    </xf>
    <xf numFmtId="4" fontId="33" fillId="34" borderId="495">
      <alignment horizontal="right" vertical="center"/>
    </xf>
    <xf numFmtId="0" fontId="12" fillId="16" borderId="0" applyNumberFormat="0" applyBorder="0" applyAlignment="0" applyProtection="0"/>
    <xf numFmtId="4" fontId="35" fillId="0" borderId="484" applyFill="0" applyBorder="0" applyProtection="0">
      <alignment horizontal="right" vertical="center"/>
    </xf>
    <xf numFmtId="0" fontId="31" fillId="0" borderId="0" applyNumberFormat="0" applyFill="0" applyBorder="0" applyAlignment="0" applyProtection="0"/>
    <xf numFmtId="0" fontId="37" fillId="32" borderId="462">
      <alignment horizontal="right" vertical="center"/>
    </xf>
    <xf numFmtId="4" fontId="35" fillId="0" borderId="471">
      <alignment horizontal="right" vertical="center"/>
    </xf>
    <xf numFmtId="0" fontId="27" fillId="26" borderId="0" applyNumberFormat="0" applyBorder="0" applyAlignment="0" applyProtection="0"/>
    <xf numFmtId="49" fontId="35" fillId="0" borderId="462" applyNumberFormat="0" applyFont="0" applyFill="0" applyBorder="0" applyProtection="0">
      <alignment horizontal="left" vertical="center" indent="2"/>
    </xf>
    <xf numFmtId="49" fontId="35" fillId="0" borderId="462" applyNumberFormat="0" applyFont="0" applyFill="0" applyBorder="0" applyProtection="0">
      <alignment horizontal="left" vertical="center" indent="2"/>
    </xf>
    <xf numFmtId="0" fontId="35" fillId="0" borderId="471">
      <alignment horizontal="right" vertical="center"/>
    </xf>
    <xf numFmtId="0" fontId="35" fillId="0" borderId="479" applyNumberFormat="0" applyFill="0" applyAlignment="0" applyProtection="0"/>
    <xf numFmtId="0" fontId="37" fillId="32" borderId="471">
      <alignment horizontal="right" vertical="center"/>
    </xf>
    <xf numFmtId="0" fontId="35" fillId="0" borderId="462" applyNumberFormat="0" applyFill="0" applyAlignment="0" applyProtection="0"/>
    <xf numFmtId="0" fontId="50" fillId="43" borderId="491" applyNumberFormat="0" applyAlignment="0" applyProtection="0"/>
    <xf numFmtId="0" fontId="59" fillId="43" borderId="468" applyNumberFormat="0" applyAlignment="0" applyProtection="0"/>
    <xf numFmtId="49" fontId="35" fillId="0" borderId="463" applyNumberFormat="0" applyFont="0" applyFill="0" applyBorder="0" applyProtection="0">
      <alignment horizontal="left" vertical="center" indent="5"/>
    </xf>
    <xf numFmtId="0" fontId="47" fillId="56" borderId="459" applyNumberFormat="0" applyAlignment="0" applyProtection="0"/>
    <xf numFmtId="0" fontId="47" fillId="56" borderId="468" applyNumberFormat="0" applyAlignment="0" applyProtection="0"/>
    <xf numFmtId="0" fontId="33" fillId="34" borderId="463">
      <alignment horizontal="right" vertical="center"/>
    </xf>
    <xf numFmtId="4" fontId="37" fillId="32" borderId="471">
      <alignment horizontal="right" vertical="center"/>
    </xf>
    <xf numFmtId="49" fontId="34" fillId="0" borderId="462" applyNumberFormat="0" applyFill="0" applyBorder="0" applyProtection="0">
      <alignment horizontal="left" vertical="center"/>
    </xf>
    <xf numFmtId="4" fontId="33" fillId="32" borderId="462">
      <alignment horizontal="right" vertical="center"/>
    </xf>
    <xf numFmtId="0" fontId="47" fillId="56" borderId="491" applyNumberFormat="0" applyAlignment="0" applyProtection="0"/>
    <xf numFmtId="0" fontId="12" fillId="16" borderId="0" applyNumberFormat="0" applyBorder="0" applyAlignment="0" applyProtection="0"/>
    <xf numFmtId="173" fontId="35" fillId="60" borderId="471" applyNumberFormat="0" applyFont="0" applyBorder="0" applyAlignment="0" applyProtection="0">
      <alignment horizontal="right" vertical="center"/>
    </xf>
    <xf numFmtId="0" fontId="47" fillId="56" borderId="468" applyNumberFormat="0" applyAlignment="0" applyProtection="0"/>
    <xf numFmtId="0" fontId="33" fillId="34" borderId="462">
      <alignment horizontal="right" vertical="center"/>
    </xf>
    <xf numFmtId="4" fontId="35" fillId="0" borderId="462">
      <alignment horizontal="right" vertical="center"/>
    </xf>
    <xf numFmtId="0" fontId="35" fillId="0" borderId="462" applyNumberFormat="0" applyFill="0" applyAlignment="0" applyProtection="0"/>
    <xf numFmtId="49" fontId="35" fillId="0" borderId="471" applyNumberFormat="0" applyFont="0" applyFill="0" applyBorder="0" applyProtection="0">
      <alignment horizontal="left" vertical="center" indent="2"/>
    </xf>
    <xf numFmtId="0" fontId="5" fillId="59" borderId="461" applyNumberFormat="0" applyFont="0" applyAlignment="0" applyProtection="0"/>
    <xf numFmtId="0" fontId="51" fillId="0" borderId="469" applyNumberFormat="0" applyFill="0" applyAlignment="0" applyProtection="0"/>
    <xf numFmtId="0" fontId="27" fillId="18" borderId="0" applyNumberFormat="0" applyBorder="0" applyAlignment="0" applyProtection="0"/>
    <xf numFmtId="0" fontId="41" fillId="59" borderId="470" applyNumberFormat="0" applyFont="0" applyAlignment="0" applyProtection="0"/>
    <xf numFmtId="0" fontId="33" fillId="34" borderId="462">
      <alignment horizontal="right" vertical="center"/>
    </xf>
    <xf numFmtId="4" fontId="33" fillId="34" borderId="462">
      <alignment horizontal="right" vertical="center"/>
    </xf>
    <xf numFmtId="0" fontId="2" fillId="0" borderId="15" applyNumberFormat="0" applyFill="0" applyAlignment="0" applyProtection="0"/>
    <xf numFmtId="0" fontId="35" fillId="0" borderId="494" applyNumberFormat="0" applyFill="0" applyAlignment="0" applyProtection="0"/>
    <xf numFmtId="0" fontId="47" fillId="56" borderId="468" applyNumberFormat="0" applyAlignment="0" applyProtection="0"/>
    <xf numFmtId="4" fontId="35" fillId="0" borderId="494" applyFill="0" applyBorder="0" applyProtection="0">
      <alignment horizontal="right" vertical="center"/>
    </xf>
    <xf numFmtId="0" fontId="33" fillId="34" borderId="495">
      <alignment horizontal="right" vertical="center"/>
    </xf>
    <xf numFmtId="0" fontId="27" fillId="21" borderId="0" applyNumberFormat="0" applyBorder="0" applyAlignment="0" applyProtection="0"/>
    <xf numFmtId="0" fontId="27" fillId="20" borderId="0" applyNumberFormat="0" applyBorder="0" applyAlignment="0" applyProtection="0"/>
    <xf numFmtId="0" fontId="33" fillId="32" borderId="462">
      <alignment horizontal="right" vertical="center"/>
    </xf>
    <xf numFmtId="0" fontId="12" fillId="25" borderId="0" applyNumberFormat="0" applyBorder="0" applyAlignment="0" applyProtection="0"/>
    <xf numFmtId="0" fontId="35" fillId="0" borderId="462">
      <alignment horizontal="right" vertical="center"/>
    </xf>
    <xf numFmtId="4" fontId="33" fillId="34" borderId="464">
      <alignment horizontal="right" vertical="center"/>
    </xf>
    <xf numFmtId="49" fontId="34" fillId="0" borderId="462" applyNumberFormat="0" applyFill="0" applyBorder="0" applyProtection="0">
      <alignment horizontal="left" vertical="center"/>
    </xf>
    <xf numFmtId="0" fontId="35" fillId="0" borderId="465">
      <alignment horizontal="left" vertical="center" wrapText="1" indent="2"/>
    </xf>
    <xf numFmtId="49" fontId="34" fillId="0" borderId="462" applyNumberFormat="0" applyFill="0" applyBorder="0" applyProtection="0">
      <alignment horizontal="left" vertical="center"/>
    </xf>
    <xf numFmtId="0" fontId="66" fillId="0" borderId="469" applyNumberFormat="0" applyFill="0" applyAlignment="0" applyProtection="0"/>
    <xf numFmtId="4" fontId="33" fillId="34" borderId="472">
      <alignment horizontal="right" vertical="center"/>
    </xf>
    <xf numFmtId="0" fontId="37" fillId="32" borderId="494">
      <alignment horizontal="right" vertical="center"/>
    </xf>
    <xf numFmtId="0" fontId="27" fillId="17" borderId="0" applyNumberFormat="0" applyBorder="0" applyAlignment="0" applyProtection="0"/>
    <xf numFmtId="0" fontId="47" fillId="56" borderId="459" applyNumberFormat="0" applyAlignment="0" applyProtection="0"/>
    <xf numFmtId="0" fontId="31" fillId="0" borderId="0" applyNumberFormat="0" applyFill="0" applyBorder="0" applyAlignment="0" applyProtection="0"/>
    <xf numFmtId="173" fontId="35" fillId="60" borderId="494" applyNumberFormat="0" applyFont="0" applyBorder="0" applyAlignment="0" applyProtection="0">
      <alignment horizontal="right" vertical="center"/>
    </xf>
    <xf numFmtId="49" fontId="34" fillId="0" borderId="479" applyNumberFormat="0" applyFill="0" applyBorder="0" applyProtection="0">
      <alignment horizontal="left" vertical="center"/>
    </xf>
    <xf numFmtId="0" fontId="27" fillId="27" borderId="0" applyNumberFormat="0" applyBorder="0" applyAlignment="0" applyProtection="0"/>
    <xf numFmtId="4" fontId="35" fillId="0" borderId="494">
      <alignment horizontal="right" vertical="center"/>
    </xf>
    <xf numFmtId="0" fontId="35" fillId="0" borderId="462">
      <alignment horizontal="right" vertical="center"/>
    </xf>
    <xf numFmtId="173" fontId="35" fillId="60" borderId="471" applyNumberFormat="0" applyFont="0" applyBorder="0" applyAlignment="0" applyProtection="0">
      <alignment horizontal="right" vertical="center"/>
    </xf>
    <xf numFmtId="0" fontId="63" fillId="56" borderId="467" applyNumberFormat="0" applyAlignment="0" applyProtection="0"/>
    <xf numFmtId="0" fontId="47" fillId="56" borderId="468" applyNumberFormat="0" applyAlignment="0" applyProtection="0"/>
    <xf numFmtId="4" fontId="33" fillId="34" borderId="471">
      <alignment horizontal="right" vertical="center"/>
    </xf>
    <xf numFmtId="49" fontId="35" fillId="0" borderId="463" applyNumberFormat="0" applyFont="0" applyFill="0" applyBorder="0" applyProtection="0">
      <alignment horizontal="left" vertical="center" indent="5"/>
    </xf>
    <xf numFmtId="0" fontId="33" fillId="34" borderId="471">
      <alignment horizontal="right" vertical="center"/>
    </xf>
    <xf numFmtId="0" fontId="35" fillId="0" borderId="471" applyNumberFormat="0" applyFill="0" applyAlignment="0" applyProtection="0"/>
    <xf numFmtId="0" fontId="33" fillId="34" borderId="494">
      <alignment horizontal="right" vertical="center"/>
    </xf>
    <xf numFmtId="4" fontId="35" fillId="0" borderId="471">
      <alignment horizontal="right" vertical="center"/>
    </xf>
    <xf numFmtId="0" fontId="35" fillId="0" borderId="465">
      <alignment horizontal="left" vertical="center" wrapText="1" indent="2"/>
    </xf>
    <xf numFmtId="0" fontId="35" fillId="0" borderId="465">
      <alignment horizontal="left" vertical="center" wrapText="1" indent="2"/>
    </xf>
    <xf numFmtId="0" fontId="35" fillId="0" borderId="482">
      <alignment horizontal="left" vertical="center" wrapText="1" indent="2"/>
    </xf>
    <xf numFmtId="0" fontId="59" fillId="43" borderId="468" applyNumberFormat="0" applyAlignment="0" applyProtection="0"/>
    <xf numFmtId="0" fontId="41" fillId="59" borderId="461" applyNumberFormat="0" applyFont="0" applyAlignment="0" applyProtection="0"/>
    <xf numFmtId="0" fontId="51" fillId="0" borderId="469" applyNumberFormat="0" applyFill="0" applyAlignment="0" applyProtection="0"/>
    <xf numFmtId="4" fontId="35" fillId="33" borderId="494"/>
    <xf numFmtId="0" fontId="27" fillId="29" borderId="0" applyNumberFormat="0" applyBorder="0" applyAlignment="0" applyProtection="0"/>
    <xf numFmtId="0" fontId="63" fillId="56" borderId="467" applyNumberFormat="0" applyAlignment="0" applyProtection="0"/>
    <xf numFmtId="0" fontId="27" fillId="27" borderId="0" applyNumberFormat="0" applyBorder="0" applyAlignment="0" applyProtection="0"/>
    <xf numFmtId="49" fontId="34" fillId="0" borderId="471" applyNumberFormat="0" applyFill="0" applyBorder="0" applyProtection="0">
      <alignment horizontal="left" vertical="center"/>
    </xf>
    <xf numFmtId="0" fontId="33" fillId="32" borderId="462">
      <alignment horizontal="right" vertical="center"/>
    </xf>
    <xf numFmtId="0" fontId="51" fillId="0" borderId="460" applyNumberFormat="0" applyFill="0" applyAlignment="0" applyProtection="0"/>
    <xf numFmtId="0" fontId="35" fillId="0" borderId="462" applyNumberFormat="0" applyFill="0" applyAlignment="0" applyProtection="0"/>
    <xf numFmtId="0" fontId="51" fillId="0" borderId="460" applyNumberFormat="0" applyFill="0" applyAlignment="0" applyProtection="0"/>
    <xf numFmtId="4" fontId="35" fillId="0" borderId="462" applyFill="0" applyBorder="0" applyProtection="0">
      <alignment horizontal="right" vertical="center"/>
    </xf>
    <xf numFmtId="49" fontId="35" fillId="0" borderId="463" applyNumberFormat="0" applyFont="0" applyFill="0" applyBorder="0" applyProtection="0">
      <alignment horizontal="left" vertical="center" indent="5"/>
    </xf>
    <xf numFmtId="0" fontId="35" fillId="0" borderId="462" applyNumberFormat="0" applyFill="0" applyAlignment="0" applyProtection="0"/>
    <xf numFmtId="0" fontId="59" fillId="43" borderId="459" applyNumberFormat="0" applyAlignment="0" applyProtection="0"/>
    <xf numFmtId="0" fontId="35" fillId="0" borderId="462" applyNumberFormat="0" applyFill="0" applyAlignment="0" applyProtection="0"/>
    <xf numFmtId="0" fontId="66" fillId="0" borderId="477" applyNumberFormat="0" applyFill="0" applyAlignment="0" applyProtection="0"/>
    <xf numFmtId="4" fontId="33" fillId="34" borderId="462">
      <alignment horizontal="right" vertical="center"/>
    </xf>
    <xf numFmtId="4" fontId="37" fillId="32" borderId="471">
      <alignment horizontal="right" vertical="center"/>
    </xf>
    <xf numFmtId="4" fontId="33" fillId="34" borderId="471">
      <alignment horizontal="right" vertical="center"/>
    </xf>
    <xf numFmtId="0" fontId="27" fillId="18" borderId="0" applyNumberFormat="0" applyBorder="0" applyAlignment="0" applyProtection="0"/>
    <xf numFmtId="0" fontId="50" fillId="43" borderId="459" applyNumberFormat="0" applyAlignment="0" applyProtection="0"/>
    <xf numFmtId="0" fontId="47" fillId="56" borderId="459" applyNumberFormat="0" applyAlignment="0" applyProtection="0"/>
    <xf numFmtId="4" fontId="35" fillId="0" borderId="462">
      <alignment horizontal="right" vertical="center"/>
    </xf>
    <xf numFmtId="0" fontId="35" fillId="34" borderId="465">
      <alignment horizontal="left" vertical="center" wrapText="1" indent="2"/>
    </xf>
    <xf numFmtId="0" fontId="35" fillId="0" borderId="465">
      <alignment horizontal="left" vertical="center" wrapText="1" indent="2"/>
    </xf>
    <xf numFmtId="0" fontId="63" fillId="56" borderId="466" applyNumberFormat="0" applyAlignment="0" applyProtection="0"/>
    <xf numFmtId="0" fontId="59" fillId="43" borderId="459" applyNumberFormat="0" applyAlignment="0" applyProtection="0"/>
    <xf numFmtId="0" fontId="46" fillId="56" borderId="459" applyNumberFormat="0" applyAlignment="0" applyProtection="0"/>
    <xf numFmtId="0" fontId="44" fillId="56" borderId="466" applyNumberFormat="0" applyAlignment="0" applyProtection="0"/>
    <xf numFmtId="0" fontId="33" fillId="34" borderId="464">
      <alignment horizontal="right" vertical="center"/>
    </xf>
    <xf numFmtId="0" fontId="37" fillId="32" borderId="462">
      <alignment horizontal="right" vertical="center"/>
    </xf>
    <xf numFmtId="4" fontId="33" fillId="32" borderId="462">
      <alignment horizontal="right" vertical="center"/>
    </xf>
    <xf numFmtId="4" fontId="33" fillId="34" borderId="462">
      <alignment horizontal="right" vertical="center"/>
    </xf>
    <xf numFmtId="49" fontId="35" fillId="0" borderId="463" applyNumberFormat="0" applyFont="0" applyFill="0" applyBorder="0" applyProtection="0">
      <alignment horizontal="left" vertical="center" indent="5"/>
    </xf>
    <xf numFmtId="4" fontId="35" fillId="0" borderId="462" applyFill="0" applyBorder="0" applyProtection="0">
      <alignment horizontal="right" vertical="center"/>
    </xf>
    <xf numFmtId="4" fontId="33" fillId="32" borderId="462">
      <alignment horizontal="right" vertical="center"/>
    </xf>
    <xf numFmtId="0" fontId="59" fillId="43" borderId="459" applyNumberFormat="0" applyAlignment="0" applyProtection="0"/>
    <xf numFmtId="0" fontId="50" fillId="43" borderId="459" applyNumberFormat="0" applyAlignment="0" applyProtection="0"/>
    <xf numFmtId="0" fontId="46" fillId="56" borderId="459" applyNumberFormat="0" applyAlignment="0" applyProtection="0"/>
    <xf numFmtId="0" fontId="35" fillId="34" borderId="465">
      <alignment horizontal="left" vertical="center" wrapText="1" indent="2"/>
    </xf>
    <xf numFmtId="0" fontId="35" fillId="0" borderId="465">
      <alignment horizontal="left" vertical="center" wrapText="1" indent="2"/>
    </xf>
    <xf numFmtId="0" fontId="35" fillId="34" borderId="465">
      <alignment horizontal="left" vertical="center" wrapText="1" indent="2"/>
    </xf>
    <xf numFmtId="0" fontId="51" fillId="0" borderId="469" applyNumberFormat="0" applyFill="0" applyAlignment="0" applyProtection="0"/>
    <xf numFmtId="0" fontId="63" fillId="56" borderId="467" applyNumberFormat="0" applyAlignment="0" applyProtection="0"/>
    <xf numFmtId="0" fontId="35" fillId="33" borderId="471"/>
    <xf numFmtId="0" fontId="33" fillId="32" borderId="471">
      <alignment horizontal="right" vertical="center"/>
    </xf>
    <xf numFmtId="0" fontId="27" fillId="18" borderId="0" applyNumberFormat="0" applyBorder="0" applyAlignment="0" applyProtection="0"/>
    <xf numFmtId="0" fontId="41" fillId="59" borderId="470" applyNumberFormat="0" applyFont="0" applyAlignment="0" applyProtection="0"/>
    <xf numFmtId="4" fontId="35" fillId="0" borderId="494">
      <alignment horizontal="right" vertical="center"/>
    </xf>
    <xf numFmtId="4" fontId="33" fillId="34" borderId="495">
      <alignment horizontal="right" vertical="center"/>
    </xf>
    <xf numFmtId="49" fontId="35" fillId="0" borderId="485" applyNumberFormat="0" applyFont="0" applyFill="0" applyBorder="0" applyProtection="0">
      <alignment horizontal="left" vertical="center" indent="5"/>
    </xf>
    <xf numFmtId="49" fontId="35" fillId="0" borderId="471" applyNumberFormat="0" applyFont="0" applyFill="0" applyBorder="0" applyProtection="0">
      <alignment horizontal="left" vertical="center" indent="2"/>
    </xf>
    <xf numFmtId="0" fontId="33" fillId="34" borderId="471">
      <alignment horizontal="right" vertical="center"/>
    </xf>
    <xf numFmtId="0" fontId="33" fillId="34" borderId="495">
      <alignment horizontal="right" vertical="center"/>
    </xf>
    <xf numFmtId="0" fontId="66" fillId="0" borderId="469" applyNumberFormat="0" applyFill="0" applyAlignment="0" applyProtection="0"/>
    <xf numFmtId="49" fontId="35" fillId="0" borderId="494" applyNumberFormat="0" applyFont="0" applyFill="0" applyBorder="0" applyProtection="0">
      <alignment horizontal="left" vertical="center" indent="2"/>
    </xf>
    <xf numFmtId="0" fontId="35" fillId="32" borderId="472">
      <alignment horizontal="left" vertical="center"/>
    </xf>
    <xf numFmtId="0" fontId="46" fillId="56" borderId="468" applyNumberFormat="0" applyAlignment="0" applyProtection="0"/>
    <xf numFmtId="0" fontId="35" fillId="33" borderId="494"/>
    <xf numFmtId="0" fontId="35" fillId="0" borderId="474">
      <alignment horizontal="left" vertical="center" wrapText="1" indent="2"/>
    </xf>
    <xf numFmtId="4" fontId="33" fillId="32" borderId="471">
      <alignment horizontal="right" vertical="center"/>
    </xf>
    <xf numFmtId="0" fontId="33" fillId="34" borderId="494">
      <alignment horizontal="right" vertical="center"/>
    </xf>
    <xf numFmtId="4" fontId="33" fillId="34" borderId="471">
      <alignment horizontal="right" vertical="center"/>
    </xf>
    <xf numFmtId="0" fontId="66" fillId="0" borderId="469" applyNumberFormat="0" applyFill="0" applyAlignment="0" applyProtection="0"/>
    <xf numFmtId="4" fontId="33" fillId="34" borderId="471">
      <alignment horizontal="right" vertical="center"/>
    </xf>
    <xf numFmtId="0" fontId="30" fillId="13" borderId="13" applyNumberFormat="0" applyAlignment="0" applyProtection="0"/>
    <xf numFmtId="0" fontId="12" fillId="19" borderId="0" applyNumberFormat="0" applyBorder="0" applyAlignment="0" applyProtection="0"/>
    <xf numFmtId="0" fontId="59" fillId="43" borderId="468" applyNumberFormat="0" applyAlignment="0" applyProtection="0"/>
    <xf numFmtId="0" fontId="12" fillId="16" borderId="0" applyNumberFormat="0" applyBorder="0" applyAlignment="0" applyProtection="0"/>
    <xf numFmtId="4" fontId="35" fillId="0" borderId="494">
      <alignment horizontal="right" vertical="center"/>
    </xf>
    <xf numFmtId="0" fontId="27" fillId="27" borderId="0" applyNumberFormat="0" applyBorder="0" applyAlignment="0" applyProtection="0"/>
    <xf numFmtId="0" fontId="12" fillId="22" borderId="0" applyNumberFormat="0" applyBorder="0" applyAlignment="0" applyProtection="0"/>
    <xf numFmtId="0" fontId="66" fillId="0" borderId="469" applyNumberFormat="0" applyFill="0" applyAlignment="0" applyProtection="0"/>
    <xf numFmtId="0" fontId="59" fillId="43" borderId="491" applyNumberFormat="0" applyAlignment="0" applyProtection="0"/>
    <xf numFmtId="0" fontId="35" fillId="33" borderId="479"/>
    <xf numFmtId="0" fontId="33" fillId="32" borderId="471">
      <alignment horizontal="right" vertical="center"/>
    </xf>
    <xf numFmtId="0" fontId="35" fillId="32" borderId="472">
      <alignment horizontal="left" vertical="center"/>
    </xf>
    <xf numFmtId="0" fontId="27" fillId="14" borderId="0" applyNumberFormat="0" applyBorder="0" applyAlignment="0" applyProtection="0"/>
    <xf numFmtId="0" fontId="27" fillId="18" borderId="0" applyNumberFormat="0" applyBorder="0" applyAlignment="0" applyProtection="0"/>
    <xf numFmtId="4" fontId="33" fillId="34" borderId="471">
      <alignment horizontal="right" vertical="center"/>
    </xf>
    <xf numFmtId="4" fontId="33" fillId="34" borderId="473">
      <alignment horizontal="right" vertical="center"/>
    </xf>
    <xf numFmtId="0" fontId="37" fillId="32" borderId="471">
      <alignment horizontal="right" vertical="center"/>
    </xf>
    <xf numFmtId="0" fontId="66" fillId="0" borderId="469" applyNumberFormat="0" applyFill="0" applyAlignment="0" applyProtection="0"/>
    <xf numFmtId="4" fontId="35" fillId="0" borderId="471" applyFill="0" applyBorder="0" applyProtection="0">
      <alignment horizontal="right" vertical="center"/>
    </xf>
    <xf numFmtId="0" fontId="35" fillId="0" borderId="494">
      <alignment horizontal="right" vertical="center"/>
    </xf>
    <xf numFmtId="0" fontId="63" fillId="56" borderId="467" applyNumberFormat="0" applyAlignment="0" applyProtection="0"/>
    <xf numFmtId="0" fontId="33" fillId="34" borderId="494">
      <alignment horizontal="right" vertical="center"/>
    </xf>
    <xf numFmtId="4" fontId="35" fillId="33" borderId="471"/>
    <xf numFmtId="0" fontId="31" fillId="0" borderId="0" applyNumberFormat="0" applyFill="0" applyBorder="0" applyAlignment="0" applyProtection="0"/>
    <xf numFmtId="49" fontId="35" fillId="0" borderId="471" applyNumberFormat="0" applyFont="0" applyFill="0" applyBorder="0" applyProtection="0">
      <alignment horizontal="left" vertical="center" indent="2"/>
    </xf>
    <xf numFmtId="0" fontId="59" fillId="43" borderId="468" applyNumberFormat="0" applyAlignment="0" applyProtection="0"/>
    <xf numFmtId="0" fontId="30" fillId="13" borderId="13" applyNumberFormat="0" applyAlignment="0" applyProtection="0"/>
    <xf numFmtId="0" fontId="35" fillId="0" borderId="471">
      <alignment horizontal="right" vertical="center"/>
    </xf>
    <xf numFmtId="0" fontId="2" fillId="0" borderId="15" applyNumberFormat="0" applyFill="0" applyAlignment="0" applyProtection="0"/>
    <xf numFmtId="0" fontId="35" fillId="0" borderId="494" applyNumberFormat="0" applyFill="0" applyAlignment="0" applyProtection="0"/>
    <xf numFmtId="0" fontId="31" fillId="0" borderId="0" applyNumberFormat="0" applyFill="0" applyBorder="0" applyAlignment="0" applyProtection="0"/>
    <xf numFmtId="4" fontId="33" fillId="34" borderId="473">
      <alignment horizontal="right" vertical="center"/>
    </xf>
    <xf numFmtId="0" fontId="12" fillId="25" borderId="0" applyNumberFormat="0" applyBorder="0" applyAlignment="0" applyProtection="0"/>
    <xf numFmtId="0" fontId="35" fillId="32" borderId="472">
      <alignment horizontal="left" vertical="center"/>
    </xf>
    <xf numFmtId="0" fontId="50" fillId="43" borderId="491" applyNumberFormat="0" applyAlignment="0" applyProtection="0"/>
    <xf numFmtId="4" fontId="33" fillId="34" borderId="495">
      <alignment horizontal="right" vertical="center"/>
    </xf>
    <xf numFmtId="0" fontId="33" fillId="34" borderId="472">
      <alignment horizontal="right" vertical="center"/>
    </xf>
    <xf numFmtId="0" fontId="47" fillId="56" borderId="476" applyNumberFormat="0" applyAlignment="0" applyProtection="0"/>
    <xf numFmtId="0" fontId="35" fillId="0" borderId="474">
      <alignment horizontal="left" vertical="center" wrapText="1" indent="2"/>
    </xf>
    <xf numFmtId="0" fontId="59" fillId="43" borderId="491" applyNumberFormat="0" applyAlignment="0" applyProtection="0"/>
    <xf numFmtId="4" fontId="33" fillId="34" borderId="496">
      <alignment horizontal="right" vertical="center"/>
    </xf>
    <xf numFmtId="0" fontId="35" fillId="32" borderId="495">
      <alignment horizontal="left" vertical="center"/>
    </xf>
    <xf numFmtId="0" fontId="33" fillId="34" borderId="472">
      <alignment horizontal="right" vertical="center"/>
    </xf>
    <xf numFmtId="0" fontId="35" fillId="34" borderId="474">
      <alignment horizontal="left" vertical="center" wrapText="1" indent="2"/>
    </xf>
    <xf numFmtId="0" fontId="66" fillId="0" borderId="492" applyNumberFormat="0" applyFill="0" applyAlignment="0" applyProtection="0"/>
    <xf numFmtId="0" fontId="33" fillId="32" borderId="471">
      <alignment horizontal="right" vertical="center"/>
    </xf>
    <xf numFmtId="49" fontId="35" fillId="0" borderId="484" applyNumberFormat="0" applyFont="0" applyFill="0" applyBorder="0" applyProtection="0">
      <alignment horizontal="left" vertical="center" indent="2"/>
    </xf>
    <xf numFmtId="0" fontId="47" fillId="56" borderId="468" applyNumberFormat="0" applyAlignment="0" applyProtection="0"/>
    <xf numFmtId="0" fontId="27" fillId="14" borderId="0" applyNumberFormat="0" applyBorder="0" applyAlignment="0" applyProtection="0"/>
    <xf numFmtId="0" fontId="12" fillId="22" borderId="0" applyNumberFormat="0" applyBorder="0" applyAlignment="0" applyProtection="0"/>
    <xf numFmtId="0" fontId="63" fillId="56" borderId="498" applyNumberFormat="0" applyAlignment="0" applyProtection="0"/>
    <xf numFmtId="0" fontId="35" fillId="0" borderId="487">
      <alignment horizontal="left" vertical="center" wrapText="1" indent="2"/>
    </xf>
    <xf numFmtId="0" fontId="27" fillId="17" borderId="0" applyNumberFormat="0" applyBorder="0" applyAlignment="0" applyProtection="0"/>
    <xf numFmtId="0" fontId="59" fillId="43" borderId="468" applyNumberFormat="0" applyAlignment="0" applyProtection="0"/>
    <xf numFmtId="0" fontId="27" fillId="21" borderId="0" applyNumberFormat="0" applyBorder="0" applyAlignment="0" applyProtection="0"/>
    <xf numFmtId="4" fontId="35" fillId="0" borderId="471">
      <alignment horizontal="right" vertical="center"/>
    </xf>
    <xf numFmtId="0" fontId="35" fillId="0" borderId="471" applyNumberFormat="0" applyFill="0" applyAlignment="0" applyProtection="0"/>
    <xf numFmtId="4" fontId="33" fillId="34" borderId="494">
      <alignment horizontal="right" vertical="center"/>
    </xf>
    <xf numFmtId="0" fontId="35" fillId="0" borderId="474">
      <alignment horizontal="left" vertical="center" wrapText="1" indent="2"/>
    </xf>
    <xf numFmtId="0" fontId="66" fillId="0" borderId="469" applyNumberFormat="0" applyFill="0" applyAlignment="0" applyProtection="0"/>
    <xf numFmtId="0" fontId="51" fillId="0" borderId="469" applyNumberFormat="0" applyFill="0" applyAlignment="0" applyProtection="0"/>
    <xf numFmtId="49" fontId="34" fillId="0" borderId="471" applyNumberFormat="0" applyFill="0" applyBorder="0" applyProtection="0">
      <alignment horizontal="left" vertical="center"/>
    </xf>
    <xf numFmtId="0" fontId="66" fillId="0" borderId="469" applyNumberFormat="0" applyFill="0" applyAlignment="0" applyProtection="0"/>
    <xf numFmtId="0" fontId="35" fillId="33" borderId="471"/>
    <xf numFmtId="0" fontId="35" fillId="34" borderId="482">
      <alignment horizontal="left" vertical="center" wrapText="1" indent="2"/>
    </xf>
    <xf numFmtId="0" fontId="33" fillId="34" borderId="471">
      <alignment horizontal="right" vertical="center"/>
    </xf>
    <xf numFmtId="0" fontId="27" fillId="29" borderId="0" applyNumberFormat="0" applyBorder="0" applyAlignment="0" applyProtection="0"/>
    <xf numFmtId="0" fontId="27" fillId="26" borderId="0" applyNumberFormat="0" applyBorder="0" applyAlignment="0" applyProtection="0"/>
    <xf numFmtId="0" fontId="12" fillId="22" borderId="0" applyNumberFormat="0" applyBorder="0" applyAlignment="0" applyProtection="0"/>
    <xf numFmtId="0" fontId="33" fillId="34" borderId="472">
      <alignment horizontal="right" vertical="center"/>
    </xf>
    <xf numFmtId="4" fontId="35" fillId="0" borderId="471" applyFill="0" applyBorder="0" applyProtection="0">
      <alignment horizontal="right" vertical="center"/>
    </xf>
    <xf numFmtId="4" fontId="33" fillId="34" borderId="473">
      <alignment horizontal="right" vertical="center"/>
    </xf>
    <xf numFmtId="0" fontId="35" fillId="34" borderId="497">
      <alignment horizontal="left" vertical="center" wrapText="1" indent="2"/>
    </xf>
    <xf numFmtId="4" fontId="33" fillId="34" borderId="473">
      <alignment horizontal="right" vertical="center"/>
    </xf>
    <xf numFmtId="49" fontId="34" fillId="0" borderId="484" applyNumberFormat="0" applyFill="0" applyBorder="0" applyProtection="0">
      <alignment horizontal="left" vertical="center"/>
    </xf>
    <xf numFmtId="0" fontId="59" fillId="43" borderId="491" applyNumberFormat="0" applyAlignment="0" applyProtection="0"/>
    <xf numFmtId="0" fontId="31" fillId="0" borderId="0" applyNumberFormat="0" applyFill="0" applyBorder="0" applyAlignment="0" applyProtection="0"/>
    <xf numFmtId="4" fontId="33" fillId="32" borderId="471">
      <alignment horizontal="right" vertical="center"/>
    </xf>
    <xf numFmtId="0" fontId="63" fillId="56" borderId="475" applyNumberFormat="0" applyAlignment="0" applyProtection="0"/>
    <xf numFmtId="0" fontId="27" fillId="24" borderId="0" applyNumberFormat="0" applyBorder="0" applyAlignment="0" applyProtection="0"/>
    <xf numFmtId="0" fontId="51" fillId="0" borderId="469" applyNumberFormat="0" applyFill="0" applyAlignment="0" applyProtection="0"/>
    <xf numFmtId="0" fontId="12" fillId="25" borderId="0" applyNumberFormat="0" applyBorder="0" applyAlignment="0" applyProtection="0"/>
    <xf numFmtId="0" fontId="66" fillId="0" borderId="492" applyNumberFormat="0" applyFill="0" applyAlignment="0" applyProtection="0"/>
    <xf numFmtId="0" fontId="47" fillId="56" borderId="468" applyNumberFormat="0" applyAlignment="0" applyProtection="0"/>
    <xf numFmtId="4" fontId="35" fillId="0" borderId="471">
      <alignment horizontal="right" vertical="center"/>
    </xf>
    <xf numFmtId="0" fontId="27" fillId="14" borderId="0" applyNumberFormat="0" applyBorder="0" applyAlignment="0" applyProtection="0"/>
    <xf numFmtId="0" fontId="41" fillId="59" borderId="470" applyNumberFormat="0" applyFont="0" applyAlignment="0" applyProtection="0"/>
    <xf numFmtId="0" fontId="12" fillId="22" borderId="0" applyNumberFormat="0" applyBorder="0" applyAlignment="0" applyProtection="0"/>
    <xf numFmtId="4" fontId="33" fillId="34" borderId="471">
      <alignment horizontal="right" vertical="center"/>
    </xf>
    <xf numFmtId="4" fontId="33" fillId="34" borderId="494">
      <alignment horizontal="right" vertical="center"/>
    </xf>
    <xf numFmtId="0" fontId="27" fillId="29" borderId="0" applyNumberFormat="0" applyBorder="0" applyAlignment="0" applyProtection="0"/>
    <xf numFmtId="0" fontId="1" fillId="0" borderId="0" applyNumberFormat="0" applyFill="0" applyBorder="0" applyAlignment="0" applyProtection="0"/>
    <xf numFmtId="0" fontId="27" fillId="15" borderId="0" applyNumberFormat="0" applyBorder="0" applyAlignment="0" applyProtection="0"/>
    <xf numFmtId="4" fontId="37" fillId="32" borderId="494">
      <alignment horizontal="right" vertical="center"/>
    </xf>
    <xf numFmtId="4" fontId="37" fillId="32" borderId="494">
      <alignment horizontal="right" vertical="center"/>
    </xf>
    <xf numFmtId="0" fontId="33" fillId="34" borderId="486">
      <alignment horizontal="right" vertical="center"/>
    </xf>
    <xf numFmtId="0" fontId="66" fillId="0" borderId="492" applyNumberFormat="0" applyFill="0" applyAlignment="0" applyProtection="0"/>
    <xf numFmtId="4" fontId="33" fillId="34" borderId="479">
      <alignment horizontal="right" vertical="center"/>
    </xf>
    <xf numFmtId="0" fontId="27" fillId="15" borderId="0" applyNumberFormat="0" applyBorder="0" applyAlignment="0" applyProtection="0"/>
    <xf numFmtId="49" fontId="35" fillId="0" borderId="480" applyNumberFormat="0" applyFont="0" applyFill="0" applyBorder="0" applyProtection="0">
      <alignment horizontal="left" vertical="center" indent="5"/>
    </xf>
    <xf numFmtId="0" fontId="12" fillId="16" borderId="0" applyNumberFormat="0" applyBorder="0" applyAlignment="0" applyProtection="0"/>
    <xf numFmtId="173" fontId="35" fillId="60" borderId="471" applyNumberFormat="0" applyFont="0" applyBorder="0" applyAlignment="0" applyProtection="0">
      <alignment horizontal="right" vertical="center"/>
    </xf>
    <xf numFmtId="0" fontId="33" fillId="32" borderId="494">
      <alignment horizontal="right" vertical="center"/>
    </xf>
    <xf numFmtId="4" fontId="37" fillId="32" borderId="494">
      <alignment horizontal="right" vertical="center"/>
    </xf>
    <xf numFmtId="0" fontId="46" fillId="56" borderId="476" applyNumberFormat="0" applyAlignment="0" applyProtection="0"/>
    <xf numFmtId="4" fontId="33" fillId="34" borderId="494">
      <alignment horizontal="right" vertical="center"/>
    </xf>
    <xf numFmtId="49" fontId="35" fillId="0" borderId="472" applyNumberFormat="0" applyFont="0" applyFill="0" applyBorder="0" applyProtection="0">
      <alignment horizontal="left" vertical="center" indent="5"/>
    </xf>
    <xf numFmtId="0" fontId="27" fillId="29" borderId="0" applyNumberFormat="0" applyBorder="0" applyAlignment="0" applyProtection="0"/>
    <xf numFmtId="0" fontId="35" fillId="32" borderId="472">
      <alignment horizontal="left" vertical="center"/>
    </xf>
    <xf numFmtId="49" fontId="35" fillId="0" borderId="471" applyNumberFormat="0" applyFont="0" applyFill="0" applyBorder="0" applyProtection="0">
      <alignment horizontal="left" vertical="center" indent="2"/>
    </xf>
    <xf numFmtId="49" fontId="35" fillId="0" borderId="495" applyNumberFormat="0" applyFont="0" applyFill="0" applyBorder="0" applyProtection="0">
      <alignment horizontal="left" vertical="center" indent="5"/>
    </xf>
    <xf numFmtId="0" fontId="66" fillId="0" borderId="469" applyNumberFormat="0" applyFill="0" applyAlignment="0" applyProtection="0"/>
    <xf numFmtId="0" fontId="47" fillId="56" borderId="468" applyNumberFormat="0" applyAlignment="0" applyProtection="0"/>
    <xf numFmtId="0" fontId="35" fillId="32" borderId="495">
      <alignment horizontal="left" vertical="center"/>
    </xf>
    <xf numFmtId="0" fontId="35" fillId="33" borderId="471"/>
    <xf numFmtId="0" fontId="27" fillId="27" borderId="0" applyNumberFormat="0" applyBorder="0" applyAlignment="0" applyProtection="0"/>
    <xf numFmtId="4" fontId="35" fillId="0" borderId="471">
      <alignment horizontal="right" vertical="center"/>
    </xf>
    <xf numFmtId="0" fontId="35" fillId="34" borderId="474">
      <alignment horizontal="left" vertical="center" wrapText="1" indent="2"/>
    </xf>
    <xf numFmtId="49" fontId="35" fillId="0" borderId="472" applyNumberFormat="0" applyFont="0" applyFill="0" applyBorder="0" applyProtection="0">
      <alignment horizontal="left" vertical="center" indent="5"/>
    </xf>
    <xf numFmtId="4" fontId="35" fillId="33" borderId="471"/>
    <xf numFmtId="0" fontId="12" fillId="31" borderId="0" applyNumberFormat="0" applyBorder="0" applyAlignment="0" applyProtection="0"/>
    <xf numFmtId="0" fontId="27" fillId="15" borderId="0" applyNumberFormat="0" applyBorder="0" applyAlignment="0" applyProtection="0"/>
    <xf numFmtId="49" fontId="35" fillId="0" borderId="472" applyNumberFormat="0" applyFont="0" applyFill="0" applyBorder="0" applyProtection="0">
      <alignment horizontal="left" vertical="center" indent="5"/>
    </xf>
    <xf numFmtId="0" fontId="31" fillId="0" borderId="0" applyNumberFormat="0" applyFill="0" applyBorder="0" applyAlignment="0" applyProtection="0"/>
    <xf numFmtId="0" fontId="47" fillId="56" borderId="468" applyNumberFormat="0" applyAlignment="0" applyProtection="0"/>
    <xf numFmtId="0" fontId="27" fillId="27" borderId="0" applyNumberFormat="0" applyBorder="0" applyAlignment="0" applyProtection="0"/>
    <xf numFmtId="0" fontId="33" fillId="32" borderId="471">
      <alignment horizontal="right" vertical="center"/>
    </xf>
    <xf numFmtId="0" fontId="35" fillId="0" borderId="471" applyNumberFormat="0" applyFill="0" applyAlignment="0" applyProtection="0"/>
    <xf numFmtId="0" fontId="1" fillId="0" borderId="0" applyNumberFormat="0" applyFill="0" applyBorder="0" applyAlignment="0" applyProtection="0"/>
    <xf numFmtId="0" fontId="35" fillId="33" borderId="471"/>
    <xf numFmtId="0" fontId="35" fillId="34" borderId="487">
      <alignment horizontal="left" vertical="center" wrapText="1" indent="2"/>
    </xf>
    <xf numFmtId="0" fontId="1" fillId="0" borderId="0" applyNumberFormat="0" applyFill="0" applyBorder="0" applyAlignment="0" applyProtection="0"/>
    <xf numFmtId="0" fontId="59" fillId="43" borderId="468" applyNumberFormat="0" applyAlignment="0" applyProtection="0"/>
    <xf numFmtId="0" fontId="27" fillId="20" borderId="0" applyNumberFormat="0" applyBorder="0" applyAlignment="0" applyProtection="0"/>
    <xf numFmtId="0" fontId="33" fillId="34" borderId="494">
      <alignment horizontal="right" vertical="center"/>
    </xf>
    <xf numFmtId="0" fontId="12" fillId="31" borderId="0" applyNumberFormat="0" applyBorder="0" applyAlignment="0" applyProtection="0"/>
    <xf numFmtId="0" fontId="27" fillId="30" borderId="0" applyNumberFormat="0" applyBorder="0" applyAlignment="0" applyProtection="0"/>
    <xf numFmtId="0" fontId="27" fillId="29" borderId="0" applyNumberFormat="0" applyBorder="0" applyAlignment="0" applyProtection="0"/>
    <xf numFmtId="49" fontId="35" fillId="0" borderId="494" applyNumberFormat="0" applyFont="0" applyFill="0" applyBorder="0" applyProtection="0">
      <alignment horizontal="left" vertical="center" indent="2"/>
    </xf>
    <xf numFmtId="0" fontId="51" fillId="0" borderId="469" applyNumberFormat="0" applyFill="0" applyAlignment="0" applyProtection="0"/>
    <xf numFmtId="0" fontId="47" fillId="56" borderId="468" applyNumberFormat="0" applyAlignment="0" applyProtection="0"/>
    <xf numFmtId="0" fontId="35" fillId="0" borderId="471">
      <alignment horizontal="right" vertical="center"/>
    </xf>
    <xf numFmtId="0" fontId="44" fillId="56" borderId="498" applyNumberFormat="0" applyAlignment="0" applyProtection="0"/>
    <xf numFmtId="0" fontId="66" fillId="0" borderId="492" applyNumberFormat="0" applyFill="0" applyAlignment="0" applyProtection="0"/>
    <xf numFmtId="49" fontId="34" fillId="0" borderId="471" applyNumberFormat="0" applyFill="0" applyBorder="0" applyProtection="0">
      <alignment horizontal="left" vertical="center"/>
    </xf>
    <xf numFmtId="4" fontId="33" fillId="34" borderId="484">
      <alignment horizontal="right" vertical="center"/>
    </xf>
    <xf numFmtId="0" fontId="63" fillId="56" borderId="498" applyNumberFormat="0" applyAlignment="0" applyProtection="0"/>
    <xf numFmtId="0" fontId="12" fillId="25" borderId="0" applyNumberFormat="0" applyBorder="0" applyAlignment="0" applyProtection="0"/>
    <xf numFmtId="0" fontId="47" fillId="56" borderId="468" applyNumberFormat="0" applyAlignment="0" applyProtection="0"/>
    <xf numFmtId="0" fontId="33" fillId="32" borderId="471">
      <alignment horizontal="right" vertical="center"/>
    </xf>
    <xf numFmtId="0" fontId="12" fillId="31" borderId="0" applyNumberFormat="0" applyBorder="0" applyAlignment="0" applyProtection="0"/>
    <xf numFmtId="0" fontId="47" fillId="56" borderId="468" applyNumberFormat="0" applyAlignment="0" applyProtection="0"/>
    <xf numFmtId="0" fontId="41" fillId="59" borderId="470" applyNumberFormat="0" applyFont="0" applyAlignment="0" applyProtection="0"/>
    <xf numFmtId="0" fontId="35" fillId="0" borderId="494" applyNumberFormat="0" applyFill="0" applyAlignment="0" applyProtection="0"/>
    <xf numFmtId="0" fontId="35" fillId="0" borderId="471" applyNumberFormat="0" applyFill="0" applyAlignment="0" applyProtection="0"/>
    <xf numFmtId="0" fontId="66" fillId="0" borderId="469" applyNumberFormat="0" applyFill="0" applyAlignment="0" applyProtection="0"/>
    <xf numFmtId="0" fontId="33" fillId="34" borderId="496">
      <alignment horizontal="right" vertical="center"/>
    </xf>
    <xf numFmtId="0" fontId="5" fillId="59" borderId="470" applyNumberFormat="0" applyFont="0" applyAlignment="0" applyProtection="0"/>
    <xf numFmtId="0" fontId="5" fillId="59" borderId="470" applyNumberFormat="0" applyFont="0" applyAlignment="0" applyProtection="0"/>
    <xf numFmtId="0" fontId="12" fillId="31" borderId="0" applyNumberFormat="0" applyBorder="0" applyAlignment="0" applyProtection="0"/>
    <xf numFmtId="0" fontId="63" fillId="56" borderId="467" applyNumberFormat="0" applyAlignment="0" applyProtection="0"/>
    <xf numFmtId="173" fontId="35" fillId="60" borderId="471" applyNumberFormat="0" applyFont="0" applyBorder="0" applyAlignment="0" applyProtection="0">
      <alignment horizontal="right" vertical="center"/>
    </xf>
    <xf numFmtId="0" fontId="2" fillId="0" borderId="15" applyNumberFormat="0" applyFill="0" applyAlignment="0" applyProtection="0"/>
    <xf numFmtId="0" fontId="12" fillId="16" borderId="0" applyNumberFormat="0" applyBorder="0" applyAlignment="0" applyProtection="0"/>
    <xf numFmtId="4" fontId="33" fillId="34" borderId="486">
      <alignment horizontal="right" vertical="center"/>
    </xf>
    <xf numFmtId="0" fontId="35" fillId="33" borderId="484"/>
    <xf numFmtId="0" fontId="5" fillId="59" borderId="470" applyNumberFormat="0" applyFont="0" applyAlignment="0" applyProtection="0"/>
    <xf numFmtId="0" fontId="33" fillId="34" borderId="494">
      <alignment horizontal="right" vertical="center"/>
    </xf>
    <xf numFmtId="0" fontId="12" fillId="28" borderId="0" applyNumberFormat="0" applyBorder="0" applyAlignment="0" applyProtection="0"/>
    <xf numFmtId="0" fontId="27" fillId="23" borderId="0" applyNumberFormat="0" applyBorder="0" applyAlignment="0" applyProtection="0"/>
    <xf numFmtId="0" fontId="35" fillId="0" borderId="471" applyNumberFormat="0" applyFill="0" applyAlignment="0" applyProtection="0"/>
    <xf numFmtId="0" fontId="35" fillId="0" borderId="487">
      <alignment horizontal="left" vertical="center" wrapText="1" indent="2"/>
    </xf>
    <xf numFmtId="0" fontId="12" fillId="19" borderId="0" applyNumberFormat="0" applyBorder="0" applyAlignment="0" applyProtection="0"/>
    <xf numFmtId="4" fontId="33" fillId="32" borderId="484">
      <alignment horizontal="right" vertical="center"/>
    </xf>
    <xf numFmtId="0" fontId="46" fillId="56" borderId="468" applyNumberFormat="0" applyAlignment="0" applyProtection="0"/>
    <xf numFmtId="0" fontId="12" fillId="22" borderId="0" applyNumberFormat="0" applyBorder="0" applyAlignment="0" applyProtection="0"/>
    <xf numFmtId="0" fontId="35" fillId="0" borderId="474">
      <alignment horizontal="left" vertical="center" wrapText="1" indent="2"/>
    </xf>
    <xf numFmtId="49" fontId="35" fillId="0" borderId="495" applyNumberFormat="0" applyFont="0" applyFill="0" applyBorder="0" applyProtection="0">
      <alignment horizontal="left" vertical="center" indent="5"/>
    </xf>
    <xf numFmtId="0" fontId="2" fillId="0" borderId="15" applyNumberFormat="0" applyFill="0" applyAlignment="0" applyProtection="0"/>
    <xf numFmtId="0" fontId="35" fillId="0" borderId="474">
      <alignment horizontal="left" vertical="center" wrapText="1" indent="2"/>
    </xf>
    <xf numFmtId="4" fontId="37" fillId="32" borderId="471">
      <alignment horizontal="right" vertical="center"/>
    </xf>
    <xf numFmtId="0" fontId="33" fillId="32" borderId="462">
      <alignment horizontal="right" vertical="center"/>
    </xf>
    <xf numFmtId="4" fontId="33" fillId="34" borderId="471">
      <alignment horizontal="right" vertical="center"/>
    </xf>
    <xf numFmtId="0" fontId="35" fillId="0" borderId="471">
      <alignment horizontal="right" vertical="center"/>
    </xf>
    <xf numFmtId="0" fontId="35" fillId="33" borderId="471"/>
    <xf numFmtId="0" fontId="33" fillId="34" borderId="471">
      <alignment horizontal="right" vertical="center"/>
    </xf>
    <xf numFmtId="0" fontId="35" fillId="33" borderId="471"/>
    <xf numFmtId="0" fontId="27" fillId="24" borderId="0" applyNumberFormat="0" applyBorder="0" applyAlignment="0" applyProtection="0"/>
    <xf numFmtId="0" fontId="35" fillId="33" borderId="462"/>
    <xf numFmtId="0" fontId="59" fillId="43" borderId="476" applyNumberFormat="0" applyAlignment="0" applyProtection="0"/>
    <xf numFmtId="4" fontId="35" fillId="0" borderId="494">
      <alignment horizontal="right" vertical="center"/>
    </xf>
    <xf numFmtId="0" fontId="41" fillId="59" borderId="470" applyNumberFormat="0" applyFont="0" applyAlignment="0" applyProtection="0"/>
    <xf numFmtId="0" fontId="27" fillId="26" borderId="0" applyNumberFormat="0" applyBorder="0" applyAlignment="0" applyProtection="0"/>
    <xf numFmtId="4" fontId="35" fillId="0" borderId="471">
      <alignment horizontal="right" vertical="center"/>
    </xf>
    <xf numFmtId="0" fontId="44" fillId="56" borderId="467" applyNumberFormat="0" applyAlignment="0" applyProtection="0"/>
    <xf numFmtId="0" fontId="2" fillId="0" borderId="15" applyNumberFormat="0" applyFill="0" applyAlignment="0" applyProtection="0"/>
    <xf numFmtId="0" fontId="27" fillId="15" borderId="0" applyNumberFormat="0" applyBorder="0" applyAlignment="0" applyProtection="0"/>
    <xf numFmtId="4" fontId="33" fillId="34" borderId="495">
      <alignment horizontal="right" vertical="center"/>
    </xf>
    <xf numFmtId="0" fontId="35" fillId="33" borderId="471"/>
    <xf numFmtId="0" fontId="33" fillId="34" borderId="471">
      <alignment horizontal="right" vertical="center"/>
    </xf>
    <xf numFmtId="4" fontId="33" fillId="34" borderId="472">
      <alignment horizontal="right" vertical="center"/>
    </xf>
    <xf numFmtId="4" fontId="37" fillId="32" borderId="471">
      <alignment horizontal="right" vertical="center"/>
    </xf>
    <xf numFmtId="49" fontId="34" fillId="0" borderId="494" applyNumberFormat="0" applyFill="0" applyBorder="0" applyProtection="0">
      <alignment horizontal="left" vertical="center"/>
    </xf>
    <xf numFmtId="0" fontId="46" fillId="56" borderId="491" applyNumberFormat="0" applyAlignment="0" applyProtection="0"/>
    <xf numFmtId="0" fontId="33" fillId="34" borderId="479">
      <alignment horizontal="right" vertical="center"/>
    </xf>
    <xf numFmtId="0" fontId="37" fillId="32" borderId="494">
      <alignment horizontal="right" vertical="center"/>
    </xf>
    <xf numFmtId="0" fontId="12" fillId="22" borderId="0" applyNumberFormat="0" applyBorder="0" applyAlignment="0" applyProtection="0"/>
    <xf numFmtId="0" fontId="50" fillId="43" borderId="491" applyNumberFormat="0" applyAlignment="0" applyProtection="0"/>
    <xf numFmtId="0" fontId="66" fillId="0" borderId="492" applyNumberFormat="0" applyFill="0" applyAlignment="0" applyProtection="0"/>
    <xf numFmtId="4" fontId="33" fillId="32" borderId="471">
      <alignment horizontal="right" vertical="center"/>
    </xf>
    <xf numFmtId="0" fontId="59" fillId="43" borderId="468" applyNumberFormat="0" applyAlignment="0" applyProtection="0"/>
    <xf numFmtId="0" fontId="47" fillId="56" borderId="491" applyNumberFormat="0" applyAlignment="0" applyProtection="0"/>
    <xf numFmtId="4" fontId="33" fillId="34" borderId="473">
      <alignment horizontal="right" vertical="center"/>
    </xf>
    <xf numFmtId="4" fontId="33" fillId="32" borderId="471">
      <alignment horizontal="right" vertical="center"/>
    </xf>
    <xf numFmtId="0" fontId="35" fillId="0" borderId="474">
      <alignment horizontal="left" vertical="center" wrapText="1" indent="2"/>
    </xf>
    <xf numFmtId="4" fontId="37" fillId="32" borderId="471">
      <alignment horizontal="right" vertical="center"/>
    </xf>
    <xf numFmtId="173" fontId="35" fillId="60" borderId="484" applyNumberFormat="0" applyFont="0" applyBorder="0" applyAlignment="0" applyProtection="0">
      <alignment horizontal="right" vertical="center"/>
    </xf>
    <xf numFmtId="0" fontId="27" fillId="26" borderId="0" applyNumberFormat="0" applyBorder="0" applyAlignment="0" applyProtection="0"/>
    <xf numFmtId="0" fontId="27" fillId="17" borderId="0" applyNumberFormat="0" applyBorder="0" applyAlignment="0" applyProtection="0"/>
    <xf numFmtId="0" fontId="5" fillId="59" borderId="470" applyNumberFormat="0" applyFont="0" applyAlignment="0" applyProtection="0"/>
    <xf numFmtId="0" fontId="63" fillId="56" borderId="467" applyNumberFormat="0" applyAlignment="0" applyProtection="0"/>
    <xf numFmtId="4" fontId="33" fillId="34" borderId="494">
      <alignment horizontal="right" vertical="center"/>
    </xf>
    <xf numFmtId="4" fontId="33" fillId="34" borderId="472">
      <alignment horizontal="right" vertical="center"/>
    </xf>
    <xf numFmtId="4" fontId="33" fillId="34" borderId="471">
      <alignment horizontal="right" vertical="center"/>
    </xf>
    <xf numFmtId="0" fontId="59" fillId="43" borderId="468" applyNumberFormat="0" applyAlignment="0" applyProtection="0"/>
    <xf numFmtId="0" fontId="35" fillId="34" borderId="474">
      <alignment horizontal="left" vertical="center" wrapText="1" indent="2"/>
    </xf>
    <xf numFmtId="0" fontId="1" fillId="0" borderId="0" applyNumberFormat="0" applyFill="0" applyBorder="0" applyAlignment="0" applyProtection="0"/>
    <xf numFmtId="0" fontId="46" fillId="56" borderId="468" applyNumberFormat="0" applyAlignment="0" applyProtection="0"/>
    <xf numFmtId="4" fontId="35" fillId="0" borderId="494" applyFill="0" applyBorder="0" applyProtection="0">
      <alignment horizontal="right" vertical="center"/>
    </xf>
    <xf numFmtId="0" fontId="27" fillId="29" borderId="0" applyNumberFormat="0" applyBorder="0" applyAlignment="0" applyProtection="0"/>
    <xf numFmtId="0" fontId="33" fillId="34" borderId="471">
      <alignment horizontal="right" vertical="center"/>
    </xf>
    <xf numFmtId="0" fontId="12" fillId="28" borderId="0" applyNumberFormat="0" applyBorder="0" applyAlignment="0" applyProtection="0"/>
    <xf numFmtId="0" fontId="41" fillId="59" borderId="470" applyNumberFormat="0" applyFont="0" applyAlignment="0" applyProtection="0"/>
    <xf numFmtId="4" fontId="33" fillId="34" borderId="471">
      <alignment horizontal="right" vertical="center"/>
    </xf>
    <xf numFmtId="4" fontId="33" fillId="34" borderId="496">
      <alignment horizontal="right" vertical="center"/>
    </xf>
    <xf numFmtId="49" fontId="35" fillId="0" borderId="471" applyNumberFormat="0" applyFont="0" applyFill="0" applyBorder="0" applyProtection="0">
      <alignment horizontal="left" vertical="center" indent="2"/>
    </xf>
    <xf numFmtId="0" fontId="35" fillId="34" borderId="474">
      <alignment horizontal="left" vertical="center" wrapText="1" indent="2"/>
    </xf>
    <xf numFmtId="0" fontId="41" fillId="59" borderId="470" applyNumberFormat="0" applyFont="0" applyAlignment="0" applyProtection="0"/>
    <xf numFmtId="0" fontId="27" fillId="23" borderId="0" applyNumberFormat="0" applyBorder="0" applyAlignment="0" applyProtection="0"/>
    <xf numFmtId="0" fontId="27" fillId="20" borderId="0" applyNumberFormat="0" applyBorder="0" applyAlignment="0" applyProtection="0"/>
    <xf numFmtId="0" fontId="27" fillId="26" borderId="0" applyNumberFormat="0" applyBorder="0" applyAlignment="0" applyProtection="0"/>
    <xf numFmtId="0" fontId="35" fillId="34" borderId="474">
      <alignment horizontal="left" vertical="center" wrapText="1" indent="2"/>
    </xf>
    <xf numFmtId="0" fontId="12" fillId="28" borderId="0" applyNumberFormat="0" applyBorder="0" applyAlignment="0" applyProtection="0"/>
    <xf numFmtId="0" fontId="35" fillId="0" borderId="474">
      <alignment horizontal="left" vertical="center" wrapText="1" indent="2"/>
    </xf>
    <xf numFmtId="0" fontId="59" fillId="43" borderId="476" applyNumberFormat="0" applyAlignment="0" applyProtection="0"/>
    <xf numFmtId="0" fontId="2" fillId="0" borderId="15" applyNumberFormat="0" applyFill="0" applyAlignment="0" applyProtection="0"/>
    <xf numFmtId="4" fontId="33" fillId="34" borderId="471">
      <alignment horizontal="right" vertical="center"/>
    </xf>
    <xf numFmtId="0" fontId="27" fillId="30" borderId="0" applyNumberFormat="0" applyBorder="0" applyAlignment="0" applyProtection="0"/>
    <xf numFmtId="0" fontId="66" fillId="0" borderId="469" applyNumberFormat="0" applyFill="0" applyAlignment="0" applyProtection="0"/>
    <xf numFmtId="0" fontId="66" fillId="0" borderId="469" applyNumberFormat="0" applyFill="0" applyAlignment="0" applyProtection="0"/>
    <xf numFmtId="0" fontId="35" fillId="0" borderId="474">
      <alignment horizontal="left" vertical="center" wrapText="1" indent="2"/>
    </xf>
    <xf numFmtId="0" fontId="12" fillId="16" borderId="0" applyNumberFormat="0" applyBorder="0" applyAlignment="0" applyProtection="0"/>
    <xf numFmtId="0" fontId="37" fillId="32" borderId="471">
      <alignment horizontal="right" vertical="center"/>
    </xf>
    <xf numFmtId="0" fontId="31" fillId="0" borderId="0" applyNumberFormat="0" applyFill="0" applyBorder="0" applyAlignment="0" applyProtection="0"/>
    <xf numFmtId="0" fontId="33" fillId="32" borderId="471">
      <alignment horizontal="right" vertical="center"/>
    </xf>
    <xf numFmtId="0" fontId="35" fillId="0" borderId="497">
      <alignment horizontal="left" vertical="center" wrapText="1" indent="2"/>
    </xf>
    <xf numFmtId="4" fontId="33" fillId="32" borderId="479">
      <alignment horizontal="right" vertical="center"/>
    </xf>
    <xf numFmtId="0" fontId="50" fillId="43" borderId="468" applyNumberFormat="0" applyAlignment="0" applyProtection="0"/>
    <xf numFmtId="0" fontId="33" fillId="34" borderId="472">
      <alignment horizontal="right" vertical="center"/>
    </xf>
    <xf numFmtId="0" fontId="27" fillId="21" borderId="0" applyNumberFormat="0" applyBorder="0" applyAlignment="0" applyProtection="0"/>
    <xf numFmtId="0" fontId="41" fillId="59" borderId="470" applyNumberFormat="0" applyFont="0" applyAlignment="0" applyProtection="0"/>
    <xf numFmtId="0" fontId="35" fillId="34" borderId="474">
      <alignment horizontal="left" vertical="center" wrapText="1" indent="2"/>
    </xf>
    <xf numFmtId="4" fontId="33" fillId="34" borderId="481">
      <alignment horizontal="right" vertical="center"/>
    </xf>
    <xf numFmtId="0" fontId="33" fillId="34" borderId="472">
      <alignment horizontal="right" vertical="center"/>
    </xf>
    <xf numFmtId="0" fontId="41" fillId="59" borderId="470" applyNumberFormat="0" applyFont="0" applyAlignment="0" applyProtection="0"/>
    <xf numFmtId="0" fontId="66" fillId="0" borderId="492" applyNumberFormat="0" applyFill="0" applyAlignment="0" applyProtection="0"/>
    <xf numFmtId="0" fontId="37" fillId="32" borderId="471">
      <alignment horizontal="right" vertical="center"/>
    </xf>
    <xf numFmtId="0" fontId="50" fillId="43" borderId="468" applyNumberFormat="0" applyAlignment="0" applyProtection="0"/>
    <xf numFmtId="0" fontId="27" fillId="18" borderId="0" applyNumberFormat="0" applyBorder="0" applyAlignment="0" applyProtection="0"/>
    <xf numFmtId="0" fontId="29" fillId="13" borderId="14" applyNumberFormat="0" applyAlignment="0" applyProtection="0"/>
    <xf numFmtId="0" fontId="46" fillId="56" borderId="468" applyNumberFormat="0" applyAlignment="0" applyProtection="0"/>
    <xf numFmtId="0" fontId="63" fillId="56" borderId="498" applyNumberFormat="0" applyAlignment="0" applyProtection="0"/>
    <xf numFmtId="0" fontId="12" fillId="19" borderId="0" applyNumberFormat="0" applyBorder="0" applyAlignment="0" applyProtection="0"/>
    <xf numFmtId="0" fontId="41" fillId="59" borderId="470" applyNumberFormat="0" applyFont="0" applyAlignment="0" applyProtection="0"/>
    <xf numFmtId="0" fontId="33" fillId="34" borderId="471">
      <alignment horizontal="right" vertical="center"/>
    </xf>
    <xf numFmtId="0" fontId="33" fillId="32" borderId="471">
      <alignment horizontal="right" vertical="center"/>
    </xf>
    <xf numFmtId="0" fontId="37" fillId="32" borderId="479">
      <alignment horizontal="right" vertical="center"/>
    </xf>
    <xf numFmtId="0" fontId="41" fillId="59" borderId="470" applyNumberFormat="0" applyFont="0" applyAlignment="0" applyProtection="0"/>
    <xf numFmtId="0" fontId="12" fillId="31" borderId="0" applyNumberFormat="0" applyBorder="0" applyAlignment="0" applyProtection="0"/>
    <xf numFmtId="0" fontId="29" fillId="13" borderId="14" applyNumberFormat="0" applyAlignment="0" applyProtection="0"/>
    <xf numFmtId="4" fontId="33" fillId="34" borderId="472">
      <alignment horizontal="right" vertical="center"/>
    </xf>
    <xf numFmtId="0" fontId="12" fillId="19" borderId="0" applyNumberFormat="0" applyBorder="0" applyAlignment="0" applyProtection="0"/>
    <xf numFmtId="4" fontId="33" fillId="34" borderId="494">
      <alignment horizontal="right" vertical="center"/>
    </xf>
    <xf numFmtId="0" fontId="63" fillId="56" borderId="467" applyNumberFormat="0" applyAlignment="0" applyProtection="0"/>
    <xf numFmtId="4" fontId="35" fillId="0" borderId="471" applyFill="0" applyBorder="0" applyProtection="0">
      <alignment horizontal="right" vertical="center"/>
    </xf>
    <xf numFmtId="0" fontId="2" fillId="0" borderId="15" applyNumberFormat="0" applyFill="0" applyAlignment="0" applyProtection="0"/>
    <xf numFmtId="173" fontId="35" fillId="60" borderId="494" applyNumberFormat="0" applyFont="0" applyBorder="0" applyAlignment="0" applyProtection="0">
      <alignment horizontal="right" vertical="center"/>
    </xf>
    <xf numFmtId="4" fontId="35" fillId="0" borderId="479" applyFill="0" applyBorder="0" applyProtection="0">
      <alignment horizontal="right" vertical="center"/>
    </xf>
    <xf numFmtId="0" fontId="27" fillId="30" borderId="0" applyNumberFormat="0" applyBorder="0" applyAlignment="0" applyProtection="0"/>
    <xf numFmtId="0" fontId="44" fillId="56" borderId="475" applyNumberFormat="0" applyAlignment="0" applyProtection="0"/>
    <xf numFmtId="4" fontId="33" fillId="34" borderId="472">
      <alignment horizontal="right" vertical="center"/>
    </xf>
    <xf numFmtId="4" fontId="35" fillId="0" borderId="471" applyFill="0" applyBorder="0" applyProtection="0">
      <alignment horizontal="right" vertical="center"/>
    </xf>
    <xf numFmtId="0" fontId="44" fillId="56" borderId="467" applyNumberFormat="0" applyAlignment="0" applyProtection="0"/>
    <xf numFmtId="0" fontId="27" fillId="26" borderId="0" applyNumberFormat="0" applyBorder="0" applyAlignment="0" applyProtection="0"/>
    <xf numFmtId="49" fontId="35" fillId="0" borderId="471" applyNumberFormat="0" applyFont="0" applyFill="0" applyBorder="0" applyProtection="0">
      <alignment horizontal="left" vertical="center" indent="2"/>
    </xf>
    <xf numFmtId="0" fontId="35" fillId="0" borderId="497">
      <alignment horizontal="left" vertical="center" wrapText="1" indent="2"/>
    </xf>
    <xf numFmtId="0" fontId="12" fillId="25" borderId="0" applyNumberFormat="0" applyBorder="0" applyAlignment="0" applyProtection="0"/>
    <xf numFmtId="0" fontId="35" fillId="33" borderId="494"/>
    <xf numFmtId="4" fontId="33" fillId="34" borderId="496">
      <alignment horizontal="right" vertical="center"/>
    </xf>
    <xf numFmtId="0" fontId="59" fillId="43" borderId="468" applyNumberFormat="0" applyAlignment="0" applyProtection="0"/>
    <xf numFmtId="49" fontId="34" fillId="0" borderId="494" applyNumberFormat="0" applyFill="0" applyBorder="0" applyProtection="0">
      <alignment horizontal="left" vertical="center"/>
    </xf>
    <xf numFmtId="49" fontId="35" fillId="0" borderId="472" applyNumberFormat="0" applyFont="0" applyFill="0" applyBorder="0" applyProtection="0">
      <alignment horizontal="left" vertical="center" indent="5"/>
    </xf>
    <xf numFmtId="0" fontId="35" fillId="32" borderId="472">
      <alignment horizontal="left" vertical="center"/>
    </xf>
    <xf numFmtId="0" fontId="63" fillId="56" borderId="467" applyNumberFormat="0" applyAlignment="0" applyProtection="0"/>
    <xf numFmtId="0" fontId="35" fillId="0" borderId="494">
      <alignment horizontal="right" vertical="center"/>
    </xf>
    <xf numFmtId="0" fontId="66" fillId="0" borderId="492" applyNumberFormat="0" applyFill="0" applyAlignment="0" applyProtection="0"/>
    <xf numFmtId="4" fontId="35" fillId="33" borderId="484"/>
    <xf numFmtId="0" fontId="33" fillId="34" borderId="473">
      <alignment horizontal="right" vertical="center"/>
    </xf>
    <xf numFmtId="4" fontId="35" fillId="33" borderId="471"/>
    <xf numFmtId="0" fontId="12" fillId="16" borderId="0" applyNumberFormat="0" applyBorder="0" applyAlignment="0" applyProtection="0"/>
    <xf numFmtId="0" fontId="66" fillId="0" borderId="469" applyNumberFormat="0" applyFill="0" applyAlignment="0" applyProtection="0"/>
    <xf numFmtId="0" fontId="1" fillId="0" borderId="0" applyNumberFormat="0" applyFill="0" applyBorder="0" applyAlignment="0" applyProtection="0"/>
    <xf numFmtId="0" fontId="35" fillId="33" borderId="494"/>
    <xf numFmtId="0" fontId="46" fillId="56" borderId="468" applyNumberFormat="0" applyAlignment="0" applyProtection="0"/>
    <xf numFmtId="4" fontId="33" fillId="34" borderId="494">
      <alignment horizontal="right" vertical="center"/>
    </xf>
    <xf numFmtId="4" fontId="33" fillId="34" borderId="479">
      <alignment horizontal="right" vertical="center"/>
    </xf>
    <xf numFmtId="0" fontId="27" fillId="21" borderId="0" applyNumberFormat="0" applyBorder="0" applyAlignment="0" applyProtection="0"/>
    <xf numFmtId="0" fontId="27" fillId="24" borderId="0" applyNumberFormat="0" applyBorder="0" applyAlignment="0" applyProtection="0"/>
    <xf numFmtId="0" fontId="33" fillId="34" borderId="471">
      <alignment horizontal="right" vertical="center"/>
    </xf>
    <xf numFmtId="0" fontId="47" fillId="56" borderId="468" applyNumberFormat="0" applyAlignment="0" applyProtection="0"/>
    <xf numFmtId="0" fontId="66" fillId="0" borderId="469" applyNumberFormat="0" applyFill="0" applyAlignment="0" applyProtection="0"/>
    <xf numFmtId="0" fontId="51" fillId="0" borderId="492" applyNumberFormat="0" applyFill="0" applyAlignment="0" applyProtection="0"/>
    <xf numFmtId="4" fontId="33" fillId="34" borderId="495">
      <alignment horizontal="right" vertical="center"/>
    </xf>
    <xf numFmtId="0" fontId="30" fillId="13" borderId="13" applyNumberFormat="0" applyAlignment="0" applyProtection="0"/>
    <xf numFmtId="0" fontId="33" fillId="34" borderId="471">
      <alignment horizontal="right" vertical="center"/>
    </xf>
    <xf numFmtId="0" fontId="37" fillId="32" borderId="494">
      <alignment horizontal="right" vertical="center"/>
    </xf>
    <xf numFmtId="0" fontId="41" fillId="59" borderId="470" applyNumberFormat="0" applyFont="0" applyAlignment="0" applyProtection="0"/>
    <xf numFmtId="0" fontId="47" fillId="56" borderId="468" applyNumberFormat="0" applyAlignment="0" applyProtection="0"/>
    <xf numFmtId="4" fontId="35" fillId="0" borderId="471" applyFill="0" applyBorder="0" applyProtection="0">
      <alignment horizontal="right" vertical="center"/>
    </xf>
    <xf numFmtId="0" fontId="5" fillId="59" borderId="493" applyNumberFormat="0" applyFont="0" applyAlignment="0" applyProtection="0"/>
    <xf numFmtId="49" fontId="35" fillId="0" borderId="471" applyNumberFormat="0" applyFont="0" applyFill="0" applyBorder="0" applyProtection="0">
      <alignment horizontal="left" vertical="center" indent="2"/>
    </xf>
    <xf numFmtId="0" fontId="59" fillId="43" borderId="468" applyNumberFormat="0" applyAlignment="0" applyProtection="0"/>
    <xf numFmtId="0" fontId="51" fillId="0" borderId="469" applyNumberFormat="0" applyFill="0" applyAlignment="0" applyProtection="0"/>
    <xf numFmtId="0" fontId="35" fillId="33" borderId="494"/>
    <xf numFmtId="0" fontId="29" fillId="13" borderId="14" applyNumberFormat="0" applyAlignment="0" applyProtection="0"/>
    <xf numFmtId="173" fontId="35" fillId="60" borderId="479" applyNumberFormat="0" applyFont="0" applyBorder="0" applyAlignment="0" applyProtection="0">
      <alignment horizontal="right" vertical="center"/>
    </xf>
    <xf numFmtId="0" fontId="50" fillId="43" borderId="491" applyNumberFormat="0" applyAlignment="0" applyProtection="0"/>
    <xf numFmtId="4" fontId="35" fillId="0" borderId="462" applyFill="0" applyBorder="0" applyProtection="0">
      <alignment horizontal="right" vertical="center"/>
    </xf>
    <xf numFmtId="0" fontId="33" fillId="34" borderId="473">
      <alignment horizontal="right" vertical="center"/>
    </xf>
    <xf numFmtId="0" fontId="63" fillId="56" borderId="475" applyNumberFormat="0" applyAlignment="0" applyProtection="0"/>
    <xf numFmtId="0" fontId="5" fillId="59" borderId="493" applyNumberFormat="0" applyFont="0" applyAlignment="0" applyProtection="0"/>
    <xf numFmtId="0" fontId="51" fillId="0" borderId="492" applyNumberFormat="0" applyFill="0" applyAlignment="0" applyProtection="0"/>
    <xf numFmtId="0" fontId="51" fillId="0" borderId="477" applyNumberFormat="0" applyFill="0" applyAlignment="0" applyProtection="0"/>
    <xf numFmtId="4" fontId="33" fillId="32" borderId="494">
      <alignment horizontal="right" vertical="center"/>
    </xf>
    <xf numFmtId="0" fontId="46" fillId="56" borderId="468" applyNumberFormat="0" applyAlignment="0" applyProtection="0"/>
    <xf numFmtId="0" fontId="29" fillId="13" borderId="14" applyNumberFormat="0" applyAlignment="0" applyProtection="0"/>
    <xf numFmtId="0" fontId="35" fillId="0" borderId="484" applyNumberFormat="0" applyFill="0" applyAlignment="0" applyProtection="0"/>
    <xf numFmtId="4" fontId="33" fillId="32" borderId="471">
      <alignment horizontal="right" vertical="center"/>
    </xf>
    <xf numFmtId="0" fontId="33" fillId="34" borderId="473">
      <alignment horizontal="right" vertical="center"/>
    </xf>
    <xf numFmtId="0" fontId="59" fillId="43" borderId="491" applyNumberFormat="0" applyAlignment="0" applyProtection="0"/>
    <xf numFmtId="0" fontId="27" fillId="23" borderId="0" applyNumberFormat="0" applyBorder="0" applyAlignment="0" applyProtection="0"/>
    <xf numFmtId="0" fontId="33" fillId="34" borderId="494">
      <alignment horizontal="right" vertical="center"/>
    </xf>
    <xf numFmtId="0" fontId="33" fillId="34" borderId="479">
      <alignment horizontal="right" vertical="center"/>
    </xf>
    <xf numFmtId="0" fontId="51" fillId="0" borderId="492" applyNumberFormat="0" applyFill="0" applyAlignment="0" applyProtection="0"/>
    <xf numFmtId="4" fontId="33" fillId="34" borderId="494">
      <alignment horizontal="right" vertical="center"/>
    </xf>
    <xf numFmtId="0" fontId="51" fillId="0" borderId="492" applyNumberFormat="0" applyFill="0" applyAlignment="0" applyProtection="0"/>
    <xf numFmtId="0" fontId="27" fillId="15" borderId="0" applyNumberFormat="0" applyBorder="0" applyAlignment="0" applyProtection="0"/>
    <xf numFmtId="0" fontId="35" fillId="0" borderId="471">
      <alignment horizontal="right" vertical="center"/>
    </xf>
    <xf numFmtId="0" fontId="35" fillId="0" borderId="471" applyNumberFormat="0" applyFill="0" applyAlignment="0" applyProtection="0"/>
    <xf numFmtId="0" fontId="66" fillId="0" borderId="469" applyNumberFormat="0" applyFill="0" applyAlignment="0" applyProtection="0"/>
    <xf numFmtId="4" fontId="35" fillId="0" borderId="471" applyFill="0" applyBorder="0" applyProtection="0">
      <alignment horizontal="right" vertical="center"/>
    </xf>
    <xf numFmtId="0" fontId="46" fillId="56" borderId="468" applyNumberFormat="0" applyAlignment="0" applyProtection="0"/>
    <xf numFmtId="4" fontId="35" fillId="33" borderId="471"/>
    <xf numFmtId="0" fontId="66" fillId="0" borderId="469" applyNumberFormat="0" applyFill="0" applyAlignment="0" applyProtection="0"/>
    <xf numFmtId="4" fontId="37" fillId="32" borderId="479">
      <alignment horizontal="right" vertical="center"/>
    </xf>
    <xf numFmtId="49" fontId="35" fillId="0" borderId="471" applyNumberFormat="0" applyFont="0" applyFill="0" applyBorder="0" applyProtection="0">
      <alignment horizontal="left" vertical="center" indent="2"/>
    </xf>
    <xf numFmtId="0" fontId="35" fillId="33" borderId="494"/>
    <xf numFmtId="4" fontId="35" fillId="33" borderId="479"/>
    <xf numFmtId="0" fontId="46" fillId="56" borderId="468" applyNumberFormat="0" applyAlignment="0" applyProtection="0"/>
    <xf numFmtId="4" fontId="33" fillId="34" borderId="496">
      <alignment horizontal="right" vertical="center"/>
    </xf>
    <xf numFmtId="0" fontId="35" fillId="0" borderId="474">
      <alignment horizontal="left" vertical="center" wrapText="1" indent="2"/>
    </xf>
    <xf numFmtId="0" fontId="63" fillId="56" borderId="467" applyNumberFormat="0" applyAlignment="0" applyProtection="0"/>
    <xf numFmtId="0" fontId="33" fillId="34" borderId="473">
      <alignment horizontal="right" vertical="center"/>
    </xf>
    <xf numFmtId="0" fontId="50" fillId="43" borderId="468" applyNumberFormat="0" applyAlignment="0" applyProtection="0"/>
    <xf numFmtId="0" fontId="33" fillId="34" borderId="473">
      <alignment horizontal="right" vertical="center"/>
    </xf>
    <xf numFmtId="4" fontId="33" fillId="34" borderId="471">
      <alignment horizontal="right" vertical="center"/>
    </xf>
    <xf numFmtId="0" fontId="33" fillId="34" borderId="471">
      <alignment horizontal="right" vertical="center"/>
    </xf>
    <xf numFmtId="0" fontId="44" fillId="56" borderId="467" applyNumberFormat="0" applyAlignment="0" applyProtection="0"/>
    <xf numFmtId="0" fontId="46" fillId="56" borderId="468" applyNumberFormat="0" applyAlignment="0" applyProtection="0"/>
    <xf numFmtId="0" fontId="51" fillId="0" borderId="469" applyNumberFormat="0" applyFill="0" applyAlignment="0" applyProtection="0"/>
    <xf numFmtId="0" fontId="35" fillId="33" borderId="471"/>
    <xf numFmtId="4" fontId="35" fillId="33" borderId="471"/>
    <xf numFmtId="4" fontId="33" fillId="34" borderId="471">
      <alignment horizontal="right" vertical="center"/>
    </xf>
    <xf numFmtId="0" fontId="37" fillId="32" borderId="471">
      <alignment horizontal="right" vertical="center"/>
    </xf>
    <xf numFmtId="0" fontId="50" fillId="43" borderId="468" applyNumberFormat="0" applyAlignment="0" applyProtection="0"/>
    <xf numFmtId="0" fontId="47" fillId="56" borderId="468" applyNumberFormat="0" applyAlignment="0" applyProtection="0"/>
    <xf numFmtId="4" fontId="35" fillId="0" borderId="471">
      <alignment horizontal="right" vertical="center"/>
    </xf>
    <xf numFmtId="0" fontId="35" fillId="34" borderId="474">
      <alignment horizontal="left" vertical="center" wrapText="1" indent="2"/>
    </xf>
    <xf numFmtId="0" fontId="35" fillId="0" borderId="474">
      <alignment horizontal="left" vertical="center" wrapText="1" indent="2"/>
    </xf>
    <xf numFmtId="0" fontId="63" fillId="56" borderId="467" applyNumberFormat="0" applyAlignment="0" applyProtection="0"/>
    <xf numFmtId="0" fontId="59" fillId="43" borderId="468" applyNumberFormat="0" applyAlignment="0" applyProtection="0"/>
    <xf numFmtId="0" fontId="46" fillId="56" borderId="468" applyNumberFormat="0" applyAlignment="0" applyProtection="0"/>
    <xf numFmtId="0" fontId="44" fillId="56" borderId="467" applyNumberFormat="0" applyAlignment="0" applyProtection="0"/>
    <xf numFmtId="0" fontId="33" fillId="34" borderId="473">
      <alignment horizontal="right" vertical="center"/>
    </xf>
    <xf numFmtId="0" fontId="37" fillId="32" borderId="471">
      <alignment horizontal="right" vertical="center"/>
    </xf>
    <xf numFmtId="4" fontId="33" fillId="32" borderId="471">
      <alignment horizontal="right" vertical="center"/>
    </xf>
    <xf numFmtId="4" fontId="33" fillId="34" borderId="471">
      <alignment horizontal="right" vertical="center"/>
    </xf>
    <xf numFmtId="49" fontId="35" fillId="0" borderId="472" applyNumberFormat="0" applyFont="0" applyFill="0" applyBorder="0" applyProtection="0">
      <alignment horizontal="left" vertical="center" indent="5"/>
    </xf>
    <xf numFmtId="4" fontId="35" fillId="0" borderId="471" applyFill="0" applyBorder="0" applyProtection="0">
      <alignment horizontal="right" vertical="center"/>
    </xf>
    <xf numFmtId="4" fontId="33" fillId="32" borderId="471">
      <alignment horizontal="right" vertical="center"/>
    </xf>
    <xf numFmtId="0" fontId="59" fillId="43" borderId="468" applyNumberFormat="0" applyAlignment="0" applyProtection="0"/>
    <xf numFmtId="0" fontId="50" fillId="43" borderId="468" applyNumberFormat="0" applyAlignment="0" applyProtection="0"/>
    <xf numFmtId="0" fontId="46" fillId="56" borderId="468" applyNumberFormat="0" applyAlignment="0" applyProtection="0"/>
    <xf numFmtId="0" fontId="35" fillId="34" borderId="474">
      <alignment horizontal="left" vertical="center" wrapText="1" indent="2"/>
    </xf>
    <xf numFmtId="0" fontId="35" fillId="0" borderId="474">
      <alignment horizontal="left" vertical="center" wrapText="1" indent="2"/>
    </xf>
    <xf numFmtId="0" fontId="35" fillId="34" borderId="474">
      <alignment horizontal="left" vertical="center" wrapText="1" indent="2"/>
    </xf>
    <xf numFmtId="0" fontId="12" fillId="16" borderId="0" applyNumberFormat="0" applyBorder="0" applyAlignment="0" applyProtection="0"/>
    <xf numFmtId="0" fontId="33" fillId="34" borderId="496">
      <alignment horizontal="right" vertical="center"/>
    </xf>
    <xf numFmtId="0" fontId="35" fillId="0" borderId="494">
      <alignment horizontal="right" vertical="center"/>
    </xf>
    <xf numFmtId="0" fontId="35" fillId="34" borderId="482">
      <alignment horizontal="left" vertical="center" wrapText="1" indent="2"/>
    </xf>
    <xf numFmtId="0" fontId="35" fillId="0" borderId="482">
      <alignment horizontal="left" vertical="center" wrapText="1" indent="2"/>
    </xf>
    <xf numFmtId="0" fontId="35" fillId="0" borderId="494" applyNumberFormat="0" applyFill="0" applyAlignment="0" applyProtection="0"/>
    <xf numFmtId="0" fontId="35" fillId="34" borderId="497">
      <alignment horizontal="left" vertical="center" wrapText="1" indent="2"/>
    </xf>
    <xf numFmtId="0" fontId="2" fillId="0" borderId="15" applyNumberFormat="0" applyFill="0" applyAlignment="0" applyProtection="0"/>
    <xf numFmtId="0" fontId="41" fillId="59" borderId="483" applyNumberFormat="0" applyFont="0" applyAlignment="0" applyProtection="0"/>
    <xf numFmtId="4" fontId="35" fillId="0" borderId="494" applyFill="0" applyBorder="0" applyProtection="0">
      <alignment horizontal="right" vertical="center"/>
    </xf>
    <xf numFmtId="0" fontId="5" fillId="59" borderId="483" applyNumberFormat="0" applyFont="0" applyAlignment="0" applyProtection="0"/>
    <xf numFmtId="0" fontId="44" fillId="56" borderId="498" applyNumberFormat="0" applyAlignment="0" applyProtection="0"/>
    <xf numFmtId="4" fontId="33" fillId="34" borderId="494">
      <alignment horizontal="right" vertical="center"/>
    </xf>
    <xf numFmtId="4" fontId="37" fillId="32" borderId="494">
      <alignment horizontal="right" vertical="center"/>
    </xf>
    <xf numFmtId="0" fontId="66" fillId="0" borderId="492" applyNumberFormat="0" applyFill="0" applyAlignment="0" applyProtection="0"/>
    <xf numFmtId="4" fontId="37" fillId="32" borderId="494">
      <alignment horizontal="right" vertical="center"/>
    </xf>
    <xf numFmtId="0" fontId="35" fillId="34" borderId="497">
      <alignment horizontal="left" vertical="center" wrapText="1" indent="2"/>
    </xf>
    <xf numFmtId="0" fontId="35" fillId="0" borderId="494">
      <alignment horizontal="right" vertical="center"/>
    </xf>
    <xf numFmtId="0" fontId="27" fillId="18" borderId="0" applyNumberFormat="0" applyBorder="0" applyAlignment="0" applyProtection="0"/>
    <xf numFmtId="0" fontId="47" fillId="56" borderId="491" applyNumberFormat="0" applyAlignment="0" applyProtection="0"/>
    <xf numFmtId="0" fontId="27" fillId="26" borderId="0" applyNumberFormat="0" applyBorder="0" applyAlignment="0" applyProtection="0"/>
    <xf numFmtId="0" fontId="41" fillId="59" borderId="493" applyNumberFormat="0" applyFont="0" applyAlignment="0" applyProtection="0"/>
    <xf numFmtId="49" fontId="34" fillId="0" borderId="494" applyNumberFormat="0" applyFill="0" applyBorder="0" applyProtection="0">
      <alignment horizontal="left" vertical="center"/>
    </xf>
    <xf numFmtId="0" fontId="41" fillId="59" borderId="493" applyNumberFormat="0" applyFont="0" applyAlignment="0" applyProtection="0"/>
    <xf numFmtId="0" fontId="47" fillId="56" borderId="491" applyNumberFormat="0" applyAlignment="0" applyProtection="0"/>
    <xf numFmtId="0" fontId="59" fillId="43" borderId="491" applyNumberFormat="0" applyAlignment="0" applyProtection="0"/>
    <xf numFmtId="173" fontId="35" fillId="60" borderId="494" applyNumberFormat="0" applyFont="0" applyBorder="0" applyAlignment="0" applyProtection="0">
      <alignment horizontal="right" vertical="center"/>
    </xf>
    <xf numFmtId="0" fontId="66" fillId="0" borderId="492" applyNumberFormat="0" applyFill="0" applyAlignment="0" applyProtection="0"/>
    <xf numFmtId="0" fontId="63" fillId="56" borderId="498" applyNumberFormat="0" applyAlignment="0" applyProtection="0"/>
    <xf numFmtId="0" fontId="27" fillId="21" borderId="0" applyNumberFormat="0" applyBorder="0" applyAlignment="0" applyProtection="0"/>
    <xf numFmtId="0" fontId="29" fillId="13" borderId="14" applyNumberFormat="0" applyAlignment="0" applyProtection="0"/>
    <xf numFmtId="0" fontId="47" fillId="56" borderId="491" applyNumberFormat="0" applyAlignment="0" applyProtection="0"/>
    <xf numFmtId="173" fontId="35" fillId="60" borderId="494" applyNumberFormat="0" applyFont="0" applyBorder="0" applyAlignment="0" applyProtection="0">
      <alignment horizontal="right" vertical="center"/>
    </xf>
    <xf numFmtId="0" fontId="33" fillId="34" borderId="495">
      <alignment horizontal="right" vertical="center"/>
    </xf>
    <xf numFmtId="0" fontId="35" fillId="0" borderId="494" applyNumberFormat="0" applyFill="0" applyAlignment="0" applyProtection="0"/>
    <xf numFmtId="0" fontId="59" fillId="43" borderId="491" applyNumberFormat="0" applyAlignment="0" applyProtection="0"/>
    <xf numFmtId="0" fontId="12" fillId="28" borderId="0" applyNumberFormat="0" applyBorder="0" applyAlignment="0" applyProtection="0"/>
    <xf numFmtId="0" fontId="27" fillId="26" borderId="0" applyNumberFormat="0" applyBorder="0" applyAlignment="0" applyProtection="0"/>
    <xf numFmtId="0" fontId="27" fillId="23" borderId="0" applyNumberFormat="0" applyBorder="0" applyAlignment="0" applyProtection="0"/>
    <xf numFmtId="0" fontId="27" fillId="21" borderId="0" applyNumberFormat="0" applyBorder="0" applyAlignment="0" applyProtection="0"/>
    <xf numFmtId="0" fontId="27" fillId="15" borderId="0" applyNumberFormat="0" applyBorder="0" applyAlignment="0" applyProtection="0"/>
    <xf numFmtId="0" fontId="35" fillId="0" borderId="497">
      <alignment horizontal="left" vertical="center" wrapText="1" indent="2"/>
    </xf>
    <xf numFmtId="4" fontId="33" fillId="34" borderId="485">
      <alignment horizontal="right" vertical="center"/>
    </xf>
    <xf numFmtId="4" fontId="33" fillId="34" borderId="484">
      <alignment horizontal="right" vertical="center"/>
    </xf>
    <xf numFmtId="0" fontId="35" fillId="32" borderId="495">
      <alignment horizontal="left" vertical="center"/>
    </xf>
    <xf numFmtId="4" fontId="33" fillId="34" borderId="479">
      <alignment horizontal="right" vertical="center"/>
    </xf>
    <xf numFmtId="0" fontId="35" fillId="33" borderId="479"/>
    <xf numFmtId="0" fontId="46" fillId="56" borderId="476" applyNumberFormat="0" applyAlignment="0" applyProtection="0"/>
    <xf numFmtId="0" fontId="33" fillId="32" borderId="479">
      <alignment horizontal="right" vertical="center"/>
    </xf>
    <xf numFmtId="0" fontId="35" fillId="0" borderId="479">
      <alignment horizontal="right" vertical="center"/>
    </xf>
    <xf numFmtId="0" fontId="66" fillId="0" borderId="477" applyNumberFormat="0" applyFill="0" applyAlignment="0" applyProtection="0"/>
    <xf numFmtId="0" fontId="35" fillId="32" borderId="480">
      <alignment horizontal="left" vertical="center"/>
    </xf>
    <xf numFmtId="0" fontId="59" fillId="43" borderId="476" applyNumberFormat="0" applyAlignment="0" applyProtection="0"/>
    <xf numFmtId="173" fontId="35" fillId="60" borderId="479" applyNumberFormat="0" applyFont="0" applyBorder="0" applyAlignment="0" applyProtection="0">
      <alignment horizontal="right" vertical="center"/>
    </xf>
    <xf numFmtId="0" fontId="41" fillId="59" borderId="478" applyNumberFormat="0" applyFont="0" applyAlignment="0" applyProtection="0"/>
    <xf numFmtId="0" fontId="35" fillId="0" borderId="482">
      <alignment horizontal="left" vertical="center" wrapText="1" indent="2"/>
    </xf>
    <xf numFmtId="4" fontId="35" fillId="33" borderId="479"/>
    <xf numFmtId="49" fontId="34" fillId="0" borderId="479" applyNumberFormat="0" applyFill="0" applyBorder="0" applyProtection="0">
      <alignment horizontal="left" vertical="center"/>
    </xf>
    <xf numFmtId="0" fontId="35" fillId="0" borderId="479">
      <alignment horizontal="right" vertical="center"/>
    </xf>
    <xf numFmtId="4" fontId="33" fillId="34" borderId="481">
      <alignment horizontal="right" vertical="center"/>
    </xf>
    <xf numFmtId="4" fontId="33" fillId="34" borderId="479">
      <alignment horizontal="right" vertical="center"/>
    </xf>
    <xf numFmtId="4" fontId="33" fillId="34" borderId="479">
      <alignment horizontal="right" vertical="center"/>
    </xf>
    <xf numFmtId="0" fontId="37" fillId="32" borderId="479">
      <alignment horizontal="right" vertical="center"/>
    </xf>
    <xf numFmtId="0" fontId="33" fillId="32" borderId="479">
      <alignment horizontal="right" vertical="center"/>
    </xf>
    <xf numFmtId="49" fontId="35" fillId="0" borderId="479" applyNumberFormat="0" applyFont="0" applyFill="0" applyBorder="0" applyProtection="0">
      <alignment horizontal="left" vertical="center" indent="2"/>
    </xf>
    <xf numFmtId="0" fontId="59" fillId="43" borderId="476" applyNumberFormat="0" applyAlignment="0" applyProtection="0"/>
    <xf numFmtId="0" fontId="44" fillId="56" borderId="475" applyNumberFormat="0" applyAlignment="0" applyProtection="0"/>
    <xf numFmtId="49" fontId="35" fillId="0" borderId="479" applyNumberFormat="0" applyFont="0" applyFill="0" applyBorder="0" applyProtection="0">
      <alignment horizontal="left" vertical="center" indent="2"/>
    </xf>
    <xf numFmtId="0" fontId="50" fillId="43" borderId="476" applyNumberFormat="0" applyAlignment="0" applyProtection="0"/>
    <xf numFmtId="4" fontId="35" fillId="0" borderId="479" applyFill="0" applyBorder="0" applyProtection="0">
      <alignment horizontal="right" vertical="center"/>
    </xf>
    <xf numFmtId="0" fontId="47" fillId="56" borderId="476" applyNumberFormat="0" applyAlignment="0" applyProtection="0"/>
    <xf numFmtId="0" fontId="66" fillId="0" borderId="477" applyNumberFormat="0" applyFill="0" applyAlignment="0" applyProtection="0"/>
    <xf numFmtId="0" fontId="63" fillId="56" borderId="475" applyNumberFormat="0" applyAlignment="0" applyProtection="0"/>
    <xf numFmtId="0" fontId="35" fillId="0" borderId="479" applyNumberFormat="0" applyFill="0" applyAlignment="0" applyProtection="0"/>
    <xf numFmtId="4" fontId="35" fillId="0" borderId="479">
      <alignment horizontal="right" vertical="center"/>
    </xf>
    <xf numFmtId="0" fontId="35" fillId="0" borderId="479">
      <alignment horizontal="right" vertical="center"/>
    </xf>
    <xf numFmtId="0" fontId="59" fillId="43" borderId="476" applyNumberFormat="0" applyAlignment="0" applyProtection="0"/>
    <xf numFmtId="0" fontId="44" fillId="56" borderId="475" applyNumberFormat="0" applyAlignment="0" applyProtection="0"/>
    <xf numFmtId="0" fontId="46" fillId="56" borderId="476" applyNumberFormat="0" applyAlignment="0" applyProtection="0"/>
    <xf numFmtId="0" fontId="35" fillId="34" borderId="482">
      <alignment horizontal="left" vertical="center" wrapText="1" indent="2"/>
    </xf>
    <xf numFmtId="0" fontId="47" fillId="56" borderId="476" applyNumberFormat="0" applyAlignment="0" applyProtection="0"/>
    <xf numFmtId="0" fontId="47" fillId="56" borderId="476" applyNumberFormat="0" applyAlignment="0" applyProtection="0"/>
    <xf numFmtId="4" fontId="33" fillId="34" borderId="480">
      <alignment horizontal="right" vertical="center"/>
    </xf>
    <xf numFmtId="0" fontId="33" fillId="34" borderId="480">
      <alignment horizontal="right" vertical="center"/>
    </xf>
    <xf numFmtId="0" fontId="33" fillId="34" borderId="479">
      <alignment horizontal="right" vertical="center"/>
    </xf>
    <xf numFmtId="4" fontId="37" fillId="32" borderId="479">
      <alignment horizontal="right" vertical="center"/>
    </xf>
    <xf numFmtId="0" fontId="50" fillId="43" borderId="476" applyNumberFormat="0" applyAlignment="0" applyProtection="0"/>
    <xf numFmtId="0" fontId="51" fillId="0" borderId="477" applyNumberFormat="0" applyFill="0" applyAlignment="0" applyProtection="0"/>
    <xf numFmtId="0" fontId="66" fillId="0" borderId="477" applyNumberFormat="0" applyFill="0" applyAlignment="0" applyProtection="0"/>
    <xf numFmtId="0" fontId="41" fillId="59" borderId="478" applyNumberFormat="0" applyFont="0" applyAlignment="0" applyProtection="0"/>
    <xf numFmtId="0" fontId="59" fillId="43" borderId="476" applyNumberFormat="0" applyAlignment="0" applyProtection="0"/>
    <xf numFmtId="49" fontId="34" fillId="0" borderId="479" applyNumberFormat="0" applyFill="0" applyBorder="0" applyProtection="0">
      <alignment horizontal="left" vertical="center"/>
    </xf>
    <xf numFmtId="0" fontId="35" fillId="34" borderId="482">
      <alignment horizontal="left" vertical="center" wrapText="1" indent="2"/>
    </xf>
    <xf numFmtId="0" fontId="47" fillId="56" borderId="476" applyNumberFormat="0" applyAlignment="0" applyProtection="0"/>
    <xf numFmtId="0" fontId="35" fillId="0" borderId="482">
      <alignment horizontal="left" vertical="center" wrapText="1" indent="2"/>
    </xf>
    <xf numFmtId="0" fontId="41" fillId="59" borderId="478" applyNumberFormat="0" applyFont="0" applyAlignment="0" applyProtection="0"/>
    <xf numFmtId="0" fontId="5" fillId="59" borderId="478" applyNumberFormat="0" applyFont="0" applyAlignment="0" applyProtection="0"/>
    <xf numFmtId="0" fontId="63" fillId="56" borderId="475" applyNumberFormat="0" applyAlignment="0" applyProtection="0"/>
    <xf numFmtId="0" fontId="66" fillId="0" borderId="477" applyNumberFormat="0" applyFill="0" applyAlignment="0" applyProtection="0"/>
    <xf numFmtId="4" fontId="35" fillId="33" borderId="479"/>
    <xf numFmtId="0" fontId="33" fillId="34" borderId="479">
      <alignment horizontal="right" vertical="center"/>
    </xf>
    <xf numFmtId="0" fontId="66" fillId="0" borderId="477" applyNumberFormat="0" applyFill="0" applyAlignment="0" applyProtection="0"/>
    <xf numFmtId="4" fontId="33" fillId="34" borderId="481">
      <alignment horizontal="right" vertical="center"/>
    </xf>
    <xf numFmtId="0" fontId="46" fillId="56" borderId="476" applyNumberFormat="0" applyAlignment="0" applyProtection="0"/>
    <xf numFmtId="0" fontId="33" fillId="34" borderId="480">
      <alignment horizontal="right" vertical="center"/>
    </xf>
    <xf numFmtId="0" fontId="47" fillId="56" borderId="476" applyNumberFormat="0" applyAlignment="0" applyProtection="0"/>
    <xf numFmtId="0" fontId="51" fillId="0" borderId="477" applyNumberFormat="0" applyFill="0" applyAlignment="0" applyProtection="0"/>
    <xf numFmtId="0" fontId="41" fillId="59" borderId="478" applyNumberFormat="0" applyFont="0" applyAlignment="0" applyProtection="0"/>
    <xf numFmtId="4" fontId="33" fillId="34" borderId="480">
      <alignment horizontal="right" vertical="center"/>
    </xf>
    <xf numFmtId="0" fontId="35" fillId="34" borderId="482">
      <alignment horizontal="left" vertical="center" wrapText="1" indent="2"/>
    </xf>
    <xf numFmtId="0" fontId="35" fillId="33" borderId="479"/>
    <xf numFmtId="173" fontId="35" fillId="60" borderId="479" applyNumberFormat="0" applyFont="0" applyBorder="0" applyAlignment="0" applyProtection="0">
      <alignment horizontal="right" vertical="center"/>
    </xf>
    <xf numFmtId="0" fontId="35" fillId="0" borderId="479" applyNumberFormat="0" applyFill="0" applyAlignment="0" applyProtection="0"/>
    <xf numFmtId="4" fontId="35" fillId="0" borderId="479" applyFill="0" applyBorder="0" applyProtection="0">
      <alignment horizontal="right" vertical="center"/>
    </xf>
    <xf numFmtId="4" fontId="33" fillId="32" borderId="479">
      <alignment horizontal="right" vertical="center"/>
    </xf>
    <xf numFmtId="0" fontId="51" fillId="0" borderId="477" applyNumberFormat="0" applyFill="0" applyAlignment="0" applyProtection="0"/>
    <xf numFmtId="49" fontId="34" fillId="0" borderId="479" applyNumberFormat="0" applyFill="0" applyBorder="0" applyProtection="0">
      <alignment horizontal="left" vertical="center"/>
    </xf>
    <xf numFmtId="49" fontId="35" fillId="0" borderId="480" applyNumberFormat="0" applyFont="0" applyFill="0" applyBorder="0" applyProtection="0">
      <alignment horizontal="left" vertical="center" indent="5"/>
    </xf>
    <xf numFmtId="0" fontId="35" fillId="32" borderId="480">
      <alignment horizontal="left" vertical="center"/>
    </xf>
    <xf numFmtId="0" fontId="47" fillId="56" borderId="476" applyNumberFormat="0" applyAlignment="0" applyProtection="0"/>
    <xf numFmtId="4" fontId="33" fillId="34" borderId="481">
      <alignment horizontal="right" vertical="center"/>
    </xf>
    <xf numFmtId="0" fontId="59" fillId="43" borderId="476" applyNumberFormat="0" applyAlignment="0" applyProtection="0"/>
    <xf numFmtId="0" fontId="59" fillId="43" borderId="476" applyNumberFormat="0" applyAlignment="0" applyProtection="0"/>
    <xf numFmtId="0" fontId="41" fillId="59" borderId="478" applyNumberFormat="0" applyFont="0" applyAlignment="0" applyProtection="0"/>
    <xf numFmtId="0" fontId="63" fillId="56" borderId="475" applyNumberFormat="0" applyAlignment="0" applyProtection="0"/>
    <xf numFmtId="0" fontId="66" fillId="0" borderId="477" applyNumberFormat="0" applyFill="0" applyAlignment="0" applyProtection="0"/>
    <xf numFmtId="0" fontId="33" fillId="34" borderId="479">
      <alignment horizontal="right" vertical="center"/>
    </xf>
    <xf numFmtId="0" fontId="5" fillId="59" borderId="478" applyNumberFormat="0" applyFont="0" applyAlignment="0" applyProtection="0"/>
    <xf numFmtId="4" fontId="35" fillId="0" borderId="479">
      <alignment horizontal="right" vertical="center"/>
    </xf>
    <xf numFmtId="0" fontId="66" fillId="0" borderId="477" applyNumberFormat="0" applyFill="0" applyAlignment="0" applyProtection="0"/>
    <xf numFmtId="0" fontId="33" fillId="34" borderId="479">
      <alignment horizontal="right" vertical="center"/>
    </xf>
    <xf numFmtId="0" fontId="33" fillId="34" borderId="479">
      <alignment horizontal="right" vertical="center"/>
    </xf>
    <xf numFmtId="4" fontId="37" fillId="32" borderId="479">
      <alignment horizontal="right" vertical="center"/>
    </xf>
    <xf numFmtId="0" fontId="33" fillId="32" borderId="479">
      <alignment horizontal="right" vertical="center"/>
    </xf>
    <xf numFmtId="4" fontId="33" fillId="32" borderId="479">
      <alignment horizontal="right" vertical="center"/>
    </xf>
    <xf numFmtId="0" fontId="37" fillId="32" borderId="479">
      <alignment horizontal="right" vertical="center"/>
    </xf>
    <xf numFmtId="4" fontId="37" fillId="32" borderId="479">
      <alignment horizontal="right" vertical="center"/>
    </xf>
    <xf numFmtId="0" fontId="33" fillId="34" borderId="479">
      <alignment horizontal="right" vertical="center"/>
    </xf>
    <xf numFmtId="4" fontId="33" fillId="34" borderId="479">
      <alignment horizontal="right" vertical="center"/>
    </xf>
    <xf numFmtId="0" fontId="33" fillId="34" borderId="479">
      <alignment horizontal="right" vertical="center"/>
    </xf>
    <xf numFmtId="4" fontId="33" fillId="34" borderId="479">
      <alignment horizontal="right" vertical="center"/>
    </xf>
    <xf numFmtId="0" fontId="33" fillId="34" borderId="480">
      <alignment horizontal="right" vertical="center"/>
    </xf>
    <xf numFmtId="4" fontId="33" fillId="34" borderId="480">
      <alignment horizontal="right" vertical="center"/>
    </xf>
    <xf numFmtId="0" fontId="33" fillId="34" borderId="481">
      <alignment horizontal="right" vertical="center"/>
    </xf>
    <xf numFmtId="4" fontId="33" fillId="34" borderId="481">
      <alignment horizontal="right" vertical="center"/>
    </xf>
    <xf numFmtId="0" fontId="47" fillId="56" borderId="476" applyNumberFormat="0" applyAlignment="0" applyProtection="0"/>
    <xf numFmtId="0" fontId="35" fillId="34" borderId="482">
      <alignment horizontal="left" vertical="center" wrapText="1" indent="2"/>
    </xf>
    <xf numFmtId="0" fontId="35" fillId="0" borderId="482">
      <alignment horizontal="left" vertical="center" wrapText="1" indent="2"/>
    </xf>
    <xf numFmtId="0" fontId="35" fillId="32" borderId="480">
      <alignment horizontal="left" vertical="center"/>
    </xf>
    <xf numFmtId="0" fontId="59" fillId="43" borderId="476" applyNumberFormat="0" applyAlignment="0" applyProtection="0"/>
    <xf numFmtId="0" fontId="35" fillId="0" borderId="479">
      <alignment horizontal="right" vertical="center"/>
    </xf>
    <xf numFmtId="4" fontId="35" fillId="0" borderId="479">
      <alignment horizontal="right" vertical="center"/>
    </xf>
    <xf numFmtId="0" fontId="35" fillId="0" borderId="479" applyNumberFormat="0" applyFill="0" applyAlignment="0" applyProtection="0"/>
    <xf numFmtId="0" fontId="63" fillId="56" borderId="475" applyNumberFormat="0" applyAlignment="0" applyProtection="0"/>
    <xf numFmtId="173" fontId="35" fillId="60" borderId="479" applyNumberFormat="0" applyFont="0" applyBorder="0" applyAlignment="0" applyProtection="0">
      <alignment horizontal="right" vertical="center"/>
    </xf>
    <xf numFmtId="0" fontId="35" fillId="33" borderId="479"/>
    <xf numFmtId="4" fontId="35" fillId="33" borderId="479"/>
    <xf numFmtId="0" fontId="66" fillId="0" borderId="477" applyNumberFormat="0" applyFill="0" applyAlignment="0" applyProtection="0"/>
    <xf numFmtId="0" fontId="5" fillId="59" borderId="478" applyNumberFormat="0" applyFont="0" applyAlignment="0" applyProtection="0"/>
    <xf numFmtId="0" fontId="41" fillId="59" borderId="478" applyNumberFormat="0" applyFont="0" applyAlignment="0" applyProtection="0"/>
    <xf numFmtId="0" fontId="35" fillId="0" borderId="479" applyNumberFormat="0" applyFill="0" applyAlignment="0" applyProtection="0"/>
    <xf numFmtId="0" fontId="51" fillId="0" borderId="477" applyNumberFormat="0" applyFill="0" applyAlignment="0" applyProtection="0"/>
    <xf numFmtId="0" fontId="66" fillId="0" borderId="477" applyNumberFormat="0" applyFill="0" applyAlignment="0" applyProtection="0"/>
    <xf numFmtId="0" fontId="50" fillId="43" borderId="476" applyNumberFormat="0" applyAlignment="0" applyProtection="0"/>
    <xf numFmtId="0" fontId="47" fillId="56" borderId="476" applyNumberFormat="0" applyAlignment="0" applyProtection="0"/>
    <xf numFmtId="4" fontId="37" fillId="32" borderId="479">
      <alignment horizontal="right" vertical="center"/>
    </xf>
    <xf numFmtId="0" fontId="33" fillId="32" borderId="479">
      <alignment horizontal="right" vertical="center"/>
    </xf>
    <xf numFmtId="173" fontId="35" fillId="60" borderId="479" applyNumberFormat="0" applyFont="0" applyBorder="0" applyAlignment="0" applyProtection="0">
      <alignment horizontal="right" vertical="center"/>
    </xf>
    <xf numFmtId="0" fontId="51" fillId="0" borderId="477" applyNumberFormat="0" applyFill="0" applyAlignment="0" applyProtection="0"/>
    <xf numFmtId="49" fontId="35" fillId="0" borderId="479" applyNumberFormat="0" applyFont="0" applyFill="0" applyBorder="0" applyProtection="0">
      <alignment horizontal="left" vertical="center" indent="2"/>
    </xf>
    <xf numFmtId="49" fontId="35" fillId="0" borderId="480" applyNumberFormat="0" applyFont="0" applyFill="0" applyBorder="0" applyProtection="0">
      <alignment horizontal="left" vertical="center" indent="5"/>
    </xf>
    <xf numFmtId="49" fontId="35" fillId="0" borderId="479" applyNumberFormat="0" applyFont="0" applyFill="0" applyBorder="0" applyProtection="0">
      <alignment horizontal="left" vertical="center" indent="2"/>
    </xf>
    <xf numFmtId="4" fontId="35" fillId="0" borderId="479" applyFill="0" applyBorder="0" applyProtection="0">
      <alignment horizontal="right" vertical="center"/>
    </xf>
    <xf numFmtId="49" fontId="34" fillId="0" borderId="479" applyNumberFormat="0" applyFill="0" applyBorder="0" applyProtection="0">
      <alignment horizontal="left" vertical="center"/>
    </xf>
    <xf numFmtId="0" fontId="35" fillId="0" borderId="482">
      <alignment horizontal="left" vertical="center" wrapText="1" indent="2"/>
    </xf>
    <xf numFmtId="0" fontId="63" fillId="56" borderId="475" applyNumberFormat="0" applyAlignment="0" applyProtection="0"/>
    <xf numFmtId="0" fontId="33" fillId="34" borderId="481">
      <alignment horizontal="right" vertical="center"/>
    </xf>
    <xf numFmtId="0" fontId="50" fillId="43" borderId="476" applyNumberFormat="0" applyAlignment="0" applyProtection="0"/>
    <xf numFmtId="0" fontId="33" fillId="34" borderId="481">
      <alignment horizontal="right" vertical="center"/>
    </xf>
    <xf numFmtId="4" fontId="33" fillId="34" borderId="479">
      <alignment horizontal="right" vertical="center"/>
    </xf>
    <xf numFmtId="0" fontId="33" fillId="34" borderId="479">
      <alignment horizontal="right" vertical="center"/>
    </xf>
    <xf numFmtId="0" fontId="44" fillId="56" borderId="475" applyNumberFormat="0" applyAlignment="0" applyProtection="0"/>
    <xf numFmtId="0" fontId="46" fillId="56" borderId="476" applyNumberFormat="0" applyAlignment="0" applyProtection="0"/>
    <xf numFmtId="0" fontId="51" fillId="0" borderId="477" applyNumberFormat="0" applyFill="0" applyAlignment="0" applyProtection="0"/>
    <xf numFmtId="0" fontId="35" fillId="33" borderId="479"/>
    <xf numFmtId="4" fontId="35" fillId="33" borderId="479"/>
    <xf numFmtId="4" fontId="33" fillId="34" borderId="479">
      <alignment horizontal="right" vertical="center"/>
    </xf>
    <xf numFmtId="0" fontId="37" fillId="32" borderId="479">
      <alignment horizontal="right" vertical="center"/>
    </xf>
    <xf numFmtId="0" fontId="50" fillId="43" borderId="476" applyNumberFormat="0" applyAlignment="0" applyProtection="0"/>
    <xf numFmtId="0" fontId="47" fillId="56" borderId="476" applyNumberFormat="0" applyAlignment="0" applyProtection="0"/>
    <xf numFmtId="4" fontId="35" fillId="0" borderId="479">
      <alignment horizontal="right" vertical="center"/>
    </xf>
    <xf numFmtId="0" fontId="35" fillId="34" borderId="482">
      <alignment horizontal="left" vertical="center" wrapText="1" indent="2"/>
    </xf>
    <xf numFmtId="0" fontId="35" fillId="0" borderId="482">
      <alignment horizontal="left" vertical="center" wrapText="1" indent="2"/>
    </xf>
    <xf numFmtId="0" fontId="63" fillId="56" borderId="475" applyNumberFormat="0" applyAlignment="0" applyProtection="0"/>
    <xf numFmtId="0" fontId="59" fillId="43" borderId="476" applyNumberFormat="0" applyAlignment="0" applyProtection="0"/>
    <xf numFmtId="0" fontId="46" fillId="56" borderId="476" applyNumberFormat="0" applyAlignment="0" applyProtection="0"/>
    <xf numFmtId="0" fontId="44" fillId="56" borderId="475" applyNumberFormat="0" applyAlignment="0" applyProtection="0"/>
    <xf numFmtId="0" fontId="33" fillId="34" borderId="481">
      <alignment horizontal="right" vertical="center"/>
    </xf>
    <xf numFmtId="0" fontId="37" fillId="32" borderId="479">
      <alignment horizontal="right" vertical="center"/>
    </xf>
    <xf numFmtId="4" fontId="33" fillId="32" borderId="479">
      <alignment horizontal="right" vertical="center"/>
    </xf>
    <xf numFmtId="4" fontId="33" fillId="34" borderId="479">
      <alignment horizontal="right" vertical="center"/>
    </xf>
    <xf numFmtId="49" fontId="35" fillId="0" borderId="480" applyNumberFormat="0" applyFont="0" applyFill="0" applyBorder="0" applyProtection="0">
      <alignment horizontal="left" vertical="center" indent="5"/>
    </xf>
    <xf numFmtId="4" fontId="35" fillId="0" borderId="479" applyFill="0" applyBorder="0" applyProtection="0">
      <alignment horizontal="right" vertical="center"/>
    </xf>
    <xf numFmtId="4" fontId="33" fillId="32" borderId="479">
      <alignment horizontal="right" vertical="center"/>
    </xf>
    <xf numFmtId="4" fontId="35" fillId="0" borderId="494" applyFill="0" applyBorder="0" applyProtection="0">
      <alignment horizontal="right" vertical="center"/>
    </xf>
    <xf numFmtId="0" fontId="59" fillId="43" borderId="476" applyNumberFormat="0" applyAlignment="0" applyProtection="0"/>
    <xf numFmtId="0" fontId="50" fillId="43" borderId="476" applyNumberFormat="0" applyAlignment="0" applyProtection="0"/>
    <xf numFmtId="0" fontId="46" fillId="56" borderId="476" applyNumberFormat="0" applyAlignment="0" applyProtection="0"/>
    <xf numFmtId="0" fontId="35" fillId="34" borderId="482">
      <alignment horizontal="left" vertical="center" wrapText="1" indent="2"/>
    </xf>
    <xf numFmtId="0" fontId="35" fillId="0" borderId="482">
      <alignment horizontal="left" vertical="center" wrapText="1" indent="2"/>
    </xf>
    <xf numFmtId="0" fontId="35" fillId="34" borderId="482">
      <alignment horizontal="left" vertical="center" wrapText="1" indent="2"/>
    </xf>
    <xf numFmtId="0" fontId="35" fillId="0" borderId="482">
      <alignment horizontal="left" vertical="center" wrapText="1" indent="2"/>
    </xf>
    <xf numFmtId="0" fontId="44" fillId="56" borderId="475" applyNumberFormat="0" applyAlignment="0" applyProtection="0"/>
    <xf numFmtId="0" fontId="46" fillId="56" borderId="476" applyNumberFormat="0" applyAlignment="0" applyProtection="0"/>
    <xf numFmtId="0" fontId="47" fillId="56" borderId="476" applyNumberFormat="0" applyAlignment="0" applyProtection="0"/>
    <xf numFmtId="0" fontId="50" fillId="43" borderId="476" applyNumberFormat="0" applyAlignment="0" applyProtection="0"/>
    <xf numFmtId="0" fontId="51" fillId="0" borderId="477" applyNumberFormat="0" applyFill="0" applyAlignment="0" applyProtection="0"/>
    <xf numFmtId="0" fontId="59" fillId="43" borderId="476" applyNumberFormat="0" applyAlignment="0" applyProtection="0"/>
    <xf numFmtId="0" fontId="41" fillId="59" borderId="478" applyNumberFormat="0" applyFont="0" applyAlignment="0" applyProtection="0"/>
    <xf numFmtId="0" fontId="5" fillId="59" borderId="478" applyNumberFormat="0" applyFont="0" applyAlignment="0" applyProtection="0"/>
    <xf numFmtId="0" fontId="63" fillId="56" borderId="475" applyNumberFormat="0" applyAlignment="0" applyProtection="0"/>
    <xf numFmtId="0" fontId="66" fillId="0" borderId="477" applyNumberFormat="0" applyFill="0" applyAlignment="0" applyProtection="0"/>
    <xf numFmtId="0" fontId="47" fillId="56" borderId="476" applyNumberFormat="0" applyAlignment="0" applyProtection="0"/>
    <xf numFmtId="0" fontId="59" fillId="43" borderId="476" applyNumberFormat="0" applyAlignment="0" applyProtection="0"/>
    <xf numFmtId="0" fontId="41" fillId="59" borderId="478" applyNumberFormat="0" applyFont="0" applyAlignment="0" applyProtection="0"/>
    <xf numFmtId="0" fontId="63" fillId="56" borderId="475" applyNumberFormat="0" applyAlignment="0" applyProtection="0"/>
    <xf numFmtId="0" fontId="66" fillId="0" borderId="477" applyNumberFormat="0" applyFill="0" applyAlignment="0" applyProtection="0"/>
    <xf numFmtId="0" fontId="27" fillId="17" borderId="0" applyNumberFormat="0" applyBorder="0" applyAlignment="0" applyProtection="0"/>
    <xf numFmtId="0" fontId="47" fillId="56" borderId="476" applyNumberFormat="0" applyAlignment="0" applyProtection="0"/>
    <xf numFmtId="0" fontId="33" fillId="34" borderId="485">
      <alignment horizontal="right" vertical="center"/>
    </xf>
    <xf numFmtId="4" fontId="37" fillId="32" borderId="484">
      <alignment horizontal="right" vertical="center"/>
    </xf>
    <xf numFmtId="0" fontId="59" fillId="43" borderId="476" applyNumberFormat="0" applyAlignment="0" applyProtection="0"/>
    <xf numFmtId="0" fontId="63" fillId="56" borderId="475" applyNumberFormat="0" applyAlignment="0" applyProtection="0"/>
    <xf numFmtId="0" fontId="66" fillId="0" borderId="477" applyNumberFormat="0" applyFill="0" applyAlignment="0" applyProtection="0"/>
    <xf numFmtId="0" fontId="33" fillId="34" borderId="494">
      <alignment horizontal="right" vertical="center"/>
    </xf>
    <xf numFmtId="0" fontId="44" fillId="56" borderId="475" applyNumberFormat="0" applyAlignment="0" applyProtection="0"/>
    <xf numFmtId="0" fontId="46" fillId="56" borderId="476" applyNumberFormat="0" applyAlignment="0" applyProtection="0"/>
    <xf numFmtId="0" fontId="51" fillId="0" borderId="477" applyNumberFormat="0" applyFill="0" applyAlignment="0" applyProtection="0"/>
    <xf numFmtId="49" fontId="35" fillId="0" borderId="479" applyNumberFormat="0" applyFont="0" applyFill="0" applyBorder="0" applyProtection="0">
      <alignment horizontal="left" vertical="center" indent="2"/>
    </xf>
    <xf numFmtId="0" fontId="33" fillId="32" borderId="479">
      <alignment horizontal="right" vertical="center"/>
    </xf>
    <xf numFmtId="4" fontId="33" fillId="32" borderId="479">
      <alignment horizontal="right" vertical="center"/>
    </xf>
    <xf numFmtId="0" fontId="37" fillId="32" borderId="479">
      <alignment horizontal="right" vertical="center"/>
    </xf>
    <xf numFmtId="4" fontId="37" fillId="32" borderId="479">
      <alignment horizontal="right" vertical="center"/>
    </xf>
    <xf numFmtId="0" fontId="33" fillId="34" borderId="479">
      <alignment horizontal="right" vertical="center"/>
    </xf>
    <xf numFmtId="4" fontId="33" fillId="34" borderId="479">
      <alignment horizontal="right" vertical="center"/>
    </xf>
    <xf numFmtId="0" fontId="33" fillId="34" borderId="479">
      <alignment horizontal="right" vertical="center"/>
    </xf>
    <xf numFmtId="4" fontId="33" fillId="34" borderId="479">
      <alignment horizontal="right" vertical="center"/>
    </xf>
    <xf numFmtId="0" fontId="50" fillId="43" borderId="476" applyNumberFormat="0" applyAlignment="0" applyProtection="0"/>
    <xf numFmtId="0" fontId="35" fillId="0" borderId="479">
      <alignment horizontal="right" vertical="center"/>
    </xf>
    <xf numFmtId="4" fontId="35" fillId="0" borderId="479">
      <alignment horizontal="right" vertical="center"/>
    </xf>
    <xf numFmtId="4" fontId="35" fillId="0" borderId="479" applyFill="0" applyBorder="0" applyProtection="0">
      <alignment horizontal="right" vertical="center"/>
    </xf>
    <xf numFmtId="49" fontId="34" fillId="0" borderId="479" applyNumberFormat="0" applyFill="0" applyBorder="0" applyProtection="0">
      <alignment horizontal="left" vertical="center"/>
    </xf>
    <xf numFmtId="0" fontId="35" fillId="0" borderId="479" applyNumberFormat="0" applyFill="0" applyAlignment="0" applyProtection="0"/>
    <xf numFmtId="173" fontId="35" fillId="60" borderId="479" applyNumberFormat="0" applyFont="0" applyBorder="0" applyAlignment="0" applyProtection="0">
      <alignment horizontal="right" vertical="center"/>
    </xf>
    <xf numFmtId="0" fontId="35" fillId="33" borderId="479"/>
    <xf numFmtId="4" fontId="35" fillId="33" borderId="479"/>
    <xf numFmtId="4" fontId="33" fillId="34" borderId="479">
      <alignment horizontal="right" vertical="center"/>
    </xf>
    <xf numFmtId="0" fontId="35" fillId="33" borderId="479"/>
    <xf numFmtId="0" fontId="46" fillId="56" borderId="476" applyNumberFormat="0" applyAlignment="0" applyProtection="0"/>
    <xf numFmtId="0" fontId="33" fillId="32" borderId="479">
      <alignment horizontal="right" vertical="center"/>
    </xf>
    <xf numFmtId="0" fontId="35" fillId="0" borderId="479">
      <alignment horizontal="right" vertical="center"/>
    </xf>
    <xf numFmtId="0" fontId="66" fillId="0" borderId="477" applyNumberFormat="0" applyFill="0" applyAlignment="0" applyProtection="0"/>
    <xf numFmtId="0" fontId="35" fillId="32" borderId="480">
      <alignment horizontal="left" vertical="center"/>
    </xf>
    <xf numFmtId="0" fontId="59" fillId="43" borderId="476" applyNumberFormat="0" applyAlignment="0" applyProtection="0"/>
    <xf numFmtId="173" fontId="35" fillId="60" borderId="479" applyNumberFormat="0" applyFont="0" applyBorder="0" applyAlignment="0" applyProtection="0">
      <alignment horizontal="right" vertical="center"/>
    </xf>
    <xf numFmtId="0" fontId="41" fillId="59" borderId="478" applyNumberFormat="0" applyFont="0" applyAlignment="0" applyProtection="0"/>
    <xf numFmtId="0" fontId="35" fillId="0" borderId="482">
      <alignment horizontal="left" vertical="center" wrapText="1" indent="2"/>
    </xf>
    <xf numFmtId="4" fontId="35" fillId="33" borderId="479"/>
    <xf numFmtId="49" fontId="34" fillId="0" borderId="479" applyNumberFormat="0" applyFill="0" applyBorder="0" applyProtection="0">
      <alignment horizontal="left" vertical="center"/>
    </xf>
    <xf numFmtId="0" fontId="35" fillId="0" borderId="479">
      <alignment horizontal="right" vertical="center"/>
    </xf>
    <xf numFmtId="4" fontId="33" fillId="34" borderId="481">
      <alignment horizontal="right" vertical="center"/>
    </xf>
    <xf numFmtId="4" fontId="33" fillId="34" borderId="479">
      <alignment horizontal="right" vertical="center"/>
    </xf>
    <xf numFmtId="4" fontId="33" fillId="34" borderId="479">
      <alignment horizontal="right" vertical="center"/>
    </xf>
    <xf numFmtId="0" fontId="37" fillId="32" borderId="479">
      <alignment horizontal="right" vertical="center"/>
    </xf>
    <xf numFmtId="0" fontId="33" fillId="32" borderId="479">
      <alignment horizontal="right" vertical="center"/>
    </xf>
    <xf numFmtId="49" fontId="35" fillId="0" borderId="479" applyNumberFormat="0" applyFont="0" applyFill="0" applyBorder="0" applyProtection="0">
      <alignment horizontal="left" vertical="center" indent="2"/>
    </xf>
    <xf numFmtId="0" fontId="59" fillId="43" borderId="476" applyNumberFormat="0" applyAlignment="0" applyProtection="0"/>
    <xf numFmtId="0" fontId="44" fillId="56" borderId="475" applyNumberFormat="0" applyAlignment="0" applyProtection="0"/>
    <xf numFmtId="49" fontId="35" fillId="0" borderId="479" applyNumberFormat="0" applyFont="0" applyFill="0" applyBorder="0" applyProtection="0">
      <alignment horizontal="left" vertical="center" indent="2"/>
    </xf>
    <xf numFmtId="0" fontId="50" fillId="43" borderId="476" applyNumberFormat="0" applyAlignment="0" applyProtection="0"/>
    <xf numFmtId="4" fontId="35" fillId="0" borderId="479" applyFill="0" applyBorder="0" applyProtection="0">
      <alignment horizontal="right" vertical="center"/>
    </xf>
    <xf numFmtId="0" fontId="47" fillId="56" borderId="476" applyNumberFormat="0" applyAlignment="0" applyProtection="0"/>
    <xf numFmtId="0" fontId="66" fillId="0" borderId="477" applyNumberFormat="0" applyFill="0" applyAlignment="0" applyProtection="0"/>
    <xf numFmtId="0" fontId="63" fillId="56" borderId="475" applyNumberFormat="0" applyAlignment="0" applyProtection="0"/>
    <xf numFmtId="0" fontId="35" fillId="0" borderId="479" applyNumberFormat="0" applyFill="0" applyAlignment="0" applyProtection="0"/>
    <xf numFmtId="4" fontId="35" fillId="0" borderId="479">
      <alignment horizontal="right" vertical="center"/>
    </xf>
    <xf numFmtId="0" fontId="35" fillId="0" borderId="479">
      <alignment horizontal="right" vertical="center"/>
    </xf>
    <xf numFmtId="0" fontId="59" fillId="43" borderId="476" applyNumberFormat="0" applyAlignment="0" applyProtection="0"/>
    <xf numFmtId="0" fontId="44" fillId="56" borderId="475" applyNumberFormat="0" applyAlignment="0" applyProtection="0"/>
    <xf numFmtId="0" fontId="46" fillId="56" borderId="476" applyNumberFormat="0" applyAlignment="0" applyProtection="0"/>
    <xf numFmtId="0" fontId="35" fillId="34" borderId="482">
      <alignment horizontal="left" vertical="center" wrapText="1" indent="2"/>
    </xf>
    <xf numFmtId="0" fontId="47" fillId="56" borderId="476" applyNumberFormat="0" applyAlignment="0" applyProtection="0"/>
    <xf numFmtId="0" fontId="47" fillId="56" borderId="476" applyNumberFormat="0" applyAlignment="0" applyProtection="0"/>
    <xf numFmtId="4" fontId="33" fillId="34" borderId="480">
      <alignment horizontal="right" vertical="center"/>
    </xf>
    <xf numFmtId="0" fontId="33" fillId="34" borderId="480">
      <alignment horizontal="right" vertical="center"/>
    </xf>
    <xf numFmtId="0" fontId="33" fillId="34" borderId="479">
      <alignment horizontal="right" vertical="center"/>
    </xf>
    <xf numFmtId="4" fontId="37" fillId="32" borderId="479">
      <alignment horizontal="right" vertical="center"/>
    </xf>
    <xf numFmtId="0" fontId="50" fillId="43" borderId="476" applyNumberFormat="0" applyAlignment="0" applyProtection="0"/>
    <xf numFmtId="0" fontId="51" fillId="0" borderId="477" applyNumberFormat="0" applyFill="0" applyAlignment="0" applyProtection="0"/>
    <xf numFmtId="0" fontId="66" fillId="0" borderId="477" applyNumberFormat="0" applyFill="0" applyAlignment="0" applyProtection="0"/>
    <xf numFmtId="0" fontId="41" fillId="59" borderId="478" applyNumberFormat="0" applyFont="0" applyAlignment="0" applyProtection="0"/>
    <xf numFmtId="0" fontId="59" fillId="43" borderId="476" applyNumberFormat="0" applyAlignment="0" applyProtection="0"/>
    <xf numFmtId="49" fontId="34" fillId="0" borderId="479" applyNumberFormat="0" applyFill="0" applyBorder="0" applyProtection="0">
      <alignment horizontal="left" vertical="center"/>
    </xf>
    <xf numFmtId="0" fontId="35" fillId="34" borderId="482">
      <alignment horizontal="left" vertical="center" wrapText="1" indent="2"/>
    </xf>
    <xf numFmtId="0" fontId="47" fillId="56" borderId="476" applyNumberFormat="0" applyAlignment="0" applyProtection="0"/>
    <xf numFmtId="0" fontId="35" fillId="0" borderId="482">
      <alignment horizontal="left" vertical="center" wrapText="1" indent="2"/>
    </xf>
    <xf numFmtId="0" fontId="41" fillId="59" borderId="478" applyNumberFormat="0" applyFont="0" applyAlignment="0" applyProtection="0"/>
    <xf numFmtId="0" fontId="5" fillId="59" borderId="478" applyNumberFormat="0" applyFont="0" applyAlignment="0" applyProtection="0"/>
    <xf numFmtId="0" fontId="63" fillId="56" borderId="475" applyNumberFormat="0" applyAlignment="0" applyProtection="0"/>
    <xf numFmtId="0" fontId="66" fillId="0" borderId="477" applyNumberFormat="0" applyFill="0" applyAlignment="0" applyProtection="0"/>
    <xf numFmtId="4" fontId="35" fillId="33" borderId="479"/>
    <xf numFmtId="0" fontId="33" fillId="34" borderId="479">
      <alignment horizontal="right" vertical="center"/>
    </xf>
    <xf numFmtId="0" fontId="66" fillId="0" borderId="477" applyNumberFormat="0" applyFill="0" applyAlignment="0" applyProtection="0"/>
    <xf numFmtId="4" fontId="33" fillId="34" borderId="481">
      <alignment horizontal="right" vertical="center"/>
    </xf>
    <xf numFmtId="0" fontId="46" fillId="56" borderId="476" applyNumberFormat="0" applyAlignment="0" applyProtection="0"/>
    <xf numFmtId="0" fontId="33" fillId="34" borderId="480">
      <alignment horizontal="right" vertical="center"/>
    </xf>
    <xf numFmtId="0" fontId="47" fillId="56" borderId="476" applyNumberFormat="0" applyAlignment="0" applyProtection="0"/>
    <xf numFmtId="0" fontId="51" fillId="0" borderId="477" applyNumberFormat="0" applyFill="0" applyAlignment="0" applyProtection="0"/>
    <xf numFmtId="0" fontId="41" fillId="59" borderId="478" applyNumberFormat="0" applyFont="0" applyAlignment="0" applyProtection="0"/>
    <xf numFmtId="4" fontId="33" fillId="34" borderId="480">
      <alignment horizontal="right" vertical="center"/>
    </xf>
    <xf numFmtId="0" fontId="35" fillId="34" borderId="482">
      <alignment horizontal="left" vertical="center" wrapText="1" indent="2"/>
    </xf>
    <xf numFmtId="0" fontId="35" fillId="33" borderId="479"/>
    <xf numFmtId="173" fontId="35" fillId="60" borderId="479" applyNumberFormat="0" applyFont="0" applyBorder="0" applyAlignment="0" applyProtection="0">
      <alignment horizontal="right" vertical="center"/>
    </xf>
    <xf numFmtId="0" fontId="35" fillId="0" borderId="479" applyNumberFormat="0" applyFill="0" applyAlignment="0" applyProtection="0"/>
    <xf numFmtId="4" fontId="35" fillId="0" borderId="479" applyFill="0" applyBorder="0" applyProtection="0">
      <alignment horizontal="right" vertical="center"/>
    </xf>
    <xf numFmtId="4" fontId="33" fillId="32" borderId="479">
      <alignment horizontal="right" vertical="center"/>
    </xf>
    <xf numFmtId="0" fontId="51" fillId="0" borderId="477" applyNumberFormat="0" applyFill="0" applyAlignment="0" applyProtection="0"/>
    <xf numFmtId="49" fontId="34" fillId="0" borderId="479" applyNumberFormat="0" applyFill="0" applyBorder="0" applyProtection="0">
      <alignment horizontal="left" vertical="center"/>
    </xf>
    <xf numFmtId="49" fontId="35" fillId="0" borderId="480" applyNumberFormat="0" applyFont="0" applyFill="0" applyBorder="0" applyProtection="0">
      <alignment horizontal="left" vertical="center" indent="5"/>
    </xf>
    <xf numFmtId="0" fontId="35" fillId="32" borderId="480">
      <alignment horizontal="left" vertical="center"/>
    </xf>
    <xf numFmtId="0" fontId="47" fillId="56" borderId="476" applyNumberFormat="0" applyAlignment="0" applyProtection="0"/>
    <xf numFmtId="4" fontId="33" fillId="34" borderId="481">
      <alignment horizontal="right" vertical="center"/>
    </xf>
    <xf numFmtId="0" fontId="59" fillId="43" borderId="476" applyNumberFormat="0" applyAlignment="0" applyProtection="0"/>
    <xf numFmtId="0" fontId="59" fillId="43" borderId="476" applyNumberFormat="0" applyAlignment="0" applyProtection="0"/>
    <xf numFmtId="0" fontId="41" fillId="59" borderId="478" applyNumberFormat="0" applyFont="0" applyAlignment="0" applyProtection="0"/>
    <xf numFmtId="0" fontId="63" fillId="56" borderId="475" applyNumberFormat="0" applyAlignment="0" applyProtection="0"/>
    <xf numFmtId="0" fontId="66" fillId="0" borderId="477" applyNumberFormat="0" applyFill="0" applyAlignment="0" applyProtection="0"/>
    <xf numFmtId="0" fontId="33" fillId="34" borderId="479">
      <alignment horizontal="right" vertical="center"/>
    </xf>
    <xf numFmtId="0" fontId="5" fillId="59" borderId="478" applyNumberFormat="0" applyFont="0" applyAlignment="0" applyProtection="0"/>
    <xf numFmtId="4" fontId="35" fillId="0" borderId="479">
      <alignment horizontal="right" vertical="center"/>
    </xf>
    <xf numFmtId="0" fontId="66" fillId="0" borderId="477" applyNumberFormat="0" applyFill="0" applyAlignment="0" applyProtection="0"/>
    <xf numFmtId="0" fontId="33" fillId="34" borderId="479">
      <alignment horizontal="right" vertical="center"/>
    </xf>
    <xf numFmtId="0" fontId="33" fillId="34" borderId="479">
      <alignment horizontal="right" vertical="center"/>
    </xf>
    <xf numFmtId="4" fontId="37" fillId="32" borderId="479">
      <alignment horizontal="right" vertical="center"/>
    </xf>
    <xf numFmtId="0" fontId="33" fillId="32" borderId="479">
      <alignment horizontal="right" vertical="center"/>
    </xf>
    <xf numFmtId="4" fontId="33" fillId="32" borderId="479">
      <alignment horizontal="right" vertical="center"/>
    </xf>
    <xf numFmtId="0" fontId="37" fillId="32" borderId="479">
      <alignment horizontal="right" vertical="center"/>
    </xf>
    <xf numFmtId="4" fontId="37" fillId="32" borderId="479">
      <alignment horizontal="right" vertical="center"/>
    </xf>
    <xf numFmtId="0" fontId="33" fillId="34" borderId="479">
      <alignment horizontal="right" vertical="center"/>
    </xf>
    <xf numFmtId="4" fontId="33" fillId="34" borderId="479">
      <alignment horizontal="right" vertical="center"/>
    </xf>
    <xf numFmtId="0" fontId="33" fillId="34" borderId="479">
      <alignment horizontal="right" vertical="center"/>
    </xf>
    <xf numFmtId="4" fontId="33" fillId="34" borderId="479">
      <alignment horizontal="right" vertical="center"/>
    </xf>
    <xf numFmtId="0" fontId="33" fillId="34" borderId="480">
      <alignment horizontal="right" vertical="center"/>
    </xf>
    <xf numFmtId="4" fontId="33" fillId="34" borderId="480">
      <alignment horizontal="right" vertical="center"/>
    </xf>
    <xf numFmtId="0" fontId="33" fillId="34" borderId="481">
      <alignment horizontal="right" vertical="center"/>
    </xf>
    <xf numFmtId="4" fontId="33" fillId="34" borderId="481">
      <alignment horizontal="right" vertical="center"/>
    </xf>
    <xf numFmtId="0" fontId="47" fillId="56" borderId="476" applyNumberFormat="0" applyAlignment="0" applyProtection="0"/>
    <xf numFmtId="0" fontId="35" fillId="34" borderId="482">
      <alignment horizontal="left" vertical="center" wrapText="1" indent="2"/>
    </xf>
    <xf numFmtId="0" fontId="35" fillId="0" borderId="482">
      <alignment horizontal="left" vertical="center" wrapText="1" indent="2"/>
    </xf>
    <xf numFmtId="0" fontId="35" fillId="32" borderId="480">
      <alignment horizontal="left" vertical="center"/>
    </xf>
    <xf numFmtId="0" fontId="59" fillId="43" borderId="476" applyNumberFormat="0" applyAlignment="0" applyProtection="0"/>
    <xf numFmtId="0" fontId="35" fillId="0" borderId="479">
      <alignment horizontal="right" vertical="center"/>
    </xf>
    <xf numFmtId="4" fontId="35" fillId="0" borderId="479">
      <alignment horizontal="right" vertical="center"/>
    </xf>
    <xf numFmtId="0" fontId="35" fillId="0" borderId="479" applyNumberFormat="0" applyFill="0" applyAlignment="0" applyProtection="0"/>
    <xf numFmtId="0" fontId="63" fillId="56" borderId="475" applyNumberFormat="0" applyAlignment="0" applyProtection="0"/>
    <xf numFmtId="173" fontId="35" fillId="60" borderId="479" applyNumberFormat="0" applyFont="0" applyBorder="0" applyAlignment="0" applyProtection="0">
      <alignment horizontal="right" vertical="center"/>
    </xf>
    <xf numFmtId="0" fontId="35" fillId="33" borderId="479"/>
    <xf numFmtId="4" fontId="35" fillId="33" borderId="479"/>
    <xf numFmtId="0" fontId="66" fillId="0" borderId="477" applyNumberFormat="0" applyFill="0" applyAlignment="0" applyProtection="0"/>
    <xf numFmtId="0" fontId="5" fillId="59" borderId="478" applyNumberFormat="0" applyFont="0" applyAlignment="0" applyProtection="0"/>
    <xf numFmtId="0" fontId="41" fillId="59" borderId="478" applyNumberFormat="0" applyFont="0" applyAlignment="0" applyProtection="0"/>
    <xf numFmtId="0" fontId="35" fillId="0" borderId="479" applyNumberFormat="0" applyFill="0" applyAlignment="0" applyProtection="0"/>
    <xf numFmtId="0" fontId="51" fillId="0" borderId="477" applyNumberFormat="0" applyFill="0" applyAlignment="0" applyProtection="0"/>
    <xf numFmtId="0" fontId="66" fillId="0" borderId="477" applyNumberFormat="0" applyFill="0" applyAlignment="0" applyProtection="0"/>
    <xf numFmtId="0" fontId="50" fillId="43" borderId="476" applyNumberFormat="0" applyAlignment="0" applyProtection="0"/>
    <xf numFmtId="0" fontId="47" fillId="56" borderId="476" applyNumberFormat="0" applyAlignment="0" applyProtection="0"/>
    <xf numFmtId="4" fontId="37" fillId="32" borderId="479">
      <alignment horizontal="right" vertical="center"/>
    </xf>
    <xf numFmtId="0" fontId="33" fillId="32" borderId="479">
      <alignment horizontal="right" vertical="center"/>
    </xf>
    <xf numFmtId="173" fontId="35" fillId="60" borderId="479" applyNumberFormat="0" applyFont="0" applyBorder="0" applyAlignment="0" applyProtection="0">
      <alignment horizontal="right" vertical="center"/>
    </xf>
    <xf numFmtId="0" fontId="51" fillId="0" borderId="477" applyNumberFormat="0" applyFill="0" applyAlignment="0" applyProtection="0"/>
    <xf numFmtId="49" fontId="35" fillId="0" borderId="479" applyNumberFormat="0" applyFont="0" applyFill="0" applyBorder="0" applyProtection="0">
      <alignment horizontal="left" vertical="center" indent="2"/>
    </xf>
    <xf numFmtId="49" fontId="35" fillId="0" borderId="480" applyNumberFormat="0" applyFont="0" applyFill="0" applyBorder="0" applyProtection="0">
      <alignment horizontal="left" vertical="center" indent="5"/>
    </xf>
    <xf numFmtId="49" fontId="35" fillId="0" borderId="479" applyNumberFormat="0" applyFont="0" applyFill="0" applyBorder="0" applyProtection="0">
      <alignment horizontal="left" vertical="center" indent="2"/>
    </xf>
    <xf numFmtId="4" fontId="35" fillId="0" borderId="479" applyFill="0" applyBorder="0" applyProtection="0">
      <alignment horizontal="right" vertical="center"/>
    </xf>
    <xf numFmtId="49" fontId="34" fillId="0" borderId="479" applyNumberFormat="0" applyFill="0" applyBorder="0" applyProtection="0">
      <alignment horizontal="left" vertical="center"/>
    </xf>
    <xf numFmtId="0" fontId="35" fillId="0" borderId="482">
      <alignment horizontal="left" vertical="center" wrapText="1" indent="2"/>
    </xf>
    <xf numFmtId="0" fontId="63" fillId="56" borderId="475" applyNumberFormat="0" applyAlignment="0" applyProtection="0"/>
    <xf numFmtId="0" fontId="33" fillId="34" borderId="481">
      <alignment horizontal="right" vertical="center"/>
    </xf>
    <xf numFmtId="0" fontId="50" fillId="43" borderId="476" applyNumberFormat="0" applyAlignment="0" applyProtection="0"/>
    <xf numFmtId="0" fontId="33" fillId="34" borderId="481">
      <alignment horizontal="right" vertical="center"/>
    </xf>
    <xf numFmtId="4" fontId="33" fillId="34" borderId="479">
      <alignment horizontal="right" vertical="center"/>
    </xf>
    <xf numFmtId="0" fontId="33" fillId="34" borderId="479">
      <alignment horizontal="right" vertical="center"/>
    </xf>
    <xf numFmtId="0" fontId="44" fillId="56" borderId="475" applyNumberFormat="0" applyAlignment="0" applyProtection="0"/>
    <xf numFmtId="0" fontId="46" fillId="56" borderId="476" applyNumberFormat="0" applyAlignment="0" applyProtection="0"/>
    <xf numFmtId="0" fontId="51" fillId="0" borderId="477" applyNumberFormat="0" applyFill="0" applyAlignment="0" applyProtection="0"/>
    <xf numFmtId="0" fontId="35" fillId="33" borderId="479"/>
    <xf numFmtId="4" fontId="35" fillId="33" borderId="479"/>
    <xf numFmtId="4" fontId="33" fillId="34" borderId="479">
      <alignment horizontal="right" vertical="center"/>
    </xf>
    <xf numFmtId="0" fontId="37" fillId="32" borderId="479">
      <alignment horizontal="right" vertical="center"/>
    </xf>
    <xf numFmtId="0" fontId="50" fillId="43" borderId="476" applyNumberFormat="0" applyAlignment="0" applyProtection="0"/>
    <xf numFmtId="0" fontId="47" fillId="56" borderId="476" applyNumberFormat="0" applyAlignment="0" applyProtection="0"/>
    <xf numFmtId="4" fontId="35" fillId="0" borderId="479">
      <alignment horizontal="right" vertical="center"/>
    </xf>
    <xf numFmtId="0" fontId="35" fillId="34" borderId="482">
      <alignment horizontal="left" vertical="center" wrapText="1" indent="2"/>
    </xf>
    <xf numFmtId="0" fontId="35" fillId="0" borderId="482">
      <alignment horizontal="left" vertical="center" wrapText="1" indent="2"/>
    </xf>
    <xf numFmtId="0" fontId="63" fillId="56" borderId="475" applyNumberFormat="0" applyAlignment="0" applyProtection="0"/>
    <xf numFmtId="0" fontId="59" fillId="43" borderId="476" applyNumberFormat="0" applyAlignment="0" applyProtection="0"/>
    <xf numFmtId="0" fontId="46" fillId="56" borderId="476" applyNumberFormat="0" applyAlignment="0" applyProtection="0"/>
    <xf numFmtId="0" fontId="44" fillId="56" borderId="475" applyNumberFormat="0" applyAlignment="0" applyProtection="0"/>
    <xf numFmtId="0" fontId="33" fillId="34" borderId="481">
      <alignment horizontal="right" vertical="center"/>
    </xf>
    <xf numFmtId="0" fontId="37" fillId="32" borderId="479">
      <alignment horizontal="right" vertical="center"/>
    </xf>
    <xf numFmtId="4" fontId="33" fillId="32" borderId="479">
      <alignment horizontal="right" vertical="center"/>
    </xf>
    <xf numFmtId="4" fontId="33" fillId="34" borderId="479">
      <alignment horizontal="right" vertical="center"/>
    </xf>
    <xf numFmtId="49" fontId="35" fillId="0" borderId="480" applyNumberFormat="0" applyFont="0" applyFill="0" applyBorder="0" applyProtection="0">
      <alignment horizontal="left" vertical="center" indent="5"/>
    </xf>
    <xf numFmtId="4" fontId="35" fillId="0" borderId="479" applyFill="0" applyBorder="0" applyProtection="0">
      <alignment horizontal="right" vertical="center"/>
    </xf>
    <xf numFmtId="4" fontId="33" fillId="32" borderId="479">
      <alignment horizontal="right" vertical="center"/>
    </xf>
    <xf numFmtId="0" fontId="59" fillId="43" borderId="476" applyNumberFormat="0" applyAlignment="0" applyProtection="0"/>
    <xf numFmtId="0" fontId="50" fillId="43" borderId="476" applyNumberFormat="0" applyAlignment="0" applyProtection="0"/>
    <xf numFmtId="0" fontId="46" fillId="56" borderId="476" applyNumberFormat="0" applyAlignment="0" applyProtection="0"/>
    <xf numFmtId="0" fontId="35" fillId="34" borderId="482">
      <alignment horizontal="left" vertical="center" wrapText="1" indent="2"/>
    </xf>
    <xf numFmtId="0" fontId="35" fillId="0" borderId="482">
      <alignment horizontal="left" vertical="center" wrapText="1" indent="2"/>
    </xf>
    <xf numFmtId="0" fontId="35" fillId="34" borderId="482">
      <alignment horizontal="left" vertical="center" wrapText="1" indent="2"/>
    </xf>
    <xf numFmtId="0" fontId="33" fillId="34" borderId="484">
      <alignment horizontal="right" vertical="center"/>
    </xf>
    <xf numFmtId="0" fontId="27" fillId="15" borderId="0" applyNumberFormat="0" applyBorder="0" applyAlignment="0" applyProtection="0"/>
    <xf numFmtId="49" fontId="34" fillId="0" borderId="494" applyNumberFormat="0" applyFill="0" applyBorder="0" applyProtection="0">
      <alignment horizontal="left" vertical="center"/>
    </xf>
    <xf numFmtId="173" fontId="35" fillId="60" borderId="494" applyNumberFormat="0" applyFont="0" applyBorder="0" applyAlignment="0" applyProtection="0">
      <alignment horizontal="right" vertical="center"/>
    </xf>
    <xf numFmtId="0" fontId="46" fillId="56" borderId="491" applyNumberFormat="0" applyAlignment="0" applyProtection="0"/>
    <xf numFmtId="0" fontId="35" fillId="33" borderId="494"/>
    <xf numFmtId="0" fontId="44" fillId="56" borderId="498" applyNumberFormat="0" applyAlignment="0" applyProtection="0"/>
    <xf numFmtId="0" fontId="47" fillId="56" borderId="491" applyNumberFormat="0" applyAlignment="0" applyProtection="0"/>
    <xf numFmtId="0" fontId="35" fillId="0" borderId="494">
      <alignment horizontal="right" vertical="center"/>
    </xf>
    <xf numFmtId="0" fontId="66" fillId="0" borderId="492" applyNumberFormat="0" applyFill="0" applyAlignment="0" applyProtection="0"/>
    <xf numFmtId="4" fontId="33" fillId="34" borderId="495">
      <alignment horizontal="right" vertical="center"/>
    </xf>
    <xf numFmtId="49" fontId="34" fillId="0" borderId="494" applyNumberFormat="0" applyFill="0" applyBorder="0" applyProtection="0">
      <alignment horizontal="left" vertical="center"/>
    </xf>
    <xf numFmtId="0" fontId="47" fillId="56" borderId="491" applyNumberFormat="0" applyAlignment="0" applyProtection="0"/>
    <xf numFmtId="49" fontId="35" fillId="0" borderId="494" applyNumberFormat="0" applyFont="0" applyFill="0" applyBorder="0" applyProtection="0">
      <alignment horizontal="left" vertical="center" indent="2"/>
    </xf>
    <xf numFmtId="0" fontId="33" fillId="32" borderId="494">
      <alignment horizontal="right" vertical="center"/>
    </xf>
    <xf numFmtId="4" fontId="35" fillId="0" borderId="494">
      <alignment horizontal="right" vertical="center"/>
    </xf>
    <xf numFmtId="0" fontId="63" fillId="56" borderId="498" applyNumberFormat="0" applyAlignment="0" applyProtection="0"/>
    <xf numFmtId="0" fontId="59" fillId="43" borderId="491" applyNumberFormat="0" applyAlignment="0" applyProtection="0"/>
    <xf numFmtId="0" fontId="51" fillId="0" borderId="492" applyNumberFormat="0" applyFill="0" applyAlignment="0" applyProtection="0"/>
    <xf numFmtId="0" fontId="41" fillId="59" borderId="493" applyNumberFormat="0" applyFont="0" applyAlignment="0" applyProtection="0"/>
    <xf numFmtId="0" fontId="47" fillId="56" borderId="491" applyNumberFormat="0" applyAlignment="0" applyProtection="0"/>
    <xf numFmtId="0" fontId="46" fillId="56" borderId="491" applyNumberFormat="0" applyAlignment="0" applyProtection="0"/>
    <xf numFmtId="0" fontId="66" fillId="0" borderId="492" applyNumberFormat="0" applyFill="0" applyAlignment="0" applyProtection="0"/>
    <xf numFmtId="0" fontId="33" fillId="32" borderId="494">
      <alignment horizontal="right" vertical="center"/>
    </xf>
    <xf numFmtId="0" fontId="33" fillId="34" borderId="494">
      <alignment horizontal="right" vertical="center"/>
    </xf>
    <xf numFmtId="0" fontId="33" fillId="34" borderId="495">
      <alignment horizontal="right" vertical="center"/>
    </xf>
    <xf numFmtId="0" fontId="27" fillId="21" borderId="0" applyNumberFormat="0" applyBorder="0" applyAlignment="0" applyProtection="0"/>
    <xf numFmtId="0" fontId="37" fillId="32" borderId="494">
      <alignment horizontal="right" vertical="center"/>
    </xf>
    <xf numFmtId="0" fontId="46" fillId="56" borderId="491" applyNumberFormat="0" applyAlignment="0" applyProtection="0"/>
    <xf numFmtId="0" fontId="33" fillId="34" borderId="496">
      <alignment horizontal="right" vertical="center"/>
    </xf>
    <xf numFmtId="0" fontId="35" fillId="0" borderId="497">
      <alignment horizontal="left" vertical="center" wrapText="1" indent="2"/>
    </xf>
    <xf numFmtId="0" fontId="33" fillId="34" borderId="494">
      <alignment horizontal="right" vertical="center"/>
    </xf>
    <xf numFmtId="4" fontId="33" fillId="34" borderId="494">
      <alignment horizontal="right" vertical="center"/>
    </xf>
    <xf numFmtId="0" fontId="27" fillId="27" borderId="0" applyNumberFormat="0" applyBorder="0" applyAlignment="0" applyProtection="0"/>
    <xf numFmtId="0" fontId="27" fillId="29" borderId="0" applyNumberFormat="0" applyBorder="0" applyAlignment="0" applyProtection="0"/>
    <xf numFmtId="0" fontId="27" fillId="30" borderId="0" applyNumberFormat="0" applyBorder="0" applyAlignment="0" applyProtection="0"/>
    <xf numFmtId="0" fontId="12" fillId="28" borderId="0" applyNumberFormat="0" applyBorder="0" applyAlignment="0" applyProtection="0"/>
    <xf numFmtId="0" fontId="27" fillId="24" borderId="0" applyNumberFormat="0" applyBorder="0" applyAlignment="0" applyProtection="0"/>
    <xf numFmtId="0" fontId="12" fillId="25" borderId="0" applyNumberFormat="0" applyBorder="0" applyAlignment="0" applyProtection="0"/>
    <xf numFmtId="0" fontId="47" fillId="56" borderId="491" applyNumberFormat="0" applyAlignment="0" applyProtection="0"/>
    <xf numFmtId="0" fontId="27" fillId="29" borderId="0" applyNumberFormat="0" applyBorder="0" applyAlignment="0" applyProtection="0"/>
    <xf numFmtId="4" fontId="33" fillId="34" borderId="494">
      <alignment horizontal="right" vertical="center"/>
    </xf>
    <xf numFmtId="0" fontId="50" fillId="43" borderId="491" applyNumberFormat="0" applyAlignment="0" applyProtection="0"/>
    <xf numFmtId="4" fontId="33" fillId="34" borderId="484">
      <alignment horizontal="right" vertical="center"/>
    </xf>
    <xf numFmtId="0" fontId="35" fillId="33" borderId="484"/>
    <xf numFmtId="0" fontId="46" fillId="56" borderId="489" applyNumberFormat="0" applyAlignment="0" applyProtection="0"/>
    <xf numFmtId="0" fontId="33" fillId="32" borderId="484">
      <alignment horizontal="right" vertical="center"/>
    </xf>
    <xf numFmtId="0" fontId="35" fillId="0" borderId="484">
      <alignment horizontal="right" vertical="center"/>
    </xf>
    <xf numFmtId="0" fontId="66" fillId="0" borderId="490" applyNumberFormat="0" applyFill="0" applyAlignment="0" applyProtection="0"/>
    <xf numFmtId="0" fontId="35" fillId="32" borderId="485">
      <alignment horizontal="left" vertical="center"/>
    </xf>
    <xf numFmtId="0" fontId="59" fillId="43" borderId="489" applyNumberFormat="0" applyAlignment="0" applyProtection="0"/>
    <xf numFmtId="173" fontId="35" fillId="60" borderId="484" applyNumberFormat="0" applyFont="0" applyBorder="0" applyAlignment="0" applyProtection="0">
      <alignment horizontal="right" vertical="center"/>
    </xf>
    <xf numFmtId="0" fontId="41" fillId="59" borderId="483" applyNumberFormat="0" applyFont="0" applyAlignment="0" applyProtection="0"/>
    <xf numFmtId="0" fontId="35" fillId="0" borderId="487">
      <alignment horizontal="left" vertical="center" wrapText="1" indent="2"/>
    </xf>
    <xf numFmtId="4" fontId="35" fillId="33" borderId="484"/>
    <xf numFmtId="49" fontId="34" fillId="0" borderId="484" applyNumberFormat="0" applyFill="0" applyBorder="0" applyProtection="0">
      <alignment horizontal="left" vertical="center"/>
    </xf>
    <xf numFmtId="0" fontId="35" fillId="0" borderId="484">
      <alignment horizontal="right" vertical="center"/>
    </xf>
    <xf numFmtId="4" fontId="33" fillId="34" borderId="486">
      <alignment horizontal="right" vertical="center"/>
    </xf>
    <xf numFmtId="4" fontId="33" fillId="34" borderId="484">
      <alignment horizontal="right" vertical="center"/>
    </xf>
    <xf numFmtId="4" fontId="33" fillId="34" borderId="484">
      <alignment horizontal="right" vertical="center"/>
    </xf>
    <xf numFmtId="0" fontId="37" fillId="32" borderId="484">
      <alignment horizontal="right" vertical="center"/>
    </xf>
    <xf numFmtId="0" fontId="33" fillId="32" borderId="484">
      <alignment horizontal="right" vertical="center"/>
    </xf>
    <xf numFmtId="49" fontId="35" fillId="0" borderId="484" applyNumberFormat="0" applyFont="0" applyFill="0" applyBorder="0" applyProtection="0">
      <alignment horizontal="left" vertical="center" indent="2"/>
    </xf>
    <xf numFmtId="0" fontId="59" fillId="43" borderId="489" applyNumberFormat="0" applyAlignment="0" applyProtection="0"/>
    <xf numFmtId="0" fontId="44" fillId="56" borderId="488" applyNumberFormat="0" applyAlignment="0" applyProtection="0"/>
    <xf numFmtId="49" fontId="35" fillId="0" borderId="484" applyNumberFormat="0" applyFont="0" applyFill="0" applyBorder="0" applyProtection="0">
      <alignment horizontal="left" vertical="center" indent="2"/>
    </xf>
    <xf numFmtId="0" fontId="50" fillId="43" borderId="489" applyNumberFormat="0" applyAlignment="0" applyProtection="0"/>
    <xf numFmtId="4" fontId="35" fillId="0" borderId="484" applyFill="0" applyBorder="0" applyProtection="0">
      <alignment horizontal="right" vertical="center"/>
    </xf>
    <xf numFmtId="0" fontId="47" fillId="56" borderId="489" applyNumberFormat="0" applyAlignment="0" applyProtection="0"/>
    <xf numFmtId="0" fontId="66" fillId="0" borderId="490" applyNumberFormat="0" applyFill="0" applyAlignment="0" applyProtection="0"/>
    <xf numFmtId="0" fontId="63" fillId="56" borderId="488" applyNumberFormat="0" applyAlignment="0" applyProtection="0"/>
    <xf numFmtId="0" fontId="35" fillId="0" borderId="484" applyNumberFormat="0" applyFill="0" applyAlignment="0" applyProtection="0"/>
    <xf numFmtId="4" fontId="35" fillId="0" borderId="484">
      <alignment horizontal="right" vertical="center"/>
    </xf>
    <xf numFmtId="0" fontId="35" fillId="0" borderId="484">
      <alignment horizontal="right" vertical="center"/>
    </xf>
    <xf numFmtId="0" fontId="59" fillId="43" borderId="489" applyNumberFormat="0" applyAlignment="0" applyProtection="0"/>
    <xf numFmtId="0" fontId="44" fillId="56" borderId="488" applyNumberFormat="0" applyAlignment="0" applyProtection="0"/>
    <xf numFmtId="0" fontId="46" fillId="56" borderId="489" applyNumberFormat="0" applyAlignment="0" applyProtection="0"/>
    <xf numFmtId="0" fontId="35" fillId="34" borderId="487">
      <alignment horizontal="left" vertical="center" wrapText="1" indent="2"/>
    </xf>
    <xf numFmtId="0" fontId="47" fillId="56" borderId="489" applyNumberFormat="0" applyAlignment="0" applyProtection="0"/>
    <xf numFmtId="0" fontId="47" fillId="56" borderId="489" applyNumberFormat="0" applyAlignment="0" applyProtection="0"/>
    <xf numFmtId="4" fontId="33" fillId="34" borderId="485">
      <alignment horizontal="right" vertical="center"/>
    </xf>
    <xf numFmtId="0" fontId="33" fillId="34" borderId="485">
      <alignment horizontal="right" vertical="center"/>
    </xf>
    <xf numFmtId="0" fontId="33" fillId="34" borderId="484">
      <alignment horizontal="right" vertical="center"/>
    </xf>
    <xf numFmtId="4" fontId="37" fillId="32" borderId="484">
      <alignment horizontal="right" vertical="center"/>
    </xf>
    <xf numFmtId="0" fontId="50" fillId="43" borderId="489" applyNumberFormat="0" applyAlignment="0" applyProtection="0"/>
    <xf numFmtId="0" fontId="51" fillId="0" borderId="490" applyNumberFormat="0" applyFill="0" applyAlignment="0" applyProtection="0"/>
    <xf numFmtId="0" fontId="66" fillId="0" borderId="490" applyNumberFormat="0" applyFill="0" applyAlignment="0" applyProtection="0"/>
    <xf numFmtId="0" fontId="41" fillId="59" borderId="483" applyNumberFormat="0" applyFont="0" applyAlignment="0" applyProtection="0"/>
    <xf numFmtId="0" fontId="59" fillId="43" borderId="489" applyNumberFormat="0" applyAlignment="0" applyProtection="0"/>
    <xf numFmtId="49" fontId="34" fillId="0" borderId="484" applyNumberFormat="0" applyFill="0" applyBorder="0" applyProtection="0">
      <alignment horizontal="left" vertical="center"/>
    </xf>
    <xf numFmtId="0" fontId="35" fillId="34" borderId="487">
      <alignment horizontal="left" vertical="center" wrapText="1" indent="2"/>
    </xf>
    <xf numFmtId="0" fontId="47" fillId="56" borderId="489" applyNumberFormat="0" applyAlignment="0" applyProtection="0"/>
    <xf numFmtId="0" fontId="35" fillId="0" borderId="487">
      <alignment horizontal="left" vertical="center" wrapText="1" indent="2"/>
    </xf>
    <xf numFmtId="0" fontId="41" fillId="59" borderId="483" applyNumberFormat="0" applyFont="0" applyAlignment="0" applyProtection="0"/>
    <xf numFmtId="0" fontId="5" fillId="59" borderId="483" applyNumberFormat="0" applyFont="0" applyAlignment="0" applyProtection="0"/>
    <xf numFmtId="0" fontId="63" fillId="56" borderId="488" applyNumberFormat="0" applyAlignment="0" applyProtection="0"/>
    <xf numFmtId="0" fontId="66" fillId="0" borderId="490" applyNumberFormat="0" applyFill="0" applyAlignment="0" applyProtection="0"/>
    <xf numFmtId="4" fontId="35" fillId="33" borderId="484"/>
    <xf numFmtId="0" fontId="33" fillId="34" borderId="484">
      <alignment horizontal="right" vertical="center"/>
    </xf>
    <xf numFmtId="0" fontId="66" fillId="0" borderId="490" applyNumberFormat="0" applyFill="0" applyAlignment="0" applyProtection="0"/>
    <xf numFmtId="4" fontId="33" fillId="34" borderId="486">
      <alignment horizontal="right" vertical="center"/>
    </xf>
    <xf numFmtId="0" fontId="46" fillId="56" borderId="489" applyNumberFormat="0" applyAlignment="0" applyProtection="0"/>
    <xf numFmtId="0" fontId="33" fillId="34" borderId="485">
      <alignment horizontal="right" vertical="center"/>
    </xf>
    <xf numFmtId="0" fontId="47" fillId="56" borderId="489" applyNumberFormat="0" applyAlignment="0" applyProtection="0"/>
    <xf numFmtId="0" fontId="51" fillId="0" borderId="490" applyNumberFormat="0" applyFill="0" applyAlignment="0" applyProtection="0"/>
    <xf numFmtId="0" fontId="41" fillId="59" borderId="483" applyNumberFormat="0" applyFont="0" applyAlignment="0" applyProtection="0"/>
    <xf numFmtId="4" fontId="33" fillId="34" borderId="485">
      <alignment horizontal="right" vertical="center"/>
    </xf>
    <xf numFmtId="0" fontId="35" fillId="34" borderId="487">
      <alignment horizontal="left" vertical="center" wrapText="1" indent="2"/>
    </xf>
    <xf numFmtId="0" fontId="35" fillId="33" borderId="484"/>
    <xf numFmtId="173" fontId="35" fillId="60" borderId="484" applyNumberFormat="0" applyFont="0" applyBorder="0" applyAlignment="0" applyProtection="0">
      <alignment horizontal="right" vertical="center"/>
    </xf>
    <xf numFmtId="0" fontId="35" fillId="0" borderId="484" applyNumberFormat="0" applyFill="0" applyAlignment="0" applyProtection="0"/>
    <xf numFmtId="4" fontId="35" fillId="0" borderId="484" applyFill="0" applyBorder="0" applyProtection="0">
      <alignment horizontal="right" vertical="center"/>
    </xf>
    <xf numFmtId="4" fontId="33" fillId="32" borderId="484">
      <alignment horizontal="right" vertical="center"/>
    </xf>
    <xf numFmtId="0" fontId="51" fillId="0" borderId="490" applyNumberFormat="0" applyFill="0" applyAlignment="0" applyProtection="0"/>
    <xf numFmtId="49" fontId="34" fillId="0" borderId="484" applyNumberFormat="0" applyFill="0" applyBorder="0" applyProtection="0">
      <alignment horizontal="left" vertical="center"/>
    </xf>
    <xf numFmtId="49" fontId="35" fillId="0" borderId="485" applyNumberFormat="0" applyFont="0" applyFill="0" applyBorder="0" applyProtection="0">
      <alignment horizontal="left" vertical="center" indent="5"/>
    </xf>
    <xf numFmtId="0" fontId="35" fillId="32" borderId="485">
      <alignment horizontal="left" vertical="center"/>
    </xf>
    <xf numFmtId="0" fontId="47" fillId="56" borderId="489" applyNumberFormat="0" applyAlignment="0" applyProtection="0"/>
    <xf numFmtId="4" fontId="33" fillId="34" borderId="486">
      <alignment horizontal="right" vertical="center"/>
    </xf>
    <xf numFmtId="0" fontId="59" fillId="43" borderId="489" applyNumberFormat="0" applyAlignment="0" applyProtection="0"/>
    <xf numFmtId="0" fontId="59" fillId="43" borderId="489" applyNumberFormat="0" applyAlignment="0" applyProtection="0"/>
    <xf numFmtId="0" fontId="41" fillId="59" borderId="483" applyNumberFormat="0" applyFont="0" applyAlignment="0" applyProtection="0"/>
    <xf numFmtId="0" fontId="63" fillId="56" borderId="488" applyNumberFormat="0" applyAlignment="0" applyProtection="0"/>
    <xf numFmtId="0" fontId="66" fillId="0" borderId="490" applyNumberFormat="0" applyFill="0" applyAlignment="0" applyProtection="0"/>
    <xf numFmtId="0" fontId="33" fillId="34" borderId="484">
      <alignment horizontal="right" vertical="center"/>
    </xf>
    <xf numFmtId="0" fontId="5" fillId="59" borderId="483" applyNumberFormat="0" applyFont="0" applyAlignment="0" applyProtection="0"/>
    <xf numFmtId="4" fontId="35" fillId="0" borderId="484">
      <alignment horizontal="right" vertical="center"/>
    </xf>
    <xf numFmtId="0" fontId="66" fillId="0" borderId="490" applyNumberFormat="0" applyFill="0" applyAlignment="0" applyProtection="0"/>
    <xf numFmtId="0" fontId="33" fillId="34" borderId="484">
      <alignment horizontal="right" vertical="center"/>
    </xf>
    <xf numFmtId="0" fontId="33" fillId="34" borderId="484">
      <alignment horizontal="right" vertical="center"/>
    </xf>
    <xf numFmtId="4" fontId="37" fillId="32" borderId="484">
      <alignment horizontal="right" vertical="center"/>
    </xf>
    <xf numFmtId="0" fontId="33" fillId="32" borderId="484">
      <alignment horizontal="right" vertical="center"/>
    </xf>
    <xf numFmtId="4" fontId="33" fillId="32" borderId="484">
      <alignment horizontal="right" vertical="center"/>
    </xf>
    <xf numFmtId="0" fontId="37" fillId="32" borderId="484">
      <alignment horizontal="right" vertical="center"/>
    </xf>
    <xf numFmtId="4" fontId="37" fillId="32" borderId="484">
      <alignment horizontal="right" vertical="center"/>
    </xf>
    <xf numFmtId="0" fontId="33" fillId="34" borderId="484">
      <alignment horizontal="right" vertical="center"/>
    </xf>
    <xf numFmtId="4" fontId="33" fillId="34" borderId="484">
      <alignment horizontal="right" vertical="center"/>
    </xf>
    <xf numFmtId="0" fontId="33" fillId="34" borderId="484">
      <alignment horizontal="right" vertical="center"/>
    </xf>
    <xf numFmtId="4" fontId="33" fillId="34" borderId="484">
      <alignment horizontal="right" vertical="center"/>
    </xf>
    <xf numFmtId="0" fontId="33" fillId="34" borderId="485">
      <alignment horizontal="right" vertical="center"/>
    </xf>
    <xf numFmtId="4" fontId="33" fillId="34" borderId="485">
      <alignment horizontal="right" vertical="center"/>
    </xf>
    <xf numFmtId="0" fontId="33" fillId="34" borderId="486">
      <alignment horizontal="right" vertical="center"/>
    </xf>
    <xf numFmtId="4" fontId="33" fillId="34" borderId="486">
      <alignment horizontal="right" vertical="center"/>
    </xf>
    <xf numFmtId="0" fontId="47" fillId="56" borderId="489" applyNumberFormat="0" applyAlignment="0" applyProtection="0"/>
    <xf numFmtId="0" fontId="35" fillId="34" borderId="487">
      <alignment horizontal="left" vertical="center" wrapText="1" indent="2"/>
    </xf>
    <xf numFmtId="0" fontId="35" fillId="0" borderId="487">
      <alignment horizontal="left" vertical="center" wrapText="1" indent="2"/>
    </xf>
    <xf numFmtId="0" fontId="35" fillId="32" borderId="485">
      <alignment horizontal="left" vertical="center"/>
    </xf>
    <xf numFmtId="0" fontId="59" fillId="43" borderId="489" applyNumberFormat="0" applyAlignment="0" applyProtection="0"/>
    <xf numFmtId="0" fontId="35" fillId="0" borderId="484">
      <alignment horizontal="right" vertical="center"/>
    </xf>
    <xf numFmtId="4" fontId="35" fillId="0" borderId="484">
      <alignment horizontal="right" vertical="center"/>
    </xf>
    <xf numFmtId="0" fontId="35" fillId="0" borderId="484" applyNumberFormat="0" applyFill="0" applyAlignment="0" applyProtection="0"/>
    <xf numFmtId="0" fontId="63" fillId="56" borderId="488" applyNumberFormat="0" applyAlignment="0" applyProtection="0"/>
    <xf numFmtId="173" fontId="35" fillId="60" borderId="484" applyNumberFormat="0" applyFont="0" applyBorder="0" applyAlignment="0" applyProtection="0">
      <alignment horizontal="right" vertical="center"/>
    </xf>
    <xf numFmtId="0" fontId="35" fillId="33" borderId="484"/>
    <xf numFmtId="4" fontId="35" fillId="33" borderId="484"/>
    <xf numFmtId="0" fontId="66" fillId="0" borderId="490" applyNumberFormat="0" applyFill="0" applyAlignment="0" applyProtection="0"/>
    <xf numFmtId="0" fontId="5" fillId="59" borderId="483" applyNumberFormat="0" applyFont="0" applyAlignment="0" applyProtection="0"/>
    <xf numFmtId="0" fontId="41" fillId="59" borderId="483" applyNumberFormat="0" applyFont="0" applyAlignment="0" applyProtection="0"/>
    <xf numFmtId="0" fontId="35" fillId="0" borderId="484" applyNumberFormat="0" applyFill="0" applyAlignment="0" applyProtection="0"/>
    <xf numFmtId="0" fontId="51" fillId="0" borderId="490" applyNumberFormat="0" applyFill="0" applyAlignment="0" applyProtection="0"/>
    <xf numFmtId="0" fontId="66" fillId="0" borderId="490" applyNumberFormat="0" applyFill="0" applyAlignment="0" applyProtection="0"/>
    <xf numFmtId="0" fontId="50" fillId="43" borderId="489" applyNumberFormat="0" applyAlignment="0" applyProtection="0"/>
    <xf numFmtId="0" fontId="47" fillId="56" borderId="489" applyNumberFormat="0" applyAlignment="0" applyProtection="0"/>
    <xf numFmtId="4" fontId="37" fillId="32" borderId="484">
      <alignment horizontal="right" vertical="center"/>
    </xf>
    <xf numFmtId="0" fontId="33" fillId="32" borderId="484">
      <alignment horizontal="right" vertical="center"/>
    </xf>
    <xf numFmtId="173" fontId="35" fillId="60" borderId="484" applyNumberFormat="0" applyFont="0" applyBorder="0" applyAlignment="0" applyProtection="0">
      <alignment horizontal="right" vertical="center"/>
    </xf>
    <xf numFmtId="0" fontId="51" fillId="0" borderId="490" applyNumberFormat="0" applyFill="0" applyAlignment="0" applyProtection="0"/>
    <xf numFmtId="49" fontId="35" fillId="0" borderId="484" applyNumberFormat="0" applyFont="0" applyFill="0" applyBorder="0" applyProtection="0">
      <alignment horizontal="left" vertical="center" indent="2"/>
    </xf>
    <xf numFmtId="49" fontId="35" fillId="0" borderId="485" applyNumberFormat="0" applyFont="0" applyFill="0" applyBorder="0" applyProtection="0">
      <alignment horizontal="left" vertical="center" indent="5"/>
    </xf>
    <xf numFmtId="49" fontId="35" fillId="0" borderId="484" applyNumberFormat="0" applyFont="0" applyFill="0" applyBorder="0" applyProtection="0">
      <alignment horizontal="left" vertical="center" indent="2"/>
    </xf>
    <xf numFmtId="4" fontId="35" fillId="0" borderId="484" applyFill="0" applyBorder="0" applyProtection="0">
      <alignment horizontal="right" vertical="center"/>
    </xf>
    <xf numFmtId="49" fontId="34" fillId="0" borderId="484" applyNumberFormat="0" applyFill="0" applyBorder="0" applyProtection="0">
      <alignment horizontal="left" vertical="center"/>
    </xf>
    <xf numFmtId="0" fontId="35" fillId="0" borderId="487">
      <alignment horizontal="left" vertical="center" wrapText="1" indent="2"/>
    </xf>
    <xf numFmtId="0" fontId="63" fillId="56" borderId="488" applyNumberFormat="0" applyAlignment="0" applyProtection="0"/>
    <xf numFmtId="0" fontId="33" fillId="34" borderId="486">
      <alignment horizontal="right" vertical="center"/>
    </xf>
    <xf numFmtId="0" fontId="50" fillId="43" borderId="489" applyNumberFormat="0" applyAlignment="0" applyProtection="0"/>
    <xf numFmtId="0" fontId="33" fillId="34" borderId="486">
      <alignment horizontal="right" vertical="center"/>
    </xf>
    <xf numFmtId="4" fontId="33" fillId="34" borderId="484">
      <alignment horizontal="right" vertical="center"/>
    </xf>
    <xf numFmtId="0" fontId="33" fillId="34" borderId="484">
      <alignment horizontal="right" vertical="center"/>
    </xf>
    <xf numFmtId="0" fontId="44" fillId="56" borderId="488" applyNumberFormat="0" applyAlignment="0" applyProtection="0"/>
    <xf numFmtId="0" fontId="46" fillId="56" borderId="489" applyNumberFormat="0" applyAlignment="0" applyProtection="0"/>
    <xf numFmtId="0" fontId="51" fillId="0" borderId="490" applyNumberFormat="0" applyFill="0" applyAlignment="0" applyProtection="0"/>
    <xf numFmtId="0" fontId="35" fillId="33" borderId="484"/>
    <xf numFmtId="4" fontId="35" fillId="33" borderId="484"/>
    <xf numFmtId="4" fontId="33" fillId="34" borderId="484">
      <alignment horizontal="right" vertical="center"/>
    </xf>
    <xf numFmtId="0" fontId="37" fillId="32" borderId="484">
      <alignment horizontal="right" vertical="center"/>
    </xf>
    <xf numFmtId="0" fontId="50" fillId="43" borderId="489" applyNumberFormat="0" applyAlignment="0" applyProtection="0"/>
    <xf numFmtId="0" fontId="47" fillId="56" borderId="489" applyNumberFormat="0" applyAlignment="0" applyProtection="0"/>
    <xf numFmtId="4" fontId="35" fillId="0" borderId="484">
      <alignment horizontal="right" vertical="center"/>
    </xf>
    <xf numFmtId="0" fontId="35" fillId="34" borderId="487">
      <alignment horizontal="left" vertical="center" wrapText="1" indent="2"/>
    </xf>
    <xf numFmtId="0" fontId="35" fillId="0" borderId="487">
      <alignment horizontal="left" vertical="center" wrapText="1" indent="2"/>
    </xf>
    <xf numFmtId="0" fontId="63" fillId="56" borderId="488" applyNumberFormat="0" applyAlignment="0" applyProtection="0"/>
    <xf numFmtId="0" fontId="59" fillId="43" borderId="489" applyNumberFormat="0" applyAlignment="0" applyProtection="0"/>
    <xf numFmtId="0" fontId="46" fillId="56" borderId="489" applyNumberFormat="0" applyAlignment="0" applyProtection="0"/>
    <xf numFmtId="0" fontId="44" fillId="56" borderId="488" applyNumberFormat="0" applyAlignment="0" applyProtection="0"/>
    <xf numFmtId="0" fontId="33" fillId="34" borderId="486">
      <alignment horizontal="right" vertical="center"/>
    </xf>
    <xf numFmtId="0" fontId="37" fillId="32" borderId="484">
      <alignment horizontal="right" vertical="center"/>
    </xf>
    <xf numFmtId="4" fontId="33" fillId="32" borderId="484">
      <alignment horizontal="right" vertical="center"/>
    </xf>
    <xf numFmtId="4" fontId="33" fillId="34" borderId="484">
      <alignment horizontal="right" vertical="center"/>
    </xf>
    <xf numFmtId="49" fontId="35" fillId="0" borderId="485" applyNumberFormat="0" applyFont="0" applyFill="0" applyBorder="0" applyProtection="0">
      <alignment horizontal="left" vertical="center" indent="5"/>
    </xf>
    <xf numFmtId="4" fontId="35" fillId="0" borderId="484" applyFill="0" applyBorder="0" applyProtection="0">
      <alignment horizontal="right" vertical="center"/>
    </xf>
    <xf numFmtId="4" fontId="33" fillId="32" borderId="484">
      <alignment horizontal="right" vertical="center"/>
    </xf>
    <xf numFmtId="4" fontId="33" fillId="34" borderId="494">
      <alignment horizontal="right" vertical="center"/>
    </xf>
    <xf numFmtId="0" fontId="59" fillId="43" borderId="489" applyNumberFormat="0" applyAlignment="0" applyProtection="0"/>
    <xf numFmtId="0" fontId="50" fillId="43" borderId="489" applyNumberFormat="0" applyAlignment="0" applyProtection="0"/>
    <xf numFmtId="0" fontId="46" fillId="56" borderId="489" applyNumberFormat="0" applyAlignment="0" applyProtection="0"/>
    <xf numFmtId="0" fontId="35" fillId="34" borderId="487">
      <alignment horizontal="left" vertical="center" wrapText="1" indent="2"/>
    </xf>
    <xf numFmtId="0" fontId="35" fillId="0" borderId="487">
      <alignment horizontal="left" vertical="center" wrapText="1" indent="2"/>
    </xf>
    <xf numFmtId="0" fontId="35" fillId="34" borderId="487">
      <alignment horizontal="left" vertical="center" wrapText="1" indent="2"/>
    </xf>
    <xf numFmtId="0" fontId="35" fillId="0" borderId="487">
      <alignment horizontal="left" vertical="center" wrapText="1" indent="2"/>
    </xf>
    <xf numFmtId="0" fontId="44" fillId="56" borderId="488" applyNumberFormat="0" applyAlignment="0" applyProtection="0"/>
    <xf numFmtId="0" fontId="46" fillId="56" borderId="489" applyNumberFormat="0" applyAlignment="0" applyProtection="0"/>
    <xf numFmtId="0" fontId="47" fillId="56" borderId="489" applyNumberFormat="0" applyAlignment="0" applyProtection="0"/>
    <xf numFmtId="0" fontId="50" fillId="43" borderId="489" applyNumberFormat="0" applyAlignment="0" applyProtection="0"/>
    <xf numFmtId="0" fontId="51" fillId="0" borderId="490" applyNumberFormat="0" applyFill="0" applyAlignment="0" applyProtection="0"/>
    <xf numFmtId="0" fontId="59" fillId="43" borderId="489" applyNumberFormat="0" applyAlignment="0" applyProtection="0"/>
    <xf numFmtId="0" fontId="41" fillId="59" borderId="483" applyNumberFormat="0" applyFont="0" applyAlignment="0" applyProtection="0"/>
    <xf numFmtId="0" fontId="5" fillId="59" borderId="483" applyNumberFormat="0" applyFont="0" applyAlignment="0" applyProtection="0"/>
    <xf numFmtId="0" fontId="63" fillId="56" borderId="488" applyNumberFormat="0" applyAlignment="0" applyProtection="0"/>
    <xf numFmtId="0" fontId="66" fillId="0" borderId="490" applyNumberFormat="0" applyFill="0" applyAlignment="0" applyProtection="0"/>
    <xf numFmtId="0" fontId="47" fillId="56" borderId="489" applyNumberFormat="0" applyAlignment="0" applyProtection="0"/>
    <xf numFmtId="0" fontId="59" fillId="43" borderId="489" applyNumberFormat="0" applyAlignment="0" applyProtection="0"/>
    <xf numFmtId="0" fontId="41" fillId="59" borderId="483" applyNumberFormat="0" applyFont="0" applyAlignment="0" applyProtection="0"/>
    <xf numFmtId="0" fontId="63" fillId="56" borderId="488" applyNumberFormat="0" applyAlignment="0" applyProtection="0"/>
    <xf numFmtId="0" fontId="66" fillId="0" borderId="490" applyNumberFormat="0" applyFill="0" applyAlignment="0" applyProtection="0"/>
    <xf numFmtId="0" fontId="35" fillId="33" borderId="494"/>
    <xf numFmtId="0" fontId="47" fillId="56" borderId="489" applyNumberFormat="0" applyAlignment="0" applyProtection="0"/>
    <xf numFmtId="0" fontId="51" fillId="0" borderId="492" applyNumberFormat="0" applyFill="0" applyAlignment="0" applyProtection="0"/>
    <xf numFmtId="0" fontId="51" fillId="0" borderId="492" applyNumberFormat="0" applyFill="0" applyAlignment="0" applyProtection="0"/>
    <xf numFmtId="0" fontId="59" fillId="43" borderId="489" applyNumberFormat="0" applyAlignment="0" applyProtection="0"/>
    <xf numFmtId="0" fontId="63" fillId="56" borderId="488" applyNumberFormat="0" applyAlignment="0" applyProtection="0"/>
    <xf numFmtId="0" fontId="66" fillId="0" borderId="490" applyNumberFormat="0" applyFill="0" applyAlignment="0" applyProtection="0"/>
    <xf numFmtId="0" fontId="50" fillId="43" borderId="491" applyNumberFormat="0" applyAlignment="0" applyProtection="0"/>
    <xf numFmtId="0" fontId="44" fillId="56" borderId="488" applyNumberFormat="0" applyAlignment="0" applyProtection="0"/>
    <xf numFmtId="0" fontId="46" fillId="56" borderId="489" applyNumberFormat="0" applyAlignment="0" applyProtection="0"/>
    <xf numFmtId="0" fontId="51" fillId="0" borderId="490" applyNumberFormat="0" applyFill="0" applyAlignment="0" applyProtection="0"/>
    <xf numFmtId="49" fontId="35" fillId="0" borderId="484" applyNumberFormat="0" applyFont="0" applyFill="0" applyBorder="0" applyProtection="0">
      <alignment horizontal="left" vertical="center" indent="2"/>
    </xf>
    <xf numFmtId="0" fontId="33" fillId="32" borderId="484">
      <alignment horizontal="right" vertical="center"/>
    </xf>
    <xf numFmtId="4" fontId="33" fillId="32" borderId="484">
      <alignment horizontal="right" vertical="center"/>
    </xf>
    <xf numFmtId="0" fontId="37" fillId="32" borderId="484">
      <alignment horizontal="right" vertical="center"/>
    </xf>
    <xf numFmtId="4" fontId="37" fillId="32" borderId="484">
      <alignment horizontal="right" vertical="center"/>
    </xf>
    <xf numFmtId="0" fontId="33" fillId="34" borderId="484">
      <alignment horizontal="right" vertical="center"/>
    </xf>
    <xf numFmtId="4" fontId="33" fillId="34" borderId="484">
      <alignment horizontal="right" vertical="center"/>
    </xf>
    <xf numFmtId="0" fontId="33" fillId="34" borderId="484">
      <alignment horizontal="right" vertical="center"/>
    </xf>
    <xf numFmtId="4" fontId="33" fillId="34" borderId="484">
      <alignment horizontal="right" vertical="center"/>
    </xf>
    <xf numFmtId="0" fontId="50" fillId="43" borderId="489" applyNumberFormat="0" applyAlignment="0" applyProtection="0"/>
    <xf numFmtId="0" fontId="35" fillId="0" borderId="484">
      <alignment horizontal="right" vertical="center"/>
    </xf>
    <xf numFmtId="4" fontId="35" fillId="0" borderId="484">
      <alignment horizontal="right" vertical="center"/>
    </xf>
    <xf numFmtId="4" fontId="35" fillId="0" borderId="484" applyFill="0" applyBorder="0" applyProtection="0">
      <alignment horizontal="right" vertical="center"/>
    </xf>
    <xf numFmtId="49" fontId="34" fillId="0" borderId="484" applyNumberFormat="0" applyFill="0" applyBorder="0" applyProtection="0">
      <alignment horizontal="left" vertical="center"/>
    </xf>
    <xf numFmtId="0" fontId="35" fillId="0" borderId="484" applyNumberFormat="0" applyFill="0" applyAlignment="0" applyProtection="0"/>
    <xf numFmtId="173" fontId="35" fillId="60" borderId="484" applyNumberFormat="0" applyFont="0" applyBorder="0" applyAlignment="0" applyProtection="0">
      <alignment horizontal="right" vertical="center"/>
    </xf>
    <xf numFmtId="0" fontId="35" fillId="33" borderId="484"/>
    <xf numFmtId="4" fontId="35" fillId="33" borderId="484"/>
    <xf numFmtId="4" fontId="33" fillId="34" borderId="484">
      <alignment horizontal="right" vertical="center"/>
    </xf>
    <xf numFmtId="0" fontId="35" fillId="33" borderId="484"/>
    <xf numFmtId="0" fontId="46" fillId="56" borderId="489" applyNumberFormat="0" applyAlignment="0" applyProtection="0"/>
    <xf numFmtId="0" fontId="33" fillId="32" borderId="484">
      <alignment horizontal="right" vertical="center"/>
    </xf>
    <xf numFmtId="0" fontId="35" fillId="0" borderId="484">
      <alignment horizontal="right" vertical="center"/>
    </xf>
    <xf numFmtId="0" fontId="66" fillId="0" borderId="490" applyNumberFormat="0" applyFill="0" applyAlignment="0" applyProtection="0"/>
    <xf numFmtId="0" fontId="35" fillId="32" borderId="485">
      <alignment horizontal="left" vertical="center"/>
    </xf>
    <xf numFmtId="0" fontId="59" fillId="43" borderId="489" applyNumberFormat="0" applyAlignment="0" applyProtection="0"/>
    <xf numFmtId="173" fontId="35" fillId="60" borderId="484" applyNumberFormat="0" applyFont="0" applyBorder="0" applyAlignment="0" applyProtection="0">
      <alignment horizontal="right" vertical="center"/>
    </xf>
    <xf numFmtId="0" fontId="41" fillId="59" borderId="483" applyNumberFormat="0" applyFont="0" applyAlignment="0" applyProtection="0"/>
    <xf numFmtId="0" fontId="35" fillId="0" borderId="487">
      <alignment horizontal="left" vertical="center" wrapText="1" indent="2"/>
    </xf>
    <xf numFmtId="4" fontId="35" fillId="33" borderId="484"/>
    <xf numFmtId="49" fontId="34" fillId="0" borderId="484" applyNumberFormat="0" applyFill="0" applyBorder="0" applyProtection="0">
      <alignment horizontal="left" vertical="center"/>
    </xf>
    <xf numFmtId="0" fontId="35" fillId="0" borderId="484">
      <alignment horizontal="right" vertical="center"/>
    </xf>
    <xf numFmtId="4" fontId="33" fillId="34" borderId="486">
      <alignment horizontal="right" vertical="center"/>
    </xf>
    <xf numFmtId="4" fontId="33" fillId="34" borderId="484">
      <alignment horizontal="right" vertical="center"/>
    </xf>
    <xf numFmtId="4" fontId="33" fillId="34" borderId="484">
      <alignment horizontal="right" vertical="center"/>
    </xf>
    <xf numFmtId="0" fontId="37" fillId="32" borderId="484">
      <alignment horizontal="right" vertical="center"/>
    </xf>
    <xf numFmtId="0" fontId="33" fillId="32" borderId="484">
      <alignment horizontal="right" vertical="center"/>
    </xf>
    <xf numFmtId="49" fontId="35" fillId="0" borderId="484" applyNumberFormat="0" applyFont="0" applyFill="0" applyBorder="0" applyProtection="0">
      <alignment horizontal="left" vertical="center" indent="2"/>
    </xf>
    <xf numFmtId="0" fontId="59" fillId="43" borderId="489" applyNumberFormat="0" applyAlignment="0" applyProtection="0"/>
    <xf numFmtId="0" fontId="44" fillId="56" borderId="488" applyNumberFormat="0" applyAlignment="0" applyProtection="0"/>
    <xf numFmtId="49" fontId="35" fillId="0" borderId="484" applyNumberFormat="0" applyFont="0" applyFill="0" applyBorder="0" applyProtection="0">
      <alignment horizontal="left" vertical="center" indent="2"/>
    </xf>
    <xf numFmtId="0" fontId="50" fillId="43" borderId="489" applyNumberFormat="0" applyAlignment="0" applyProtection="0"/>
    <xf numFmtId="4" fontId="35" fillId="0" borderId="484" applyFill="0" applyBorder="0" applyProtection="0">
      <alignment horizontal="right" vertical="center"/>
    </xf>
    <xf numFmtId="0" fontId="47" fillId="56" borderId="489" applyNumberFormat="0" applyAlignment="0" applyProtection="0"/>
    <xf numFmtId="0" fontId="66" fillId="0" borderId="490" applyNumberFormat="0" applyFill="0" applyAlignment="0" applyProtection="0"/>
    <xf numFmtId="0" fontId="63" fillId="56" borderId="488" applyNumberFormat="0" applyAlignment="0" applyProtection="0"/>
    <xf numFmtId="0" fontId="35" fillId="0" borderId="484" applyNumberFormat="0" applyFill="0" applyAlignment="0" applyProtection="0"/>
    <xf numFmtId="4" fontId="35" fillId="0" borderId="484">
      <alignment horizontal="right" vertical="center"/>
    </xf>
    <xf numFmtId="0" fontId="35" fillId="0" borderId="484">
      <alignment horizontal="right" vertical="center"/>
    </xf>
    <xf numFmtId="0" fontId="59" fillId="43" borderId="489" applyNumberFormat="0" applyAlignment="0" applyProtection="0"/>
    <xf numFmtId="0" fontId="44" fillId="56" borderId="488" applyNumberFormat="0" applyAlignment="0" applyProtection="0"/>
    <xf numFmtId="0" fontId="46" fillId="56" borderId="489" applyNumberFormat="0" applyAlignment="0" applyProtection="0"/>
    <xf numFmtId="0" fontId="35" fillId="34" borderId="487">
      <alignment horizontal="left" vertical="center" wrapText="1" indent="2"/>
    </xf>
    <xf numFmtId="0" fontId="47" fillId="56" borderId="489" applyNumberFormat="0" applyAlignment="0" applyProtection="0"/>
    <xf numFmtId="0" fontId="47" fillId="56" borderId="489" applyNumberFormat="0" applyAlignment="0" applyProtection="0"/>
    <xf numFmtId="4" fontId="33" fillId="34" borderId="485">
      <alignment horizontal="right" vertical="center"/>
    </xf>
    <xf numFmtId="0" fontId="33" fillId="34" borderId="485">
      <alignment horizontal="right" vertical="center"/>
    </xf>
    <xf numFmtId="0" fontId="33" fillId="34" borderId="484">
      <alignment horizontal="right" vertical="center"/>
    </xf>
    <xf numFmtId="4" fontId="37" fillId="32" borderId="484">
      <alignment horizontal="right" vertical="center"/>
    </xf>
    <xf numFmtId="0" fontId="50" fillId="43" borderId="489" applyNumberFormat="0" applyAlignment="0" applyProtection="0"/>
    <xf numFmtId="0" fontId="51" fillId="0" borderId="490" applyNumberFormat="0" applyFill="0" applyAlignment="0" applyProtection="0"/>
    <xf numFmtId="0" fontId="66" fillId="0" borderId="490" applyNumberFormat="0" applyFill="0" applyAlignment="0" applyProtection="0"/>
    <xf numFmtId="0" fontId="41" fillId="59" borderId="483" applyNumberFormat="0" applyFont="0" applyAlignment="0" applyProtection="0"/>
    <xf numFmtId="0" fontId="59" fillId="43" borderId="489" applyNumberFormat="0" applyAlignment="0" applyProtection="0"/>
    <xf numFmtId="49" fontId="34" fillId="0" borderId="484" applyNumberFormat="0" applyFill="0" applyBorder="0" applyProtection="0">
      <alignment horizontal="left" vertical="center"/>
    </xf>
    <xf numFmtId="0" fontId="35" fillId="34" borderId="487">
      <alignment horizontal="left" vertical="center" wrapText="1" indent="2"/>
    </xf>
    <xf numFmtId="0" fontId="47" fillId="56" borderId="489" applyNumberFormat="0" applyAlignment="0" applyProtection="0"/>
    <xf numFmtId="0" fontId="35" fillId="0" borderId="487">
      <alignment horizontal="left" vertical="center" wrapText="1" indent="2"/>
    </xf>
    <xf numFmtId="0" fontId="41" fillId="59" borderId="483" applyNumberFormat="0" applyFont="0" applyAlignment="0" applyProtection="0"/>
    <xf numFmtId="0" fontId="5" fillId="59" borderId="483" applyNumberFormat="0" applyFont="0" applyAlignment="0" applyProtection="0"/>
    <xf numFmtId="0" fontId="63" fillId="56" borderId="488" applyNumberFormat="0" applyAlignment="0" applyProtection="0"/>
    <xf numFmtId="0" fontId="66" fillId="0" borderId="490" applyNumberFormat="0" applyFill="0" applyAlignment="0" applyProtection="0"/>
    <xf numFmtId="4" fontId="35" fillId="33" borderId="484"/>
    <xf numFmtId="0" fontId="33" fillId="34" borderId="484">
      <alignment horizontal="right" vertical="center"/>
    </xf>
    <xf numFmtId="0" fontId="66" fillId="0" borderId="490" applyNumberFormat="0" applyFill="0" applyAlignment="0" applyProtection="0"/>
    <xf numFmtId="4" fontId="33" fillId="34" borderId="486">
      <alignment horizontal="right" vertical="center"/>
    </xf>
    <xf numFmtId="0" fontId="46" fillId="56" borderId="489" applyNumberFormat="0" applyAlignment="0" applyProtection="0"/>
    <xf numFmtId="0" fontId="33" fillId="34" borderId="485">
      <alignment horizontal="right" vertical="center"/>
    </xf>
    <xf numFmtId="0" fontId="47" fillId="56" borderId="489" applyNumberFormat="0" applyAlignment="0" applyProtection="0"/>
    <xf numFmtId="0" fontId="51" fillId="0" borderId="490" applyNumberFormat="0" applyFill="0" applyAlignment="0" applyProtection="0"/>
    <xf numFmtId="0" fontId="41" fillId="59" borderId="483" applyNumberFormat="0" applyFont="0" applyAlignment="0" applyProtection="0"/>
    <xf numFmtId="4" fontId="33" fillId="34" borderId="485">
      <alignment horizontal="right" vertical="center"/>
    </xf>
    <xf numFmtId="0" fontId="35" fillId="34" borderId="487">
      <alignment horizontal="left" vertical="center" wrapText="1" indent="2"/>
    </xf>
    <xf numFmtId="0" fontId="35" fillId="33" borderId="484"/>
    <xf numFmtId="173" fontId="35" fillId="60" borderId="484" applyNumberFormat="0" applyFont="0" applyBorder="0" applyAlignment="0" applyProtection="0">
      <alignment horizontal="right" vertical="center"/>
    </xf>
    <xf numFmtId="0" fontId="35" fillId="0" borderId="484" applyNumberFormat="0" applyFill="0" applyAlignment="0" applyProtection="0"/>
    <xf numFmtId="4" fontId="35" fillId="0" borderId="484" applyFill="0" applyBorder="0" applyProtection="0">
      <alignment horizontal="right" vertical="center"/>
    </xf>
    <xf numFmtId="4" fontId="33" fillId="32" borderId="484">
      <alignment horizontal="right" vertical="center"/>
    </xf>
    <xf numFmtId="0" fontId="51" fillId="0" borderId="490" applyNumberFormat="0" applyFill="0" applyAlignment="0" applyProtection="0"/>
    <xf numFmtId="49" fontId="34" fillId="0" borderId="484" applyNumberFormat="0" applyFill="0" applyBorder="0" applyProtection="0">
      <alignment horizontal="left" vertical="center"/>
    </xf>
    <xf numFmtId="49" fontId="35" fillId="0" borderId="485" applyNumberFormat="0" applyFont="0" applyFill="0" applyBorder="0" applyProtection="0">
      <alignment horizontal="left" vertical="center" indent="5"/>
    </xf>
    <xf numFmtId="0" fontId="35" fillId="32" borderId="485">
      <alignment horizontal="left" vertical="center"/>
    </xf>
    <xf numFmtId="0" fontId="47" fillId="56" borderId="489" applyNumberFormat="0" applyAlignment="0" applyProtection="0"/>
    <xf numFmtId="4" fontId="33" fillId="34" borderId="486">
      <alignment horizontal="right" vertical="center"/>
    </xf>
    <xf numFmtId="0" fontId="59" fillId="43" borderId="489" applyNumberFormat="0" applyAlignment="0" applyProtection="0"/>
    <xf numFmtId="0" fontId="59" fillId="43" borderId="489" applyNumberFormat="0" applyAlignment="0" applyProtection="0"/>
    <xf numFmtId="0" fontId="41" fillId="59" borderId="483" applyNumberFormat="0" applyFont="0" applyAlignment="0" applyProtection="0"/>
    <xf numFmtId="0" fontId="63" fillId="56" borderId="488" applyNumberFormat="0" applyAlignment="0" applyProtection="0"/>
    <xf numFmtId="0" fontId="66" fillId="0" borderId="490" applyNumberFormat="0" applyFill="0" applyAlignment="0" applyProtection="0"/>
    <xf numFmtId="0" fontId="33" fillId="34" borderId="484">
      <alignment horizontal="right" vertical="center"/>
    </xf>
    <xf numFmtId="0" fontId="5" fillId="59" borderId="483" applyNumberFormat="0" applyFont="0" applyAlignment="0" applyProtection="0"/>
    <xf numFmtId="4" fontId="35" fillId="0" borderId="484">
      <alignment horizontal="right" vertical="center"/>
    </xf>
    <xf numFmtId="0" fontId="66" fillId="0" borderId="490" applyNumberFormat="0" applyFill="0" applyAlignment="0" applyProtection="0"/>
    <xf numFmtId="0" fontId="33" fillId="34" borderId="484">
      <alignment horizontal="right" vertical="center"/>
    </xf>
    <xf numFmtId="0" fontId="33" fillId="34" borderId="484">
      <alignment horizontal="right" vertical="center"/>
    </xf>
    <xf numFmtId="4" fontId="37" fillId="32" borderId="484">
      <alignment horizontal="right" vertical="center"/>
    </xf>
    <xf numFmtId="0" fontId="33" fillId="32" borderId="484">
      <alignment horizontal="right" vertical="center"/>
    </xf>
    <xf numFmtId="4" fontId="33" fillId="32" borderId="484">
      <alignment horizontal="right" vertical="center"/>
    </xf>
    <xf numFmtId="0" fontId="37" fillId="32" borderId="484">
      <alignment horizontal="right" vertical="center"/>
    </xf>
    <xf numFmtId="4" fontId="37" fillId="32" borderId="484">
      <alignment horizontal="right" vertical="center"/>
    </xf>
    <xf numFmtId="0" fontId="33" fillId="34" borderId="484">
      <alignment horizontal="right" vertical="center"/>
    </xf>
    <xf numFmtId="4" fontId="33" fillId="34" borderId="484">
      <alignment horizontal="right" vertical="center"/>
    </xf>
    <xf numFmtId="0" fontId="33" fillId="34" borderId="484">
      <alignment horizontal="right" vertical="center"/>
    </xf>
    <xf numFmtId="4" fontId="33" fillId="34" borderId="484">
      <alignment horizontal="right" vertical="center"/>
    </xf>
    <xf numFmtId="0" fontId="33" fillId="34" borderId="485">
      <alignment horizontal="right" vertical="center"/>
    </xf>
    <xf numFmtId="4" fontId="33" fillId="34" borderId="485">
      <alignment horizontal="right" vertical="center"/>
    </xf>
    <xf numFmtId="0" fontId="33" fillId="34" borderId="486">
      <alignment horizontal="right" vertical="center"/>
    </xf>
    <xf numFmtId="4" fontId="33" fillId="34" borderId="486">
      <alignment horizontal="right" vertical="center"/>
    </xf>
    <xf numFmtId="0" fontId="47" fillId="56" borderId="489" applyNumberFormat="0" applyAlignment="0" applyProtection="0"/>
    <xf numFmtId="0" fontId="35" fillId="34" borderId="487">
      <alignment horizontal="left" vertical="center" wrapText="1" indent="2"/>
    </xf>
    <xf numFmtId="0" fontId="35" fillId="0" borderId="487">
      <alignment horizontal="left" vertical="center" wrapText="1" indent="2"/>
    </xf>
    <xf numFmtId="0" fontId="35" fillId="32" borderId="485">
      <alignment horizontal="left" vertical="center"/>
    </xf>
    <xf numFmtId="0" fontId="59" fillId="43" borderId="489" applyNumberFormat="0" applyAlignment="0" applyProtection="0"/>
    <xf numFmtId="0" fontId="35" fillId="0" borderId="484">
      <alignment horizontal="right" vertical="center"/>
    </xf>
    <xf numFmtId="4" fontId="35" fillId="0" borderId="484">
      <alignment horizontal="right" vertical="center"/>
    </xf>
    <xf numFmtId="0" fontId="35" fillId="0" borderId="484" applyNumberFormat="0" applyFill="0" applyAlignment="0" applyProtection="0"/>
    <xf numFmtId="0" fontId="63" fillId="56" borderId="488" applyNumberFormat="0" applyAlignment="0" applyProtection="0"/>
    <xf numFmtId="173" fontId="35" fillId="60" borderId="484" applyNumberFormat="0" applyFont="0" applyBorder="0" applyAlignment="0" applyProtection="0">
      <alignment horizontal="right" vertical="center"/>
    </xf>
    <xf numFmtId="0" fontId="35" fillId="33" borderId="484"/>
    <xf numFmtId="4" fontId="35" fillId="33" borderId="484"/>
    <xf numFmtId="0" fontId="66" fillId="0" borderId="490" applyNumberFormat="0" applyFill="0" applyAlignment="0" applyProtection="0"/>
    <xf numFmtId="0" fontId="5" fillId="59" borderId="483" applyNumberFormat="0" applyFont="0" applyAlignment="0" applyProtection="0"/>
    <xf numFmtId="0" fontId="41" fillId="59" borderId="483" applyNumberFormat="0" applyFont="0" applyAlignment="0" applyProtection="0"/>
    <xf numFmtId="0" fontId="35" fillId="0" borderId="484" applyNumberFormat="0" applyFill="0" applyAlignment="0" applyProtection="0"/>
    <xf numFmtId="0" fontId="51" fillId="0" borderId="490" applyNumberFormat="0" applyFill="0" applyAlignment="0" applyProtection="0"/>
    <xf numFmtId="0" fontId="66" fillId="0" borderId="490" applyNumberFormat="0" applyFill="0" applyAlignment="0" applyProtection="0"/>
    <xf numFmtId="0" fontId="50" fillId="43" borderId="489" applyNumberFormat="0" applyAlignment="0" applyProtection="0"/>
    <xf numFmtId="0" fontId="47" fillId="56" borderId="489" applyNumberFormat="0" applyAlignment="0" applyProtection="0"/>
    <xf numFmtId="4" fontId="37" fillId="32" borderId="484">
      <alignment horizontal="right" vertical="center"/>
    </xf>
    <xf numFmtId="0" fontId="33" fillId="32" borderId="484">
      <alignment horizontal="right" vertical="center"/>
    </xf>
    <xf numFmtId="173" fontId="35" fillId="60" borderId="484" applyNumberFormat="0" applyFont="0" applyBorder="0" applyAlignment="0" applyProtection="0">
      <alignment horizontal="right" vertical="center"/>
    </xf>
    <xf numFmtId="0" fontId="51" fillId="0" borderId="490" applyNumberFormat="0" applyFill="0" applyAlignment="0" applyProtection="0"/>
    <xf numFmtId="49" fontId="35" fillId="0" borderId="484" applyNumberFormat="0" applyFont="0" applyFill="0" applyBorder="0" applyProtection="0">
      <alignment horizontal="left" vertical="center" indent="2"/>
    </xf>
    <xf numFmtId="49" fontId="35" fillId="0" borderId="485" applyNumberFormat="0" applyFont="0" applyFill="0" applyBorder="0" applyProtection="0">
      <alignment horizontal="left" vertical="center" indent="5"/>
    </xf>
    <xf numFmtId="49" fontId="35" fillId="0" borderId="484" applyNumberFormat="0" applyFont="0" applyFill="0" applyBorder="0" applyProtection="0">
      <alignment horizontal="left" vertical="center" indent="2"/>
    </xf>
    <xf numFmtId="4" fontId="35" fillId="0" borderId="484" applyFill="0" applyBorder="0" applyProtection="0">
      <alignment horizontal="right" vertical="center"/>
    </xf>
    <xf numFmtId="49" fontId="34" fillId="0" borderId="484" applyNumberFormat="0" applyFill="0" applyBorder="0" applyProtection="0">
      <alignment horizontal="left" vertical="center"/>
    </xf>
    <xf numFmtId="0" fontId="35" fillId="0" borderId="487">
      <alignment horizontal="left" vertical="center" wrapText="1" indent="2"/>
    </xf>
    <xf numFmtId="0" fontId="63" fillId="56" borderId="488" applyNumberFormat="0" applyAlignment="0" applyProtection="0"/>
    <xf numFmtId="0" fontId="33" fillId="34" borderId="486">
      <alignment horizontal="right" vertical="center"/>
    </xf>
    <xf numFmtId="0" fontId="50" fillId="43" borderId="489" applyNumberFormat="0" applyAlignment="0" applyProtection="0"/>
    <xf numFmtId="0" fontId="33" fillId="34" borderId="486">
      <alignment horizontal="right" vertical="center"/>
    </xf>
    <xf numFmtId="4" fontId="33" fillId="34" borderId="484">
      <alignment horizontal="right" vertical="center"/>
    </xf>
    <xf numFmtId="0" fontId="33" fillId="34" borderId="484">
      <alignment horizontal="right" vertical="center"/>
    </xf>
    <xf numFmtId="0" fontId="44" fillId="56" borderId="488" applyNumberFormat="0" applyAlignment="0" applyProtection="0"/>
    <xf numFmtId="0" fontId="46" fillId="56" borderId="489" applyNumberFormat="0" applyAlignment="0" applyProtection="0"/>
    <xf numFmtId="0" fontId="51" fillId="0" borderId="490" applyNumberFormat="0" applyFill="0" applyAlignment="0" applyProtection="0"/>
    <xf numFmtId="0" fontId="35" fillId="33" borderId="484"/>
    <xf numFmtId="4" fontId="35" fillId="33" borderId="484"/>
    <xf numFmtId="4" fontId="33" fillId="34" borderId="484">
      <alignment horizontal="right" vertical="center"/>
    </xf>
    <xf numFmtId="0" fontId="37" fillId="32" borderId="484">
      <alignment horizontal="right" vertical="center"/>
    </xf>
    <xf numFmtId="0" fontId="50" fillId="43" borderId="489" applyNumberFormat="0" applyAlignment="0" applyProtection="0"/>
    <xf numFmtId="0" fontId="47" fillId="56" borderId="489" applyNumberFormat="0" applyAlignment="0" applyProtection="0"/>
    <xf numFmtId="4" fontId="35" fillId="0" borderId="484">
      <alignment horizontal="right" vertical="center"/>
    </xf>
    <xf numFmtId="0" fontId="35" fillId="34" borderId="487">
      <alignment horizontal="left" vertical="center" wrapText="1" indent="2"/>
    </xf>
    <xf numFmtId="0" fontId="35" fillId="0" borderId="487">
      <alignment horizontal="left" vertical="center" wrapText="1" indent="2"/>
    </xf>
    <xf numFmtId="0" fontId="63" fillId="56" borderId="488" applyNumberFormat="0" applyAlignment="0" applyProtection="0"/>
    <xf numFmtId="0" fontId="59" fillId="43" borderId="489" applyNumberFormat="0" applyAlignment="0" applyProtection="0"/>
    <xf numFmtId="0" fontId="46" fillId="56" borderId="489" applyNumberFormat="0" applyAlignment="0" applyProtection="0"/>
    <xf numFmtId="0" fontId="44" fillId="56" borderId="488" applyNumberFormat="0" applyAlignment="0" applyProtection="0"/>
    <xf numFmtId="0" fontId="33" fillId="34" borderId="486">
      <alignment horizontal="right" vertical="center"/>
    </xf>
    <xf numFmtId="0" fontId="37" fillId="32" borderId="484">
      <alignment horizontal="right" vertical="center"/>
    </xf>
    <xf numFmtId="4" fontId="33" fillId="32" borderId="484">
      <alignment horizontal="right" vertical="center"/>
    </xf>
    <xf numFmtId="4" fontId="33" fillId="34" borderId="484">
      <alignment horizontal="right" vertical="center"/>
    </xf>
    <xf numFmtId="49" fontId="35" fillId="0" borderId="485" applyNumberFormat="0" applyFont="0" applyFill="0" applyBorder="0" applyProtection="0">
      <alignment horizontal="left" vertical="center" indent="5"/>
    </xf>
    <xf numFmtId="4" fontId="35" fillId="0" borderId="484" applyFill="0" applyBorder="0" applyProtection="0">
      <alignment horizontal="right" vertical="center"/>
    </xf>
    <xf numFmtId="4" fontId="33" fillId="32" borderId="484">
      <alignment horizontal="right" vertical="center"/>
    </xf>
    <xf numFmtId="0" fontId="59" fillId="43" borderId="489" applyNumberFormat="0" applyAlignment="0" applyProtection="0"/>
    <xf numFmtId="0" fontId="50" fillId="43" borderId="489" applyNumberFormat="0" applyAlignment="0" applyProtection="0"/>
    <xf numFmtId="0" fontId="46" fillId="56" borderId="489" applyNumberFormat="0" applyAlignment="0" applyProtection="0"/>
    <xf numFmtId="0" fontId="35" fillId="34" borderId="487">
      <alignment horizontal="left" vertical="center" wrapText="1" indent="2"/>
    </xf>
    <xf numFmtId="0" fontId="35" fillId="0" borderId="487">
      <alignment horizontal="left" vertical="center" wrapText="1" indent="2"/>
    </xf>
    <xf numFmtId="0" fontId="35" fillId="34" borderId="487">
      <alignment horizontal="left" vertical="center" wrapText="1" indent="2"/>
    </xf>
    <xf numFmtId="0" fontId="33" fillId="34" borderId="494">
      <alignment horizontal="right" vertical="center"/>
    </xf>
    <xf numFmtId="0" fontId="59" fillId="43" borderId="491" applyNumberFormat="0" applyAlignment="0" applyProtection="0"/>
    <xf numFmtId="0" fontId="12" fillId="19" borderId="0" applyNumberFormat="0" applyBorder="0" applyAlignment="0" applyProtection="0"/>
    <xf numFmtId="0" fontId="41" fillId="59" borderId="493" applyNumberFormat="0" applyFont="0" applyAlignment="0" applyProtection="0"/>
    <xf numFmtId="0" fontId="27" fillId="18" borderId="0" applyNumberFormat="0" applyBorder="0" applyAlignment="0" applyProtection="0"/>
    <xf numFmtId="0" fontId="27" fillId="14" borderId="0" applyNumberFormat="0" applyBorder="0" applyAlignment="0" applyProtection="0"/>
    <xf numFmtId="0" fontId="5" fillId="59" borderId="493" applyNumberFormat="0" applyFont="0" applyAlignment="0" applyProtection="0"/>
    <xf numFmtId="0" fontId="27" fillId="20" borderId="0" applyNumberFormat="0" applyBorder="0" applyAlignment="0" applyProtection="0"/>
    <xf numFmtId="0" fontId="12" fillId="22" borderId="0" applyNumberFormat="0" applyBorder="0" applyAlignment="0" applyProtection="0"/>
    <xf numFmtId="0" fontId="27" fillId="14" borderId="0" applyNumberFormat="0" applyBorder="0" applyAlignment="0" applyProtection="0"/>
    <xf numFmtId="0" fontId="46" fillId="56" borderId="491" applyNumberFormat="0" applyAlignment="0" applyProtection="0"/>
    <xf numFmtId="0" fontId="51" fillId="0" borderId="492" applyNumberFormat="0" applyFill="0" applyAlignment="0" applyProtection="0"/>
    <xf numFmtId="4" fontId="35" fillId="0" borderId="494" applyFill="0" applyBorder="0" applyProtection="0">
      <alignment horizontal="right" vertical="center"/>
    </xf>
    <xf numFmtId="0" fontId="27" fillId="21" borderId="0" applyNumberFormat="0" applyBorder="0" applyAlignment="0" applyProtection="0"/>
    <xf numFmtId="0" fontId="2" fillId="0" borderId="15" applyNumberFormat="0" applyFill="0" applyAlignment="0" applyProtection="0"/>
    <xf numFmtId="4" fontId="33" fillId="34" borderId="494">
      <alignment horizontal="right" vertical="center"/>
    </xf>
    <xf numFmtId="0" fontId="35" fillId="0" borderId="497">
      <alignment horizontal="left" vertical="center" wrapText="1" indent="2"/>
    </xf>
    <xf numFmtId="0" fontId="5" fillId="59" borderId="493" applyNumberFormat="0" applyFont="0" applyAlignment="0" applyProtection="0"/>
    <xf numFmtId="4" fontId="33" fillId="34" borderId="494">
      <alignment horizontal="right" vertical="center"/>
    </xf>
    <xf numFmtId="4" fontId="37" fillId="32" borderId="494">
      <alignment horizontal="right" vertical="center"/>
    </xf>
    <xf numFmtId="0" fontId="41" fillId="59" borderId="493" applyNumberFormat="0" applyFont="0" applyAlignment="0" applyProtection="0"/>
    <xf numFmtId="0" fontId="66" fillId="0" borderId="492" applyNumberFormat="0" applyFill="0" applyAlignment="0" applyProtection="0"/>
    <xf numFmtId="4" fontId="33" fillId="34" borderId="494">
      <alignment horizontal="right" vertical="center"/>
    </xf>
    <xf numFmtId="0" fontId="66" fillId="0" borderId="492" applyNumberFormat="0" applyFill="0" applyAlignment="0" applyProtection="0"/>
    <xf numFmtId="0" fontId="27" fillId="30" borderId="0" applyNumberFormat="0" applyBorder="0" applyAlignment="0" applyProtection="0"/>
    <xf numFmtId="0" fontId="66" fillId="0" borderId="492" applyNumberFormat="0" applyFill="0" applyAlignment="0" applyProtection="0"/>
    <xf numFmtId="4" fontId="35" fillId="0" borderId="494">
      <alignment horizontal="right" vertical="center"/>
    </xf>
    <xf numFmtId="0" fontId="59" fillId="43" borderId="491" applyNumberFormat="0" applyAlignment="0" applyProtection="0"/>
    <xf numFmtId="0" fontId="35" fillId="34" borderId="497">
      <alignment horizontal="left" vertical="center" wrapText="1" indent="2"/>
    </xf>
    <xf numFmtId="0" fontId="5" fillId="59" borderId="493" applyNumberFormat="0" applyFont="0" applyAlignment="0" applyProtection="0"/>
    <xf numFmtId="0" fontId="59" fillId="43" borderId="491" applyNumberFormat="0" applyAlignment="0" applyProtection="0"/>
    <xf numFmtId="49" fontId="35" fillId="0" borderId="495" applyNumberFormat="0" applyFont="0" applyFill="0" applyBorder="0" applyProtection="0">
      <alignment horizontal="left" vertical="center" indent="5"/>
    </xf>
    <xf numFmtId="0" fontId="29" fillId="13" borderId="14" applyNumberFormat="0" applyAlignment="0" applyProtection="0"/>
    <xf numFmtId="0" fontId="44" fillId="56" borderId="498" applyNumberFormat="0" applyAlignment="0" applyProtection="0"/>
    <xf numFmtId="0" fontId="27" fillId="21" borderId="0" applyNumberFormat="0" applyBorder="0" applyAlignment="0" applyProtection="0"/>
    <xf numFmtId="4" fontId="33" fillId="34" borderId="494">
      <alignment horizontal="right" vertical="center"/>
    </xf>
    <xf numFmtId="0" fontId="33" fillId="32" borderId="494">
      <alignment horizontal="right" vertical="center"/>
    </xf>
    <xf numFmtId="4" fontId="37" fillId="32" borderId="494">
      <alignment horizontal="right" vertical="center"/>
    </xf>
    <xf numFmtId="0" fontId="35" fillId="0" borderId="497">
      <alignment horizontal="left" vertical="center" wrapText="1" indent="2"/>
    </xf>
    <xf numFmtId="0" fontId="35" fillId="0" borderId="497">
      <alignment horizontal="left" vertical="center" wrapText="1" indent="2"/>
    </xf>
    <xf numFmtId="4" fontId="35" fillId="33" borderId="494"/>
    <xf numFmtId="0" fontId="31" fillId="0" borderId="0" applyNumberFormat="0" applyFill="0" applyBorder="0" applyAlignment="0" applyProtection="0"/>
    <xf numFmtId="0" fontId="2" fillId="0" borderId="15" applyNumberFormat="0" applyFill="0" applyAlignment="0" applyProtection="0"/>
    <xf numFmtId="4" fontId="35" fillId="33" borderId="494"/>
    <xf numFmtId="0" fontId="29" fillId="13" borderId="14" applyNumberFormat="0" applyAlignment="0" applyProtection="0"/>
    <xf numFmtId="0" fontId="41" fillId="59" borderId="493" applyNumberFormat="0" applyFont="0" applyAlignment="0" applyProtection="0"/>
    <xf numFmtId="49" fontId="34" fillId="0" borderId="494" applyNumberFormat="0" applyFill="0" applyBorder="0" applyProtection="0">
      <alignment horizontal="left" vertical="center"/>
    </xf>
    <xf numFmtId="0" fontId="37" fillId="32" borderId="494">
      <alignment horizontal="right" vertical="center"/>
    </xf>
    <xf numFmtId="0" fontId="12" fillId="31" borderId="0" applyNumberFormat="0" applyBorder="0" applyAlignment="0" applyProtection="0"/>
    <xf numFmtId="0" fontId="27" fillId="14" borderId="0" applyNumberFormat="0" applyBorder="0" applyAlignment="0" applyProtection="0"/>
    <xf numFmtId="4" fontId="35" fillId="0" borderId="494" applyFill="0" applyBorder="0" applyProtection="0">
      <alignment horizontal="right" vertical="center"/>
    </xf>
    <xf numFmtId="0" fontId="51" fillId="0" borderId="492" applyNumberFormat="0" applyFill="0" applyAlignment="0" applyProtection="0"/>
    <xf numFmtId="0" fontId="33" fillId="34" borderId="496">
      <alignment horizontal="right" vertical="center"/>
    </xf>
    <xf numFmtId="4" fontId="33" fillId="32" borderId="494">
      <alignment horizontal="right" vertical="center"/>
    </xf>
    <xf numFmtId="0" fontId="35" fillId="0" borderId="494" applyNumberFormat="0" applyFill="0" applyAlignment="0" applyProtection="0"/>
    <xf numFmtId="0" fontId="59" fillId="43" borderId="491" applyNumberFormat="0" applyAlignment="0" applyProtection="0"/>
    <xf numFmtId="0" fontId="46" fillId="56" borderId="491" applyNumberFormat="0" applyAlignment="0" applyProtection="0"/>
    <xf numFmtId="0" fontId="50" fillId="43" borderId="491" applyNumberFormat="0" applyAlignment="0" applyProtection="0"/>
    <xf numFmtId="4" fontId="35" fillId="0" borderId="494" applyFill="0" applyBorder="0" applyProtection="0">
      <alignment horizontal="right" vertical="center"/>
    </xf>
    <xf numFmtId="0" fontId="51" fillId="0" borderId="492" applyNumberFormat="0" applyFill="0" applyAlignment="0" applyProtection="0"/>
    <xf numFmtId="4" fontId="35" fillId="0" borderId="494">
      <alignment horizontal="right" vertical="center"/>
    </xf>
    <xf numFmtId="0" fontId="35" fillId="0" borderId="494" applyNumberFormat="0" applyFill="0" applyAlignment="0" applyProtection="0"/>
    <xf numFmtId="0" fontId="66" fillId="0" borderId="492" applyNumberFormat="0" applyFill="0" applyAlignment="0" applyProtection="0"/>
    <xf numFmtId="0" fontId="33" fillId="34" borderId="494">
      <alignment horizontal="right" vertical="center"/>
    </xf>
    <xf numFmtId="0" fontId="47" fillId="56" borderId="491" applyNumberFormat="0" applyAlignment="0" applyProtection="0"/>
    <xf numFmtId="0" fontId="27" fillId="23" borderId="0" applyNumberFormat="0" applyBorder="0" applyAlignment="0" applyProtection="0"/>
    <xf numFmtId="0" fontId="47" fillId="56" borderId="491" applyNumberFormat="0" applyAlignment="0" applyProtection="0"/>
    <xf numFmtId="0" fontId="46" fillId="56" borderId="491" applyNumberFormat="0" applyAlignment="0" applyProtection="0"/>
    <xf numFmtId="0" fontId="50" fillId="43" borderId="491" applyNumberFormat="0" applyAlignment="0" applyProtection="0"/>
    <xf numFmtId="0" fontId="1" fillId="0" borderId="0" applyNumberFormat="0" applyFill="0" applyBorder="0" applyAlignment="0" applyProtection="0"/>
    <xf numFmtId="0" fontId="33" fillId="32" borderId="494">
      <alignment horizontal="right" vertical="center"/>
    </xf>
    <xf numFmtId="0" fontId="63" fillId="56" borderId="498" applyNumberFormat="0" applyAlignment="0" applyProtection="0"/>
    <xf numFmtId="0" fontId="35" fillId="0" borderId="494">
      <alignment horizontal="right" vertical="center"/>
    </xf>
    <xf numFmtId="0" fontId="51" fillId="0" borderId="492" applyNumberFormat="0" applyFill="0" applyAlignment="0" applyProtection="0"/>
    <xf numFmtId="0" fontId="66" fillId="0" borderId="492" applyNumberFormat="0" applyFill="0" applyAlignment="0" applyProtection="0"/>
    <xf numFmtId="0" fontId="41" fillId="59" borderId="493" applyNumberFormat="0" applyFont="0" applyAlignment="0" applyProtection="0"/>
    <xf numFmtId="0" fontId="27" fillId="29" borderId="0" applyNumberFormat="0" applyBorder="0" applyAlignment="0" applyProtection="0"/>
    <xf numFmtId="0" fontId="41" fillId="59" borderId="493" applyNumberFormat="0" applyFont="0" applyAlignment="0" applyProtection="0"/>
    <xf numFmtId="4" fontId="35" fillId="0" borderId="494">
      <alignment horizontal="right" vertical="center"/>
    </xf>
    <xf numFmtId="0" fontId="37" fillId="32" borderId="494">
      <alignment horizontal="right" vertical="center"/>
    </xf>
    <xf numFmtId="0" fontId="35" fillId="34" borderId="497">
      <alignment horizontal="left" vertical="center" wrapText="1" indent="2"/>
    </xf>
    <xf numFmtId="0" fontId="35" fillId="34" borderId="497">
      <alignment horizontal="left" vertical="center" wrapText="1" indent="2"/>
    </xf>
    <xf numFmtId="0" fontId="41" fillId="59" borderId="493" applyNumberFormat="0" applyFont="0" applyAlignment="0" applyProtection="0"/>
    <xf numFmtId="0" fontId="30" fillId="13" borderId="13" applyNumberFormat="0" applyAlignment="0" applyProtection="0"/>
    <xf numFmtId="0" fontId="44" fillId="56" borderId="498" applyNumberFormat="0" applyAlignment="0" applyProtection="0"/>
    <xf numFmtId="173" fontId="35" fillId="60" borderId="494" applyNumberFormat="0" applyFont="0" applyBorder="0" applyAlignment="0" applyProtection="0">
      <alignment horizontal="right" vertical="center"/>
    </xf>
    <xf numFmtId="49" fontId="35" fillId="0" borderId="495" applyNumberFormat="0" applyFont="0" applyFill="0" applyBorder="0" applyProtection="0">
      <alignment horizontal="left" vertical="center" indent="5"/>
    </xf>
    <xf numFmtId="0" fontId="27" fillId="27" borderId="0" applyNumberFormat="0" applyBorder="0" applyAlignment="0" applyProtection="0"/>
    <xf numFmtId="0" fontId="63" fillId="56" borderId="498" applyNumberFormat="0" applyAlignment="0" applyProtection="0"/>
    <xf numFmtId="0" fontId="5" fillId="59" borderId="493" applyNumberFormat="0" applyFont="0" applyAlignment="0" applyProtection="0"/>
    <xf numFmtId="0" fontId="59" fillId="43" borderId="491" applyNumberFormat="0" applyAlignment="0" applyProtection="0"/>
    <xf numFmtId="0" fontId="63" fillId="56" borderId="498" applyNumberFormat="0" applyAlignment="0" applyProtection="0"/>
    <xf numFmtId="0" fontId="33" fillId="32" borderId="494">
      <alignment horizontal="right" vertical="center"/>
    </xf>
    <xf numFmtId="4" fontId="33" fillId="34" borderId="494">
      <alignment horizontal="right" vertical="center"/>
    </xf>
    <xf numFmtId="0" fontId="59" fillId="43" borderId="491" applyNumberFormat="0" applyAlignment="0" applyProtection="0"/>
    <xf numFmtId="0" fontId="66" fillId="0" borderId="492" applyNumberFormat="0" applyFill="0" applyAlignment="0" applyProtection="0"/>
    <xf numFmtId="0" fontId="27" fillId="27" borderId="0" applyNumberFormat="0" applyBorder="0" applyAlignment="0" applyProtection="0"/>
    <xf numFmtId="0" fontId="1" fillId="0" borderId="0" applyNumberFormat="0" applyFill="0" applyBorder="0" applyAlignment="0" applyProtection="0"/>
    <xf numFmtId="0" fontId="47" fillId="56" borderId="491" applyNumberFormat="0" applyAlignment="0" applyProtection="0"/>
    <xf numFmtId="0" fontId="27" fillId="24" borderId="0" applyNumberFormat="0" applyBorder="0" applyAlignment="0" applyProtection="0"/>
    <xf numFmtId="0" fontId="35" fillId="0" borderId="497">
      <alignment horizontal="left" vertical="center" wrapText="1" indent="2"/>
    </xf>
    <xf numFmtId="0" fontId="50" fillId="43" borderId="491" applyNumberFormat="0" applyAlignment="0" applyProtection="0"/>
    <xf numFmtId="4" fontId="33" fillId="34" borderId="496">
      <alignment horizontal="right" vertical="center"/>
    </xf>
    <xf numFmtId="0" fontId="27" fillId="18" borderId="0" applyNumberFormat="0" applyBorder="0" applyAlignment="0" applyProtection="0"/>
    <xf numFmtId="0" fontId="30" fillId="13" borderId="13" applyNumberFormat="0" applyAlignment="0" applyProtection="0"/>
    <xf numFmtId="0" fontId="35" fillId="32" borderId="495">
      <alignment horizontal="left" vertical="center"/>
    </xf>
    <xf numFmtId="0" fontId="12" fillId="28" borderId="0" applyNumberFormat="0" applyBorder="0" applyAlignment="0" applyProtection="0"/>
    <xf numFmtId="0" fontId="47" fillId="56" borderId="491" applyNumberFormat="0" applyAlignment="0" applyProtection="0"/>
    <xf numFmtId="173" fontId="35" fillId="60" borderId="494" applyNumberFormat="0" applyFont="0" applyBorder="0" applyAlignment="0" applyProtection="0">
      <alignment horizontal="right" vertical="center"/>
    </xf>
    <xf numFmtId="0" fontId="47" fillId="56" borderId="491" applyNumberFormat="0" applyAlignment="0" applyProtection="0"/>
    <xf numFmtId="0" fontId="33" fillId="34" borderId="494">
      <alignment horizontal="right" vertical="center"/>
    </xf>
    <xf numFmtId="0" fontId="35" fillId="0" borderId="494">
      <alignment horizontal="right" vertical="center"/>
    </xf>
    <xf numFmtId="0" fontId="27" fillId="20" borderId="0" applyNumberFormat="0" applyBorder="0" applyAlignment="0" applyProtection="0"/>
    <xf numFmtId="0" fontId="35" fillId="34" borderId="497">
      <alignment horizontal="left" vertical="center" wrapText="1" indent="2"/>
    </xf>
    <xf numFmtId="4" fontId="35" fillId="33" borderId="494"/>
    <xf numFmtId="0" fontId="47" fillId="56" borderId="491" applyNumberFormat="0" applyAlignment="0" applyProtection="0"/>
    <xf numFmtId="0" fontId="47" fillId="56" borderId="491" applyNumberFormat="0" applyAlignment="0" applyProtection="0"/>
    <xf numFmtId="0" fontId="33" fillId="34" borderId="495">
      <alignment horizontal="right" vertical="center"/>
    </xf>
    <xf numFmtId="0" fontId="50" fillId="43" borderId="491" applyNumberFormat="0" applyAlignment="0" applyProtection="0"/>
    <xf numFmtId="0" fontId="35" fillId="33" borderId="494"/>
    <xf numFmtId="0" fontId="41" fillId="59" borderId="493" applyNumberFormat="0" applyFont="0" applyAlignment="0" applyProtection="0"/>
    <xf numFmtId="0" fontId="47" fillId="56" borderId="491" applyNumberFormat="0" applyAlignment="0" applyProtection="0"/>
    <xf numFmtId="49" fontId="35" fillId="0" borderId="494" applyNumberFormat="0" applyFont="0" applyFill="0" applyBorder="0" applyProtection="0">
      <alignment horizontal="left" vertical="center" indent="2"/>
    </xf>
    <xf numFmtId="0" fontId="50" fillId="43" borderId="491" applyNumberFormat="0" applyAlignment="0" applyProtection="0"/>
    <xf numFmtId="0" fontId="59" fillId="43" borderId="491" applyNumberFormat="0" applyAlignment="0" applyProtection="0"/>
    <xf numFmtId="0" fontId="35" fillId="0" borderId="497">
      <alignment horizontal="left" vertical="center" wrapText="1" indent="2"/>
    </xf>
    <xf numFmtId="4" fontId="35" fillId="33" borderId="494"/>
    <xf numFmtId="0" fontId="12" fillId="16" borderId="0" applyNumberFormat="0" applyBorder="0" applyAlignment="0" applyProtection="0"/>
    <xf numFmtId="0" fontId="59" fillId="43" borderId="491" applyNumberFormat="0" applyAlignment="0" applyProtection="0"/>
    <xf numFmtId="0" fontId="27" fillId="15" borderId="0" applyNumberFormat="0" applyBorder="0" applyAlignment="0" applyProtection="0"/>
    <xf numFmtId="0" fontId="27" fillId="24" borderId="0" applyNumberFormat="0" applyBorder="0" applyAlignment="0" applyProtection="0"/>
    <xf numFmtId="0" fontId="44" fillId="56" borderId="498" applyNumberFormat="0" applyAlignment="0" applyProtection="0"/>
    <xf numFmtId="0" fontId="50" fillId="43" borderId="491" applyNumberFormat="0" applyAlignment="0" applyProtection="0"/>
    <xf numFmtId="4" fontId="35" fillId="0" borderId="494">
      <alignment horizontal="right" vertical="center"/>
    </xf>
    <xf numFmtId="0" fontId="35" fillId="0" borderId="497">
      <alignment horizontal="left" vertical="center" wrapText="1" indent="2"/>
    </xf>
    <xf numFmtId="0" fontId="27" fillId="20" borderId="0" applyNumberFormat="0" applyBorder="0" applyAlignment="0" applyProtection="0"/>
    <xf numFmtId="0" fontId="31" fillId="0" borderId="0" applyNumberFormat="0" applyFill="0" applyBorder="0" applyAlignment="0" applyProtection="0"/>
    <xf numFmtId="0" fontId="33" fillId="34" borderId="494">
      <alignment horizontal="right" vertical="center"/>
    </xf>
    <xf numFmtId="0" fontId="35" fillId="34" borderId="497">
      <alignment horizontal="left" vertical="center" wrapText="1" indent="2"/>
    </xf>
    <xf numFmtId="0" fontId="41" fillId="59" borderId="493" applyNumberFormat="0" applyFont="0" applyAlignment="0" applyProtection="0"/>
    <xf numFmtId="4" fontId="35" fillId="33" borderId="494"/>
    <xf numFmtId="0" fontId="47" fillId="56" borderId="491" applyNumberFormat="0" applyAlignment="0" applyProtection="0"/>
    <xf numFmtId="0" fontId="27" fillId="30" borderId="0" applyNumberFormat="0" applyBorder="0" applyAlignment="0" applyProtection="0"/>
    <xf numFmtId="0" fontId="51" fillId="0" borderId="492" applyNumberFormat="0" applyFill="0" applyAlignment="0" applyProtection="0"/>
    <xf numFmtId="4" fontId="35" fillId="33" borderId="494"/>
    <xf numFmtId="4" fontId="33" fillId="34" borderId="494">
      <alignment horizontal="right" vertical="center"/>
    </xf>
    <xf numFmtId="0" fontId="33" fillId="34" borderId="494">
      <alignment horizontal="right" vertical="center"/>
    </xf>
    <xf numFmtId="0" fontId="12" fillId="28" borderId="0" applyNumberFormat="0" applyBorder="0" applyAlignment="0" applyProtection="0"/>
    <xf numFmtId="0" fontId="63" fillId="56" borderId="498" applyNumberFormat="0" applyAlignment="0" applyProtection="0"/>
    <xf numFmtId="0" fontId="35" fillId="0" borderId="494" applyNumberFormat="0" applyFill="0" applyAlignment="0" applyProtection="0"/>
    <xf numFmtId="49" fontId="35" fillId="0" borderId="494" applyNumberFormat="0" applyFont="0" applyFill="0" applyBorder="0" applyProtection="0">
      <alignment horizontal="left" vertical="center" indent="2"/>
    </xf>
    <xf numFmtId="0" fontId="46" fillId="56" borderId="491" applyNumberFormat="0" applyAlignment="0" applyProtection="0"/>
    <xf numFmtId="0" fontId="66" fillId="0" borderId="492" applyNumberFormat="0" applyFill="0" applyAlignment="0" applyProtection="0"/>
    <xf numFmtId="0" fontId="35" fillId="32" borderId="495">
      <alignment horizontal="left" vertical="center"/>
    </xf>
    <xf numFmtId="49" fontId="35" fillId="0" borderId="494" applyNumberFormat="0" applyFont="0" applyFill="0" applyBorder="0" applyProtection="0">
      <alignment horizontal="left" vertical="center" indent="2"/>
    </xf>
    <xf numFmtId="0" fontId="66" fillId="0" borderId="492" applyNumberFormat="0" applyFill="0" applyAlignment="0" applyProtection="0"/>
    <xf numFmtId="0" fontId="59" fillId="43" borderId="491" applyNumberFormat="0" applyAlignment="0" applyProtection="0"/>
    <xf numFmtId="4" fontId="33" fillId="32" borderId="494">
      <alignment horizontal="right" vertical="center"/>
    </xf>
    <xf numFmtId="4" fontId="37" fillId="32" borderId="494">
      <alignment horizontal="right" vertical="center"/>
    </xf>
    <xf numFmtId="0" fontId="33" fillId="34" borderId="494">
      <alignment horizontal="right" vertical="center"/>
    </xf>
    <xf numFmtId="0" fontId="35" fillId="34" borderId="497">
      <alignment horizontal="left" vertical="center" wrapText="1" indent="2"/>
    </xf>
    <xf numFmtId="0" fontId="41" fillId="59" borderId="493" applyNumberFormat="0" applyFont="0" applyAlignment="0" applyProtection="0"/>
    <xf numFmtId="0" fontId="35" fillId="33" borderId="494"/>
    <xf numFmtId="0" fontId="27" fillId="26" borderId="0" applyNumberFormat="0" applyBorder="0" applyAlignment="0" applyProtection="0"/>
    <xf numFmtId="0" fontId="12" fillId="25" borderId="0" applyNumberFormat="0" applyBorder="0" applyAlignment="0" applyProtection="0"/>
    <xf numFmtId="0" fontId="35" fillId="0" borderId="497">
      <alignment horizontal="left" vertical="center" wrapText="1" indent="2"/>
    </xf>
    <xf numFmtId="0" fontId="59" fillId="43" borderId="491" applyNumberFormat="0" applyAlignment="0" applyProtection="0"/>
    <xf numFmtId="4" fontId="35" fillId="33" borderId="494"/>
    <xf numFmtId="4" fontId="33" fillId="32" borderId="494">
      <alignment horizontal="right" vertical="center"/>
    </xf>
    <xf numFmtId="0" fontId="27" fillId="30" borderId="0" applyNumberFormat="0" applyBorder="0" applyAlignment="0" applyProtection="0"/>
    <xf numFmtId="49" fontId="35" fillId="0" borderId="495" applyNumberFormat="0" applyFont="0" applyFill="0" applyBorder="0" applyProtection="0">
      <alignment horizontal="left" vertical="center" indent="5"/>
    </xf>
    <xf numFmtId="173" fontId="35" fillId="60" borderId="494" applyNumberFormat="0" applyFont="0" applyBorder="0" applyAlignment="0" applyProtection="0">
      <alignment horizontal="right" vertical="center"/>
    </xf>
    <xf numFmtId="0" fontId="63" fillId="56" borderId="498" applyNumberFormat="0" applyAlignment="0" applyProtection="0"/>
    <xf numFmtId="0" fontId="33" fillId="32" borderId="494">
      <alignment horizontal="right" vertical="center"/>
    </xf>
    <xf numFmtId="49" fontId="34" fillId="0" borderId="494" applyNumberFormat="0" applyFill="0" applyBorder="0" applyProtection="0">
      <alignment horizontal="left" vertical="center"/>
    </xf>
    <xf numFmtId="0" fontId="35" fillId="32" borderId="495">
      <alignment horizontal="left" vertical="center"/>
    </xf>
    <xf numFmtId="0" fontId="44" fillId="56" borderId="498" applyNumberFormat="0" applyAlignment="0" applyProtection="0"/>
    <xf numFmtId="4" fontId="33" fillId="32" borderId="494">
      <alignment horizontal="right" vertical="center"/>
    </xf>
    <xf numFmtId="0" fontId="47" fillId="56" borderId="491" applyNumberFormat="0" applyAlignment="0" applyProtection="0"/>
    <xf numFmtId="49" fontId="35" fillId="0" borderId="494" applyNumberFormat="0" applyFont="0" applyFill="0" applyBorder="0" applyProtection="0">
      <alignment horizontal="left" vertical="center" indent="2"/>
    </xf>
    <xf numFmtId="0" fontId="46" fillId="56" borderId="491" applyNumberFormat="0" applyAlignment="0" applyProtection="0"/>
    <xf numFmtId="0" fontId="35" fillId="0" borderId="494">
      <alignment horizontal="right" vertical="center"/>
    </xf>
    <xf numFmtId="0" fontId="41" fillId="59" borderId="493" applyNumberFormat="0" applyFont="0" applyAlignment="0" applyProtection="0"/>
    <xf numFmtId="0" fontId="63" fillId="56" borderId="498" applyNumberFormat="0" applyAlignment="0" applyProtection="0"/>
    <xf numFmtId="4" fontId="37" fillId="32" borderId="494">
      <alignment horizontal="right" vertical="center"/>
    </xf>
    <xf numFmtId="0" fontId="47" fillId="56" borderId="491" applyNumberFormat="0" applyAlignment="0" applyProtection="0"/>
    <xf numFmtId="0" fontId="27" fillId="27" borderId="0" applyNumberFormat="0" applyBorder="0" applyAlignment="0" applyProtection="0"/>
    <xf numFmtId="0" fontId="12" fillId="25" borderId="0" applyNumberFormat="0" applyBorder="0" applyAlignment="0" applyProtection="0"/>
    <xf numFmtId="4" fontId="33" fillId="34" borderId="496">
      <alignment horizontal="right" vertical="center"/>
    </xf>
    <xf numFmtId="0" fontId="12" fillId="22" borderId="0" applyNumberFormat="0" applyBorder="0" applyAlignment="0" applyProtection="0"/>
    <xf numFmtId="0" fontId="27" fillId="23" borderId="0" applyNumberFormat="0" applyBorder="0" applyAlignment="0" applyProtection="0"/>
    <xf numFmtId="0" fontId="37" fillId="32" borderId="494">
      <alignment horizontal="right" vertical="center"/>
    </xf>
    <xf numFmtId="0" fontId="59" fillId="43" borderId="491" applyNumberFormat="0" applyAlignment="0" applyProtection="0"/>
    <xf numFmtId="0" fontId="50" fillId="43" borderId="491" applyNumberFormat="0" applyAlignment="0" applyProtection="0"/>
    <xf numFmtId="0" fontId="12" fillId="19" borderId="0" applyNumberFormat="0" applyBorder="0" applyAlignment="0" applyProtection="0"/>
    <xf numFmtId="0" fontId="35" fillId="0" borderId="494" applyNumberFormat="0" applyFill="0" applyAlignment="0" applyProtection="0"/>
    <xf numFmtId="0" fontId="63" fillId="56" borderId="498" applyNumberFormat="0" applyAlignment="0" applyProtection="0"/>
    <xf numFmtId="0" fontId="5" fillId="59" borderId="493" applyNumberFormat="0" applyFont="0" applyAlignment="0" applyProtection="0"/>
    <xf numFmtId="0" fontId="30" fillId="13" borderId="13" applyNumberFormat="0" applyAlignment="0" applyProtection="0"/>
    <xf numFmtId="0" fontId="12" fillId="25" borderId="0" applyNumberFormat="0" applyBorder="0" applyAlignment="0" applyProtection="0"/>
    <xf numFmtId="0" fontId="59" fillId="43" borderId="491" applyNumberFormat="0" applyAlignment="0" applyProtection="0"/>
    <xf numFmtId="0" fontId="5" fillId="59" borderId="493" applyNumberFormat="0" applyFont="0" applyAlignment="0" applyProtection="0"/>
    <xf numFmtId="4" fontId="33" fillId="34" borderId="494">
      <alignment horizontal="right" vertical="center"/>
    </xf>
    <xf numFmtId="0" fontId="46" fillId="56" borderId="491" applyNumberFormat="0" applyAlignment="0" applyProtection="0"/>
    <xf numFmtId="4" fontId="33" fillId="34" borderId="495">
      <alignment horizontal="right" vertical="center"/>
    </xf>
    <xf numFmtId="0" fontId="66" fillId="0" borderId="492" applyNumberFormat="0" applyFill="0" applyAlignment="0" applyProtection="0"/>
    <xf numFmtId="0" fontId="29" fillId="13" borderId="14" applyNumberFormat="0" applyAlignment="0" applyProtection="0"/>
    <xf numFmtId="0" fontId="33" fillId="34" borderId="494">
      <alignment horizontal="right" vertical="center"/>
    </xf>
    <xf numFmtId="0" fontId="66" fillId="0" borderId="492" applyNumberFormat="0" applyFill="0" applyAlignment="0" applyProtection="0"/>
    <xf numFmtId="0" fontId="59" fillId="43" borderId="491" applyNumberFormat="0" applyAlignment="0" applyProtection="0"/>
    <xf numFmtId="49" fontId="35" fillId="0" borderId="494" applyNumberFormat="0" applyFont="0" applyFill="0" applyBorder="0" applyProtection="0">
      <alignment horizontal="left" vertical="center" indent="2"/>
    </xf>
    <xf numFmtId="0" fontId="27" fillId="29" borderId="0" applyNumberFormat="0" applyBorder="0" applyAlignment="0" applyProtection="0"/>
    <xf numFmtId="0" fontId="66" fillId="0" borderId="492" applyNumberFormat="0" applyFill="0" applyAlignment="0" applyProtection="0"/>
    <xf numFmtId="0" fontId="41" fillId="59" borderId="493" applyNumberFormat="0" applyFont="0" applyAlignment="0" applyProtection="0"/>
    <xf numFmtId="4" fontId="33" fillId="34" borderId="496">
      <alignment horizontal="right" vertical="center"/>
    </xf>
    <xf numFmtId="0" fontId="41" fillId="59" borderId="493" applyNumberFormat="0" applyFont="0" applyAlignment="0" applyProtection="0"/>
    <xf numFmtId="0" fontId="46" fillId="56" borderId="491" applyNumberFormat="0" applyAlignment="0" applyProtection="0"/>
    <xf numFmtId="0" fontId="33" fillId="34" borderId="496">
      <alignment horizontal="right" vertical="center"/>
    </xf>
    <xf numFmtId="4" fontId="33" fillId="34" borderId="496">
      <alignment horizontal="right" vertical="center"/>
    </xf>
    <xf numFmtId="0" fontId="35" fillId="0" borderId="494">
      <alignment horizontal="right" vertical="center"/>
    </xf>
    <xf numFmtId="0" fontId="27" fillId="23" borderId="0" applyNumberFormat="0" applyBorder="0" applyAlignment="0" applyProtection="0"/>
    <xf numFmtId="0" fontId="29" fillId="13" borderId="14" applyNumberFormat="0" applyAlignment="0" applyProtection="0"/>
    <xf numFmtId="4" fontId="35" fillId="0" borderId="494" applyFill="0" applyBorder="0" applyProtection="0">
      <alignment horizontal="right" vertical="center"/>
    </xf>
    <xf numFmtId="0" fontId="27" fillId="23" borderId="0" applyNumberFormat="0" applyBorder="0" applyAlignment="0" applyProtection="0"/>
    <xf numFmtId="0" fontId="44" fillId="56" borderId="498" applyNumberFormat="0" applyAlignment="0" applyProtection="0"/>
    <xf numFmtId="0" fontId="33" fillId="34" borderId="496">
      <alignment horizontal="right" vertical="center"/>
    </xf>
    <xf numFmtId="0" fontId="37" fillId="32" borderId="494">
      <alignment horizontal="right" vertical="center"/>
    </xf>
    <xf numFmtId="4" fontId="33" fillId="32" borderId="494">
      <alignment horizontal="right" vertical="center"/>
    </xf>
    <xf numFmtId="4" fontId="33" fillId="34" borderId="494">
      <alignment horizontal="right" vertical="center"/>
    </xf>
    <xf numFmtId="49" fontId="35" fillId="0" borderId="495" applyNumberFormat="0" applyFont="0" applyFill="0" applyBorder="0" applyProtection="0">
      <alignment horizontal="left" vertical="center" indent="5"/>
    </xf>
    <xf numFmtId="4" fontId="35" fillId="0" borderId="494" applyFill="0" applyBorder="0" applyProtection="0">
      <alignment horizontal="right" vertical="center"/>
    </xf>
    <xf numFmtId="4" fontId="33" fillId="32" borderId="494">
      <alignment horizontal="right" vertical="center"/>
    </xf>
    <xf numFmtId="0" fontId="59" fillId="43" borderId="491" applyNumberFormat="0" applyAlignment="0" applyProtection="0"/>
    <xf numFmtId="0" fontId="50" fillId="43" borderId="491" applyNumberFormat="0" applyAlignment="0" applyProtection="0"/>
    <xf numFmtId="0" fontId="46" fillId="56" borderId="491" applyNumberFormat="0" applyAlignment="0" applyProtection="0"/>
    <xf numFmtId="0" fontId="35" fillId="34" borderId="497">
      <alignment horizontal="left" vertical="center" wrapText="1" indent="2"/>
    </xf>
    <xf numFmtId="0" fontId="35" fillId="0" borderId="497">
      <alignment horizontal="left" vertical="center" wrapText="1" indent="2"/>
    </xf>
    <xf numFmtId="0" fontId="35" fillId="34" borderId="497">
      <alignment horizontal="left" vertical="center" wrapText="1" indent="2"/>
    </xf>
    <xf numFmtId="0" fontId="35" fillId="0" borderId="497">
      <alignment horizontal="left" vertical="center" wrapText="1" indent="2"/>
    </xf>
    <xf numFmtId="0" fontId="30" fillId="13" borderId="13" applyNumberFormat="0" applyAlignment="0" applyProtection="0"/>
    <xf numFmtId="0" fontId="27" fillId="15" borderId="0" applyNumberFormat="0" applyBorder="0" applyAlignment="0" applyProtection="0"/>
    <xf numFmtId="0" fontId="27" fillId="30" borderId="0" applyNumberFormat="0" applyBorder="0" applyAlignment="0" applyProtection="0"/>
    <xf numFmtId="0" fontId="12" fillId="19" borderId="0" applyNumberFormat="0" applyBorder="0" applyAlignment="0" applyProtection="0"/>
    <xf numFmtId="0" fontId="27" fillId="27" borderId="0" applyNumberFormat="0" applyBorder="0" applyAlignment="0" applyProtection="0"/>
    <xf numFmtId="0" fontId="27" fillId="18" borderId="0" applyNumberFormat="0" applyBorder="0" applyAlignment="0" applyProtection="0"/>
    <xf numFmtId="0" fontId="27" fillId="21" borderId="0" applyNumberFormat="0" applyBorder="0" applyAlignment="0" applyProtection="0"/>
    <xf numFmtId="0" fontId="2" fillId="0" borderId="15" applyNumberFormat="0" applyFill="0" applyAlignment="0" applyProtection="0"/>
    <xf numFmtId="0" fontId="27" fillId="24" borderId="0" applyNumberFormat="0" applyBorder="0" applyAlignment="0" applyProtection="0"/>
    <xf numFmtId="0" fontId="12" fillId="28" borderId="0" applyNumberFormat="0" applyBorder="0" applyAlignment="0" applyProtection="0"/>
    <xf numFmtId="0" fontId="27" fillId="17" borderId="0" applyNumberFormat="0" applyBorder="0" applyAlignment="0" applyProtection="0"/>
    <xf numFmtId="0" fontId="27" fillId="14" borderId="0" applyNumberFormat="0" applyBorder="0" applyAlignment="0" applyProtection="0"/>
    <xf numFmtId="0" fontId="27" fillId="21" borderId="0" applyNumberFormat="0" applyBorder="0" applyAlignment="0" applyProtection="0"/>
    <xf numFmtId="0" fontId="27" fillId="26" borderId="0" applyNumberFormat="0" applyBorder="0" applyAlignment="0" applyProtection="0"/>
    <xf numFmtId="0" fontId="31" fillId="0" borderId="0" applyNumberFormat="0" applyFill="0" applyBorder="0" applyAlignment="0" applyProtection="0"/>
    <xf numFmtId="0" fontId="12" fillId="31" borderId="0" applyNumberFormat="0" applyBorder="0" applyAlignment="0" applyProtection="0"/>
    <xf numFmtId="0" fontId="12" fillId="28" borderId="0" applyNumberFormat="0" applyBorder="0" applyAlignment="0" applyProtection="0"/>
    <xf numFmtId="0" fontId="27" fillId="29" borderId="0" applyNumberFormat="0" applyBorder="0" applyAlignment="0" applyProtection="0"/>
    <xf numFmtId="0" fontId="27" fillId="20" borderId="0" applyNumberFormat="0" applyBorder="0" applyAlignment="0" applyProtection="0"/>
    <xf numFmtId="0" fontId="27" fillId="27" borderId="0" applyNumberFormat="0" applyBorder="0" applyAlignment="0" applyProtection="0"/>
    <xf numFmtId="0" fontId="27" fillId="29" borderId="0" applyNumberFormat="0" applyBorder="0" applyAlignment="0" applyProtection="0"/>
    <xf numFmtId="0" fontId="1" fillId="0" borderId="0" applyNumberFormat="0" applyFill="0" applyBorder="0" applyAlignment="0" applyProtection="0"/>
    <xf numFmtId="0" fontId="30" fillId="13" borderId="13" applyNumberFormat="0" applyAlignment="0" applyProtection="0"/>
    <xf numFmtId="0" fontId="27" fillId="24" borderId="0" applyNumberFormat="0" applyBorder="0" applyAlignment="0" applyProtection="0"/>
    <xf numFmtId="0" fontId="12" fillId="28" borderId="0" applyNumberFormat="0" applyBorder="0" applyAlignment="0" applyProtection="0"/>
    <xf numFmtId="0" fontId="27" fillId="24" borderId="0" applyNumberFormat="0" applyBorder="0" applyAlignment="0" applyProtection="0"/>
    <xf numFmtId="0" fontId="12" fillId="28" borderId="0" applyNumberFormat="0" applyBorder="0" applyAlignment="0" applyProtection="0"/>
    <xf numFmtId="0" fontId="27" fillId="17" borderId="0" applyNumberFormat="0" applyBorder="0" applyAlignment="0" applyProtection="0"/>
    <xf numFmtId="0" fontId="12" fillId="25" borderId="0" applyNumberFormat="0" applyBorder="0" applyAlignment="0" applyProtection="0"/>
    <xf numFmtId="0" fontId="27" fillId="24" borderId="0" applyNumberFormat="0" applyBorder="0" applyAlignment="0" applyProtection="0"/>
    <xf numFmtId="0" fontId="27" fillId="20" borderId="0" applyNumberFormat="0" applyBorder="0" applyAlignment="0" applyProtection="0"/>
    <xf numFmtId="0" fontId="31" fillId="0" borderId="0" applyNumberFormat="0" applyFill="0" applyBorder="0" applyAlignment="0" applyProtection="0"/>
    <xf numFmtId="0" fontId="2" fillId="0" borderId="15" applyNumberFormat="0" applyFill="0" applyAlignment="0" applyProtection="0"/>
    <xf numFmtId="0" fontId="27" fillId="21" borderId="0" applyNumberFormat="0" applyBorder="0" applyAlignment="0" applyProtection="0"/>
    <xf numFmtId="0" fontId="27" fillId="29" borderId="0" applyNumberFormat="0" applyBorder="0" applyAlignment="0" applyProtection="0"/>
    <xf numFmtId="0" fontId="12" fillId="31" borderId="0" applyNumberFormat="0" applyBorder="0" applyAlignment="0" applyProtection="0"/>
    <xf numFmtId="0" fontId="27" fillId="26" borderId="0" applyNumberFormat="0" applyBorder="0" applyAlignment="0" applyProtection="0"/>
    <xf numFmtId="0" fontId="12" fillId="25" borderId="0" applyNumberFormat="0" applyBorder="0" applyAlignment="0" applyProtection="0"/>
    <xf numFmtId="0" fontId="27" fillId="30" borderId="0" applyNumberFormat="0" applyBorder="0" applyAlignment="0" applyProtection="0"/>
    <xf numFmtId="0" fontId="12" fillId="22" borderId="0" applyNumberFormat="0" applyBorder="0" applyAlignment="0" applyProtection="0"/>
    <xf numFmtId="0" fontId="27" fillId="20" borderId="0" applyNumberFormat="0" applyBorder="0" applyAlignment="0" applyProtection="0"/>
    <xf numFmtId="0" fontId="12" fillId="19" borderId="0" applyNumberFormat="0" applyBorder="0" applyAlignment="0" applyProtection="0"/>
    <xf numFmtId="0" fontId="27" fillId="17" borderId="0" applyNumberFormat="0" applyBorder="0" applyAlignment="0" applyProtection="0"/>
    <xf numFmtId="0" fontId="12" fillId="22" borderId="0" applyNumberFormat="0" applyBorder="0" applyAlignment="0" applyProtection="0"/>
    <xf numFmtId="0" fontId="12" fillId="19" borderId="0" applyNumberFormat="0" applyBorder="0" applyAlignment="0" applyProtection="0"/>
    <xf numFmtId="0" fontId="29" fillId="13" borderId="14" applyNumberFormat="0" applyAlignment="0" applyProtection="0"/>
    <xf numFmtId="0" fontId="12" fillId="16" borderId="0" applyNumberFormat="0" applyBorder="0" applyAlignment="0" applyProtection="0"/>
    <xf numFmtId="0" fontId="12" fillId="16" borderId="0" applyNumberFormat="0" applyBorder="0" applyAlignment="0" applyProtection="0"/>
    <xf numFmtId="0" fontId="66" fillId="0" borderId="556" applyNumberFormat="0" applyFill="0" applyAlignment="0" applyProtection="0"/>
    <xf numFmtId="0" fontId="12" fillId="19" borderId="0" applyNumberFormat="0" applyBorder="0" applyAlignment="0" applyProtection="0"/>
    <xf numFmtId="0" fontId="35" fillId="0" borderId="519">
      <alignment horizontal="left" vertical="center" wrapText="1" indent="2"/>
    </xf>
    <xf numFmtId="0" fontId="51" fillId="0" borderId="522" applyNumberFormat="0" applyFill="0" applyAlignment="0" applyProtection="0"/>
    <xf numFmtId="0" fontId="51" fillId="0" borderId="522" applyNumberFormat="0" applyFill="0" applyAlignment="0" applyProtection="0"/>
    <xf numFmtId="0" fontId="46" fillId="56" borderId="521" applyNumberFormat="0" applyAlignment="0" applyProtection="0"/>
    <xf numFmtId="0" fontId="27" fillId="15" borderId="0" applyNumberFormat="0" applyBorder="0" applyAlignment="0" applyProtection="0"/>
    <xf numFmtId="0" fontId="66" fillId="0" borderId="522" applyNumberFormat="0" applyFill="0" applyAlignment="0" applyProtection="0"/>
    <xf numFmtId="0" fontId="41" fillId="59" borderId="515" applyNumberFormat="0" applyFont="0" applyAlignment="0" applyProtection="0"/>
    <xf numFmtId="0" fontId="66" fillId="0" borderId="522" applyNumberFormat="0" applyFill="0" applyAlignment="0" applyProtection="0"/>
    <xf numFmtId="0" fontId="44" fillId="56" borderId="547" applyNumberFormat="0" applyAlignment="0" applyProtection="0"/>
    <xf numFmtId="0" fontId="41" fillId="59" borderId="509" applyNumberFormat="0" applyFont="0" applyAlignment="0" applyProtection="0"/>
    <xf numFmtId="173" fontId="35" fillId="60" borderId="510" applyNumberFormat="0" applyFont="0" applyBorder="0" applyAlignment="0" applyProtection="0">
      <alignment horizontal="right" vertical="center"/>
    </xf>
    <xf numFmtId="0" fontId="51" fillId="0" borderId="549" applyNumberFormat="0" applyFill="0" applyAlignment="0" applyProtection="0"/>
    <xf numFmtId="173" fontId="35" fillId="60" borderId="516" applyNumberFormat="0" applyFont="0" applyBorder="0" applyAlignment="0" applyProtection="0">
      <alignment horizontal="right" vertical="center"/>
    </xf>
    <xf numFmtId="4" fontId="33" fillId="34" borderId="512">
      <alignment horizontal="right" vertical="center"/>
    </xf>
    <xf numFmtId="0" fontId="5" fillId="59" borderId="515" applyNumberFormat="0" applyFont="0" applyAlignment="0" applyProtection="0"/>
    <xf numFmtId="0" fontId="47" fillId="56" borderId="521" applyNumberFormat="0" applyAlignment="0" applyProtection="0"/>
    <xf numFmtId="0" fontId="33" fillId="32" borderId="526">
      <alignment horizontal="right" vertical="center"/>
    </xf>
    <xf numFmtId="0" fontId="59" fillId="43" borderId="523" applyNumberFormat="0" applyAlignment="0" applyProtection="0"/>
    <xf numFmtId="49" fontId="35" fillId="0" borderId="533" applyNumberFormat="0" applyFont="0" applyFill="0" applyBorder="0" applyProtection="0">
      <alignment horizontal="left" vertical="center" indent="5"/>
    </xf>
    <xf numFmtId="173" fontId="35" fillId="60" borderId="516" applyNumberFormat="0" applyFont="0" applyBorder="0" applyAlignment="0" applyProtection="0">
      <alignment horizontal="right" vertical="center"/>
    </xf>
    <xf numFmtId="4" fontId="35" fillId="0" borderId="510">
      <alignment horizontal="right" vertical="center"/>
    </xf>
    <xf numFmtId="0" fontId="35" fillId="33" borderId="510"/>
    <xf numFmtId="0" fontId="35" fillId="0" borderId="510">
      <alignment horizontal="right" vertical="center"/>
    </xf>
    <xf numFmtId="0" fontId="33" fillId="34" borderId="517">
      <alignment horizontal="right" vertical="center"/>
    </xf>
    <xf numFmtId="0" fontId="41" fillId="59" borderId="515" applyNumberFormat="0" applyFont="0" applyAlignment="0" applyProtection="0"/>
    <xf numFmtId="0" fontId="47" fillId="56" borderId="521" applyNumberFormat="0" applyAlignment="0" applyProtection="0"/>
    <xf numFmtId="0" fontId="35" fillId="33" borderId="516"/>
    <xf numFmtId="0" fontId="41" fillId="59" borderId="515" applyNumberFormat="0" applyFont="0" applyAlignment="0" applyProtection="0"/>
    <xf numFmtId="0" fontId="29" fillId="13" borderId="14" applyNumberFormat="0" applyAlignment="0" applyProtection="0"/>
    <xf numFmtId="0" fontId="35" fillId="0" borderId="551">
      <alignment horizontal="right" vertical="center"/>
    </xf>
    <xf numFmtId="0" fontId="35" fillId="0" borderId="551" applyNumberFormat="0" applyFill="0" applyAlignment="0" applyProtection="0"/>
    <xf numFmtId="0" fontId="66" fillId="0" borderId="524" applyNumberFormat="0" applyFill="0" applyAlignment="0" applyProtection="0"/>
    <xf numFmtId="0" fontId="33" fillId="34" borderId="518">
      <alignment horizontal="right" vertical="center"/>
    </xf>
    <xf numFmtId="4" fontId="33" fillId="34" borderId="516">
      <alignment horizontal="right" vertical="center"/>
    </xf>
    <xf numFmtId="4" fontId="33" fillId="34" borderId="510">
      <alignment horizontal="right" vertical="center"/>
    </xf>
    <xf numFmtId="0" fontId="30" fillId="13" borderId="13" applyNumberFormat="0" applyAlignment="0" applyProtection="0"/>
    <xf numFmtId="0" fontId="47" fillId="56" borderId="521" applyNumberFormat="0" applyAlignment="0" applyProtection="0"/>
    <xf numFmtId="0" fontId="59" fillId="43" borderId="540" applyNumberFormat="0" applyAlignment="0" applyProtection="0"/>
    <xf numFmtId="4" fontId="33" fillId="34" borderId="516">
      <alignment horizontal="right" vertical="center"/>
    </xf>
    <xf numFmtId="0" fontId="59" fillId="43" borderId="548" applyNumberFormat="0" applyAlignment="0" applyProtection="0"/>
    <xf numFmtId="4" fontId="33" fillId="34" borderId="552">
      <alignment horizontal="right" vertical="center"/>
    </xf>
    <xf numFmtId="0" fontId="33" fillId="34" borderId="551">
      <alignment horizontal="right" vertical="center"/>
    </xf>
    <xf numFmtId="0" fontId="29" fillId="13" borderId="14" applyNumberFormat="0" applyAlignment="0" applyProtection="0"/>
    <xf numFmtId="0" fontId="30" fillId="13" borderId="13" applyNumberFormat="0" applyAlignment="0" applyProtection="0"/>
    <xf numFmtId="4" fontId="33" fillId="34" borderId="516">
      <alignment horizontal="right" vertical="center"/>
    </xf>
    <xf numFmtId="4" fontId="37" fillId="32" borderId="551">
      <alignment horizontal="right" vertical="center"/>
    </xf>
    <xf numFmtId="0" fontId="1" fillId="0" borderId="0" applyNumberFormat="0" applyFill="0" applyBorder="0" applyAlignment="0" applyProtection="0"/>
    <xf numFmtId="173" fontId="35" fillId="60" borderId="516" applyNumberFormat="0" applyFont="0" applyBorder="0" applyAlignment="0" applyProtection="0">
      <alignment horizontal="right" vertical="center"/>
    </xf>
    <xf numFmtId="0" fontId="31" fillId="0" borderId="0" applyNumberFormat="0" applyFill="0" applyBorder="0" applyAlignment="0" applyProtection="0"/>
    <xf numFmtId="0" fontId="2" fillId="0" borderId="15" applyNumberFormat="0" applyFill="0" applyAlignment="0" applyProtection="0"/>
    <xf numFmtId="0" fontId="29" fillId="13" borderId="14" applyNumberFormat="0" applyAlignment="0" applyProtection="0"/>
    <xf numFmtId="0" fontId="27" fillId="14" borderId="0" applyNumberFormat="0" applyBorder="0" applyAlignment="0" applyProtection="0"/>
    <xf numFmtId="0" fontId="27" fillId="15" borderId="0" applyNumberFormat="0" applyBorder="0" applyAlignment="0" applyProtection="0"/>
    <xf numFmtId="0" fontId="12" fillId="16" borderId="0" applyNumberFormat="0" applyBorder="0" applyAlignment="0" applyProtection="0"/>
    <xf numFmtId="0" fontId="47" fillId="56" borderId="523" applyNumberFormat="0" applyAlignment="0" applyProtection="0"/>
    <xf numFmtId="0" fontId="27" fillId="17" borderId="0" applyNumberFormat="0" applyBorder="0" applyAlignment="0" applyProtection="0"/>
    <xf numFmtId="0" fontId="27" fillId="18" borderId="0" applyNumberFormat="0" applyBorder="0" applyAlignment="0" applyProtection="0"/>
    <xf numFmtId="0" fontId="12" fillId="19" borderId="0" applyNumberFormat="0" applyBorder="0" applyAlignment="0" applyProtection="0"/>
    <xf numFmtId="0" fontId="33" fillId="34" borderId="516">
      <alignment horizontal="right" vertical="center"/>
    </xf>
    <xf numFmtId="0" fontId="27" fillId="20" borderId="0" applyNumberFormat="0" applyBorder="0" applyAlignment="0" applyProtection="0"/>
    <xf numFmtId="0" fontId="27" fillId="21" borderId="0" applyNumberFormat="0" applyBorder="0" applyAlignment="0" applyProtection="0"/>
    <xf numFmtId="0" fontId="12" fillId="22" borderId="0" applyNumberFormat="0" applyBorder="0" applyAlignment="0" applyProtection="0"/>
    <xf numFmtId="0" fontId="35" fillId="32" borderId="552">
      <alignment horizontal="left" vertical="center"/>
    </xf>
    <xf numFmtId="0" fontId="27" fillId="23" borderId="0" applyNumberFormat="0" applyBorder="0" applyAlignment="0" applyProtection="0"/>
    <xf numFmtId="0" fontId="27" fillId="24" borderId="0" applyNumberFormat="0" applyBorder="0" applyAlignment="0" applyProtection="0"/>
    <xf numFmtId="0" fontId="12" fillId="25" borderId="0" applyNumberFormat="0" applyBorder="0" applyAlignment="0" applyProtection="0"/>
    <xf numFmtId="0" fontId="51" fillId="0" borderId="522" applyNumberFormat="0" applyFill="0" applyAlignment="0" applyProtection="0"/>
    <xf numFmtId="0" fontId="27" fillId="26" borderId="0" applyNumberFormat="0" applyBorder="0" applyAlignment="0" applyProtection="0"/>
    <xf numFmtId="0" fontId="27" fillId="27" borderId="0" applyNumberFormat="0" applyBorder="0" applyAlignment="0" applyProtection="0"/>
    <xf numFmtId="0" fontId="12" fillId="28" borderId="0" applyNumberFormat="0" applyBorder="0" applyAlignment="0" applyProtection="0"/>
    <xf numFmtId="4" fontId="33" fillId="32" borderId="516">
      <alignment horizontal="right" vertical="center"/>
    </xf>
    <xf numFmtId="0" fontId="27" fillId="29" borderId="0" applyNumberFormat="0" applyBorder="0" applyAlignment="0" applyProtection="0"/>
    <xf numFmtId="0" fontId="27" fillId="30" borderId="0" applyNumberFormat="0" applyBorder="0" applyAlignment="0" applyProtection="0"/>
    <xf numFmtId="0" fontId="12" fillId="31" borderId="0" applyNumberFormat="0" applyBorder="0" applyAlignment="0" applyProtection="0"/>
    <xf numFmtId="0" fontId="35" fillId="0" borderId="494" applyNumberFormat="0" applyFill="0" applyAlignment="0" applyProtection="0"/>
    <xf numFmtId="0" fontId="33" fillId="34" borderId="494">
      <alignment horizontal="right" vertical="center"/>
    </xf>
    <xf numFmtId="0" fontId="33" fillId="34" borderId="494">
      <alignment horizontal="right" vertical="center"/>
    </xf>
    <xf numFmtId="0" fontId="27" fillId="15" borderId="0" applyNumberFormat="0" applyBorder="0" applyAlignment="0" applyProtection="0"/>
    <xf numFmtId="0" fontId="33" fillId="34" borderId="456">
      <alignment horizontal="right" vertical="center"/>
    </xf>
    <xf numFmtId="0" fontId="35" fillId="0" borderId="494">
      <alignment horizontal="right" vertical="center"/>
    </xf>
    <xf numFmtId="0" fontId="37" fillId="32" borderId="494">
      <alignment horizontal="right" vertical="center"/>
    </xf>
    <xf numFmtId="0" fontId="35" fillId="33" borderId="494"/>
    <xf numFmtId="0" fontId="33" fillId="32" borderId="494">
      <alignment horizontal="right" vertical="center"/>
    </xf>
    <xf numFmtId="0" fontId="47" fillId="56" borderId="507" applyNumberFormat="0" applyAlignment="0" applyProtection="0"/>
    <xf numFmtId="0" fontId="41" fillId="59" borderId="515" applyNumberFormat="0" applyFont="0" applyAlignment="0" applyProtection="0"/>
    <xf numFmtId="0" fontId="33" fillId="32" borderId="516">
      <alignment horizontal="right" vertical="center"/>
    </xf>
    <xf numFmtId="4" fontId="33" fillId="34" borderId="516">
      <alignment horizontal="right" vertical="center"/>
    </xf>
    <xf numFmtId="4" fontId="33" fillId="34" borderId="517">
      <alignment horizontal="right" vertical="center"/>
    </xf>
    <xf numFmtId="0" fontId="46" fillId="56" borderId="507" applyNumberFormat="0" applyAlignment="0" applyProtection="0"/>
    <xf numFmtId="0" fontId="33" fillId="34" borderId="516">
      <alignment horizontal="right" vertical="center"/>
    </xf>
    <xf numFmtId="4" fontId="35" fillId="33" borderId="516"/>
    <xf numFmtId="4" fontId="33" fillId="34" borderId="517">
      <alignment horizontal="right" vertical="center"/>
    </xf>
    <xf numFmtId="0" fontId="50" fillId="43" borderId="521" applyNumberFormat="0" applyAlignment="0" applyProtection="0"/>
    <xf numFmtId="4" fontId="33" fillId="34" borderId="551">
      <alignment horizontal="right" vertical="center"/>
    </xf>
    <xf numFmtId="0" fontId="29" fillId="13" borderId="14" applyNumberFormat="0" applyAlignment="0" applyProtection="0"/>
    <xf numFmtId="0" fontId="30" fillId="13" borderId="13" applyNumberFormat="0" applyAlignment="0" applyProtection="0"/>
    <xf numFmtId="49" fontId="34" fillId="0" borderId="510" applyNumberFormat="0" applyFill="0" applyBorder="0" applyProtection="0">
      <alignment horizontal="left" vertical="center"/>
    </xf>
    <xf numFmtId="0" fontId="27" fillId="30" borderId="0" applyNumberFormat="0" applyBorder="0" applyAlignment="0" applyProtection="0"/>
    <xf numFmtId="0" fontId="12" fillId="25" borderId="0" applyNumberFormat="0" applyBorder="0" applyAlignment="0" applyProtection="0"/>
    <xf numFmtId="0" fontId="44" fillId="56" borderId="520" applyNumberFormat="0" applyAlignment="0" applyProtection="0"/>
    <xf numFmtId="0" fontId="27" fillId="30" borderId="0" applyNumberFormat="0" applyBorder="0" applyAlignment="0" applyProtection="0"/>
    <xf numFmtId="49" fontId="35" fillId="0" borderId="516" applyNumberFormat="0" applyFont="0" applyFill="0" applyBorder="0" applyProtection="0">
      <alignment horizontal="left" vertical="center" indent="2"/>
    </xf>
    <xf numFmtId="4" fontId="35" fillId="0" borderId="516" applyFill="0" applyBorder="0" applyProtection="0">
      <alignment horizontal="right" vertical="center"/>
    </xf>
    <xf numFmtId="0" fontId="35" fillId="34" borderId="519">
      <alignment horizontal="left" vertical="center" wrapText="1" indent="2"/>
    </xf>
    <xf numFmtId="0" fontId="35" fillId="0" borderId="519">
      <alignment horizontal="left" vertical="center" wrapText="1" indent="2"/>
    </xf>
    <xf numFmtId="0" fontId="44" fillId="56" borderId="520" applyNumberFormat="0" applyAlignment="0" applyProtection="0"/>
    <xf numFmtId="0" fontId="47" fillId="56" borderId="540" applyNumberFormat="0" applyAlignment="0" applyProtection="0"/>
    <xf numFmtId="0" fontId="59" fillId="43" borderId="521" applyNumberFormat="0" applyAlignment="0" applyProtection="0"/>
    <xf numFmtId="0" fontId="1" fillId="0" borderId="0" applyNumberFormat="0" applyFill="0" applyBorder="0" applyAlignment="0" applyProtection="0"/>
    <xf numFmtId="0" fontId="27" fillId="27" borderId="0" applyNumberFormat="0" applyBorder="0" applyAlignment="0" applyProtection="0"/>
    <xf numFmtId="0" fontId="12" fillId="31" borderId="0" applyNumberFormat="0" applyBorder="0" applyAlignment="0" applyProtection="0"/>
    <xf numFmtId="4" fontId="33" fillId="34" borderId="532">
      <alignment horizontal="right" vertical="center"/>
    </xf>
    <xf numFmtId="0" fontId="59" fillId="43" borderId="521" applyNumberFormat="0" applyAlignment="0" applyProtection="0"/>
    <xf numFmtId="0" fontId="66" fillId="0" borderId="522" applyNumberFormat="0" applyFill="0" applyAlignment="0" applyProtection="0"/>
    <xf numFmtId="0" fontId="12" fillId="25" borderId="0" applyNumberFormat="0" applyBorder="0" applyAlignment="0" applyProtection="0"/>
    <xf numFmtId="0" fontId="46" fillId="56" borderId="523" applyNumberFormat="0" applyAlignment="0" applyProtection="0"/>
    <xf numFmtId="0" fontId="66" fillId="0" borderId="549" applyNumberFormat="0" applyFill="0" applyAlignment="0" applyProtection="0"/>
    <xf numFmtId="0" fontId="35" fillId="0" borderId="516" applyNumberFormat="0" applyFill="0" applyAlignment="0" applyProtection="0"/>
    <xf numFmtId="4" fontId="33" fillId="32" borderId="551">
      <alignment horizontal="right" vertical="center"/>
    </xf>
    <xf numFmtId="0" fontId="27" fillId="23" borderId="0" applyNumberFormat="0" applyBorder="0" applyAlignment="0" applyProtection="0"/>
    <xf numFmtId="0" fontId="59" fillId="43" borderId="507" applyNumberFormat="0" applyAlignment="0" applyProtection="0"/>
    <xf numFmtId="0" fontId="33" fillId="34" borderId="512">
      <alignment horizontal="right" vertical="center"/>
    </xf>
    <xf numFmtId="0" fontId="33" fillId="34" borderId="510">
      <alignment horizontal="right" vertical="center"/>
    </xf>
    <xf numFmtId="4" fontId="33" fillId="34" borderId="510">
      <alignment horizontal="right" vertical="center"/>
    </xf>
    <xf numFmtId="0" fontId="33" fillId="34" borderId="510">
      <alignment horizontal="right" vertical="center"/>
    </xf>
    <xf numFmtId="4" fontId="37" fillId="32" borderId="510">
      <alignment horizontal="right" vertical="center"/>
    </xf>
    <xf numFmtId="0" fontId="37" fillId="32" borderId="510">
      <alignment horizontal="right" vertical="center"/>
    </xf>
    <xf numFmtId="4" fontId="33" fillId="32" borderId="510">
      <alignment horizontal="right" vertical="center"/>
    </xf>
    <xf numFmtId="0" fontId="33" fillId="32" borderId="510">
      <alignment horizontal="right" vertical="center"/>
    </xf>
    <xf numFmtId="0" fontId="47" fillId="56" borderId="521" applyNumberFormat="0" applyAlignment="0" applyProtection="0"/>
    <xf numFmtId="0" fontId="47" fillId="56" borderId="500" applyNumberFormat="0" applyAlignment="0" applyProtection="0"/>
    <xf numFmtId="0" fontId="66" fillId="0" borderId="522" applyNumberFormat="0" applyFill="0" applyAlignment="0" applyProtection="0"/>
    <xf numFmtId="43" fontId="38" fillId="0" borderId="0" applyFont="0" applyFill="0" applyBorder="0" applyAlignment="0" applyProtection="0"/>
    <xf numFmtId="0" fontId="29" fillId="13" borderId="14" applyNumberFormat="0" applyAlignment="0" applyProtection="0"/>
    <xf numFmtId="43" fontId="38" fillId="0" borderId="0" applyFont="0" applyFill="0" applyBorder="0" applyAlignment="0" applyProtection="0"/>
    <xf numFmtId="0" fontId="33" fillId="34" borderId="553">
      <alignment horizontal="right" vertical="center"/>
    </xf>
    <xf numFmtId="0" fontId="66" fillId="0" borderId="508" applyNumberFormat="0" applyFill="0" applyAlignment="0" applyProtection="0"/>
    <xf numFmtId="0" fontId="12" fillId="16" borderId="0" applyNumberFormat="0" applyBorder="0" applyAlignment="0" applyProtection="0"/>
    <xf numFmtId="0" fontId="12" fillId="31" borderId="0" applyNumberFormat="0" applyBorder="0" applyAlignment="0" applyProtection="0"/>
    <xf numFmtId="4" fontId="35" fillId="0" borderId="551" applyFill="0" applyBorder="0" applyProtection="0">
      <alignment horizontal="right" vertical="center"/>
    </xf>
    <xf numFmtId="0" fontId="47" fillId="56" borderId="507" applyNumberFormat="0" applyAlignment="0" applyProtection="0"/>
    <xf numFmtId="0" fontId="46" fillId="56" borderId="548" applyNumberFormat="0" applyAlignment="0" applyProtection="0"/>
    <xf numFmtId="4" fontId="35" fillId="0" borderId="551" applyFill="0" applyBorder="0" applyProtection="0">
      <alignment horizontal="right" vertical="center"/>
    </xf>
    <xf numFmtId="4" fontId="33" fillId="34" borderId="516">
      <alignment horizontal="right" vertical="center"/>
    </xf>
    <xf numFmtId="0" fontId="59" fillId="43" borderId="500" applyNumberFormat="0" applyAlignment="0" applyProtection="0"/>
    <xf numFmtId="49" fontId="35" fillId="0" borderId="517" applyNumberFormat="0" applyFont="0" applyFill="0" applyBorder="0" applyProtection="0">
      <alignment horizontal="left" vertical="center" indent="5"/>
    </xf>
    <xf numFmtId="0" fontId="59" fillId="43" borderId="521" applyNumberFormat="0" applyAlignment="0" applyProtection="0"/>
    <xf numFmtId="0" fontId="33" fillId="34" borderId="551">
      <alignment horizontal="right" vertical="center"/>
    </xf>
    <xf numFmtId="4" fontId="35" fillId="0" borderId="551" applyFill="0" applyBorder="0" applyProtection="0">
      <alignment horizontal="right" vertical="center"/>
    </xf>
    <xf numFmtId="4" fontId="35" fillId="33" borderId="551"/>
    <xf numFmtId="0" fontId="66" fillId="0" borderId="549" applyNumberFormat="0" applyFill="0" applyAlignment="0" applyProtection="0"/>
    <xf numFmtId="173" fontId="35" fillId="60" borderId="551" applyNumberFormat="0" applyFont="0" applyBorder="0" applyAlignment="0" applyProtection="0">
      <alignment horizontal="right" vertical="center"/>
    </xf>
    <xf numFmtId="0" fontId="5" fillId="59" borderId="509" applyNumberFormat="0" applyFont="0" applyAlignment="0" applyProtection="0"/>
    <xf numFmtId="0" fontId="41" fillId="59" borderId="509" applyNumberFormat="0" applyFont="0" applyAlignment="0" applyProtection="0"/>
    <xf numFmtId="4" fontId="37" fillId="32" borderId="551">
      <alignment horizontal="right" vertical="center"/>
    </xf>
    <xf numFmtId="0" fontId="27" fillId="21" borderId="0" applyNumberFormat="0" applyBorder="0" applyAlignment="0" applyProtection="0"/>
    <xf numFmtId="4" fontId="33" fillId="34" borderId="553">
      <alignment horizontal="right" vertical="center"/>
    </xf>
    <xf numFmtId="4" fontId="35" fillId="0" borderId="494" applyFill="0" applyBorder="0" applyProtection="0">
      <alignment horizontal="right" vertical="center"/>
    </xf>
    <xf numFmtId="0" fontId="33" fillId="34" borderId="551">
      <alignment horizontal="right" vertical="center"/>
    </xf>
    <xf numFmtId="0" fontId="33" fillId="34" borderId="516">
      <alignment horizontal="right" vertical="center"/>
    </xf>
    <xf numFmtId="0" fontId="35" fillId="0" borderId="516">
      <alignment horizontal="right" vertical="center"/>
    </xf>
    <xf numFmtId="0" fontId="59" fillId="43" borderId="548" applyNumberFormat="0" applyAlignment="0" applyProtection="0"/>
    <xf numFmtId="0" fontId="33" fillId="34" borderId="551">
      <alignment horizontal="right" vertical="center"/>
    </xf>
    <xf numFmtId="0" fontId="41" fillId="59" borderId="502" applyNumberFormat="0" applyFont="0" applyAlignment="0" applyProtection="0"/>
    <xf numFmtId="0" fontId="5" fillId="59" borderId="502" applyNumberFormat="0" applyFont="0" applyAlignment="0" applyProtection="0"/>
    <xf numFmtId="0" fontId="63" fillId="56" borderId="499" applyNumberFormat="0" applyAlignment="0" applyProtection="0"/>
    <xf numFmtId="0" fontId="37" fillId="32" borderId="516">
      <alignment horizontal="right" vertical="center"/>
    </xf>
    <xf numFmtId="0" fontId="1" fillId="0" borderId="0" applyNumberFormat="0" applyFill="0" applyBorder="0" applyAlignment="0" applyProtection="0"/>
    <xf numFmtId="4" fontId="35" fillId="33" borderId="543"/>
    <xf numFmtId="0" fontId="33" fillId="32" borderId="516">
      <alignment horizontal="right" vertical="center"/>
    </xf>
    <xf numFmtId="4" fontId="33" fillId="34" borderId="560">
      <alignment horizontal="right" vertical="center"/>
    </xf>
    <xf numFmtId="0" fontId="33" fillId="34" borderId="516">
      <alignment horizontal="right" vertical="center"/>
    </xf>
    <xf numFmtId="0" fontId="66" fillId="0" borderId="501" applyNumberFormat="0" applyFill="0" applyAlignment="0" applyProtection="0"/>
    <xf numFmtId="0" fontId="66" fillId="0" borderId="549" applyNumberFormat="0" applyFill="0" applyAlignment="0" applyProtection="0"/>
    <xf numFmtId="49" fontId="35" fillId="0" borderId="559" applyNumberFormat="0" applyFont="0" applyFill="0" applyBorder="0" applyProtection="0">
      <alignment horizontal="left" vertical="center" indent="5"/>
    </xf>
    <xf numFmtId="0" fontId="35" fillId="33" borderId="516"/>
    <xf numFmtId="0" fontId="46" fillId="56" borderId="521" applyNumberFormat="0" applyAlignment="0" applyProtection="0"/>
    <xf numFmtId="0" fontId="47" fillId="56" borderId="521" applyNumberFormat="0" applyAlignment="0" applyProtection="0"/>
    <xf numFmtId="0" fontId="35" fillId="34" borderId="519">
      <alignment horizontal="left" vertical="center" wrapText="1" indent="2"/>
    </xf>
    <xf numFmtId="0" fontId="50" fillId="43" borderId="521" applyNumberFormat="0" applyAlignment="0" applyProtection="0"/>
    <xf numFmtId="0" fontId="47" fillId="56" borderId="548" applyNumberFormat="0" applyAlignment="0" applyProtection="0"/>
    <xf numFmtId="0" fontId="35" fillId="34" borderId="519">
      <alignment horizontal="left" vertical="center" wrapText="1" indent="2"/>
    </xf>
    <xf numFmtId="0" fontId="47" fillId="56" borderId="521" applyNumberFormat="0" applyAlignment="0" applyProtection="0"/>
    <xf numFmtId="0" fontId="33" fillId="34" borderId="558">
      <alignment horizontal="right" vertical="center"/>
    </xf>
    <xf numFmtId="49" fontId="35" fillId="0" borderId="516" applyNumberFormat="0" applyFont="0" applyFill="0" applyBorder="0" applyProtection="0">
      <alignment horizontal="left" vertical="center" indent="2"/>
    </xf>
    <xf numFmtId="0" fontId="33" fillId="34" borderId="526">
      <alignment horizontal="right" vertical="center"/>
    </xf>
    <xf numFmtId="0" fontId="59" fillId="43" borderId="521" applyNumberFormat="0" applyAlignment="0" applyProtection="0"/>
    <xf numFmtId="0" fontId="59" fillId="43" borderId="521" applyNumberFormat="0" applyAlignment="0" applyProtection="0"/>
    <xf numFmtId="0" fontId="59" fillId="43" borderId="540" applyNumberFormat="0" applyAlignment="0" applyProtection="0"/>
    <xf numFmtId="173" fontId="35" fillId="60" borderId="516" applyNumberFormat="0" applyFont="0" applyBorder="0" applyAlignment="0" applyProtection="0">
      <alignment horizontal="right" vertical="center"/>
    </xf>
    <xf numFmtId="4" fontId="35" fillId="33" borderId="516"/>
    <xf numFmtId="0" fontId="66" fillId="0" borderId="522" applyNumberFormat="0" applyFill="0" applyAlignment="0" applyProtection="0"/>
    <xf numFmtId="0" fontId="51" fillId="0" borderId="508" applyNumberFormat="0" applyFill="0" applyAlignment="0" applyProtection="0"/>
    <xf numFmtId="0" fontId="30" fillId="13" borderId="13" applyNumberFormat="0" applyAlignment="0" applyProtection="0"/>
    <xf numFmtId="0" fontId="41" fillId="59" borderId="515" applyNumberFormat="0" applyFont="0" applyAlignment="0" applyProtection="0"/>
    <xf numFmtId="0" fontId="50" fillId="43" borderId="521" applyNumberFormat="0" applyAlignment="0" applyProtection="0"/>
    <xf numFmtId="0" fontId="63" fillId="56" borderId="520" applyNumberFormat="0" applyAlignment="0" applyProtection="0"/>
    <xf numFmtId="0" fontId="5" fillId="59" borderId="525" applyNumberFormat="0" applyFont="0" applyAlignment="0" applyProtection="0"/>
    <xf numFmtId="49" fontId="35" fillId="0" borderId="532" applyNumberFormat="0" applyFont="0" applyFill="0" applyBorder="0" applyProtection="0">
      <alignment horizontal="left" vertical="center" indent="2"/>
    </xf>
    <xf numFmtId="4" fontId="35" fillId="0" borderId="510" applyFill="0" applyBorder="0" applyProtection="0">
      <alignment horizontal="right" vertical="center"/>
    </xf>
    <xf numFmtId="0" fontId="12" fillId="28" borderId="0" applyNumberFormat="0" applyBorder="0" applyAlignment="0" applyProtection="0"/>
    <xf numFmtId="0" fontId="33" fillId="32" borderId="516">
      <alignment horizontal="right" vertical="center"/>
    </xf>
    <xf numFmtId="0" fontId="35" fillId="33" borderId="551"/>
    <xf numFmtId="0" fontId="41" fillId="59" borderId="515" applyNumberFormat="0" applyFont="0" applyAlignment="0" applyProtection="0"/>
    <xf numFmtId="0" fontId="51" fillId="0" borderId="522" applyNumberFormat="0" applyFill="0" applyAlignment="0" applyProtection="0"/>
    <xf numFmtId="4" fontId="33" fillId="34" borderId="517">
      <alignment horizontal="right" vertical="center"/>
    </xf>
    <xf numFmtId="0" fontId="44" fillId="56" borderId="520" applyNumberFormat="0" applyAlignment="0" applyProtection="0"/>
    <xf numFmtId="0" fontId="66" fillId="0" borderId="549" applyNumberFormat="0" applyFill="0" applyAlignment="0" applyProtection="0"/>
    <xf numFmtId="0" fontId="66" fillId="0" borderId="549" applyNumberFormat="0" applyFill="0" applyAlignment="0" applyProtection="0"/>
    <xf numFmtId="0" fontId="2" fillId="0" borderId="15" applyNumberFormat="0" applyFill="0" applyAlignment="0" applyProtection="0"/>
    <xf numFmtId="49" fontId="34" fillId="0" borderId="526" applyNumberFormat="0" applyFill="0" applyBorder="0" applyProtection="0">
      <alignment horizontal="left" vertical="center"/>
    </xf>
    <xf numFmtId="0" fontId="47" fillId="56" borderId="521" applyNumberFormat="0" applyAlignment="0" applyProtection="0"/>
    <xf numFmtId="0" fontId="33" fillId="34" borderId="516">
      <alignment horizontal="right" vertical="center"/>
    </xf>
    <xf numFmtId="0" fontId="47" fillId="56" borderId="500" applyNumberFormat="0" applyAlignment="0" applyProtection="0"/>
    <xf numFmtId="4" fontId="33" fillId="34" borderId="518">
      <alignment horizontal="right" vertical="center"/>
    </xf>
    <xf numFmtId="4" fontId="33" fillId="34" borderId="516">
      <alignment horizontal="right" vertical="center"/>
    </xf>
    <xf numFmtId="0" fontId="46" fillId="56" borderId="548" applyNumberFormat="0" applyAlignment="0" applyProtection="0"/>
    <xf numFmtId="0" fontId="46" fillId="56" borderId="521" applyNumberFormat="0" applyAlignment="0" applyProtection="0"/>
    <xf numFmtId="0" fontId="59" fillId="43" borderId="500" applyNumberFormat="0" applyAlignment="0" applyProtection="0"/>
    <xf numFmtId="4" fontId="35" fillId="0" borderId="551">
      <alignment horizontal="right" vertical="center"/>
    </xf>
    <xf numFmtId="0" fontId="30" fillId="13" borderId="13" applyNumberFormat="0" applyAlignment="0" applyProtection="0"/>
    <xf numFmtId="0" fontId="41" fillId="59" borderId="502" applyNumberFormat="0" applyFont="0" applyAlignment="0" applyProtection="0"/>
    <xf numFmtId="0" fontId="63" fillId="56" borderId="499" applyNumberFormat="0" applyAlignment="0" applyProtection="0"/>
    <xf numFmtId="0" fontId="35" fillId="33" borderId="532"/>
    <xf numFmtId="0" fontId="66" fillId="0" borderId="501" applyNumberFormat="0" applyFill="0" applyAlignment="0" applyProtection="0"/>
    <xf numFmtId="4" fontId="35" fillId="0" borderId="516" applyFill="0" applyBorder="0" applyProtection="0">
      <alignment horizontal="right" vertical="center"/>
    </xf>
    <xf numFmtId="0" fontId="33" fillId="34" borderId="532">
      <alignment horizontal="right" vertical="center"/>
    </xf>
    <xf numFmtId="0" fontId="63" fillId="56" borderId="547" applyNumberFormat="0" applyAlignment="0" applyProtection="0"/>
    <xf numFmtId="173" fontId="35" fillId="60" borderId="558" applyNumberFormat="0" applyFont="0" applyBorder="0" applyAlignment="0" applyProtection="0">
      <alignment horizontal="right" vertical="center"/>
    </xf>
    <xf numFmtId="0" fontId="63" fillId="56" borderId="547" applyNumberFormat="0" applyAlignment="0" applyProtection="0"/>
    <xf numFmtId="0" fontId="27" fillId="29" borderId="0" applyNumberFormat="0" applyBorder="0" applyAlignment="0" applyProtection="0"/>
    <xf numFmtId="4" fontId="35" fillId="33" borderId="532"/>
    <xf numFmtId="0" fontId="30" fillId="13" borderId="13" applyNumberFormat="0" applyAlignment="0" applyProtection="0"/>
    <xf numFmtId="0" fontId="35" fillId="0" borderId="516">
      <alignment horizontal="right" vertical="center"/>
    </xf>
    <xf numFmtId="4" fontId="33" fillId="34" borderId="516">
      <alignment horizontal="right" vertical="center"/>
    </xf>
    <xf numFmtId="4" fontId="33" fillId="34" borderId="517">
      <alignment horizontal="right" vertical="center"/>
    </xf>
    <xf numFmtId="0" fontId="27" fillId="18" borderId="0" applyNumberFormat="0" applyBorder="0" applyAlignment="0" applyProtection="0"/>
    <xf numFmtId="49" fontId="35" fillId="0" borderId="511" applyNumberFormat="0" applyFont="0" applyFill="0" applyBorder="0" applyProtection="0">
      <alignment horizontal="left" vertical="center" indent="5"/>
    </xf>
    <xf numFmtId="0" fontId="27" fillId="21" borderId="0" applyNumberFormat="0" applyBorder="0" applyAlignment="0" applyProtection="0"/>
    <xf numFmtId="0" fontId="63" fillId="56" borderId="547" applyNumberFormat="0" applyAlignment="0" applyProtection="0"/>
    <xf numFmtId="0" fontId="35" fillId="34" borderId="554">
      <alignment horizontal="left" vertical="center" wrapText="1" indent="2"/>
    </xf>
    <xf numFmtId="0" fontId="12" fillId="25" borderId="0" applyNumberFormat="0" applyBorder="0" applyAlignment="0" applyProtection="0"/>
    <xf numFmtId="0" fontId="33" fillId="32" borderId="503">
      <alignment horizontal="right" vertical="center"/>
    </xf>
    <xf numFmtId="4" fontId="33" fillId="32" borderId="503">
      <alignment horizontal="right" vertical="center"/>
    </xf>
    <xf numFmtId="0" fontId="37" fillId="32" borderId="503">
      <alignment horizontal="right" vertical="center"/>
    </xf>
    <xf numFmtId="4" fontId="37" fillId="32" borderId="503">
      <alignment horizontal="right" vertical="center"/>
    </xf>
    <xf numFmtId="0" fontId="33" fillId="34" borderId="503">
      <alignment horizontal="right" vertical="center"/>
    </xf>
    <xf numFmtId="4" fontId="33" fillId="34" borderId="503">
      <alignment horizontal="right" vertical="center"/>
    </xf>
    <xf numFmtId="0" fontId="33" fillId="34" borderId="503">
      <alignment horizontal="right" vertical="center"/>
    </xf>
    <xf numFmtId="4" fontId="33" fillId="34" borderId="503">
      <alignment horizontal="right" vertical="center"/>
    </xf>
    <xf numFmtId="0" fontId="33" fillId="34" borderId="504">
      <alignment horizontal="right" vertical="center"/>
    </xf>
    <xf numFmtId="4" fontId="33" fillId="34" borderId="504">
      <alignment horizontal="right" vertical="center"/>
    </xf>
    <xf numFmtId="0" fontId="33" fillId="34" borderId="505">
      <alignment horizontal="right" vertical="center"/>
    </xf>
    <xf numFmtId="4" fontId="33" fillId="34" borderId="505">
      <alignment horizontal="right" vertical="center"/>
    </xf>
    <xf numFmtId="0" fontId="47" fillId="56" borderId="500" applyNumberFormat="0" applyAlignment="0" applyProtection="0"/>
    <xf numFmtId="0" fontId="35" fillId="34" borderId="506">
      <alignment horizontal="left" vertical="center" wrapText="1" indent="2"/>
    </xf>
    <xf numFmtId="0" fontId="35" fillId="0" borderId="506">
      <alignment horizontal="left" vertical="center" wrapText="1" indent="2"/>
    </xf>
    <xf numFmtId="0" fontId="35" fillId="32" borderId="504">
      <alignment horizontal="left" vertical="center"/>
    </xf>
    <xf numFmtId="0" fontId="12" fillId="19" borderId="0" applyNumberFormat="0" applyBorder="0" applyAlignment="0" applyProtection="0"/>
    <xf numFmtId="0" fontId="59" fillId="43" borderId="500" applyNumberFormat="0" applyAlignment="0" applyProtection="0"/>
    <xf numFmtId="0" fontId="35" fillId="0" borderId="503">
      <alignment horizontal="right" vertical="center"/>
    </xf>
    <xf numFmtId="4" fontId="35" fillId="0" borderId="503">
      <alignment horizontal="right" vertical="center"/>
    </xf>
    <xf numFmtId="4" fontId="35" fillId="0" borderId="516">
      <alignment horizontal="right" vertical="center"/>
    </xf>
    <xf numFmtId="0" fontId="35" fillId="0" borderId="503" applyNumberFormat="0" applyFill="0" applyAlignment="0" applyProtection="0"/>
    <xf numFmtId="0" fontId="63" fillId="56" borderId="499" applyNumberFormat="0" applyAlignment="0" applyProtection="0"/>
    <xf numFmtId="173" fontId="35" fillId="60" borderId="503" applyNumberFormat="0" applyFont="0" applyBorder="0" applyAlignment="0" applyProtection="0">
      <alignment horizontal="right" vertical="center"/>
    </xf>
    <xf numFmtId="0" fontId="35" fillId="33" borderId="503"/>
    <xf numFmtId="4" fontId="35" fillId="33" borderId="503"/>
    <xf numFmtId="0" fontId="66" fillId="0" borderId="501" applyNumberFormat="0" applyFill="0" applyAlignment="0" applyProtection="0"/>
    <xf numFmtId="4" fontId="37" fillId="32" borderId="516">
      <alignment horizontal="right" vertical="center"/>
    </xf>
    <xf numFmtId="0" fontId="35" fillId="34" borderId="529">
      <alignment horizontal="left" vertical="center" wrapText="1" indent="2"/>
    </xf>
    <xf numFmtId="49" fontId="35" fillId="0" borderId="527" applyNumberFormat="0" applyFont="0" applyFill="0" applyBorder="0" applyProtection="0">
      <alignment horizontal="left" vertical="center" indent="5"/>
    </xf>
    <xf numFmtId="0" fontId="44" fillId="56" borderId="520" applyNumberFormat="0" applyAlignment="0" applyProtection="0"/>
    <xf numFmtId="0" fontId="33" fillId="34" borderId="516">
      <alignment horizontal="right" vertical="center"/>
    </xf>
    <xf numFmtId="0" fontId="35" fillId="0" borderId="516">
      <alignment horizontal="right" vertical="center"/>
    </xf>
    <xf numFmtId="0" fontId="27" fillId="21" borderId="0" applyNumberFormat="0" applyBorder="0" applyAlignment="0" applyProtection="0"/>
    <xf numFmtId="0" fontId="5" fillId="59" borderId="515" applyNumberFormat="0" applyFont="0" applyAlignment="0" applyProtection="0"/>
    <xf numFmtId="0" fontId="33" fillId="34" borderId="516">
      <alignment horizontal="right" vertical="center"/>
    </xf>
    <xf numFmtId="0" fontId="50" fillId="43" borderId="521" applyNumberFormat="0" applyAlignment="0" applyProtection="0"/>
    <xf numFmtId="0" fontId="63" fillId="56" borderId="547" applyNumberFormat="0" applyAlignment="0" applyProtection="0"/>
    <xf numFmtId="49" fontId="35" fillId="0" borderId="526" applyNumberFormat="0" applyFont="0" applyFill="0" applyBorder="0" applyProtection="0">
      <alignment horizontal="left" vertical="center" indent="2"/>
    </xf>
    <xf numFmtId="0" fontId="2" fillId="0" borderId="15" applyNumberFormat="0" applyFill="0" applyAlignment="0" applyProtection="0"/>
    <xf numFmtId="0" fontId="35" fillId="0" borderId="519">
      <alignment horizontal="left" vertical="center" wrapText="1" indent="2"/>
    </xf>
    <xf numFmtId="4" fontId="33" fillId="34" borderId="551">
      <alignment horizontal="right" vertical="center"/>
    </xf>
    <xf numFmtId="4" fontId="33" fillId="34" borderId="543">
      <alignment horizontal="right" vertical="center"/>
    </xf>
    <xf numFmtId="0" fontId="1" fillId="0" borderId="0" applyNumberFormat="0" applyFill="0" applyBorder="0" applyAlignment="0" applyProtection="0"/>
    <xf numFmtId="0" fontId="33" fillId="34" borderId="516">
      <alignment horizontal="right" vertical="center"/>
    </xf>
    <xf numFmtId="0" fontId="66" fillId="0" borderId="522" applyNumberFormat="0" applyFill="0" applyAlignment="0" applyProtection="0"/>
    <xf numFmtId="0" fontId="27" fillId="15" borderId="0" applyNumberFormat="0" applyBorder="0" applyAlignment="0" applyProtection="0"/>
    <xf numFmtId="0" fontId="12" fillId="28" borderId="0" applyNumberFormat="0" applyBorder="0" applyAlignment="0" applyProtection="0"/>
    <xf numFmtId="0" fontId="33" fillId="34" borderId="518">
      <alignment horizontal="right" vertical="center"/>
    </xf>
    <xf numFmtId="0" fontId="27" fillId="20" borderId="0" applyNumberFormat="0" applyBorder="0" applyAlignment="0" applyProtection="0"/>
    <xf numFmtId="0" fontId="50" fillId="43" borderId="521" applyNumberFormat="0" applyAlignment="0" applyProtection="0"/>
    <xf numFmtId="0" fontId="63" fillId="56" borderId="547" applyNumberFormat="0" applyAlignment="0" applyProtection="0"/>
    <xf numFmtId="0" fontId="27" fillId="15" borderId="0" applyNumberFormat="0" applyBorder="0" applyAlignment="0" applyProtection="0"/>
    <xf numFmtId="0" fontId="1" fillId="0" borderId="0" applyNumberFormat="0" applyFill="0" applyBorder="0" applyAlignment="0" applyProtection="0"/>
    <xf numFmtId="4" fontId="37" fillId="32" borderId="551">
      <alignment horizontal="right" vertical="center"/>
    </xf>
    <xf numFmtId="4" fontId="35" fillId="0" borderId="551">
      <alignment horizontal="right" vertical="center"/>
    </xf>
    <xf numFmtId="0" fontId="66" fillId="0" borderId="522" applyNumberFormat="0" applyFill="0" applyAlignment="0" applyProtection="0"/>
    <xf numFmtId="0" fontId="27" fillId="29" borderId="0" applyNumberFormat="0" applyBorder="0" applyAlignment="0" applyProtection="0"/>
    <xf numFmtId="0" fontId="50" fillId="43" borderId="548" applyNumberFormat="0" applyAlignment="0" applyProtection="0"/>
    <xf numFmtId="0" fontId="1" fillId="0" borderId="0" applyNumberFormat="0" applyFill="0" applyBorder="0" applyAlignment="0" applyProtection="0"/>
    <xf numFmtId="4" fontId="33" fillId="34" borderId="526">
      <alignment horizontal="right" vertical="center"/>
    </xf>
    <xf numFmtId="0" fontId="33" fillId="34" borderId="518">
      <alignment horizontal="right" vertical="center"/>
    </xf>
    <xf numFmtId="0" fontId="33" fillId="32" borderId="516">
      <alignment horizontal="right" vertical="center"/>
    </xf>
    <xf numFmtId="0" fontId="44" fillId="56" borderId="520" applyNumberFormat="0" applyAlignment="0" applyProtection="0"/>
    <xf numFmtId="0" fontId="33" fillId="34" borderId="551">
      <alignment horizontal="right" vertical="center"/>
    </xf>
    <xf numFmtId="0" fontId="31" fillId="0" borderId="0" applyNumberFormat="0" applyFill="0" applyBorder="0" applyAlignment="0" applyProtection="0"/>
    <xf numFmtId="0" fontId="12" fillId="25" borderId="0" applyNumberFormat="0" applyBorder="0" applyAlignment="0" applyProtection="0"/>
    <xf numFmtId="0" fontId="27" fillId="30" borderId="0" applyNumberFormat="0" applyBorder="0" applyAlignment="0" applyProtection="0"/>
    <xf numFmtId="0" fontId="41" fillId="59" borderId="525" applyNumberFormat="0" applyFont="0" applyAlignment="0" applyProtection="0"/>
    <xf numFmtId="0" fontId="27" fillId="27" borderId="0" applyNumberFormat="0" applyBorder="0" applyAlignment="0" applyProtection="0"/>
    <xf numFmtId="0" fontId="27" fillId="17" borderId="0" applyNumberFormat="0" applyBorder="0" applyAlignment="0" applyProtection="0"/>
    <xf numFmtId="0" fontId="27" fillId="14" borderId="0" applyNumberFormat="0" applyBorder="0" applyAlignment="0" applyProtection="0"/>
    <xf numFmtId="4" fontId="35" fillId="33" borderId="516"/>
    <xf numFmtId="4" fontId="35" fillId="0" borderId="516">
      <alignment horizontal="right" vertical="center"/>
    </xf>
    <xf numFmtId="0" fontId="33" fillId="34" borderId="551">
      <alignment horizontal="right" vertical="center"/>
    </xf>
    <xf numFmtId="0" fontId="51" fillId="0" borderId="522" applyNumberFormat="0" applyFill="0" applyAlignment="0" applyProtection="0"/>
    <xf numFmtId="0" fontId="47" fillId="56" borderId="521" applyNumberFormat="0" applyAlignment="0" applyProtection="0"/>
    <xf numFmtId="0" fontId="1" fillId="0" borderId="0" applyNumberFormat="0" applyFill="0" applyBorder="0" applyAlignment="0" applyProtection="0"/>
    <xf numFmtId="49" fontId="35" fillId="0" borderId="503" applyNumberFormat="0" applyFont="0" applyFill="0" applyBorder="0" applyProtection="0">
      <alignment horizontal="left" vertical="center" indent="2"/>
    </xf>
    <xf numFmtId="49" fontId="35" fillId="0" borderId="504" applyNumberFormat="0" applyFont="0" applyFill="0" applyBorder="0" applyProtection="0">
      <alignment horizontal="left" vertical="center" indent="5"/>
    </xf>
    <xf numFmtId="0" fontId="27" fillId="23" borderId="0" applyNumberFormat="0" applyBorder="0" applyAlignment="0" applyProtection="0"/>
    <xf numFmtId="0" fontId="35" fillId="0" borderId="516">
      <alignment horizontal="right" vertical="center"/>
    </xf>
    <xf numFmtId="0" fontId="27" fillId="23" borderId="0" applyNumberFormat="0" applyBorder="0" applyAlignment="0" applyProtection="0"/>
    <xf numFmtId="0" fontId="27" fillId="14" borderId="0" applyNumberFormat="0" applyBorder="0" applyAlignment="0" applyProtection="0"/>
    <xf numFmtId="4" fontId="37" fillId="32" borderId="516">
      <alignment horizontal="right" vertical="center"/>
    </xf>
    <xf numFmtId="0" fontId="63" fillId="56" borderId="520" applyNumberFormat="0" applyAlignment="0" applyProtection="0"/>
    <xf numFmtId="4" fontId="33" fillId="34" borderId="516">
      <alignment horizontal="right" vertical="center"/>
    </xf>
    <xf numFmtId="0" fontId="66" fillId="0" borderId="522" applyNumberFormat="0" applyFill="0" applyAlignment="0" applyProtection="0"/>
    <xf numFmtId="4" fontId="35" fillId="0" borderId="503" applyFill="0" applyBorder="0" applyProtection="0">
      <alignment horizontal="right" vertical="center"/>
    </xf>
    <xf numFmtId="49" fontId="34" fillId="0" borderId="503" applyNumberFormat="0" applyFill="0" applyBorder="0" applyProtection="0">
      <alignment horizontal="left" vertical="center"/>
    </xf>
    <xf numFmtId="0" fontId="41" fillId="59" borderId="515" applyNumberFormat="0" applyFont="0" applyAlignment="0" applyProtection="0"/>
    <xf numFmtId="0" fontId="35" fillId="34" borderId="519">
      <alignment horizontal="left" vertical="center" wrapText="1" indent="2"/>
    </xf>
    <xf numFmtId="0" fontId="66" fillId="0" borderId="522" applyNumberFormat="0" applyFill="0" applyAlignment="0" applyProtection="0"/>
    <xf numFmtId="0" fontId="33" fillId="34" borderId="517">
      <alignment horizontal="right" vertical="center"/>
    </xf>
    <xf numFmtId="0" fontId="35" fillId="33" borderId="551"/>
    <xf numFmtId="0" fontId="33" fillId="34" borderId="518">
      <alignment horizontal="right" vertical="center"/>
    </xf>
    <xf numFmtId="4" fontId="35" fillId="33" borderId="551"/>
    <xf numFmtId="4" fontId="33" fillId="34" borderId="533">
      <alignment horizontal="right" vertical="center"/>
    </xf>
    <xf numFmtId="4" fontId="35" fillId="0" borderId="516">
      <alignment horizontal="right" vertical="center"/>
    </xf>
    <xf numFmtId="0" fontId="27" fillId="21" borderId="0" applyNumberFormat="0" applyBorder="0" applyAlignment="0" applyProtection="0"/>
    <xf numFmtId="0" fontId="33" fillId="34" borderId="543">
      <alignment horizontal="right" vertical="center"/>
    </xf>
    <xf numFmtId="4" fontId="37" fillId="32" borderId="516">
      <alignment horizontal="right" vertical="center"/>
    </xf>
    <xf numFmtId="0" fontId="35" fillId="0" borderId="526">
      <alignment horizontal="right" vertical="center"/>
    </xf>
    <xf numFmtId="0" fontId="50" fillId="43" borderId="523" applyNumberFormat="0" applyAlignment="0" applyProtection="0"/>
    <xf numFmtId="0" fontId="47" fillId="56" borderId="548" applyNumberFormat="0" applyAlignment="0" applyProtection="0"/>
    <xf numFmtId="0" fontId="30" fillId="13" borderId="13" applyNumberFormat="0" applyAlignment="0" applyProtection="0"/>
    <xf numFmtId="0" fontId="35" fillId="0" borderId="543" applyNumberFormat="0" applyFill="0" applyAlignment="0" applyProtection="0"/>
    <xf numFmtId="4" fontId="33" fillId="34" borderId="517">
      <alignment horizontal="right" vertical="center"/>
    </xf>
    <xf numFmtId="0" fontId="66" fillId="0" borderId="549" applyNumberFormat="0" applyFill="0" applyAlignment="0" applyProtection="0"/>
    <xf numFmtId="0" fontId="31" fillId="0" borderId="0" applyNumberFormat="0" applyFill="0" applyBorder="0" applyAlignment="0" applyProtection="0"/>
    <xf numFmtId="49" fontId="35" fillId="0" borderId="510" applyNumberFormat="0" applyFont="0" applyFill="0" applyBorder="0" applyProtection="0">
      <alignment horizontal="left" vertical="center" indent="2"/>
    </xf>
    <xf numFmtId="0" fontId="66" fillId="0" borderId="522" applyNumberFormat="0" applyFill="0" applyAlignment="0" applyProtection="0"/>
    <xf numFmtId="0" fontId="35" fillId="0" borderId="535">
      <alignment horizontal="left" vertical="center" wrapText="1" indent="2"/>
    </xf>
    <xf numFmtId="0" fontId="44" fillId="56" borderId="499" applyNumberFormat="0" applyAlignment="0" applyProtection="0"/>
    <xf numFmtId="0" fontId="46" fillId="56" borderId="500" applyNumberFormat="0" applyAlignment="0" applyProtection="0"/>
    <xf numFmtId="0" fontId="51" fillId="0" borderId="501" applyNumberFormat="0" applyFill="0" applyAlignment="0" applyProtection="0"/>
    <xf numFmtId="0" fontId="59" fillId="43" borderId="507" applyNumberFormat="0" applyAlignment="0" applyProtection="0"/>
    <xf numFmtId="0" fontId="33" fillId="34" borderId="516">
      <alignment horizontal="right" vertical="center"/>
    </xf>
    <xf numFmtId="0" fontId="66" fillId="0" borderId="524" applyNumberFormat="0" applyFill="0" applyAlignment="0" applyProtection="0"/>
    <xf numFmtId="0" fontId="35" fillId="34" borderId="519">
      <alignment horizontal="left" vertical="center" wrapText="1" indent="2"/>
    </xf>
    <xf numFmtId="4" fontId="35" fillId="33" borderId="516"/>
    <xf numFmtId="0" fontId="44" fillId="56" borderId="520" applyNumberFormat="0" applyAlignment="0" applyProtection="0"/>
    <xf numFmtId="0" fontId="12" fillId="28" borderId="0" applyNumberFormat="0" applyBorder="0" applyAlignment="0" applyProtection="0"/>
    <xf numFmtId="4" fontId="35" fillId="0" borderId="516">
      <alignment horizontal="right" vertical="center"/>
    </xf>
    <xf numFmtId="0" fontId="35" fillId="0" borderId="516" applyNumberFormat="0" applyFill="0" applyAlignment="0" applyProtection="0"/>
    <xf numFmtId="0" fontId="27" fillId="30" borderId="0" applyNumberFormat="0" applyBorder="0" applyAlignment="0" applyProtection="0"/>
    <xf numFmtId="4" fontId="35" fillId="33" borderId="510"/>
    <xf numFmtId="0" fontId="66" fillId="0" borderId="508" applyNumberFormat="0" applyFill="0" applyAlignment="0" applyProtection="0"/>
    <xf numFmtId="0" fontId="41" fillId="59" borderId="531" applyNumberFormat="0" applyFont="0" applyAlignment="0" applyProtection="0"/>
    <xf numFmtId="0" fontId="35" fillId="0" borderId="510" applyNumberFormat="0" applyFill="0" applyAlignment="0" applyProtection="0"/>
    <xf numFmtId="0" fontId="35" fillId="0" borderId="513">
      <alignment horizontal="left" vertical="center" wrapText="1" indent="2"/>
    </xf>
    <xf numFmtId="4" fontId="33" fillId="34" borderId="518">
      <alignment horizontal="right" vertical="center"/>
    </xf>
    <xf numFmtId="0" fontId="33" fillId="34" borderId="511">
      <alignment horizontal="right" vertical="center"/>
    </xf>
    <xf numFmtId="4" fontId="33" fillId="34" borderId="511">
      <alignment horizontal="right" vertical="center"/>
    </xf>
    <xf numFmtId="0" fontId="37" fillId="32" borderId="543">
      <alignment horizontal="right" vertical="center"/>
    </xf>
    <xf numFmtId="0" fontId="35" fillId="32" borderId="517">
      <alignment horizontal="left" vertical="center"/>
    </xf>
    <xf numFmtId="4" fontId="35" fillId="0" borderId="516">
      <alignment horizontal="right" vertical="center"/>
    </xf>
    <xf numFmtId="0" fontId="35" fillId="32" borderId="533">
      <alignment horizontal="left" vertical="center"/>
    </xf>
    <xf numFmtId="0" fontId="50" fillId="43" borderId="500" applyNumberFormat="0" applyAlignment="0" applyProtection="0"/>
    <xf numFmtId="0" fontId="33" fillId="32" borderId="558">
      <alignment horizontal="right" vertical="center"/>
    </xf>
    <xf numFmtId="0" fontId="27" fillId="17" borderId="0" applyNumberFormat="0" applyBorder="0" applyAlignment="0" applyProtection="0"/>
    <xf numFmtId="0" fontId="66" fillId="0" borderId="508" applyNumberFormat="0" applyFill="0" applyAlignment="0" applyProtection="0"/>
    <xf numFmtId="0" fontId="27" fillId="21" borderId="0" applyNumberFormat="0" applyBorder="0" applyAlignment="0" applyProtection="0"/>
    <xf numFmtId="4" fontId="35" fillId="0" borderId="526">
      <alignment horizontal="right" vertical="center"/>
    </xf>
    <xf numFmtId="0" fontId="59" fillId="43" borderId="548" applyNumberFormat="0" applyAlignment="0" applyProtection="0"/>
    <xf numFmtId="0" fontId="35" fillId="0" borderId="554">
      <alignment horizontal="left" vertical="center" wrapText="1" indent="2"/>
    </xf>
    <xf numFmtId="49" fontId="34" fillId="0" borderId="516" applyNumberFormat="0" applyFill="0" applyBorder="0" applyProtection="0">
      <alignment horizontal="left" vertical="center"/>
    </xf>
    <xf numFmtId="0" fontId="27" fillId="23" borderId="0" applyNumberFormat="0" applyBorder="0" applyAlignment="0" applyProtection="0"/>
    <xf numFmtId="0" fontId="66" fillId="0" borderId="522" applyNumberFormat="0" applyFill="0" applyAlignment="0" applyProtection="0"/>
    <xf numFmtId="0" fontId="29" fillId="13" borderId="14" applyNumberFormat="0" applyAlignment="0" applyProtection="0"/>
    <xf numFmtId="0" fontId="47" fillId="56" borderId="548" applyNumberFormat="0" applyAlignment="0" applyProtection="0"/>
    <xf numFmtId="0" fontId="33" fillId="34" borderId="544">
      <alignment horizontal="right" vertical="center"/>
    </xf>
    <xf numFmtId="0" fontId="33" fillId="34" borderId="517">
      <alignment horizontal="right" vertical="center"/>
    </xf>
    <xf numFmtId="49" fontId="35" fillId="0" borderId="543" applyNumberFormat="0" applyFont="0" applyFill="0" applyBorder="0" applyProtection="0">
      <alignment horizontal="left" vertical="center" indent="2"/>
    </xf>
    <xf numFmtId="0" fontId="59" fillId="43" borderId="548" applyNumberFormat="0" applyAlignment="0" applyProtection="0"/>
    <xf numFmtId="0" fontId="35" fillId="34" borderId="506">
      <alignment horizontal="left" vertical="center" wrapText="1" indent="2"/>
    </xf>
    <xf numFmtId="0" fontId="35" fillId="0" borderId="506">
      <alignment horizontal="left" vertical="center" wrapText="1" indent="2"/>
    </xf>
    <xf numFmtId="0" fontId="27" fillId="15" borderId="0" applyNumberFormat="0" applyBorder="0" applyAlignment="0" applyProtection="0"/>
    <xf numFmtId="0" fontId="63" fillId="56" borderId="520" applyNumberFormat="0" applyAlignment="0" applyProtection="0"/>
    <xf numFmtId="0" fontId="33" fillId="34" borderId="516">
      <alignment horizontal="right" vertical="center"/>
    </xf>
    <xf numFmtId="0" fontId="47" fillId="56" borderId="555" applyNumberFormat="0" applyAlignment="0" applyProtection="0"/>
    <xf numFmtId="0" fontId="27" fillId="14" borderId="0" applyNumberFormat="0" applyBorder="0" applyAlignment="0" applyProtection="0"/>
    <xf numFmtId="0" fontId="31" fillId="0" borderId="0" applyNumberFormat="0" applyFill="0" applyBorder="0" applyAlignment="0" applyProtection="0"/>
    <xf numFmtId="0" fontId="33" fillId="34" borderId="553">
      <alignment horizontal="right" vertical="center"/>
    </xf>
    <xf numFmtId="0" fontId="35" fillId="33" borderId="516"/>
    <xf numFmtId="4" fontId="37" fillId="32" borderId="516">
      <alignment horizontal="right" vertical="center"/>
    </xf>
    <xf numFmtId="0" fontId="50" fillId="43" borderId="548" applyNumberFormat="0" applyAlignment="0" applyProtection="0"/>
    <xf numFmtId="0" fontId="33" fillId="34" borderId="516">
      <alignment horizontal="right" vertical="center"/>
    </xf>
    <xf numFmtId="0" fontId="63" fillId="56" borderId="520" applyNumberFormat="0" applyAlignment="0" applyProtection="0"/>
    <xf numFmtId="0" fontId="59" fillId="43" borderId="507" applyNumberFormat="0" applyAlignment="0" applyProtection="0"/>
    <xf numFmtId="0" fontId="51" fillId="0" borderId="522" applyNumberFormat="0" applyFill="0" applyAlignment="0" applyProtection="0"/>
    <xf numFmtId="4" fontId="35" fillId="33" borderId="516"/>
    <xf numFmtId="0" fontId="35" fillId="34" borderId="519">
      <alignment horizontal="left" vertical="center" wrapText="1" indent="2"/>
    </xf>
    <xf numFmtId="0" fontId="47" fillId="56" borderId="507" applyNumberFormat="0" applyAlignment="0" applyProtection="0"/>
    <xf numFmtId="0" fontId="37" fillId="32" borderId="551">
      <alignment horizontal="right" vertical="center"/>
    </xf>
    <xf numFmtId="0" fontId="47" fillId="56" borderId="521" applyNumberFormat="0" applyAlignment="0" applyProtection="0"/>
    <xf numFmtId="4" fontId="33" fillId="34" borderId="551">
      <alignment horizontal="right" vertical="center"/>
    </xf>
    <xf numFmtId="0" fontId="2" fillId="0" borderId="15" applyNumberFormat="0" applyFill="0" applyAlignment="0" applyProtection="0"/>
    <xf numFmtId="0" fontId="35" fillId="32" borderId="517">
      <alignment horizontal="left" vertical="center"/>
    </xf>
    <xf numFmtId="0" fontId="5" fillId="59" borderId="515" applyNumberFormat="0" applyFont="0" applyAlignment="0" applyProtection="0"/>
    <xf numFmtId="0" fontId="35" fillId="33" borderId="516"/>
    <xf numFmtId="0" fontId="35" fillId="0" borderId="551">
      <alignment horizontal="right" vertical="center"/>
    </xf>
    <xf numFmtId="0" fontId="51" fillId="0" borderId="549" applyNumberFormat="0" applyFill="0" applyAlignment="0" applyProtection="0"/>
    <xf numFmtId="0" fontId="12" fillId="22" borderId="0" applyNumberFormat="0" applyBorder="0" applyAlignment="0" applyProtection="0"/>
    <xf numFmtId="0" fontId="33" fillId="34" borderId="517">
      <alignment horizontal="right" vertical="center"/>
    </xf>
    <xf numFmtId="0" fontId="47" fillId="56" borderId="521" applyNumberFormat="0" applyAlignment="0" applyProtection="0"/>
    <xf numFmtId="0" fontId="12" fillId="19" borderId="0" applyNumberFormat="0" applyBorder="0" applyAlignment="0" applyProtection="0"/>
    <xf numFmtId="0" fontId="44" fillId="56" borderId="539" applyNumberFormat="0" applyAlignment="0" applyProtection="0"/>
    <xf numFmtId="173" fontId="35" fillId="60" borderId="516" applyNumberFormat="0" applyFont="0" applyBorder="0" applyAlignment="0" applyProtection="0">
      <alignment horizontal="right" vertical="center"/>
    </xf>
    <xf numFmtId="0" fontId="33" fillId="34" borderId="516">
      <alignment horizontal="right" vertical="center"/>
    </xf>
    <xf numFmtId="0" fontId="27" fillId="15" borderId="0" applyNumberFormat="0" applyBorder="0" applyAlignment="0" applyProtection="0"/>
    <xf numFmtId="0" fontId="27" fillId="26" borderId="0" applyNumberFormat="0" applyBorder="0" applyAlignment="0" applyProtection="0"/>
    <xf numFmtId="0" fontId="27" fillId="17" borderId="0" applyNumberFormat="0" applyBorder="0" applyAlignment="0" applyProtection="0"/>
    <xf numFmtId="0" fontId="33" fillId="32" borderId="516">
      <alignment horizontal="right" vertical="center"/>
    </xf>
    <xf numFmtId="0" fontId="47" fillId="56" borderId="548" applyNumberFormat="0" applyAlignment="0" applyProtection="0"/>
    <xf numFmtId="0" fontId="35" fillId="0" borderId="554">
      <alignment horizontal="left" vertical="center" wrapText="1" indent="2"/>
    </xf>
    <xf numFmtId="0" fontId="59" fillId="43" borderId="521" applyNumberFormat="0" applyAlignment="0" applyProtection="0"/>
    <xf numFmtId="0" fontId="12" fillId="22" borderId="0" applyNumberFormat="0" applyBorder="0" applyAlignment="0" applyProtection="0"/>
    <xf numFmtId="4" fontId="33" fillId="34" borderId="516">
      <alignment horizontal="right" vertical="center"/>
    </xf>
    <xf numFmtId="0" fontId="12" fillId="31" borderId="0" applyNumberFormat="0" applyBorder="0" applyAlignment="0" applyProtection="0"/>
    <xf numFmtId="0" fontId="50" fillId="43" borderId="540" applyNumberFormat="0" applyAlignment="0" applyProtection="0"/>
    <xf numFmtId="0" fontId="27" fillId="29" borderId="0" applyNumberFormat="0" applyBorder="0" applyAlignment="0" applyProtection="0"/>
    <xf numFmtId="0" fontId="27" fillId="26" borderId="0" applyNumberFormat="0" applyBorder="0" applyAlignment="0" applyProtection="0"/>
    <xf numFmtId="0" fontId="27" fillId="24" borderId="0" applyNumberFormat="0" applyBorder="0" applyAlignment="0" applyProtection="0"/>
    <xf numFmtId="0" fontId="35" fillId="0" borderId="554">
      <alignment horizontal="left" vertical="center" wrapText="1" indent="2"/>
    </xf>
    <xf numFmtId="0" fontId="12" fillId="16" borderId="0" applyNumberFormat="0" applyBorder="0" applyAlignment="0" applyProtection="0"/>
    <xf numFmtId="0" fontId="27" fillId="18" borderId="0" applyNumberFormat="0" applyBorder="0" applyAlignment="0" applyProtection="0"/>
    <xf numFmtId="0" fontId="12" fillId="19" borderId="0" applyNumberFormat="0" applyBorder="0" applyAlignment="0" applyProtection="0"/>
    <xf numFmtId="0" fontId="37" fillId="32" borderId="551">
      <alignment horizontal="right" vertical="center"/>
    </xf>
    <xf numFmtId="0" fontId="2" fillId="0" borderId="15" applyNumberFormat="0" applyFill="0" applyAlignment="0" applyProtection="0"/>
    <xf numFmtId="0" fontId="33" fillId="34" borderId="551">
      <alignment horizontal="right" vertical="center"/>
    </xf>
    <xf numFmtId="0" fontId="37" fillId="32" borderId="516">
      <alignment horizontal="right" vertical="center"/>
    </xf>
    <xf numFmtId="0" fontId="27" fillId="29" borderId="0" applyNumberFormat="0" applyBorder="0" applyAlignment="0" applyProtection="0"/>
    <xf numFmtId="0" fontId="35" fillId="34" borderId="519">
      <alignment horizontal="left" vertical="center" wrapText="1" indent="2"/>
    </xf>
    <xf numFmtId="0" fontId="35" fillId="0" borderId="519">
      <alignment horizontal="left" vertical="center" wrapText="1" indent="2"/>
    </xf>
    <xf numFmtId="0" fontId="46" fillId="56" borderId="521" applyNumberFormat="0" applyAlignment="0" applyProtection="0"/>
    <xf numFmtId="4" fontId="33" fillId="34" borderId="503">
      <alignment horizontal="right" vertical="center"/>
    </xf>
    <xf numFmtId="0" fontId="35" fillId="33" borderId="503"/>
    <xf numFmtId="0" fontId="46" fillId="56" borderId="500" applyNumberFormat="0" applyAlignment="0" applyProtection="0"/>
    <xf numFmtId="0" fontId="33" fillId="32" borderId="503">
      <alignment horizontal="right" vertical="center"/>
    </xf>
    <xf numFmtId="0" fontId="35" fillId="0" borderId="503">
      <alignment horizontal="right" vertical="center"/>
    </xf>
    <xf numFmtId="0" fontId="66" fillId="0" borderId="501" applyNumberFormat="0" applyFill="0" applyAlignment="0" applyProtection="0"/>
    <xf numFmtId="0" fontId="35" fillId="32" borderId="504">
      <alignment horizontal="left" vertical="center"/>
    </xf>
    <xf numFmtId="0" fontId="59" fillId="43" borderId="500" applyNumberFormat="0" applyAlignment="0" applyProtection="0"/>
    <xf numFmtId="173" fontId="35" fillId="60" borderId="503" applyNumberFormat="0" applyFont="0" applyBorder="0" applyAlignment="0" applyProtection="0">
      <alignment horizontal="right" vertical="center"/>
    </xf>
    <xf numFmtId="0" fontId="41" fillId="59" borderId="502" applyNumberFormat="0" applyFont="0" applyAlignment="0" applyProtection="0"/>
    <xf numFmtId="0" fontId="35" fillId="0" borderId="506">
      <alignment horizontal="left" vertical="center" wrapText="1" indent="2"/>
    </xf>
    <xf numFmtId="4" fontId="35" fillId="33" borderId="503"/>
    <xf numFmtId="49" fontId="34" fillId="0" borderId="503" applyNumberFormat="0" applyFill="0" applyBorder="0" applyProtection="0">
      <alignment horizontal="left" vertical="center"/>
    </xf>
    <xf numFmtId="0" fontId="35" fillId="0" borderId="503">
      <alignment horizontal="right" vertical="center"/>
    </xf>
    <xf numFmtId="4" fontId="33" fillId="34" borderId="505">
      <alignment horizontal="right" vertical="center"/>
    </xf>
    <xf numFmtId="4" fontId="33" fillId="34" borderId="503">
      <alignment horizontal="right" vertical="center"/>
    </xf>
    <xf numFmtId="4" fontId="33" fillId="34" borderId="503">
      <alignment horizontal="right" vertical="center"/>
    </xf>
    <xf numFmtId="0" fontId="37" fillId="32" borderId="503">
      <alignment horizontal="right" vertical="center"/>
    </xf>
    <xf numFmtId="0" fontId="33" fillId="32" borderId="503">
      <alignment horizontal="right" vertical="center"/>
    </xf>
    <xf numFmtId="49" fontId="35" fillId="0" borderId="503" applyNumberFormat="0" applyFont="0" applyFill="0" applyBorder="0" applyProtection="0">
      <alignment horizontal="left" vertical="center" indent="2"/>
    </xf>
    <xf numFmtId="0" fontId="59" fillId="43" borderId="500" applyNumberFormat="0" applyAlignment="0" applyProtection="0"/>
    <xf numFmtId="0" fontId="44" fillId="56" borderId="499" applyNumberFormat="0" applyAlignment="0" applyProtection="0"/>
    <xf numFmtId="49" fontId="35" fillId="0" borderId="503" applyNumberFormat="0" applyFont="0" applyFill="0" applyBorder="0" applyProtection="0">
      <alignment horizontal="left" vertical="center" indent="2"/>
    </xf>
    <xf numFmtId="0" fontId="50" fillId="43" borderId="500" applyNumberFormat="0" applyAlignment="0" applyProtection="0"/>
    <xf numFmtId="4" fontId="35" fillId="0" borderId="503" applyFill="0" applyBorder="0" applyProtection="0">
      <alignment horizontal="right" vertical="center"/>
    </xf>
    <xf numFmtId="0" fontId="47" fillId="56" borderId="500" applyNumberFormat="0" applyAlignment="0" applyProtection="0"/>
    <xf numFmtId="0" fontId="66" fillId="0" borderId="501" applyNumberFormat="0" applyFill="0" applyAlignment="0" applyProtection="0"/>
    <xf numFmtId="0" fontId="63" fillId="56" borderId="499" applyNumberFormat="0" applyAlignment="0" applyProtection="0"/>
    <xf numFmtId="0" fontId="35" fillId="0" borderId="503" applyNumberFormat="0" applyFill="0" applyAlignment="0" applyProtection="0"/>
    <xf numFmtId="4" fontId="35" fillId="0" borderId="503">
      <alignment horizontal="right" vertical="center"/>
    </xf>
    <xf numFmtId="0" fontId="35" fillId="0" borderId="503">
      <alignment horizontal="right" vertical="center"/>
    </xf>
    <xf numFmtId="0" fontId="59" fillId="43" borderId="500" applyNumberFormat="0" applyAlignment="0" applyProtection="0"/>
    <xf numFmtId="0" fontId="44" fillId="56" borderId="499" applyNumberFormat="0" applyAlignment="0" applyProtection="0"/>
    <xf numFmtId="0" fontId="46" fillId="56" borderId="500" applyNumberFormat="0" applyAlignment="0" applyProtection="0"/>
    <xf numFmtId="0" fontId="35" fillId="34" borderId="506">
      <alignment horizontal="left" vertical="center" wrapText="1" indent="2"/>
    </xf>
    <xf numFmtId="0" fontId="47" fillId="56" borderId="500" applyNumberFormat="0" applyAlignment="0" applyProtection="0"/>
    <xf numFmtId="0" fontId="47" fillId="56" borderId="500" applyNumberFormat="0" applyAlignment="0" applyProtection="0"/>
    <xf numFmtId="4" fontId="33" fillId="34" borderId="504">
      <alignment horizontal="right" vertical="center"/>
    </xf>
    <xf numFmtId="0" fontId="33" fillId="34" borderId="504">
      <alignment horizontal="right" vertical="center"/>
    </xf>
    <xf numFmtId="0" fontId="33" fillId="34" borderId="503">
      <alignment horizontal="right" vertical="center"/>
    </xf>
    <xf numFmtId="4" fontId="37" fillId="32" borderId="503">
      <alignment horizontal="right" vertical="center"/>
    </xf>
    <xf numFmtId="0" fontId="50" fillId="43" borderId="500" applyNumberFormat="0" applyAlignment="0" applyProtection="0"/>
    <xf numFmtId="0" fontId="51" fillId="0" borderId="501" applyNumberFormat="0" applyFill="0" applyAlignment="0" applyProtection="0"/>
    <xf numFmtId="0" fontId="66" fillId="0" borderId="501" applyNumberFormat="0" applyFill="0" applyAlignment="0" applyProtection="0"/>
    <xf numFmtId="0" fontId="41" fillId="59" borderId="502" applyNumberFormat="0" applyFont="0" applyAlignment="0" applyProtection="0"/>
    <xf numFmtId="0" fontId="59" fillId="43" borderId="500" applyNumberFormat="0" applyAlignment="0" applyProtection="0"/>
    <xf numFmtId="49" fontId="34" fillId="0" borderId="503" applyNumberFormat="0" applyFill="0" applyBorder="0" applyProtection="0">
      <alignment horizontal="left" vertical="center"/>
    </xf>
    <xf numFmtId="0" fontId="35" fillId="34" borderId="506">
      <alignment horizontal="left" vertical="center" wrapText="1" indent="2"/>
    </xf>
    <xf numFmtId="0" fontId="47" fillId="56" borderId="500" applyNumberFormat="0" applyAlignment="0" applyProtection="0"/>
    <xf numFmtId="0" fontId="35" fillId="0" borderId="506">
      <alignment horizontal="left" vertical="center" wrapText="1" indent="2"/>
    </xf>
    <xf numFmtId="0" fontId="41" fillId="59" borderId="502" applyNumberFormat="0" applyFont="0" applyAlignment="0" applyProtection="0"/>
    <xf numFmtId="0" fontId="5" fillId="59" borderId="502" applyNumberFormat="0" applyFont="0" applyAlignment="0" applyProtection="0"/>
    <xf numFmtId="0" fontId="63" fillId="56" borderId="499" applyNumberFormat="0" applyAlignment="0" applyProtection="0"/>
    <xf numFmtId="0" fontId="66" fillId="0" borderId="501" applyNumberFormat="0" applyFill="0" applyAlignment="0" applyProtection="0"/>
    <xf numFmtId="4" fontId="35" fillId="33" borderId="503"/>
    <xf numFmtId="0" fontId="33" fillId="34" borderId="503">
      <alignment horizontal="right" vertical="center"/>
    </xf>
    <xf numFmtId="0" fontId="66" fillId="0" borderId="501" applyNumberFormat="0" applyFill="0" applyAlignment="0" applyProtection="0"/>
    <xf numFmtId="4" fontId="33" fillId="34" borderId="505">
      <alignment horizontal="right" vertical="center"/>
    </xf>
    <xf numFmtId="0" fontId="46" fillId="56" borderId="500" applyNumberFormat="0" applyAlignment="0" applyProtection="0"/>
    <xf numFmtId="0" fontId="33" fillId="34" borderId="504">
      <alignment horizontal="right" vertical="center"/>
    </xf>
    <xf numFmtId="0" fontId="47" fillId="56" borderId="500" applyNumberFormat="0" applyAlignment="0" applyProtection="0"/>
    <xf numFmtId="0" fontId="51" fillId="0" borderId="501" applyNumberFormat="0" applyFill="0" applyAlignment="0" applyProtection="0"/>
    <xf numFmtId="0" fontId="41" fillId="59" borderId="502" applyNumberFormat="0" applyFont="0" applyAlignment="0" applyProtection="0"/>
    <xf numFmtId="4" fontId="33" fillId="34" borderId="504">
      <alignment horizontal="right" vertical="center"/>
    </xf>
    <xf numFmtId="0" fontId="35" fillId="34" borderId="506">
      <alignment horizontal="left" vertical="center" wrapText="1" indent="2"/>
    </xf>
    <xf numFmtId="0" fontId="35" fillId="33" borderId="503"/>
    <xf numFmtId="173" fontId="35" fillId="60" borderId="503" applyNumberFormat="0" applyFont="0" applyBorder="0" applyAlignment="0" applyProtection="0">
      <alignment horizontal="right" vertical="center"/>
    </xf>
    <xf numFmtId="0" fontId="35" fillId="0" borderId="503" applyNumberFormat="0" applyFill="0" applyAlignment="0" applyProtection="0"/>
    <xf numFmtId="4" fontId="35" fillId="0" borderId="503" applyFill="0" applyBorder="0" applyProtection="0">
      <alignment horizontal="right" vertical="center"/>
    </xf>
    <xf numFmtId="4" fontId="33" fillId="32" borderId="503">
      <alignment horizontal="right" vertical="center"/>
    </xf>
    <xf numFmtId="0" fontId="51" fillId="0" borderId="501" applyNumberFormat="0" applyFill="0" applyAlignment="0" applyProtection="0"/>
    <xf numFmtId="49" fontId="34" fillId="0" borderId="503" applyNumberFormat="0" applyFill="0" applyBorder="0" applyProtection="0">
      <alignment horizontal="left" vertical="center"/>
    </xf>
    <xf numFmtId="49" fontId="35" fillId="0" borderId="504" applyNumberFormat="0" applyFont="0" applyFill="0" applyBorder="0" applyProtection="0">
      <alignment horizontal="left" vertical="center" indent="5"/>
    </xf>
    <xf numFmtId="0" fontId="35" fillId="32" borderId="504">
      <alignment horizontal="left" vertical="center"/>
    </xf>
    <xf numFmtId="0" fontId="47" fillId="56" borderId="500" applyNumberFormat="0" applyAlignment="0" applyProtection="0"/>
    <xf numFmtId="4" fontId="33" fillId="34" borderId="505">
      <alignment horizontal="right" vertical="center"/>
    </xf>
    <xf numFmtId="0" fontId="59" fillId="43" borderId="500" applyNumberFormat="0" applyAlignment="0" applyProtection="0"/>
    <xf numFmtId="0" fontId="59" fillId="43" borderId="500" applyNumberFormat="0" applyAlignment="0" applyProtection="0"/>
    <xf numFmtId="0" fontId="41" fillId="59" borderId="502" applyNumberFormat="0" applyFont="0" applyAlignment="0" applyProtection="0"/>
    <xf numFmtId="0" fontId="63" fillId="56" borderId="499" applyNumberFormat="0" applyAlignment="0" applyProtection="0"/>
    <xf numFmtId="0" fontId="66" fillId="0" borderId="501" applyNumberFormat="0" applyFill="0" applyAlignment="0" applyProtection="0"/>
    <xf numFmtId="0" fontId="33" fillId="34" borderId="503">
      <alignment horizontal="right" vertical="center"/>
    </xf>
    <xf numFmtId="0" fontId="5" fillId="59" borderId="502" applyNumberFormat="0" applyFont="0" applyAlignment="0" applyProtection="0"/>
    <xf numFmtId="4" fontId="35" fillId="0" borderId="503">
      <alignment horizontal="right" vertical="center"/>
    </xf>
    <xf numFmtId="0" fontId="66" fillId="0" borderId="501" applyNumberFormat="0" applyFill="0" applyAlignment="0" applyProtection="0"/>
    <xf numFmtId="0" fontId="33" fillId="34" borderId="503">
      <alignment horizontal="right" vertical="center"/>
    </xf>
    <xf numFmtId="0" fontId="33" fillId="34" borderId="503">
      <alignment horizontal="right" vertical="center"/>
    </xf>
    <xf numFmtId="4" fontId="37" fillId="32" borderId="503">
      <alignment horizontal="right" vertical="center"/>
    </xf>
    <xf numFmtId="0" fontId="33" fillId="32" borderId="503">
      <alignment horizontal="right" vertical="center"/>
    </xf>
    <xf numFmtId="4" fontId="33" fillId="32" borderId="503">
      <alignment horizontal="right" vertical="center"/>
    </xf>
    <xf numFmtId="0" fontId="37" fillId="32" borderId="503">
      <alignment horizontal="right" vertical="center"/>
    </xf>
    <xf numFmtId="4" fontId="37" fillId="32" borderId="503">
      <alignment horizontal="right" vertical="center"/>
    </xf>
    <xf numFmtId="0" fontId="33" fillId="34" borderId="503">
      <alignment horizontal="right" vertical="center"/>
    </xf>
    <xf numFmtId="4" fontId="33" fillId="34" borderId="503">
      <alignment horizontal="right" vertical="center"/>
    </xf>
    <xf numFmtId="0" fontId="33" fillId="34" borderId="503">
      <alignment horizontal="right" vertical="center"/>
    </xf>
    <xf numFmtId="4" fontId="33" fillId="34" borderId="503">
      <alignment horizontal="right" vertical="center"/>
    </xf>
    <xf numFmtId="0" fontId="33" fillId="34" borderId="504">
      <alignment horizontal="right" vertical="center"/>
    </xf>
    <xf numFmtId="4" fontId="33" fillId="34" borderId="504">
      <alignment horizontal="right" vertical="center"/>
    </xf>
    <xf numFmtId="0" fontId="33" fillId="34" borderId="505">
      <alignment horizontal="right" vertical="center"/>
    </xf>
    <xf numFmtId="4" fontId="33" fillId="34" borderId="505">
      <alignment horizontal="right" vertical="center"/>
    </xf>
    <xf numFmtId="0" fontId="47" fillId="56" borderId="500" applyNumberFormat="0" applyAlignment="0" applyProtection="0"/>
    <xf numFmtId="0" fontId="35" fillId="34" borderId="506">
      <alignment horizontal="left" vertical="center" wrapText="1" indent="2"/>
    </xf>
    <xf numFmtId="0" fontId="35" fillId="0" borderId="506">
      <alignment horizontal="left" vertical="center" wrapText="1" indent="2"/>
    </xf>
    <xf numFmtId="0" fontId="35" fillId="32" borderId="504">
      <alignment horizontal="left" vertical="center"/>
    </xf>
    <xf numFmtId="0" fontId="59" fillId="43" borderId="500" applyNumberFormat="0" applyAlignment="0" applyProtection="0"/>
    <xf numFmtId="0" fontId="35" fillId="0" borderId="503">
      <alignment horizontal="right" vertical="center"/>
    </xf>
    <xf numFmtId="4" fontId="35" fillId="0" borderId="503">
      <alignment horizontal="right" vertical="center"/>
    </xf>
    <xf numFmtId="0" fontId="35" fillId="0" borderId="503" applyNumberFormat="0" applyFill="0" applyAlignment="0" applyProtection="0"/>
    <xf numFmtId="0" fontId="63" fillId="56" borderId="499" applyNumberFormat="0" applyAlignment="0" applyProtection="0"/>
    <xf numFmtId="173" fontId="35" fillId="60" borderId="503" applyNumberFormat="0" applyFont="0" applyBorder="0" applyAlignment="0" applyProtection="0">
      <alignment horizontal="right" vertical="center"/>
    </xf>
    <xf numFmtId="0" fontId="35" fillId="33" borderId="503"/>
    <xf numFmtId="4" fontId="35" fillId="33" borderId="503"/>
    <xf numFmtId="0" fontId="66" fillId="0" borderId="501" applyNumberFormat="0" applyFill="0" applyAlignment="0" applyProtection="0"/>
    <xf numFmtId="0" fontId="5" fillId="59" borderId="502" applyNumberFormat="0" applyFont="0" applyAlignment="0" applyProtection="0"/>
    <xf numFmtId="0" fontId="41" fillId="59" borderId="502" applyNumberFormat="0" applyFont="0" applyAlignment="0" applyProtection="0"/>
    <xf numFmtId="0" fontId="35" fillId="0" borderId="503" applyNumberFormat="0" applyFill="0" applyAlignment="0" applyProtection="0"/>
    <xf numFmtId="0" fontId="51" fillId="0" borderId="501" applyNumberFormat="0" applyFill="0" applyAlignment="0" applyProtection="0"/>
    <xf numFmtId="0" fontId="66" fillId="0" borderId="501" applyNumberFormat="0" applyFill="0" applyAlignment="0" applyProtection="0"/>
    <xf numFmtId="0" fontId="50" fillId="43" borderId="500" applyNumberFormat="0" applyAlignment="0" applyProtection="0"/>
    <xf numFmtId="0" fontId="47" fillId="56" borderId="500" applyNumberFormat="0" applyAlignment="0" applyProtection="0"/>
    <xf numFmtId="4" fontId="37" fillId="32" borderId="503">
      <alignment horizontal="right" vertical="center"/>
    </xf>
    <xf numFmtId="0" fontId="33" fillId="32" borderId="503">
      <alignment horizontal="right" vertical="center"/>
    </xf>
    <xf numFmtId="173" fontId="35" fillId="60" borderId="503" applyNumberFormat="0" applyFont="0" applyBorder="0" applyAlignment="0" applyProtection="0">
      <alignment horizontal="right" vertical="center"/>
    </xf>
    <xf numFmtId="0" fontId="51" fillId="0" borderId="501" applyNumberFormat="0" applyFill="0" applyAlignment="0" applyProtection="0"/>
    <xf numFmtId="49" fontId="35" fillId="0" borderId="503" applyNumberFormat="0" applyFont="0" applyFill="0" applyBorder="0" applyProtection="0">
      <alignment horizontal="left" vertical="center" indent="2"/>
    </xf>
    <xf numFmtId="49" fontId="35" fillId="0" borderId="504" applyNumberFormat="0" applyFont="0" applyFill="0" applyBorder="0" applyProtection="0">
      <alignment horizontal="left" vertical="center" indent="5"/>
    </xf>
    <xf numFmtId="49" fontId="35" fillId="0" borderId="503" applyNumberFormat="0" applyFont="0" applyFill="0" applyBorder="0" applyProtection="0">
      <alignment horizontal="left" vertical="center" indent="2"/>
    </xf>
    <xf numFmtId="4" fontId="35" fillId="0" borderId="503" applyFill="0" applyBorder="0" applyProtection="0">
      <alignment horizontal="right" vertical="center"/>
    </xf>
    <xf numFmtId="49" fontId="34" fillId="0" borderId="503" applyNumberFormat="0" applyFill="0" applyBorder="0" applyProtection="0">
      <alignment horizontal="left" vertical="center"/>
    </xf>
    <xf numFmtId="0" fontId="35" fillId="0" borderId="506">
      <alignment horizontal="left" vertical="center" wrapText="1" indent="2"/>
    </xf>
    <xf numFmtId="0" fontId="63" fillId="56" borderId="499" applyNumberFormat="0" applyAlignment="0" applyProtection="0"/>
    <xf numFmtId="0" fontId="33" fillId="34" borderId="505">
      <alignment horizontal="right" vertical="center"/>
    </xf>
    <xf numFmtId="0" fontId="50" fillId="43" borderId="500" applyNumberFormat="0" applyAlignment="0" applyProtection="0"/>
    <xf numFmtId="0" fontId="33" fillId="34" borderId="505">
      <alignment horizontal="right" vertical="center"/>
    </xf>
    <xf numFmtId="4" fontId="33" fillId="34" borderId="503">
      <alignment horizontal="right" vertical="center"/>
    </xf>
    <xf numFmtId="0" fontId="33" fillId="34" borderId="503">
      <alignment horizontal="right" vertical="center"/>
    </xf>
    <xf numFmtId="0" fontId="44" fillId="56" borderId="499" applyNumberFormat="0" applyAlignment="0" applyProtection="0"/>
    <xf numFmtId="0" fontId="46" fillId="56" borderId="500" applyNumberFormat="0" applyAlignment="0" applyProtection="0"/>
    <xf numFmtId="0" fontId="51" fillId="0" borderId="501" applyNumberFormat="0" applyFill="0" applyAlignment="0" applyProtection="0"/>
    <xf numFmtId="0" fontId="35" fillId="33" borderId="503"/>
    <xf numFmtId="4" fontId="35" fillId="33" borderId="503"/>
    <xf numFmtId="4" fontId="33" fillId="34" borderId="503">
      <alignment horizontal="right" vertical="center"/>
    </xf>
    <xf numFmtId="0" fontId="37" fillId="32" borderId="503">
      <alignment horizontal="right" vertical="center"/>
    </xf>
    <xf numFmtId="0" fontId="50" fillId="43" borderId="500" applyNumberFormat="0" applyAlignment="0" applyProtection="0"/>
    <xf numFmtId="0" fontId="47" fillId="56" borderId="500" applyNumberFormat="0" applyAlignment="0" applyProtection="0"/>
    <xf numFmtId="4" fontId="35" fillId="0" borderId="503">
      <alignment horizontal="right" vertical="center"/>
    </xf>
    <xf numFmtId="0" fontId="35" fillId="34" borderId="506">
      <alignment horizontal="left" vertical="center" wrapText="1" indent="2"/>
    </xf>
    <xf numFmtId="0" fontId="35" fillId="0" borderId="506">
      <alignment horizontal="left" vertical="center" wrapText="1" indent="2"/>
    </xf>
    <xf numFmtId="0" fontId="63" fillId="56" borderId="499" applyNumberFormat="0" applyAlignment="0" applyProtection="0"/>
    <xf numFmtId="0" fontId="59" fillId="43" borderId="500" applyNumberFormat="0" applyAlignment="0" applyProtection="0"/>
    <xf numFmtId="0" fontId="46" fillId="56" borderId="500" applyNumberFormat="0" applyAlignment="0" applyProtection="0"/>
    <xf numFmtId="0" fontId="44" fillId="56" borderId="499" applyNumberFormat="0" applyAlignment="0" applyProtection="0"/>
    <xf numFmtId="0" fontId="33" fillId="34" borderId="505">
      <alignment horizontal="right" vertical="center"/>
    </xf>
    <xf numFmtId="0" fontId="37" fillId="32" borderId="503">
      <alignment horizontal="right" vertical="center"/>
    </xf>
    <xf numFmtId="4" fontId="33" fillId="32" borderId="503">
      <alignment horizontal="right" vertical="center"/>
    </xf>
    <xf numFmtId="4" fontId="33" fillId="34" borderId="503">
      <alignment horizontal="right" vertical="center"/>
    </xf>
    <xf numFmtId="49" fontId="35" fillId="0" borderId="504" applyNumberFormat="0" applyFont="0" applyFill="0" applyBorder="0" applyProtection="0">
      <alignment horizontal="left" vertical="center" indent="5"/>
    </xf>
    <xf numFmtId="4" fontId="35" fillId="0" borderId="503" applyFill="0" applyBorder="0" applyProtection="0">
      <alignment horizontal="right" vertical="center"/>
    </xf>
    <xf numFmtId="4" fontId="33" fillId="32" borderId="503">
      <alignment horizontal="right" vertical="center"/>
    </xf>
    <xf numFmtId="0" fontId="35" fillId="32" borderId="517">
      <alignment horizontal="left" vertical="center"/>
    </xf>
    <xf numFmtId="0" fontId="59" fillId="43" borderId="500" applyNumberFormat="0" applyAlignment="0" applyProtection="0"/>
    <xf numFmtId="0" fontId="50" fillId="43" borderId="500" applyNumberFormat="0" applyAlignment="0" applyProtection="0"/>
    <xf numFmtId="0" fontId="46" fillId="56" borderId="500" applyNumberFormat="0" applyAlignment="0" applyProtection="0"/>
    <xf numFmtId="0" fontId="35" fillId="34" borderId="506">
      <alignment horizontal="left" vertical="center" wrapText="1" indent="2"/>
    </xf>
    <xf numFmtId="0" fontId="35" fillId="0" borderId="506">
      <alignment horizontal="left" vertical="center" wrapText="1" indent="2"/>
    </xf>
    <xf numFmtId="0" fontId="35" fillId="34" borderId="506">
      <alignment horizontal="left" vertical="center" wrapText="1" indent="2"/>
    </xf>
    <xf numFmtId="0" fontId="35" fillId="0" borderId="506">
      <alignment horizontal="left" vertical="center" wrapText="1" indent="2"/>
    </xf>
    <xf numFmtId="0" fontId="44" fillId="56" borderId="499" applyNumberFormat="0" applyAlignment="0" applyProtection="0"/>
    <xf numFmtId="0" fontId="46" fillId="56" borderId="500" applyNumberFormat="0" applyAlignment="0" applyProtection="0"/>
    <xf numFmtId="0" fontId="47" fillId="56" borderId="500" applyNumberFormat="0" applyAlignment="0" applyProtection="0"/>
    <xf numFmtId="0" fontId="50" fillId="43" borderId="500" applyNumberFormat="0" applyAlignment="0" applyProtection="0"/>
    <xf numFmtId="0" fontId="51" fillId="0" borderId="501" applyNumberFormat="0" applyFill="0" applyAlignment="0" applyProtection="0"/>
    <xf numFmtId="0" fontId="59" fillId="43" borderId="500" applyNumberFormat="0" applyAlignment="0" applyProtection="0"/>
    <xf numFmtId="0" fontId="41" fillId="59" borderId="502" applyNumberFormat="0" applyFont="0" applyAlignment="0" applyProtection="0"/>
    <xf numFmtId="0" fontId="5" fillId="59" borderId="502" applyNumberFormat="0" applyFont="0" applyAlignment="0" applyProtection="0"/>
    <xf numFmtId="0" fontId="63" fillId="56" borderId="499" applyNumberFormat="0" applyAlignment="0" applyProtection="0"/>
    <xf numFmtId="0" fontId="66" fillId="0" borderId="501" applyNumberFormat="0" applyFill="0" applyAlignment="0" applyProtection="0"/>
    <xf numFmtId="0" fontId="47" fillId="56" borderId="500" applyNumberFormat="0" applyAlignment="0" applyProtection="0"/>
    <xf numFmtId="0" fontId="59" fillId="43" borderId="500" applyNumberFormat="0" applyAlignment="0" applyProtection="0"/>
    <xf numFmtId="0" fontId="41" fillId="59" borderId="502" applyNumberFormat="0" applyFont="0" applyAlignment="0" applyProtection="0"/>
    <xf numFmtId="0" fontId="63" fillId="56" borderId="499" applyNumberFormat="0" applyAlignment="0" applyProtection="0"/>
    <xf numFmtId="0" fontId="66" fillId="0" borderId="501" applyNumberFormat="0" applyFill="0" applyAlignment="0" applyProtection="0"/>
    <xf numFmtId="0" fontId="35" fillId="34" borderId="513">
      <alignment horizontal="left" vertical="center" wrapText="1" indent="2"/>
    </xf>
    <xf numFmtId="0" fontId="35" fillId="32" borderId="511">
      <alignment horizontal="left" vertical="center"/>
    </xf>
    <xf numFmtId="0" fontId="33" fillId="34" borderId="456">
      <alignment horizontal="right" vertical="center"/>
    </xf>
    <xf numFmtId="4" fontId="33" fillId="34" borderId="456">
      <alignment horizontal="right" vertical="center"/>
    </xf>
    <xf numFmtId="0" fontId="47" fillId="56" borderId="500" applyNumberFormat="0" applyAlignment="0" applyProtection="0"/>
    <xf numFmtId="4" fontId="35" fillId="33" borderId="516"/>
    <xf numFmtId="0" fontId="35" fillId="32" borderId="517">
      <alignment horizontal="left" vertical="center"/>
    </xf>
    <xf numFmtId="49" fontId="35" fillId="0" borderId="544" applyNumberFormat="0" applyFont="0" applyFill="0" applyBorder="0" applyProtection="0">
      <alignment horizontal="left" vertical="center" indent="5"/>
    </xf>
    <xf numFmtId="0" fontId="59" fillId="43" borderId="500" applyNumberFormat="0" applyAlignment="0" applyProtection="0"/>
    <xf numFmtId="0" fontId="63" fillId="56" borderId="499" applyNumberFormat="0" applyAlignment="0" applyProtection="0"/>
    <xf numFmtId="0" fontId="66" fillId="0" borderId="501" applyNumberFormat="0" applyFill="0" applyAlignment="0" applyProtection="0"/>
    <xf numFmtId="0" fontId="35" fillId="33" borderId="558"/>
    <xf numFmtId="0" fontId="44" fillId="56" borderId="499" applyNumberFormat="0" applyAlignment="0" applyProtection="0"/>
    <xf numFmtId="0" fontId="46" fillId="56" borderId="500" applyNumberFormat="0" applyAlignment="0" applyProtection="0"/>
    <xf numFmtId="0" fontId="51" fillId="0" borderId="501" applyNumberFormat="0" applyFill="0" applyAlignment="0" applyProtection="0"/>
    <xf numFmtId="49" fontId="35" fillId="0" borderId="503" applyNumberFormat="0" applyFont="0" applyFill="0" applyBorder="0" applyProtection="0">
      <alignment horizontal="left" vertical="center" indent="2"/>
    </xf>
    <xf numFmtId="0" fontId="33" fillId="32" borderId="503">
      <alignment horizontal="right" vertical="center"/>
    </xf>
    <xf numFmtId="4" fontId="33" fillId="32" borderId="503">
      <alignment horizontal="right" vertical="center"/>
    </xf>
    <xf numFmtId="0" fontId="37" fillId="32" borderId="503">
      <alignment horizontal="right" vertical="center"/>
    </xf>
    <xf numFmtId="4" fontId="37" fillId="32" borderId="503">
      <alignment horizontal="right" vertical="center"/>
    </xf>
    <xf numFmtId="0" fontId="33" fillId="34" borderId="503">
      <alignment horizontal="right" vertical="center"/>
    </xf>
    <xf numFmtId="4" fontId="33" fillId="34" borderId="503">
      <alignment horizontal="right" vertical="center"/>
    </xf>
    <xf numFmtId="0" fontId="33" fillId="34" borderId="503">
      <alignment horizontal="right" vertical="center"/>
    </xf>
    <xf numFmtId="4" fontId="33" fillId="34" borderId="503">
      <alignment horizontal="right" vertical="center"/>
    </xf>
    <xf numFmtId="0" fontId="50" fillId="43" borderId="500" applyNumberFormat="0" applyAlignment="0" applyProtection="0"/>
    <xf numFmtId="0" fontId="35" fillId="0" borderId="503">
      <alignment horizontal="right" vertical="center"/>
    </xf>
    <xf numFmtId="4" fontId="35" fillId="0" borderId="503">
      <alignment horizontal="right" vertical="center"/>
    </xf>
    <xf numFmtId="4" fontId="35" fillId="0" borderId="503" applyFill="0" applyBorder="0" applyProtection="0">
      <alignment horizontal="right" vertical="center"/>
    </xf>
    <xf numFmtId="49" fontId="34" fillId="0" borderId="503" applyNumberFormat="0" applyFill="0" applyBorder="0" applyProtection="0">
      <alignment horizontal="left" vertical="center"/>
    </xf>
    <xf numFmtId="0" fontId="35" fillId="0" borderId="503" applyNumberFormat="0" applyFill="0" applyAlignment="0" applyProtection="0"/>
    <xf numFmtId="173" fontId="35" fillId="60" borderId="503" applyNumberFormat="0" applyFont="0" applyBorder="0" applyAlignment="0" applyProtection="0">
      <alignment horizontal="right" vertical="center"/>
    </xf>
    <xf numFmtId="0" fontId="35" fillId="33" borderId="503"/>
    <xf numFmtId="4" fontId="35" fillId="33" borderId="503"/>
    <xf numFmtId="4" fontId="33" fillId="34" borderId="503">
      <alignment horizontal="right" vertical="center"/>
    </xf>
    <xf numFmtId="0" fontId="35" fillId="33" borderId="503"/>
    <xf numFmtId="0" fontId="46" fillId="56" borderId="500" applyNumberFormat="0" applyAlignment="0" applyProtection="0"/>
    <xf numFmtId="0" fontId="33" fillId="32" borderId="503">
      <alignment horizontal="right" vertical="center"/>
    </xf>
    <xf numFmtId="0" fontId="35" fillId="0" borderId="503">
      <alignment horizontal="right" vertical="center"/>
    </xf>
    <xf numFmtId="0" fontId="66" fillId="0" borderId="501" applyNumberFormat="0" applyFill="0" applyAlignment="0" applyProtection="0"/>
    <xf numFmtId="0" fontId="35" fillId="32" borderId="504">
      <alignment horizontal="left" vertical="center"/>
    </xf>
    <xf numFmtId="0" fontId="59" fillId="43" borderId="500" applyNumberFormat="0" applyAlignment="0" applyProtection="0"/>
    <xf numFmtId="173" fontId="35" fillId="60" borderId="503" applyNumberFormat="0" applyFont="0" applyBorder="0" applyAlignment="0" applyProtection="0">
      <alignment horizontal="right" vertical="center"/>
    </xf>
    <xf numFmtId="0" fontId="41" fillId="59" borderId="502" applyNumberFormat="0" applyFont="0" applyAlignment="0" applyProtection="0"/>
    <xf numFmtId="0" fontId="35" fillId="0" borderId="506">
      <alignment horizontal="left" vertical="center" wrapText="1" indent="2"/>
    </xf>
    <xf numFmtId="4" fontId="35" fillId="33" borderId="503"/>
    <xf numFmtId="49" fontId="34" fillId="0" borderId="503" applyNumberFormat="0" applyFill="0" applyBorder="0" applyProtection="0">
      <alignment horizontal="left" vertical="center"/>
    </xf>
    <xf numFmtId="0" fontId="35" fillId="0" borderId="503">
      <alignment horizontal="right" vertical="center"/>
    </xf>
    <xf numFmtId="4" fontId="33" fillId="34" borderId="505">
      <alignment horizontal="right" vertical="center"/>
    </xf>
    <xf numFmtId="4" fontId="33" fillId="34" borderId="503">
      <alignment horizontal="right" vertical="center"/>
    </xf>
    <xf numFmtId="4" fontId="33" fillId="34" borderId="503">
      <alignment horizontal="right" vertical="center"/>
    </xf>
    <xf numFmtId="0" fontId="37" fillId="32" borderId="503">
      <alignment horizontal="right" vertical="center"/>
    </xf>
    <xf numFmtId="0" fontId="33" fillId="32" borderId="503">
      <alignment horizontal="right" vertical="center"/>
    </xf>
    <xf numFmtId="49" fontId="35" fillId="0" borderId="503" applyNumberFormat="0" applyFont="0" applyFill="0" applyBorder="0" applyProtection="0">
      <alignment horizontal="left" vertical="center" indent="2"/>
    </xf>
    <xf numFmtId="0" fontId="59" fillId="43" borderId="500" applyNumberFormat="0" applyAlignment="0" applyProtection="0"/>
    <xf numFmtId="0" fontId="44" fillId="56" borderId="499" applyNumberFormat="0" applyAlignment="0" applyProtection="0"/>
    <xf numFmtId="49" fontId="35" fillId="0" borderId="503" applyNumberFormat="0" applyFont="0" applyFill="0" applyBorder="0" applyProtection="0">
      <alignment horizontal="left" vertical="center" indent="2"/>
    </xf>
    <xf numFmtId="0" fontId="50" fillId="43" borderId="500" applyNumberFormat="0" applyAlignment="0" applyProtection="0"/>
    <xf numFmtId="4" fontId="35" fillId="0" borderId="503" applyFill="0" applyBorder="0" applyProtection="0">
      <alignment horizontal="right" vertical="center"/>
    </xf>
    <xf numFmtId="0" fontId="47" fillId="56" borderId="500" applyNumberFormat="0" applyAlignment="0" applyProtection="0"/>
    <xf numFmtId="0" fontId="66" fillId="0" borderId="501" applyNumberFormat="0" applyFill="0" applyAlignment="0" applyProtection="0"/>
    <xf numFmtId="0" fontId="63" fillId="56" borderId="499" applyNumberFormat="0" applyAlignment="0" applyProtection="0"/>
    <xf numFmtId="0" fontId="35" fillId="0" borderId="503" applyNumberFormat="0" applyFill="0" applyAlignment="0" applyProtection="0"/>
    <xf numFmtId="4" fontId="35" fillId="0" borderId="503">
      <alignment horizontal="right" vertical="center"/>
    </xf>
    <xf numFmtId="0" fontId="35" fillId="0" borderId="503">
      <alignment horizontal="right" vertical="center"/>
    </xf>
    <xf numFmtId="0" fontId="59" fillId="43" borderId="500" applyNumberFormat="0" applyAlignment="0" applyProtection="0"/>
    <xf numFmtId="0" fontId="44" fillId="56" borderId="499" applyNumberFormat="0" applyAlignment="0" applyProtection="0"/>
    <xf numFmtId="0" fontId="46" fillId="56" borderId="500" applyNumberFormat="0" applyAlignment="0" applyProtection="0"/>
    <xf numFmtId="0" fontId="35" fillId="34" borderId="506">
      <alignment horizontal="left" vertical="center" wrapText="1" indent="2"/>
    </xf>
    <xf numFmtId="0" fontId="47" fillId="56" borderId="500" applyNumberFormat="0" applyAlignment="0" applyProtection="0"/>
    <xf numFmtId="0" fontId="47" fillId="56" borderId="500" applyNumberFormat="0" applyAlignment="0" applyProtection="0"/>
    <xf numFmtId="4" fontId="33" fillId="34" borderId="504">
      <alignment horizontal="right" vertical="center"/>
    </xf>
    <xf numFmtId="0" fontId="33" fillId="34" borderId="504">
      <alignment horizontal="right" vertical="center"/>
    </xf>
    <xf numFmtId="0" fontId="33" fillId="34" borderId="503">
      <alignment horizontal="right" vertical="center"/>
    </xf>
    <xf numFmtId="4" fontId="37" fillId="32" borderId="503">
      <alignment horizontal="right" vertical="center"/>
    </xf>
    <xf numFmtId="0" fontId="50" fillId="43" borderId="500" applyNumberFormat="0" applyAlignment="0" applyProtection="0"/>
    <xf numFmtId="0" fontId="51" fillId="0" borderId="501" applyNumberFormat="0" applyFill="0" applyAlignment="0" applyProtection="0"/>
    <xf numFmtId="0" fontId="66" fillId="0" borderId="501" applyNumberFormat="0" applyFill="0" applyAlignment="0" applyProtection="0"/>
    <xf numFmtId="0" fontId="41" fillId="59" borderId="502" applyNumberFormat="0" applyFont="0" applyAlignment="0" applyProtection="0"/>
    <xf numFmtId="0" fontId="59" fillId="43" borderId="500" applyNumberFormat="0" applyAlignment="0" applyProtection="0"/>
    <xf numFmtId="49" fontId="34" fillId="0" borderId="503" applyNumberFormat="0" applyFill="0" applyBorder="0" applyProtection="0">
      <alignment horizontal="left" vertical="center"/>
    </xf>
    <xf numFmtId="0" fontId="35" fillId="34" borderId="506">
      <alignment horizontal="left" vertical="center" wrapText="1" indent="2"/>
    </xf>
    <xf numFmtId="0" fontId="47" fillId="56" borderId="500" applyNumberFormat="0" applyAlignment="0" applyProtection="0"/>
    <xf numFmtId="0" fontId="35" fillId="0" borderId="506">
      <alignment horizontal="left" vertical="center" wrapText="1" indent="2"/>
    </xf>
    <xf numFmtId="0" fontId="41" fillId="59" borderId="502" applyNumberFormat="0" applyFont="0" applyAlignment="0" applyProtection="0"/>
    <xf numFmtId="0" fontId="5" fillId="59" borderId="502" applyNumberFormat="0" applyFont="0" applyAlignment="0" applyProtection="0"/>
    <xf numFmtId="0" fontId="63" fillId="56" borderId="499" applyNumberFormat="0" applyAlignment="0" applyProtection="0"/>
    <xf numFmtId="0" fontId="66" fillId="0" borderId="501" applyNumberFormat="0" applyFill="0" applyAlignment="0" applyProtection="0"/>
    <xf numFmtId="4" fontId="35" fillId="33" borderId="503"/>
    <xf numFmtId="0" fontId="33" fillId="34" borderId="503">
      <alignment horizontal="right" vertical="center"/>
    </xf>
    <xf numFmtId="0" fontId="66" fillId="0" borderId="501" applyNumberFormat="0" applyFill="0" applyAlignment="0" applyProtection="0"/>
    <xf numFmtId="4" fontId="33" fillId="34" borderId="505">
      <alignment horizontal="right" vertical="center"/>
    </xf>
    <xf numFmtId="0" fontId="46" fillId="56" borderId="500" applyNumberFormat="0" applyAlignment="0" applyProtection="0"/>
    <xf numFmtId="0" fontId="33" fillId="34" borderId="504">
      <alignment horizontal="right" vertical="center"/>
    </xf>
    <xf numFmtId="0" fontId="47" fillId="56" borderId="500" applyNumberFormat="0" applyAlignment="0" applyProtection="0"/>
    <xf numFmtId="0" fontId="51" fillId="0" borderId="501" applyNumberFormat="0" applyFill="0" applyAlignment="0" applyProtection="0"/>
    <xf numFmtId="0" fontId="41" fillId="59" borderId="502" applyNumberFormat="0" applyFont="0" applyAlignment="0" applyProtection="0"/>
    <xf numFmtId="4" fontId="33" fillId="34" borderId="504">
      <alignment horizontal="right" vertical="center"/>
    </xf>
    <xf numFmtId="0" fontId="35" fillId="34" borderId="506">
      <alignment horizontal="left" vertical="center" wrapText="1" indent="2"/>
    </xf>
    <xf numFmtId="0" fontId="35" fillId="33" borderId="503"/>
    <xf numFmtId="173" fontId="35" fillId="60" borderId="503" applyNumberFormat="0" applyFont="0" applyBorder="0" applyAlignment="0" applyProtection="0">
      <alignment horizontal="right" vertical="center"/>
    </xf>
    <xf numFmtId="0" fontId="35" fillId="0" borderId="503" applyNumberFormat="0" applyFill="0" applyAlignment="0" applyProtection="0"/>
    <xf numFmtId="4" fontId="35" fillId="0" borderId="503" applyFill="0" applyBorder="0" applyProtection="0">
      <alignment horizontal="right" vertical="center"/>
    </xf>
    <xf numFmtId="4" fontId="33" fillId="32" borderId="503">
      <alignment horizontal="right" vertical="center"/>
    </xf>
    <xf numFmtId="0" fontId="51" fillId="0" borderId="501" applyNumberFormat="0" applyFill="0" applyAlignment="0" applyProtection="0"/>
    <xf numFmtId="49" fontId="34" fillId="0" borderId="503" applyNumberFormat="0" applyFill="0" applyBorder="0" applyProtection="0">
      <alignment horizontal="left" vertical="center"/>
    </xf>
    <xf numFmtId="49" fontId="35" fillId="0" borderId="504" applyNumberFormat="0" applyFont="0" applyFill="0" applyBorder="0" applyProtection="0">
      <alignment horizontal="left" vertical="center" indent="5"/>
    </xf>
    <xf numFmtId="0" fontId="35" fillId="32" borderId="504">
      <alignment horizontal="left" vertical="center"/>
    </xf>
    <xf numFmtId="0" fontId="47" fillId="56" borderId="500" applyNumberFormat="0" applyAlignment="0" applyProtection="0"/>
    <xf numFmtId="4" fontId="33" fillId="34" borderId="505">
      <alignment horizontal="right" vertical="center"/>
    </xf>
    <xf numFmtId="0" fontId="59" fillId="43" borderId="500" applyNumberFormat="0" applyAlignment="0" applyProtection="0"/>
    <xf numFmtId="0" fontId="59" fillId="43" borderId="500" applyNumberFormat="0" applyAlignment="0" applyProtection="0"/>
    <xf numFmtId="0" fontId="41" fillId="59" borderId="502" applyNumberFormat="0" applyFont="0" applyAlignment="0" applyProtection="0"/>
    <xf numFmtId="0" fontId="63" fillId="56" borderId="499" applyNumberFormat="0" applyAlignment="0" applyProtection="0"/>
    <xf numFmtId="0" fontId="66" fillId="0" borderId="501" applyNumberFormat="0" applyFill="0" applyAlignment="0" applyProtection="0"/>
    <xf numFmtId="0" fontId="33" fillId="34" borderId="503">
      <alignment horizontal="right" vertical="center"/>
    </xf>
    <xf numFmtId="0" fontId="5" fillId="59" borderId="502" applyNumberFormat="0" applyFont="0" applyAlignment="0" applyProtection="0"/>
    <xf numFmtId="4" fontId="35" fillId="0" borderId="503">
      <alignment horizontal="right" vertical="center"/>
    </xf>
    <xf numFmtId="0" fontId="66" fillId="0" borderId="501" applyNumberFormat="0" applyFill="0" applyAlignment="0" applyProtection="0"/>
    <xf numFmtId="0" fontId="33" fillId="34" borderId="503">
      <alignment horizontal="right" vertical="center"/>
    </xf>
    <xf numFmtId="0" fontId="33" fillId="34" borderId="503">
      <alignment horizontal="right" vertical="center"/>
    </xf>
    <xf numFmtId="4" fontId="37" fillId="32" borderId="503">
      <alignment horizontal="right" vertical="center"/>
    </xf>
    <xf numFmtId="0" fontId="33" fillId="32" borderId="503">
      <alignment horizontal="right" vertical="center"/>
    </xf>
    <xf numFmtId="4" fontId="33" fillId="32" borderId="503">
      <alignment horizontal="right" vertical="center"/>
    </xf>
    <xf numFmtId="0" fontId="37" fillId="32" borderId="503">
      <alignment horizontal="right" vertical="center"/>
    </xf>
    <xf numFmtId="4" fontId="37" fillId="32" borderId="503">
      <alignment horizontal="right" vertical="center"/>
    </xf>
    <xf numFmtId="0" fontId="33" fillId="34" borderId="503">
      <alignment horizontal="right" vertical="center"/>
    </xf>
    <xf numFmtId="4" fontId="33" fillId="34" borderId="503">
      <alignment horizontal="right" vertical="center"/>
    </xf>
    <xf numFmtId="0" fontId="33" fillId="34" borderId="503">
      <alignment horizontal="right" vertical="center"/>
    </xf>
    <xf numFmtId="4" fontId="33" fillId="34" borderId="503">
      <alignment horizontal="right" vertical="center"/>
    </xf>
    <xf numFmtId="0" fontId="33" fillId="34" borderId="504">
      <alignment horizontal="right" vertical="center"/>
    </xf>
    <xf numFmtId="4" fontId="33" fillId="34" borderId="504">
      <alignment horizontal="right" vertical="center"/>
    </xf>
    <xf numFmtId="0" fontId="33" fillId="34" borderId="505">
      <alignment horizontal="right" vertical="center"/>
    </xf>
    <xf numFmtId="4" fontId="33" fillId="34" borderId="505">
      <alignment horizontal="right" vertical="center"/>
    </xf>
    <xf numFmtId="0" fontId="47" fillId="56" borderId="500" applyNumberFormat="0" applyAlignment="0" applyProtection="0"/>
    <xf numFmtId="0" fontId="35" fillId="34" borderId="506">
      <alignment horizontal="left" vertical="center" wrapText="1" indent="2"/>
    </xf>
    <xf numFmtId="0" fontId="35" fillId="0" borderId="506">
      <alignment horizontal="left" vertical="center" wrapText="1" indent="2"/>
    </xf>
    <xf numFmtId="0" fontId="35" fillId="32" borderId="504">
      <alignment horizontal="left" vertical="center"/>
    </xf>
    <xf numFmtId="0" fontId="59" fillId="43" borderId="500" applyNumberFormat="0" applyAlignment="0" applyProtection="0"/>
    <xf numFmtId="0" fontId="35" fillId="0" borderId="503">
      <alignment horizontal="right" vertical="center"/>
    </xf>
    <xf numFmtId="4" fontId="35" fillId="0" borderId="503">
      <alignment horizontal="right" vertical="center"/>
    </xf>
    <xf numFmtId="0" fontId="35" fillId="0" borderId="503" applyNumberFormat="0" applyFill="0" applyAlignment="0" applyProtection="0"/>
    <xf numFmtId="0" fontId="63" fillId="56" borderId="499" applyNumberFormat="0" applyAlignment="0" applyProtection="0"/>
    <xf numFmtId="173" fontId="35" fillId="60" borderId="503" applyNumberFormat="0" applyFont="0" applyBorder="0" applyAlignment="0" applyProtection="0">
      <alignment horizontal="right" vertical="center"/>
    </xf>
    <xf numFmtId="0" fontId="35" fillId="33" borderId="503"/>
    <xf numFmtId="4" fontId="35" fillId="33" borderId="503"/>
    <xf numFmtId="0" fontId="66" fillId="0" borderId="501" applyNumberFormat="0" applyFill="0" applyAlignment="0" applyProtection="0"/>
    <xf numFmtId="0" fontId="5" fillId="59" borderId="502" applyNumberFormat="0" applyFont="0" applyAlignment="0" applyProtection="0"/>
    <xf numFmtId="0" fontId="41" fillId="59" borderId="502" applyNumberFormat="0" applyFont="0" applyAlignment="0" applyProtection="0"/>
    <xf numFmtId="0" fontId="35" fillId="0" borderId="503" applyNumberFormat="0" applyFill="0" applyAlignment="0" applyProtection="0"/>
    <xf numFmtId="0" fontId="51" fillId="0" borderId="501" applyNumberFormat="0" applyFill="0" applyAlignment="0" applyProtection="0"/>
    <xf numFmtId="0" fontId="66" fillId="0" borderId="501" applyNumberFormat="0" applyFill="0" applyAlignment="0" applyProtection="0"/>
    <xf numFmtId="0" fontId="50" fillId="43" borderId="500" applyNumberFormat="0" applyAlignment="0" applyProtection="0"/>
    <xf numFmtId="0" fontId="47" fillId="56" borderId="500" applyNumberFormat="0" applyAlignment="0" applyProtection="0"/>
    <xf numFmtId="4" fontId="37" fillId="32" borderId="503">
      <alignment horizontal="right" vertical="center"/>
    </xf>
    <xf numFmtId="0" fontId="33" fillId="32" borderId="503">
      <alignment horizontal="right" vertical="center"/>
    </xf>
    <xf numFmtId="173" fontId="35" fillId="60" borderId="503" applyNumberFormat="0" applyFont="0" applyBorder="0" applyAlignment="0" applyProtection="0">
      <alignment horizontal="right" vertical="center"/>
    </xf>
    <xf numFmtId="0" fontId="51" fillId="0" borderId="501" applyNumberFormat="0" applyFill="0" applyAlignment="0" applyProtection="0"/>
    <xf numFmtId="49" fontId="35" fillId="0" borderId="503" applyNumberFormat="0" applyFont="0" applyFill="0" applyBorder="0" applyProtection="0">
      <alignment horizontal="left" vertical="center" indent="2"/>
    </xf>
    <xf numFmtId="49" fontId="35" fillId="0" borderId="504" applyNumberFormat="0" applyFont="0" applyFill="0" applyBorder="0" applyProtection="0">
      <alignment horizontal="left" vertical="center" indent="5"/>
    </xf>
    <xf numFmtId="49" fontId="35" fillId="0" borderId="503" applyNumberFormat="0" applyFont="0" applyFill="0" applyBorder="0" applyProtection="0">
      <alignment horizontal="left" vertical="center" indent="2"/>
    </xf>
    <xf numFmtId="4" fontId="35" fillId="0" borderId="503" applyFill="0" applyBorder="0" applyProtection="0">
      <alignment horizontal="right" vertical="center"/>
    </xf>
    <xf numFmtId="49" fontId="34" fillId="0" borderId="503" applyNumberFormat="0" applyFill="0" applyBorder="0" applyProtection="0">
      <alignment horizontal="left" vertical="center"/>
    </xf>
    <xf numFmtId="0" fontId="35" fillId="0" borderId="506">
      <alignment horizontal="left" vertical="center" wrapText="1" indent="2"/>
    </xf>
    <xf numFmtId="0" fontId="63" fillId="56" borderId="499" applyNumberFormat="0" applyAlignment="0" applyProtection="0"/>
    <xf numFmtId="0" fontId="33" fillId="34" borderId="505">
      <alignment horizontal="right" vertical="center"/>
    </xf>
    <xf numFmtId="0" fontId="50" fillId="43" borderId="500" applyNumberFormat="0" applyAlignment="0" applyProtection="0"/>
    <xf numFmtId="0" fontId="33" fillId="34" borderId="505">
      <alignment horizontal="right" vertical="center"/>
    </xf>
    <xf numFmtId="4" fontId="33" fillId="34" borderId="503">
      <alignment horizontal="right" vertical="center"/>
    </xf>
    <xf numFmtId="0" fontId="33" fillId="34" borderId="503">
      <alignment horizontal="right" vertical="center"/>
    </xf>
    <xf numFmtId="0" fontId="44" fillId="56" borderId="499" applyNumberFormat="0" applyAlignment="0" applyProtection="0"/>
    <xf numFmtId="0" fontId="46" fillId="56" borderId="500" applyNumberFormat="0" applyAlignment="0" applyProtection="0"/>
    <xf numFmtId="0" fontId="51" fillId="0" borderId="501" applyNumberFormat="0" applyFill="0" applyAlignment="0" applyProtection="0"/>
    <xf numFmtId="0" fontId="35" fillId="33" borderId="503"/>
    <xf numFmtId="4" fontId="35" fillId="33" borderId="503"/>
    <xf numFmtId="4" fontId="33" fillId="34" borderId="503">
      <alignment horizontal="right" vertical="center"/>
    </xf>
    <xf numFmtId="0" fontId="37" fillId="32" borderId="503">
      <alignment horizontal="right" vertical="center"/>
    </xf>
    <xf numFmtId="0" fontId="50" fillId="43" borderId="500" applyNumberFormat="0" applyAlignment="0" applyProtection="0"/>
    <xf numFmtId="0" fontId="47" fillId="56" borderId="500" applyNumberFormat="0" applyAlignment="0" applyProtection="0"/>
    <xf numFmtId="4" fontId="35" fillId="0" borderId="503">
      <alignment horizontal="right" vertical="center"/>
    </xf>
    <xf numFmtId="0" fontId="35" fillId="34" borderId="506">
      <alignment horizontal="left" vertical="center" wrapText="1" indent="2"/>
    </xf>
    <xf numFmtId="0" fontId="35" fillId="0" borderId="506">
      <alignment horizontal="left" vertical="center" wrapText="1" indent="2"/>
    </xf>
    <xf numFmtId="0" fontId="63" fillId="56" borderId="499" applyNumberFormat="0" applyAlignment="0" applyProtection="0"/>
    <xf numFmtId="0" fontId="59" fillId="43" borderId="500" applyNumberFormat="0" applyAlignment="0" applyProtection="0"/>
    <xf numFmtId="0" fontId="46" fillId="56" borderId="500" applyNumberFormat="0" applyAlignment="0" applyProtection="0"/>
    <xf numFmtId="0" fontId="44" fillId="56" borderId="499" applyNumberFormat="0" applyAlignment="0" applyProtection="0"/>
    <xf numFmtId="0" fontId="33" fillId="34" borderId="505">
      <alignment horizontal="right" vertical="center"/>
    </xf>
    <xf numFmtId="0" fontId="37" fillId="32" borderId="503">
      <alignment horizontal="right" vertical="center"/>
    </xf>
    <xf numFmtId="4" fontId="33" fillId="32" borderId="503">
      <alignment horizontal="right" vertical="center"/>
    </xf>
    <xf numFmtId="4" fontId="33" fillId="34" borderId="503">
      <alignment horizontal="right" vertical="center"/>
    </xf>
    <xf numFmtId="49" fontId="35" fillId="0" borderId="504" applyNumberFormat="0" applyFont="0" applyFill="0" applyBorder="0" applyProtection="0">
      <alignment horizontal="left" vertical="center" indent="5"/>
    </xf>
    <xf numFmtId="4" fontId="35" fillId="0" borderId="503" applyFill="0" applyBorder="0" applyProtection="0">
      <alignment horizontal="right" vertical="center"/>
    </xf>
    <xf numFmtId="4" fontId="33" fillId="32" borderId="503">
      <alignment horizontal="right" vertical="center"/>
    </xf>
    <xf numFmtId="0" fontId="59" fillId="43" borderId="500" applyNumberFormat="0" applyAlignment="0" applyProtection="0"/>
    <xf numFmtId="0" fontId="50" fillId="43" borderId="500" applyNumberFormat="0" applyAlignment="0" applyProtection="0"/>
    <xf numFmtId="0" fontId="46" fillId="56" borderId="500" applyNumberFormat="0" applyAlignment="0" applyProtection="0"/>
    <xf numFmtId="0" fontId="35" fillId="34" borderId="506">
      <alignment horizontal="left" vertical="center" wrapText="1" indent="2"/>
    </xf>
    <xf numFmtId="0" fontId="35" fillId="0" borderId="506">
      <alignment horizontal="left" vertical="center" wrapText="1" indent="2"/>
    </xf>
    <xf numFmtId="0" fontId="35" fillId="34" borderId="506">
      <alignment horizontal="left" vertical="center" wrapText="1" indent="2"/>
    </xf>
    <xf numFmtId="0" fontId="33" fillId="34" borderId="517">
      <alignment horizontal="right" vertical="center"/>
    </xf>
    <xf numFmtId="49" fontId="35" fillId="0" borderId="552" applyNumberFormat="0" applyFont="0" applyFill="0" applyBorder="0" applyProtection="0">
      <alignment horizontal="left" vertical="center" indent="5"/>
    </xf>
    <xf numFmtId="4" fontId="33" fillId="34" borderId="518">
      <alignment horizontal="right" vertical="center"/>
    </xf>
    <xf numFmtId="0" fontId="33" fillId="34" borderId="518">
      <alignment horizontal="right" vertical="center"/>
    </xf>
    <xf numFmtId="0" fontId="33" fillId="34" borderId="516">
      <alignment horizontal="right" vertical="center"/>
    </xf>
    <xf numFmtId="0" fontId="50" fillId="43" borderId="507" applyNumberFormat="0" applyAlignment="0" applyProtection="0"/>
    <xf numFmtId="0" fontId="46" fillId="56" borderId="521" applyNumberFormat="0" applyAlignment="0" applyProtection="0"/>
    <xf numFmtId="0" fontId="35" fillId="0" borderId="516">
      <alignment horizontal="right" vertical="center"/>
    </xf>
    <xf numFmtId="4" fontId="33" fillId="34" borderId="551">
      <alignment horizontal="right" vertical="center"/>
    </xf>
    <xf numFmtId="4" fontId="33" fillId="34" borderId="552">
      <alignment horizontal="right" vertical="center"/>
    </xf>
    <xf numFmtId="4" fontId="37" fillId="32" borderId="516">
      <alignment horizontal="right" vertical="center"/>
    </xf>
    <xf numFmtId="0" fontId="27" fillId="17" borderId="0" applyNumberFormat="0" applyBorder="0" applyAlignment="0" applyProtection="0"/>
    <xf numFmtId="0" fontId="27" fillId="18" borderId="0" applyNumberFormat="0" applyBorder="0" applyAlignment="0" applyProtection="0"/>
    <xf numFmtId="0" fontId="2" fillId="0" borderId="15" applyNumberFormat="0" applyFill="0" applyAlignment="0" applyProtection="0"/>
    <xf numFmtId="4" fontId="37" fillId="32" borderId="526">
      <alignment horizontal="right" vertical="center"/>
    </xf>
    <xf numFmtId="0" fontId="29" fillId="13" borderId="14" applyNumberFormat="0" applyAlignment="0" applyProtection="0"/>
    <xf numFmtId="0" fontId="59" fillId="43" borderId="540" applyNumberFormat="0" applyAlignment="0" applyProtection="0"/>
    <xf numFmtId="0" fontId="37" fillId="32" borderId="516">
      <alignment horizontal="right" vertical="center"/>
    </xf>
    <xf numFmtId="0" fontId="59" fillId="43" borderId="521" applyNumberFormat="0" applyAlignment="0" applyProtection="0"/>
    <xf numFmtId="0" fontId="37" fillId="32" borderId="516">
      <alignment horizontal="right" vertical="center"/>
    </xf>
    <xf numFmtId="0" fontId="51" fillId="0" borderId="522" applyNumberFormat="0" applyFill="0" applyAlignment="0" applyProtection="0"/>
    <xf numFmtId="0" fontId="35" fillId="34" borderId="513">
      <alignment horizontal="left" vertical="center" wrapText="1" indent="2"/>
    </xf>
    <xf numFmtId="0" fontId="35" fillId="0" borderId="513">
      <alignment horizontal="left" vertical="center" wrapText="1" indent="2"/>
    </xf>
    <xf numFmtId="4" fontId="37" fillId="32" borderId="516">
      <alignment horizontal="right" vertical="center"/>
    </xf>
    <xf numFmtId="49" fontId="35" fillId="0" borderId="516" applyNumberFormat="0" applyFont="0" applyFill="0" applyBorder="0" applyProtection="0">
      <alignment horizontal="left" vertical="center" indent="2"/>
    </xf>
    <xf numFmtId="0" fontId="29" fillId="13" borderId="14" applyNumberFormat="0" applyAlignment="0" applyProtection="0"/>
    <xf numFmtId="0" fontId="35" fillId="0" borderId="551">
      <alignment horizontal="right" vertical="center"/>
    </xf>
    <xf numFmtId="49" fontId="35" fillId="0" borderId="552" applyNumberFormat="0" applyFont="0" applyFill="0" applyBorder="0" applyProtection="0">
      <alignment horizontal="left" vertical="center" indent="5"/>
    </xf>
    <xf numFmtId="0" fontId="27" fillId="18" borderId="0" applyNumberFormat="0" applyBorder="0" applyAlignment="0" applyProtection="0"/>
    <xf numFmtId="0" fontId="12" fillId="16" borderId="0" applyNumberFormat="0" applyBorder="0" applyAlignment="0" applyProtection="0"/>
    <xf numFmtId="0" fontId="27" fillId="21" borderId="0" applyNumberFormat="0" applyBorder="0" applyAlignment="0" applyProtection="0"/>
    <xf numFmtId="0" fontId="41" fillId="59" borderId="542" applyNumberFormat="0" applyFont="0" applyAlignment="0" applyProtection="0"/>
    <xf numFmtId="4" fontId="35" fillId="33" borderId="551"/>
    <xf numFmtId="0" fontId="66" fillId="0" borderId="549" applyNumberFormat="0" applyFill="0" applyAlignment="0" applyProtection="0"/>
    <xf numFmtId="0" fontId="59" fillId="43" borderId="523" applyNumberFormat="0" applyAlignment="0" applyProtection="0"/>
    <xf numFmtId="4" fontId="35" fillId="0" borderId="551">
      <alignment horizontal="right" vertical="center"/>
    </xf>
    <xf numFmtId="0" fontId="27" fillId="24" borderId="0" applyNumberFormat="0" applyBorder="0" applyAlignment="0" applyProtection="0"/>
    <xf numFmtId="4" fontId="33" fillId="34" borderId="553">
      <alignment horizontal="right" vertical="center"/>
    </xf>
    <xf numFmtId="0" fontId="33" fillId="34" borderId="553">
      <alignment horizontal="right" vertical="center"/>
    </xf>
    <xf numFmtId="0" fontId="33" fillId="34" borderId="551">
      <alignment horizontal="right" vertical="center"/>
    </xf>
    <xf numFmtId="0" fontId="33" fillId="34" borderId="517">
      <alignment horizontal="right" vertical="center"/>
    </xf>
    <xf numFmtId="0" fontId="27" fillId="30" borderId="0" applyNumberFormat="0" applyBorder="0" applyAlignment="0" applyProtection="0"/>
    <xf numFmtId="0" fontId="51" fillId="0" borderId="549" applyNumberFormat="0" applyFill="0" applyAlignment="0" applyProtection="0"/>
    <xf numFmtId="0" fontId="33" fillId="32" borderId="551">
      <alignment horizontal="right" vertical="center"/>
    </xf>
    <xf numFmtId="0" fontId="35" fillId="32" borderId="527">
      <alignment horizontal="left" vertical="center"/>
    </xf>
    <xf numFmtId="0" fontId="27" fillId="17" borderId="0" applyNumberFormat="0" applyBorder="0" applyAlignment="0" applyProtection="0"/>
    <xf numFmtId="4" fontId="33" fillId="34" borderId="518">
      <alignment horizontal="right" vertical="center"/>
    </xf>
    <xf numFmtId="0" fontId="46" fillId="56" borderId="521" applyNumberFormat="0" applyAlignment="0" applyProtection="0"/>
    <xf numFmtId="0" fontId="47" fillId="56" borderId="521" applyNumberFormat="0" applyAlignment="0" applyProtection="0"/>
    <xf numFmtId="0" fontId="63" fillId="56" borderId="547" applyNumberFormat="0" applyAlignment="0" applyProtection="0"/>
    <xf numFmtId="0" fontId="35" fillId="33" borderId="516"/>
    <xf numFmtId="4" fontId="33" fillId="32" borderId="516">
      <alignment horizontal="right" vertical="center"/>
    </xf>
    <xf numFmtId="0" fontId="46" fillId="56" borderId="521" applyNumberFormat="0" applyAlignment="0" applyProtection="0"/>
    <xf numFmtId="49" fontId="35" fillId="0" borderId="516" applyNumberFormat="0" applyFont="0" applyFill="0" applyBorder="0" applyProtection="0">
      <alignment horizontal="left" vertical="center" indent="2"/>
    </xf>
    <xf numFmtId="4" fontId="33" fillId="34" borderId="518">
      <alignment horizontal="right" vertical="center"/>
    </xf>
    <xf numFmtId="49" fontId="35" fillId="0" borderId="516" applyNumberFormat="0" applyFont="0" applyFill="0" applyBorder="0" applyProtection="0">
      <alignment horizontal="left" vertical="center" indent="2"/>
    </xf>
    <xf numFmtId="49" fontId="34" fillId="0" borderId="516" applyNumberFormat="0" applyFill="0" applyBorder="0" applyProtection="0">
      <alignment horizontal="left" vertical="center"/>
    </xf>
    <xf numFmtId="4" fontId="37" fillId="32" borderId="516">
      <alignment horizontal="right" vertical="center"/>
    </xf>
    <xf numFmtId="4" fontId="33" fillId="34" borderId="517">
      <alignment horizontal="right" vertical="center"/>
    </xf>
    <xf numFmtId="0" fontId="41" fillId="59" borderId="515" applyNumberFormat="0" applyFont="0" applyAlignment="0" applyProtection="0"/>
    <xf numFmtId="4" fontId="33" fillId="34" borderId="518">
      <alignment horizontal="right" vertical="center"/>
    </xf>
    <xf numFmtId="0" fontId="63" fillId="56" borderId="520" applyNumberFormat="0" applyAlignment="0" applyProtection="0"/>
    <xf numFmtId="0" fontId="59" fillId="43" borderId="521" applyNumberFormat="0" applyAlignment="0" applyProtection="0"/>
    <xf numFmtId="0" fontId="5" fillId="59" borderId="515" applyNumberFormat="0" applyFont="0" applyAlignment="0" applyProtection="0"/>
    <xf numFmtId="0" fontId="33" fillId="34" borderId="516">
      <alignment horizontal="right" vertical="center"/>
    </xf>
    <xf numFmtId="0" fontId="37" fillId="32" borderId="516">
      <alignment horizontal="right" vertical="center"/>
    </xf>
    <xf numFmtId="0" fontId="27" fillId="20" borderId="0" applyNumberFormat="0" applyBorder="0" applyAlignment="0" applyProtection="0"/>
    <xf numFmtId="0" fontId="5" fillId="59" borderId="515" applyNumberFormat="0" applyFont="0" applyAlignment="0" applyProtection="0"/>
    <xf numFmtId="0" fontId="35" fillId="34" borderId="546">
      <alignment horizontal="left" vertical="center" wrapText="1" indent="2"/>
    </xf>
    <xf numFmtId="49" fontId="35" fillId="0" borderId="517" applyNumberFormat="0" applyFont="0" applyFill="0" applyBorder="0" applyProtection="0">
      <alignment horizontal="left" vertical="center" indent="5"/>
    </xf>
    <xf numFmtId="0" fontId="51" fillId="0" borderId="522" applyNumberFormat="0" applyFill="0" applyAlignment="0" applyProtection="0"/>
    <xf numFmtId="0" fontId="35" fillId="0" borderId="519">
      <alignment horizontal="left" vertical="center" wrapText="1" indent="2"/>
    </xf>
    <xf numFmtId="0" fontId="50" fillId="43" borderId="521" applyNumberFormat="0" applyAlignment="0" applyProtection="0"/>
    <xf numFmtId="173" fontId="35" fillId="60" borderId="543" applyNumberFormat="0" applyFont="0" applyBorder="0" applyAlignment="0" applyProtection="0">
      <alignment horizontal="right" vertical="center"/>
    </xf>
    <xf numFmtId="0" fontId="35" fillId="33" borderId="516"/>
    <xf numFmtId="4" fontId="35" fillId="0" borderId="516">
      <alignment horizontal="right" vertical="center"/>
    </xf>
    <xf numFmtId="0" fontId="27" fillId="26" borderId="0" applyNumberFormat="0" applyBorder="0" applyAlignment="0" applyProtection="0"/>
    <xf numFmtId="0" fontId="27" fillId="29" borderId="0" applyNumberFormat="0" applyBorder="0" applyAlignment="0" applyProtection="0"/>
    <xf numFmtId="0" fontId="27" fillId="27" borderId="0" applyNumberFormat="0" applyBorder="0" applyAlignment="0" applyProtection="0"/>
    <xf numFmtId="0" fontId="27" fillId="23" borderId="0" applyNumberFormat="0" applyBorder="0" applyAlignment="0" applyProtection="0"/>
    <xf numFmtId="0" fontId="27" fillId="24" borderId="0" applyNumberFormat="0" applyBorder="0" applyAlignment="0" applyProtection="0"/>
    <xf numFmtId="0" fontId="12" fillId="22" borderId="0" applyNumberFormat="0" applyBorder="0" applyAlignment="0" applyProtection="0"/>
    <xf numFmtId="0" fontId="12" fillId="16" borderId="0" applyNumberFormat="0" applyBorder="0" applyAlignment="0" applyProtection="0"/>
    <xf numFmtId="0" fontId="66" fillId="0" borderId="522" applyNumberFormat="0" applyFill="0" applyAlignment="0" applyProtection="0"/>
    <xf numFmtId="0" fontId="47" fillId="56" borderId="521" applyNumberFormat="0" applyAlignment="0" applyProtection="0"/>
    <xf numFmtId="0" fontId="33" fillId="34" borderId="518">
      <alignment horizontal="right" vertical="center"/>
    </xf>
    <xf numFmtId="4" fontId="33" fillId="34" borderId="527">
      <alignment horizontal="right" vertical="center"/>
    </xf>
    <xf numFmtId="49" fontId="35" fillId="0" borderId="516" applyNumberFormat="0" applyFont="0" applyFill="0" applyBorder="0" applyProtection="0">
      <alignment horizontal="left" vertical="center" indent="2"/>
    </xf>
    <xf numFmtId="4" fontId="33" fillId="34" borderId="510">
      <alignment horizontal="right" vertical="center"/>
    </xf>
    <xf numFmtId="0" fontId="35" fillId="33" borderId="510"/>
    <xf numFmtId="0" fontId="46" fillId="56" borderId="507" applyNumberFormat="0" applyAlignment="0" applyProtection="0"/>
    <xf numFmtId="0" fontId="33" fillId="32" borderId="510">
      <alignment horizontal="right" vertical="center"/>
    </xf>
    <xf numFmtId="0" fontId="35" fillId="0" borderId="510">
      <alignment horizontal="right" vertical="center"/>
    </xf>
    <xf numFmtId="0" fontId="66" fillId="0" borderId="508" applyNumberFormat="0" applyFill="0" applyAlignment="0" applyProtection="0"/>
    <xf numFmtId="0" fontId="35" fillId="32" borderId="511">
      <alignment horizontal="left" vertical="center"/>
    </xf>
    <xf numFmtId="0" fontId="59" fillId="43" borderId="507" applyNumberFormat="0" applyAlignment="0" applyProtection="0"/>
    <xf numFmtId="173" fontId="35" fillId="60" borderId="510" applyNumberFormat="0" applyFont="0" applyBorder="0" applyAlignment="0" applyProtection="0">
      <alignment horizontal="right" vertical="center"/>
    </xf>
    <xf numFmtId="0" fontId="41" fillId="59" borderId="509" applyNumberFormat="0" applyFont="0" applyAlignment="0" applyProtection="0"/>
    <xf numFmtId="0" fontId="35" fillId="0" borderId="513">
      <alignment horizontal="left" vertical="center" wrapText="1" indent="2"/>
    </xf>
    <xf numFmtId="4" fontId="35" fillId="33" borderId="510"/>
    <xf numFmtId="49" fontId="34" fillId="0" borderId="510" applyNumberFormat="0" applyFill="0" applyBorder="0" applyProtection="0">
      <alignment horizontal="left" vertical="center"/>
    </xf>
    <xf numFmtId="0" fontId="35" fillId="0" borderId="510">
      <alignment horizontal="right" vertical="center"/>
    </xf>
    <xf numFmtId="4" fontId="33" fillId="34" borderId="512">
      <alignment horizontal="right" vertical="center"/>
    </xf>
    <xf numFmtId="4" fontId="33" fillId="34" borderId="510">
      <alignment horizontal="right" vertical="center"/>
    </xf>
    <xf numFmtId="4" fontId="33" fillId="34" borderId="510">
      <alignment horizontal="right" vertical="center"/>
    </xf>
    <xf numFmtId="0" fontId="37" fillId="32" borderId="510">
      <alignment horizontal="right" vertical="center"/>
    </xf>
    <xf numFmtId="0" fontId="33" fillId="32" borderId="510">
      <alignment horizontal="right" vertical="center"/>
    </xf>
    <xf numFmtId="49" fontId="35" fillId="0" borderId="510" applyNumberFormat="0" applyFont="0" applyFill="0" applyBorder="0" applyProtection="0">
      <alignment horizontal="left" vertical="center" indent="2"/>
    </xf>
    <xf numFmtId="0" fontId="59" fillId="43" borderId="507" applyNumberFormat="0" applyAlignment="0" applyProtection="0"/>
    <xf numFmtId="0" fontId="44" fillId="56" borderId="514" applyNumberFormat="0" applyAlignment="0" applyProtection="0"/>
    <xf numFmtId="49" fontId="35" fillId="0" borderId="510" applyNumberFormat="0" applyFont="0" applyFill="0" applyBorder="0" applyProtection="0">
      <alignment horizontal="left" vertical="center" indent="2"/>
    </xf>
    <xf numFmtId="0" fontId="50" fillId="43" borderId="507" applyNumberFormat="0" applyAlignment="0" applyProtection="0"/>
    <xf numFmtId="4" fontId="35" fillId="0" borderId="510" applyFill="0" applyBorder="0" applyProtection="0">
      <alignment horizontal="right" vertical="center"/>
    </xf>
    <xf numFmtId="0" fontId="47" fillId="56" borderId="507" applyNumberFormat="0" applyAlignment="0" applyProtection="0"/>
    <xf numFmtId="0" fontId="66" fillId="0" borderId="508" applyNumberFormat="0" applyFill="0" applyAlignment="0" applyProtection="0"/>
    <xf numFmtId="0" fontId="63" fillId="56" borderId="514" applyNumberFormat="0" applyAlignment="0" applyProtection="0"/>
    <xf numFmtId="0" fontId="35" fillId="0" borderId="510" applyNumberFormat="0" applyFill="0" applyAlignment="0" applyProtection="0"/>
    <xf numFmtId="4" fontId="35" fillId="0" borderId="510">
      <alignment horizontal="right" vertical="center"/>
    </xf>
    <xf numFmtId="0" fontId="35" fillId="0" borderId="510">
      <alignment horizontal="right" vertical="center"/>
    </xf>
    <xf numFmtId="0" fontId="59" fillId="43" borderId="507" applyNumberFormat="0" applyAlignment="0" applyProtection="0"/>
    <xf numFmtId="0" fontId="44" fillId="56" borderId="514" applyNumberFormat="0" applyAlignment="0" applyProtection="0"/>
    <xf numFmtId="0" fontId="46" fillId="56" borderId="507" applyNumberFormat="0" applyAlignment="0" applyProtection="0"/>
    <xf numFmtId="0" fontId="35" fillId="34" borderId="513">
      <alignment horizontal="left" vertical="center" wrapText="1" indent="2"/>
    </xf>
    <xf numFmtId="0" fontId="47" fillId="56" borderId="507" applyNumberFormat="0" applyAlignment="0" applyProtection="0"/>
    <xf numFmtId="0" fontId="47" fillId="56" borderId="507" applyNumberFormat="0" applyAlignment="0" applyProtection="0"/>
    <xf numFmtId="4" fontId="33" fillId="34" borderId="511">
      <alignment horizontal="right" vertical="center"/>
    </xf>
    <xf numFmtId="0" fontId="33" fillId="34" borderId="511">
      <alignment horizontal="right" vertical="center"/>
    </xf>
    <xf numFmtId="0" fontId="33" fillId="34" borderId="510">
      <alignment horizontal="right" vertical="center"/>
    </xf>
    <xf numFmtId="4" fontId="37" fillId="32" borderId="510">
      <alignment horizontal="right" vertical="center"/>
    </xf>
    <xf numFmtId="0" fontId="50" fillId="43" borderId="507" applyNumberFormat="0" applyAlignment="0" applyProtection="0"/>
    <xf numFmtId="0" fontId="51" fillId="0" borderId="508" applyNumberFormat="0" applyFill="0" applyAlignment="0" applyProtection="0"/>
    <xf numFmtId="0" fontId="66" fillId="0" borderId="508" applyNumberFormat="0" applyFill="0" applyAlignment="0" applyProtection="0"/>
    <xf numFmtId="0" fontId="41" fillId="59" borderId="509" applyNumberFormat="0" applyFont="0" applyAlignment="0" applyProtection="0"/>
    <xf numFmtId="0" fontId="59" fillId="43" borderId="507" applyNumberFormat="0" applyAlignment="0" applyProtection="0"/>
    <xf numFmtId="49" fontId="34" fillId="0" borderId="510" applyNumberFormat="0" applyFill="0" applyBorder="0" applyProtection="0">
      <alignment horizontal="left" vertical="center"/>
    </xf>
    <xf numFmtId="0" fontId="35" fillId="34" borderId="513">
      <alignment horizontal="left" vertical="center" wrapText="1" indent="2"/>
    </xf>
    <xf numFmtId="0" fontId="47" fillId="56" borderId="507" applyNumberFormat="0" applyAlignment="0" applyProtection="0"/>
    <xf numFmtId="0" fontId="35" fillId="0" borderId="513">
      <alignment horizontal="left" vertical="center" wrapText="1" indent="2"/>
    </xf>
    <xf numFmtId="0" fontId="41" fillId="59" borderId="509" applyNumberFormat="0" applyFont="0" applyAlignment="0" applyProtection="0"/>
    <xf numFmtId="0" fontId="5" fillId="59" borderId="509" applyNumberFormat="0" applyFont="0" applyAlignment="0" applyProtection="0"/>
    <xf numFmtId="0" fontId="63" fillId="56" borderId="514" applyNumberFormat="0" applyAlignment="0" applyProtection="0"/>
    <xf numFmtId="0" fontId="66" fillId="0" borderId="508" applyNumberFormat="0" applyFill="0" applyAlignment="0" applyProtection="0"/>
    <xf numFmtId="4" fontId="35" fillId="33" borderId="510"/>
    <xf numFmtId="0" fontId="33" fillId="34" borderId="510">
      <alignment horizontal="right" vertical="center"/>
    </xf>
    <xf numFmtId="0" fontId="66" fillId="0" borderId="508" applyNumberFormat="0" applyFill="0" applyAlignment="0" applyProtection="0"/>
    <xf numFmtId="4" fontId="33" fillId="34" borderId="512">
      <alignment horizontal="right" vertical="center"/>
    </xf>
    <xf numFmtId="0" fontId="46" fillId="56" borderId="507" applyNumberFormat="0" applyAlignment="0" applyProtection="0"/>
    <xf numFmtId="0" fontId="33" fillId="34" borderId="511">
      <alignment horizontal="right" vertical="center"/>
    </xf>
    <xf numFmtId="0" fontId="47" fillId="56" borderId="507" applyNumberFormat="0" applyAlignment="0" applyProtection="0"/>
    <xf numFmtId="0" fontId="51" fillId="0" borderId="508" applyNumberFormat="0" applyFill="0" applyAlignment="0" applyProtection="0"/>
    <xf numFmtId="0" fontId="41" fillId="59" borderId="509" applyNumberFormat="0" applyFont="0" applyAlignment="0" applyProtection="0"/>
    <xf numFmtId="4" fontId="33" fillId="34" borderId="511">
      <alignment horizontal="right" vertical="center"/>
    </xf>
    <xf numFmtId="0" fontId="35" fillId="34" borderId="513">
      <alignment horizontal="left" vertical="center" wrapText="1" indent="2"/>
    </xf>
    <xf numFmtId="0" fontId="35" fillId="33" borderId="510"/>
    <xf numFmtId="173" fontId="35" fillId="60" borderId="510" applyNumberFormat="0" applyFont="0" applyBorder="0" applyAlignment="0" applyProtection="0">
      <alignment horizontal="right" vertical="center"/>
    </xf>
    <xf numFmtId="0" fontId="35" fillId="0" borderId="510" applyNumberFormat="0" applyFill="0" applyAlignment="0" applyProtection="0"/>
    <xf numFmtId="4" fontId="35" fillId="0" borderId="510" applyFill="0" applyBorder="0" applyProtection="0">
      <alignment horizontal="right" vertical="center"/>
    </xf>
    <xf numFmtId="4" fontId="33" fillId="32" borderId="510">
      <alignment horizontal="right" vertical="center"/>
    </xf>
    <xf numFmtId="0" fontId="51" fillId="0" borderId="508" applyNumberFormat="0" applyFill="0" applyAlignment="0" applyProtection="0"/>
    <xf numFmtId="49" fontId="34" fillId="0" borderId="510" applyNumberFormat="0" applyFill="0" applyBorder="0" applyProtection="0">
      <alignment horizontal="left" vertical="center"/>
    </xf>
    <xf numFmtId="49" fontId="35" fillId="0" borderId="511" applyNumberFormat="0" applyFont="0" applyFill="0" applyBorder="0" applyProtection="0">
      <alignment horizontal="left" vertical="center" indent="5"/>
    </xf>
    <xf numFmtId="0" fontId="35" fillId="32" borderId="511">
      <alignment horizontal="left" vertical="center"/>
    </xf>
    <xf numFmtId="0" fontId="47" fillId="56" borderId="507" applyNumberFormat="0" applyAlignment="0" applyProtection="0"/>
    <xf numFmtId="4" fontId="33" fillId="34" borderId="512">
      <alignment horizontal="right" vertical="center"/>
    </xf>
    <xf numFmtId="0" fontId="59" fillId="43" borderId="507" applyNumberFormat="0" applyAlignment="0" applyProtection="0"/>
    <xf numFmtId="0" fontId="59" fillId="43" borderId="507" applyNumberFormat="0" applyAlignment="0" applyProtection="0"/>
    <xf numFmtId="0" fontId="41" fillId="59" borderId="509" applyNumberFormat="0" applyFont="0" applyAlignment="0" applyProtection="0"/>
    <xf numFmtId="0" fontId="63" fillId="56" borderId="514" applyNumberFormat="0" applyAlignment="0" applyProtection="0"/>
    <xf numFmtId="0" fontId="66" fillId="0" borderId="508" applyNumberFormat="0" applyFill="0" applyAlignment="0" applyProtection="0"/>
    <xf numFmtId="0" fontId="33" fillId="34" borderId="510">
      <alignment horizontal="right" vertical="center"/>
    </xf>
    <xf numFmtId="0" fontId="5" fillId="59" borderId="509" applyNumberFormat="0" applyFont="0" applyAlignment="0" applyProtection="0"/>
    <xf numFmtId="4" fontId="35" fillId="0" borderId="510">
      <alignment horizontal="right" vertical="center"/>
    </xf>
    <xf numFmtId="0" fontId="66" fillId="0" borderId="508" applyNumberFormat="0" applyFill="0" applyAlignment="0" applyProtection="0"/>
    <xf numFmtId="0" fontId="33" fillId="34" borderId="510">
      <alignment horizontal="right" vertical="center"/>
    </xf>
    <xf numFmtId="0" fontId="33" fillId="34" borderId="510">
      <alignment horizontal="right" vertical="center"/>
    </xf>
    <xf numFmtId="4" fontId="37" fillId="32" borderId="510">
      <alignment horizontal="right" vertical="center"/>
    </xf>
    <xf numFmtId="0" fontId="33" fillId="32" borderId="510">
      <alignment horizontal="right" vertical="center"/>
    </xf>
    <xf numFmtId="4" fontId="33" fillId="32" borderId="510">
      <alignment horizontal="right" vertical="center"/>
    </xf>
    <xf numFmtId="0" fontId="37" fillId="32" borderId="510">
      <alignment horizontal="right" vertical="center"/>
    </xf>
    <xf numFmtId="4" fontId="37" fillId="32" borderId="510">
      <alignment horizontal="right" vertical="center"/>
    </xf>
    <xf numFmtId="0" fontId="33" fillId="34" borderId="510">
      <alignment horizontal="right" vertical="center"/>
    </xf>
    <xf numFmtId="4" fontId="33" fillId="34" borderId="510">
      <alignment horizontal="right" vertical="center"/>
    </xf>
    <xf numFmtId="0" fontId="33" fillId="34" borderId="510">
      <alignment horizontal="right" vertical="center"/>
    </xf>
    <xf numFmtId="4" fontId="33" fillId="34" borderId="510">
      <alignment horizontal="right" vertical="center"/>
    </xf>
    <xf numFmtId="0" fontId="33" fillId="34" borderId="511">
      <alignment horizontal="right" vertical="center"/>
    </xf>
    <xf numFmtId="4" fontId="33" fillId="34" borderId="511">
      <alignment horizontal="right" vertical="center"/>
    </xf>
    <xf numFmtId="0" fontId="33" fillId="34" borderId="512">
      <alignment horizontal="right" vertical="center"/>
    </xf>
    <xf numFmtId="4" fontId="33" fillId="34" borderId="512">
      <alignment horizontal="right" vertical="center"/>
    </xf>
    <xf numFmtId="0" fontId="47" fillId="56" borderId="507" applyNumberFormat="0" applyAlignment="0" applyProtection="0"/>
    <xf numFmtId="0" fontId="35" fillId="34" borderId="513">
      <alignment horizontal="left" vertical="center" wrapText="1" indent="2"/>
    </xf>
    <xf numFmtId="0" fontId="35" fillId="0" borderId="513">
      <alignment horizontal="left" vertical="center" wrapText="1" indent="2"/>
    </xf>
    <xf numFmtId="0" fontId="35" fillId="32" borderId="511">
      <alignment horizontal="left" vertical="center"/>
    </xf>
    <xf numFmtId="0" fontId="59" fillId="43" borderId="507" applyNumberFormat="0" applyAlignment="0" applyProtection="0"/>
    <xf numFmtId="0" fontId="35" fillId="0" borderId="510">
      <alignment horizontal="right" vertical="center"/>
    </xf>
    <xf numFmtId="4" fontId="35" fillId="0" borderId="510">
      <alignment horizontal="right" vertical="center"/>
    </xf>
    <xf numFmtId="0" fontId="35" fillId="0" borderId="510" applyNumberFormat="0" applyFill="0" applyAlignment="0" applyProtection="0"/>
    <xf numFmtId="0" fontId="63" fillId="56" borderId="514" applyNumberFormat="0" applyAlignment="0" applyProtection="0"/>
    <xf numFmtId="173" fontId="35" fillId="60" borderId="510" applyNumberFormat="0" applyFont="0" applyBorder="0" applyAlignment="0" applyProtection="0">
      <alignment horizontal="right" vertical="center"/>
    </xf>
    <xf numFmtId="0" fontId="35" fillId="33" borderId="510"/>
    <xf numFmtId="4" fontId="35" fillId="33" borderId="510"/>
    <xf numFmtId="0" fontId="66" fillId="0" borderId="508" applyNumberFormat="0" applyFill="0" applyAlignment="0" applyProtection="0"/>
    <xf numFmtId="0" fontId="5" fillId="59" borderId="509" applyNumberFormat="0" applyFont="0" applyAlignment="0" applyProtection="0"/>
    <xf numFmtId="0" fontId="41" fillId="59" borderId="509" applyNumberFormat="0" applyFont="0" applyAlignment="0" applyProtection="0"/>
    <xf numFmtId="0" fontId="35" fillId="0" borderId="510" applyNumberFormat="0" applyFill="0" applyAlignment="0" applyProtection="0"/>
    <xf numFmtId="0" fontId="51" fillId="0" borderId="508" applyNumberFormat="0" applyFill="0" applyAlignment="0" applyProtection="0"/>
    <xf numFmtId="0" fontId="66" fillId="0" borderId="508" applyNumberFormat="0" applyFill="0" applyAlignment="0" applyProtection="0"/>
    <xf numFmtId="0" fontId="50" fillId="43" borderId="507" applyNumberFormat="0" applyAlignment="0" applyProtection="0"/>
    <xf numFmtId="0" fontId="47" fillId="56" borderId="507" applyNumberFormat="0" applyAlignment="0" applyProtection="0"/>
    <xf numFmtId="4" fontId="37" fillId="32" borderId="510">
      <alignment horizontal="right" vertical="center"/>
    </xf>
    <xf numFmtId="0" fontId="33" fillId="32" borderId="510">
      <alignment horizontal="right" vertical="center"/>
    </xf>
    <xf numFmtId="173" fontId="35" fillId="60" borderId="510" applyNumberFormat="0" applyFont="0" applyBorder="0" applyAlignment="0" applyProtection="0">
      <alignment horizontal="right" vertical="center"/>
    </xf>
    <xf numFmtId="0" fontId="51" fillId="0" borderId="508" applyNumberFormat="0" applyFill="0" applyAlignment="0" applyProtection="0"/>
    <xf numFmtId="49" fontId="35" fillId="0" borderId="510" applyNumberFormat="0" applyFont="0" applyFill="0" applyBorder="0" applyProtection="0">
      <alignment horizontal="left" vertical="center" indent="2"/>
    </xf>
    <xf numFmtId="49" fontId="35" fillId="0" borderId="511" applyNumberFormat="0" applyFont="0" applyFill="0" applyBorder="0" applyProtection="0">
      <alignment horizontal="left" vertical="center" indent="5"/>
    </xf>
    <xf numFmtId="49" fontId="35" fillId="0" borderId="510" applyNumberFormat="0" applyFont="0" applyFill="0" applyBorder="0" applyProtection="0">
      <alignment horizontal="left" vertical="center" indent="2"/>
    </xf>
    <xf numFmtId="4" fontId="35" fillId="0" borderId="510" applyFill="0" applyBorder="0" applyProtection="0">
      <alignment horizontal="right" vertical="center"/>
    </xf>
    <xf numFmtId="49" fontId="34" fillId="0" borderId="510" applyNumberFormat="0" applyFill="0" applyBorder="0" applyProtection="0">
      <alignment horizontal="left" vertical="center"/>
    </xf>
    <xf numFmtId="0" fontId="35" fillId="0" borderId="513">
      <alignment horizontal="left" vertical="center" wrapText="1" indent="2"/>
    </xf>
    <xf numFmtId="0" fontId="63" fillId="56" borderId="514" applyNumberFormat="0" applyAlignment="0" applyProtection="0"/>
    <xf numFmtId="0" fontId="33" fillId="34" borderId="512">
      <alignment horizontal="right" vertical="center"/>
    </xf>
    <xf numFmtId="0" fontId="50" fillId="43" borderId="507" applyNumberFormat="0" applyAlignment="0" applyProtection="0"/>
    <xf numFmtId="0" fontId="33" fillId="34" borderId="512">
      <alignment horizontal="right" vertical="center"/>
    </xf>
    <xf numFmtId="4" fontId="33" fillId="34" borderId="510">
      <alignment horizontal="right" vertical="center"/>
    </xf>
    <xf numFmtId="0" fontId="33" fillId="34" borderId="510">
      <alignment horizontal="right" vertical="center"/>
    </xf>
    <xf numFmtId="0" fontId="44" fillId="56" borderId="514" applyNumberFormat="0" applyAlignment="0" applyProtection="0"/>
    <xf numFmtId="0" fontId="46" fillId="56" borderId="507" applyNumberFormat="0" applyAlignment="0" applyProtection="0"/>
    <xf numFmtId="0" fontId="51" fillId="0" borderId="508" applyNumberFormat="0" applyFill="0" applyAlignment="0" applyProtection="0"/>
    <xf numFmtId="0" fontId="35" fillId="33" borderId="510"/>
    <xf numFmtId="4" fontId="35" fillId="33" borderId="510"/>
    <xf numFmtId="4" fontId="33" fillId="34" borderId="510">
      <alignment horizontal="right" vertical="center"/>
    </xf>
    <xf numFmtId="0" fontId="37" fillId="32" borderId="510">
      <alignment horizontal="right" vertical="center"/>
    </xf>
    <xf numFmtId="0" fontId="50" fillId="43" borderId="507" applyNumberFormat="0" applyAlignment="0" applyProtection="0"/>
    <xf numFmtId="0" fontId="47" fillId="56" borderId="507" applyNumberFormat="0" applyAlignment="0" applyProtection="0"/>
    <xf numFmtId="4" fontId="35" fillId="0" borderId="510">
      <alignment horizontal="right" vertical="center"/>
    </xf>
    <xf numFmtId="0" fontId="35" fillId="34" borderId="513">
      <alignment horizontal="left" vertical="center" wrapText="1" indent="2"/>
    </xf>
    <xf numFmtId="0" fontId="35" fillId="0" borderId="513">
      <alignment horizontal="left" vertical="center" wrapText="1" indent="2"/>
    </xf>
    <xf numFmtId="0" fontId="63" fillId="56" borderId="514" applyNumberFormat="0" applyAlignment="0" applyProtection="0"/>
    <xf numFmtId="0" fontId="59" fillId="43" borderId="507" applyNumberFormat="0" applyAlignment="0" applyProtection="0"/>
    <xf numFmtId="0" fontId="46" fillId="56" borderId="507" applyNumberFormat="0" applyAlignment="0" applyProtection="0"/>
    <xf numFmtId="0" fontId="44" fillId="56" borderId="514" applyNumberFormat="0" applyAlignment="0" applyProtection="0"/>
    <xf numFmtId="0" fontId="33" fillId="34" borderId="512">
      <alignment horizontal="right" vertical="center"/>
    </xf>
    <xf numFmtId="0" fontId="37" fillId="32" borderId="510">
      <alignment horizontal="right" vertical="center"/>
    </xf>
    <xf numFmtId="4" fontId="33" fillId="32" borderId="510">
      <alignment horizontal="right" vertical="center"/>
    </xf>
    <xf numFmtId="4" fontId="33" fillId="34" borderId="510">
      <alignment horizontal="right" vertical="center"/>
    </xf>
    <xf numFmtId="49" fontId="35" fillId="0" borderId="511" applyNumberFormat="0" applyFont="0" applyFill="0" applyBorder="0" applyProtection="0">
      <alignment horizontal="left" vertical="center" indent="5"/>
    </xf>
    <xf numFmtId="4" fontId="35" fillId="0" borderId="510" applyFill="0" applyBorder="0" applyProtection="0">
      <alignment horizontal="right" vertical="center"/>
    </xf>
    <xf numFmtId="4" fontId="33" fillId="32" borderId="510">
      <alignment horizontal="right" vertical="center"/>
    </xf>
    <xf numFmtId="49" fontId="34" fillId="0" borderId="516" applyNumberFormat="0" applyFill="0" applyBorder="0" applyProtection="0">
      <alignment horizontal="left" vertical="center"/>
    </xf>
    <xf numFmtId="0" fontId="59" fillId="43" borderId="507" applyNumberFormat="0" applyAlignment="0" applyProtection="0"/>
    <xf numFmtId="0" fontId="50" fillId="43" borderId="507" applyNumberFormat="0" applyAlignment="0" applyProtection="0"/>
    <xf numFmtId="0" fontId="46" fillId="56" borderId="507" applyNumberFormat="0" applyAlignment="0" applyProtection="0"/>
    <xf numFmtId="0" fontId="35" fillId="34" borderId="513">
      <alignment horizontal="left" vertical="center" wrapText="1" indent="2"/>
    </xf>
    <xf numFmtId="0" fontId="35" fillId="0" borderId="513">
      <alignment horizontal="left" vertical="center" wrapText="1" indent="2"/>
    </xf>
    <xf numFmtId="0" fontId="35" fillId="34" borderId="513">
      <alignment horizontal="left" vertical="center" wrapText="1" indent="2"/>
    </xf>
    <xf numFmtId="0" fontId="35" fillId="0" borderId="513">
      <alignment horizontal="left" vertical="center" wrapText="1" indent="2"/>
    </xf>
    <xf numFmtId="0" fontId="44" fillId="56" borderId="514" applyNumberFormat="0" applyAlignment="0" applyProtection="0"/>
    <xf numFmtId="0" fontId="46" fillId="56" borderId="507" applyNumberFormat="0" applyAlignment="0" applyProtection="0"/>
    <xf numFmtId="0" fontId="47" fillId="56" borderId="507" applyNumberFormat="0" applyAlignment="0" applyProtection="0"/>
    <xf numFmtId="0" fontId="50" fillId="43" borderId="507" applyNumberFormat="0" applyAlignment="0" applyProtection="0"/>
    <xf numFmtId="0" fontId="51" fillId="0" borderId="508" applyNumberFormat="0" applyFill="0" applyAlignment="0" applyProtection="0"/>
    <xf numFmtId="0" fontId="59" fillId="43" borderId="507" applyNumberFormat="0" applyAlignment="0" applyProtection="0"/>
    <xf numFmtId="0" fontId="41" fillId="59" borderId="509" applyNumberFormat="0" applyFont="0" applyAlignment="0" applyProtection="0"/>
    <xf numFmtId="0" fontId="5" fillId="59" borderId="509" applyNumberFormat="0" applyFont="0" applyAlignment="0" applyProtection="0"/>
    <xf numFmtId="0" fontId="63" fillId="56" borderId="514" applyNumberFormat="0" applyAlignment="0" applyProtection="0"/>
    <xf numFmtId="0" fontId="66" fillId="0" borderId="508" applyNumberFormat="0" applyFill="0" applyAlignment="0" applyProtection="0"/>
    <xf numFmtId="0" fontId="47" fillId="56" borderId="507" applyNumberFormat="0" applyAlignment="0" applyProtection="0"/>
    <xf numFmtId="0" fontId="59" fillId="43" borderId="507" applyNumberFormat="0" applyAlignment="0" applyProtection="0"/>
    <xf numFmtId="0" fontId="41" fillId="59" borderId="509" applyNumberFormat="0" applyFont="0" applyAlignment="0" applyProtection="0"/>
    <xf numFmtId="0" fontId="63" fillId="56" borderId="514" applyNumberFormat="0" applyAlignment="0" applyProtection="0"/>
    <xf numFmtId="0" fontId="66" fillId="0" borderId="508" applyNumberFormat="0" applyFill="0" applyAlignment="0" applyProtection="0"/>
    <xf numFmtId="0" fontId="35" fillId="0" borderId="516" applyNumberFormat="0" applyFill="0" applyAlignment="0" applyProtection="0"/>
    <xf numFmtId="4" fontId="33" fillId="34" borderId="518">
      <alignment horizontal="right" vertical="center"/>
    </xf>
    <xf numFmtId="0" fontId="63" fillId="56" borderId="539" applyNumberFormat="0" applyAlignment="0" applyProtection="0"/>
    <xf numFmtId="0" fontId="47" fillId="56" borderId="507" applyNumberFormat="0" applyAlignment="0" applyProtection="0"/>
    <xf numFmtId="4" fontId="37" fillId="32" borderId="516">
      <alignment horizontal="right" vertical="center"/>
    </xf>
    <xf numFmtId="4" fontId="33" fillId="34" borderId="516">
      <alignment horizontal="right" vertical="center"/>
    </xf>
    <xf numFmtId="4" fontId="33" fillId="34" borderId="518">
      <alignment horizontal="right" vertical="center"/>
    </xf>
    <xf numFmtId="0" fontId="59" fillId="43" borderId="507" applyNumberFormat="0" applyAlignment="0" applyProtection="0"/>
    <xf numFmtId="0" fontId="63" fillId="56" borderId="514" applyNumberFormat="0" applyAlignment="0" applyProtection="0"/>
    <xf numFmtId="0" fontId="66" fillId="0" borderId="508" applyNumberFormat="0" applyFill="0" applyAlignment="0" applyProtection="0"/>
    <xf numFmtId="0" fontId="44" fillId="56" borderId="547" applyNumberFormat="0" applyAlignment="0" applyProtection="0"/>
    <xf numFmtId="0" fontId="44" fillId="56" borderId="514" applyNumberFormat="0" applyAlignment="0" applyProtection="0"/>
    <xf numFmtId="0" fontId="46" fillId="56" borderId="507" applyNumberFormat="0" applyAlignment="0" applyProtection="0"/>
    <xf numFmtId="0" fontId="51" fillId="0" borderId="508" applyNumberFormat="0" applyFill="0" applyAlignment="0" applyProtection="0"/>
    <xf numFmtId="49" fontId="35" fillId="0" borderId="510" applyNumberFormat="0" applyFont="0" applyFill="0" applyBorder="0" applyProtection="0">
      <alignment horizontal="left" vertical="center" indent="2"/>
    </xf>
    <xf numFmtId="0" fontId="33" fillId="32" borderId="510">
      <alignment horizontal="right" vertical="center"/>
    </xf>
    <xf numFmtId="4" fontId="33" fillId="32" borderId="510">
      <alignment horizontal="right" vertical="center"/>
    </xf>
    <xf numFmtId="0" fontId="37" fillId="32" borderId="510">
      <alignment horizontal="right" vertical="center"/>
    </xf>
    <xf numFmtId="4" fontId="37" fillId="32" borderId="510">
      <alignment horizontal="right" vertical="center"/>
    </xf>
    <xf numFmtId="0" fontId="33" fillId="34" borderId="510">
      <alignment horizontal="right" vertical="center"/>
    </xf>
    <xf numFmtId="4" fontId="33" fillId="34" borderId="510">
      <alignment horizontal="right" vertical="center"/>
    </xf>
    <xf numFmtId="0" fontId="33" fillId="34" borderId="510">
      <alignment horizontal="right" vertical="center"/>
    </xf>
    <xf numFmtId="4" fontId="33" fillId="34" borderId="510">
      <alignment horizontal="right" vertical="center"/>
    </xf>
    <xf numFmtId="0" fontId="50" fillId="43" borderId="507" applyNumberFormat="0" applyAlignment="0" applyProtection="0"/>
    <xf numFmtId="0" fontId="35" fillId="0" borderId="510">
      <alignment horizontal="right" vertical="center"/>
    </xf>
    <xf numFmtId="4" fontId="35" fillId="0" borderId="510">
      <alignment horizontal="right" vertical="center"/>
    </xf>
    <xf numFmtId="4" fontId="35" fillId="0" borderId="510" applyFill="0" applyBorder="0" applyProtection="0">
      <alignment horizontal="right" vertical="center"/>
    </xf>
    <xf numFmtId="49" fontId="34" fillId="0" borderId="510" applyNumberFormat="0" applyFill="0" applyBorder="0" applyProtection="0">
      <alignment horizontal="left" vertical="center"/>
    </xf>
    <xf numFmtId="0" fontId="35" fillId="0" borderId="510" applyNumberFormat="0" applyFill="0" applyAlignment="0" applyProtection="0"/>
    <xf numFmtId="173" fontId="35" fillId="60" borderId="510" applyNumberFormat="0" applyFont="0" applyBorder="0" applyAlignment="0" applyProtection="0">
      <alignment horizontal="right" vertical="center"/>
    </xf>
    <xf numFmtId="0" fontId="35" fillId="33" borderId="510"/>
    <xf numFmtId="4" fontId="35" fillId="33" borderId="510"/>
    <xf numFmtId="4" fontId="33" fillId="34" borderId="510">
      <alignment horizontal="right" vertical="center"/>
    </xf>
    <xf numFmtId="0" fontId="35" fillId="33" borderId="510"/>
    <xf numFmtId="0" fontId="46" fillId="56" borderId="507" applyNumberFormat="0" applyAlignment="0" applyProtection="0"/>
    <xf numFmtId="0" fontId="33" fillId="32" borderId="510">
      <alignment horizontal="right" vertical="center"/>
    </xf>
    <xf numFmtId="0" fontId="35" fillId="0" borderId="510">
      <alignment horizontal="right" vertical="center"/>
    </xf>
    <xf numFmtId="0" fontId="66" fillId="0" borderId="508" applyNumberFormat="0" applyFill="0" applyAlignment="0" applyProtection="0"/>
    <xf numFmtId="0" fontId="35" fillId="32" borderId="511">
      <alignment horizontal="left" vertical="center"/>
    </xf>
    <xf numFmtId="0" fontId="59" fillId="43" borderId="507" applyNumberFormat="0" applyAlignment="0" applyProtection="0"/>
    <xf numFmtId="173" fontId="35" fillId="60" borderId="510" applyNumberFormat="0" applyFont="0" applyBorder="0" applyAlignment="0" applyProtection="0">
      <alignment horizontal="right" vertical="center"/>
    </xf>
    <xf numFmtId="0" fontId="41" fillId="59" borderId="509" applyNumberFormat="0" applyFont="0" applyAlignment="0" applyProtection="0"/>
    <xf numFmtId="0" fontId="35" fillId="0" borderId="513">
      <alignment horizontal="left" vertical="center" wrapText="1" indent="2"/>
    </xf>
    <xf numFmtId="4" fontId="35" fillId="33" borderId="510"/>
    <xf numFmtId="49" fontId="34" fillId="0" borderId="510" applyNumberFormat="0" applyFill="0" applyBorder="0" applyProtection="0">
      <alignment horizontal="left" vertical="center"/>
    </xf>
    <xf numFmtId="0" fontId="35" fillId="0" borderId="510">
      <alignment horizontal="right" vertical="center"/>
    </xf>
    <xf numFmtId="4" fontId="33" fillId="34" borderId="512">
      <alignment horizontal="right" vertical="center"/>
    </xf>
    <xf numFmtId="4" fontId="33" fillId="34" borderId="510">
      <alignment horizontal="right" vertical="center"/>
    </xf>
    <xf numFmtId="4" fontId="33" fillId="34" borderId="510">
      <alignment horizontal="right" vertical="center"/>
    </xf>
    <xf numFmtId="0" fontId="37" fillId="32" borderId="510">
      <alignment horizontal="right" vertical="center"/>
    </xf>
    <xf numFmtId="0" fontId="33" fillId="32" borderId="510">
      <alignment horizontal="right" vertical="center"/>
    </xf>
    <xf numFmtId="49" fontId="35" fillId="0" borderId="510" applyNumberFormat="0" applyFont="0" applyFill="0" applyBorder="0" applyProtection="0">
      <alignment horizontal="left" vertical="center" indent="2"/>
    </xf>
    <xf numFmtId="0" fontId="59" fillId="43" borderId="507" applyNumberFormat="0" applyAlignment="0" applyProtection="0"/>
    <xf numFmtId="0" fontId="44" fillId="56" borderId="514" applyNumberFormat="0" applyAlignment="0" applyProtection="0"/>
    <xf numFmtId="49" fontId="35" fillId="0" borderId="510" applyNumberFormat="0" applyFont="0" applyFill="0" applyBorder="0" applyProtection="0">
      <alignment horizontal="left" vertical="center" indent="2"/>
    </xf>
    <xf numFmtId="0" fontId="50" fillId="43" borderId="507" applyNumberFormat="0" applyAlignment="0" applyProtection="0"/>
    <xf numFmtId="4" fontId="35" fillId="0" borderId="510" applyFill="0" applyBorder="0" applyProtection="0">
      <alignment horizontal="right" vertical="center"/>
    </xf>
    <xf numFmtId="0" fontId="47" fillId="56" borderId="507" applyNumberFormat="0" applyAlignment="0" applyProtection="0"/>
    <xf numFmtId="0" fontId="66" fillId="0" borderId="508" applyNumberFormat="0" applyFill="0" applyAlignment="0" applyProtection="0"/>
    <xf numFmtId="0" fontId="63" fillId="56" borderId="514" applyNumberFormat="0" applyAlignment="0" applyProtection="0"/>
    <xf numFmtId="0" fontId="35" fillId="0" borderId="510" applyNumberFormat="0" applyFill="0" applyAlignment="0" applyProtection="0"/>
    <xf numFmtId="4" fontId="35" fillId="0" borderId="510">
      <alignment horizontal="right" vertical="center"/>
    </xf>
    <xf numFmtId="0" fontId="35" fillId="0" borderId="510">
      <alignment horizontal="right" vertical="center"/>
    </xf>
    <xf numFmtId="0" fontId="59" fillId="43" borderId="507" applyNumberFormat="0" applyAlignment="0" applyProtection="0"/>
    <xf numFmtId="0" fontId="44" fillId="56" borderId="514" applyNumberFormat="0" applyAlignment="0" applyProtection="0"/>
    <xf numFmtId="0" fontId="46" fillId="56" borderId="507" applyNumberFormat="0" applyAlignment="0" applyProtection="0"/>
    <xf numFmtId="0" fontId="35" fillId="34" borderId="513">
      <alignment horizontal="left" vertical="center" wrapText="1" indent="2"/>
    </xf>
    <xf numFmtId="0" fontId="47" fillId="56" borderId="507" applyNumberFormat="0" applyAlignment="0" applyProtection="0"/>
    <xf numFmtId="0" fontId="47" fillId="56" borderId="507" applyNumberFormat="0" applyAlignment="0" applyProtection="0"/>
    <xf numFmtId="4" fontId="33" fillId="34" borderId="511">
      <alignment horizontal="right" vertical="center"/>
    </xf>
    <xf numFmtId="0" fontId="33" fillId="34" borderId="511">
      <alignment horizontal="right" vertical="center"/>
    </xf>
    <xf numFmtId="0" fontId="33" fillId="34" borderId="510">
      <alignment horizontal="right" vertical="center"/>
    </xf>
    <xf numFmtId="4" fontId="37" fillId="32" borderId="510">
      <alignment horizontal="right" vertical="center"/>
    </xf>
    <xf numFmtId="0" fontId="50" fillId="43" borderId="507" applyNumberFormat="0" applyAlignment="0" applyProtection="0"/>
    <xf numFmtId="0" fontId="51" fillId="0" borderId="508" applyNumberFormat="0" applyFill="0" applyAlignment="0" applyProtection="0"/>
    <xf numFmtId="0" fontId="66" fillId="0" borderId="508" applyNumberFormat="0" applyFill="0" applyAlignment="0" applyProtection="0"/>
    <xf numFmtId="0" fontId="41" fillId="59" borderId="509" applyNumberFormat="0" applyFont="0" applyAlignment="0" applyProtection="0"/>
    <xf numFmtId="0" fontId="59" fillId="43" borderId="507" applyNumberFormat="0" applyAlignment="0" applyProtection="0"/>
    <xf numFmtId="49" fontId="34" fillId="0" borderId="510" applyNumberFormat="0" applyFill="0" applyBorder="0" applyProtection="0">
      <alignment horizontal="left" vertical="center"/>
    </xf>
    <xf numFmtId="0" fontId="35" fillId="34" borderId="513">
      <alignment horizontal="left" vertical="center" wrapText="1" indent="2"/>
    </xf>
    <xf numFmtId="0" fontId="47" fillId="56" borderId="507" applyNumberFormat="0" applyAlignment="0" applyProtection="0"/>
    <xf numFmtId="0" fontId="35" fillId="0" borderId="513">
      <alignment horizontal="left" vertical="center" wrapText="1" indent="2"/>
    </xf>
    <xf numFmtId="0" fontId="41" fillId="59" borderId="509" applyNumberFormat="0" applyFont="0" applyAlignment="0" applyProtection="0"/>
    <xf numFmtId="0" fontId="5" fillId="59" borderId="509" applyNumberFormat="0" applyFont="0" applyAlignment="0" applyProtection="0"/>
    <xf numFmtId="0" fontId="63" fillId="56" borderId="514" applyNumberFormat="0" applyAlignment="0" applyProtection="0"/>
    <xf numFmtId="0" fontId="66" fillId="0" borderId="508" applyNumberFormat="0" applyFill="0" applyAlignment="0" applyProtection="0"/>
    <xf numFmtId="4" fontId="35" fillId="33" borderId="510"/>
    <xf numFmtId="0" fontId="33" fillId="34" borderId="510">
      <alignment horizontal="right" vertical="center"/>
    </xf>
    <xf numFmtId="0" fontId="66" fillId="0" borderId="508" applyNumberFormat="0" applyFill="0" applyAlignment="0" applyProtection="0"/>
    <xf numFmtId="4" fontId="33" fillId="34" borderId="512">
      <alignment horizontal="right" vertical="center"/>
    </xf>
    <xf numFmtId="0" fontId="46" fillId="56" borderId="507" applyNumberFormat="0" applyAlignment="0" applyProtection="0"/>
    <xf numFmtId="0" fontId="33" fillId="34" borderId="511">
      <alignment horizontal="right" vertical="center"/>
    </xf>
    <xf numFmtId="0" fontId="47" fillId="56" borderId="507" applyNumberFormat="0" applyAlignment="0" applyProtection="0"/>
    <xf numFmtId="0" fontId="51" fillId="0" borderId="508" applyNumberFormat="0" applyFill="0" applyAlignment="0" applyProtection="0"/>
    <xf numFmtId="0" fontId="41" fillId="59" borderId="509" applyNumberFormat="0" applyFont="0" applyAlignment="0" applyProtection="0"/>
    <xf numFmtId="4" fontId="33" fillId="34" borderId="511">
      <alignment horizontal="right" vertical="center"/>
    </xf>
    <xf numFmtId="0" fontId="35" fillId="34" borderId="513">
      <alignment horizontal="left" vertical="center" wrapText="1" indent="2"/>
    </xf>
    <xf numFmtId="0" fontId="35" fillId="33" borderId="510"/>
    <xf numFmtId="173" fontId="35" fillId="60" borderId="510" applyNumberFormat="0" applyFont="0" applyBorder="0" applyAlignment="0" applyProtection="0">
      <alignment horizontal="right" vertical="center"/>
    </xf>
    <xf numFmtId="0" fontId="35" fillId="0" borderId="510" applyNumberFormat="0" applyFill="0" applyAlignment="0" applyProtection="0"/>
    <xf numFmtId="4" fontId="35" fillId="0" borderId="510" applyFill="0" applyBorder="0" applyProtection="0">
      <alignment horizontal="right" vertical="center"/>
    </xf>
    <xf numFmtId="4" fontId="33" fillId="32" borderId="510">
      <alignment horizontal="right" vertical="center"/>
    </xf>
    <xf numFmtId="0" fontId="51" fillId="0" borderId="508" applyNumberFormat="0" applyFill="0" applyAlignment="0" applyProtection="0"/>
    <xf numFmtId="49" fontId="34" fillId="0" borderId="510" applyNumberFormat="0" applyFill="0" applyBorder="0" applyProtection="0">
      <alignment horizontal="left" vertical="center"/>
    </xf>
    <xf numFmtId="49" fontId="35" fillId="0" borderId="511" applyNumberFormat="0" applyFont="0" applyFill="0" applyBorder="0" applyProtection="0">
      <alignment horizontal="left" vertical="center" indent="5"/>
    </xf>
    <xf numFmtId="0" fontId="35" fillId="32" borderId="511">
      <alignment horizontal="left" vertical="center"/>
    </xf>
    <xf numFmtId="0" fontId="47" fillId="56" borderId="507" applyNumberFormat="0" applyAlignment="0" applyProtection="0"/>
    <xf numFmtId="4" fontId="33" fillId="34" borderId="512">
      <alignment horizontal="right" vertical="center"/>
    </xf>
    <xf numFmtId="0" fontId="59" fillId="43" borderId="507" applyNumberFormat="0" applyAlignment="0" applyProtection="0"/>
    <xf numFmtId="0" fontId="59" fillId="43" borderId="507" applyNumberFormat="0" applyAlignment="0" applyProtection="0"/>
    <xf numFmtId="0" fontId="41" fillId="59" borderId="509" applyNumberFormat="0" applyFont="0" applyAlignment="0" applyProtection="0"/>
    <xf numFmtId="0" fontId="63" fillId="56" borderId="514" applyNumberFormat="0" applyAlignment="0" applyProtection="0"/>
    <xf numFmtId="0" fontId="66" fillId="0" borderId="508" applyNumberFormat="0" applyFill="0" applyAlignment="0" applyProtection="0"/>
    <xf numFmtId="0" fontId="33" fillId="34" borderId="510">
      <alignment horizontal="right" vertical="center"/>
    </xf>
    <xf numFmtId="0" fontId="5" fillId="59" borderId="509" applyNumberFormat="0" applyFont="0" applyAlignment="0" applyProtection="0"/>
    <xf numFmtId="4" fontId="35" fillId="0" borderId="510">
      <alignment horizontal="right" vertical="center"/>
    </xf>
    <xf numFmtId="0" fontId="66" fillId="0" borderId="508" applyNumberFormat="0" applyFill="0" applyAlignment="0" applyProtection="0"/>
    <xf numFmtId="0" fontId="33" fillId="34" borderId="510">
      <alignment horizontal="right" vertical="center"/>
    </xf>
    <xf numFmtId="0" fontId="33" fillId="34" borderId="510">
      <alignment horizontal="right" vertical="center"/>
    </xf>
    <xf numFmtId="4" fontId="37" fillId="32" borderId="510">
      <alignment horizontal="right" vertical="center"/>
    </xf>
    <xf numFmtId="0" fontId="33" fillId="32" borderId="510">
      <alignment horizontal="right" vertical="center"/>
    </xf>
    <xf numFmtId="4" fontId="33" fillId="32" borderId="510">
      <alignment horizontal="right" vertical="center"/>
    </xf>
    <xf numFmtId="0" fontId="37" fillId="32" borderId="510">
      <alignment horizontal="right" vertical="center"/>
    </xf>
    <xf numFmtId="4" fontId="37" fillId="32" borderId="510">
      <alignment horizontal="right" vertical="center"/>
    </xf>
    <xf numFmtId="0" fontId="33" fillId="34" borderId="510">
      <alignment horizontal="right" vertical="center"/>
    </xf>
    <xf numFmtId="4" fontId="33" fillId="34" borderId="510">
      <alignment horizontal="right" vertical="center"/>
    </xf>
    <xf numFmtId="0" fontId="33" fillId="34" borderId="510">
      <alignment horizontal="right" vertical="center"/>
    </xf>
    <xf numFmtId="4" fontId="33" fillId="34" borderId="510">
      <alignment horizontal="right" vertical="center"/>
    </xf>
    <xf numFmtId="0" fontId="33" fillId="34" borderId="511">
      <alignment horizontal="right" vertical="center"/>
    </xf>
    <xf numFmtId="4" fontId="33" fillId="34" borderId="511">
      <alignment horizontal="right" vertical="center"/>
    </xf>
    <xf numFmtId="0" fontId="33" fillId="34" borderId="512">
      <alignment horizontal="right" vertical="center"/>
    </xf>
    <xf numFmtId="4" fontId="33" fillId="34" borderId="512">
      <alignment horizontal="right" vertical="center"/>
    </xf>
    <xf numFmtId="0" fontId="47" fillId="56" borderId="507" applyNumberFormat="0" applyAlignment="0" applyProtection="0"/>
    <xf numFmtId="0" fontId="35" fillId="34" borderId="513">
      <alignment horizontal="left" vertical="center" wrapText="1" indent="2"/>
    </xf>
    <xf numFmtId="0" fontId="35" fillId="0" borderId="513">
      <alignment horizontal="left" vertical="center" wrapText="1" indent="2"/>
    </xf>
    <xf numFmtId="0" fontId="35" fillId="32" borderId="511">
      <alignment horizontal="left" vertical="center"/>
    </xf>
    <xf numFmtId="0" fontId="59" fillId="43" borderId="507" applyNumberFormat="0" applyAlignment="0" applyProtection="0"/>
    <xf numFmtId="0" fontId="35" fillId="0" borderId="510">
      <alignment horizontal="right" vertical="center"/>
    </xf>
    <xf numFmtId="4" fontId="35" fillId="0" borderId="510">
      <alignment horizontal="right" vertical="center"/>
    </xf>
    <xf numFmtId="0" fontId="35" fillId="0" borderId="510" applyNumberFormat="0" applyFill="0" applyAlignment="0" applyProtection="0"/>
    <xf numFmtId="0" fontId="63" fillId="56" borderId="514" applyNumberFormat="0" applyAlignment="0" applyProtection="0"/>
    <xf numFmtId="173" fontId="35" fillId="60" borderId="510" applyNumberFormat="0" applyFont="0" applyBorder="0" applyAlignment="0" applyProtection="0">
      <alignment horizontal="right" vertical="center"/>
    </xf>
    <xf numFmtId="0" fontId="35" fillId="33" borderId="510"/>
    <xf numFmtId="4" fontId="35" fillId="33" borderId="510"/>
    <xf numFmtId="0" fontId="66" fillId="0" borderId="508" applyNumberFormat="0" applyFill="0" applyAlignment="0" applyProtection="0"/>
    <xf numFmtId="0" fontId="5" fillId="59" borderId="509" applyNumberFormat="0" applyFont="0" applyAlignment="0" applyProtection="0"/>
    <xf numFmtId="0" fontId="41" fillId="59" borderId="509" applyNumberFormat="0" applyFont="0" applyAlignment="0" applyProtection="0"/>
    <xf numFmtId="0" fontId="35" fillId="0" borderId="510" applyNumberFormat="0" applyFill="0" applyAlignment="0" applyProtection="0"/>
    <xf numFmtId="0" fontId="51" fillId="0" borderId="508" applyNumberFormat="0" applyFill="0" applyAlignment="0" applyProtection="0"/>
    <xf numFmtId="0" fontId="66" fillId="0" borderId="508" applyNumberFormat="0" applyFill="0" applyAlignment="0" applyProtection="0"/>
    <xf numFmtId="0" fontId="50" fillId="43" borderId="507" applyNumberFormat="0" applyAlignment="0" applyProtection="0"/>
    <xf numFmtId="0" fontId="47" fillId="56" borderId="507" applyNumberFormat="0" applyAlignment="0" applyProtection="0"/>
    <xf numFmtId="4" fontId="37" fillId="32" borderId="510">
      <alignment horizontal="right" vertical="center"/>
    </xf>
    <xf numFmtId="0" fontId="33" fillId="32" borderId="510">
      <alignment horizontal="right" vertical="center"/>
    </xf>
    <xf numFmtId="173" fontId="35" fillId="60" borderId="510" applyNumberFormat="0" applyFont="0" applyBorder="0" applyAlignment="0" applyProtection="0">
      <alignment horizontal="right" vertical="center"/>
    </xf>
    <xf numFmtId="0" fontId="51" fillId="0" borderId="508" applyNumberFormat="0" applyFill="0" applyAlignment="0" applyProtection="0"/>
    <xf numFmtId="49" fontId="35" fillId="0" borderId="510" applyNumberFormat="0" applyFont="0" applyFill="0" applyBorder="0" applyProtection="0">
      <alignment horizontal="left" vertical="center" indent="2"/>
    </xf>
    <xf numFmtId="49" fontId="35" fillId="0" borderId="511" applyNumberFormat="0" applyFont="0" applyFill="0" applyBorder="0" applyProtection="0">
      <alignment horizontal="left" vertical="center" indent="5"/>
    </xf>
    <xf numFmtId="49" fontId="35" fillId="0" borderId="510" applyNumberFormat="0" applyFont="0" applyFill="0" applyBorder="0" applyProtection="0">
      <alignment horizontal="left" vertical="center" indent="2"/>
    </xf>
    <xf numFmtId="4" fontId="35" fillId="0" borderId="510" applyFill="0" applyBorder="0" applyProtection="0">
      <alignment horizontal="right" vertical="center"/>
    </xf>
    <xf numFmtId="49" fontId="34" fillId="0" borderId="510" applyNumberFormat="0" applyFill="0" applyBorder="0" applyProtection="0">
      <alignment horizontal="left" vertical="center"/>
    </xf>
    <xf numFmtId="0" fontId="35" fillId="0" borderId="513">
      <alignment horizontal="left" vertical="center" wrapText="1" indent="2"/>
    </xf>
    <xf numFmtId="0" fontId="63" fillId="56" borderId="514" applyNumberFormat="0" applyAlignment="0" applyProtection="0"/>
    <xf numFmtId="0" fontId="33" fillId="34" borderId="512">
      <alignment horizontal="right" vertical="center"/>
    </xf>
    <xf numFmtId="0" fontId="50" fillId="43" borderId="507" applyNumberFormat="0" applyAlignment="0" applyProtection="0"/>
    <xf numFmtId="0" fontId="33" fillId="34" borderId="512">
      <alignment horizontal="right" vertical="center"/>
    </xf>
    <xf numFmtId="4" fontId="33" fillId="34" borderId="510">
      <alignment horizontal="right" vertical="center"/>
    </xf>
    <xf numFmtId="0" fontId="33" fillId="34" borderId="510">
      <alignment horizontal="right" vertical="center"/>
    </xf>
    <xf numFmtId="0" fontId="44" fillId="56" borderId="514" applyNumberFormat="0" applyAlignment="0" applyProtection="0"/>
    <xf numFmtId="0" fontId="46" fillId="56" borderId="507" applyNumberFormat="0" applyAlignment="0" applyProtection="0"/>
    <xf numFmtId="0" fontId="51" fillId="0" borderId="508" applyNumberFormat="0" applyFill="0" applyAlignment="0" applyProtection="0"/>
    <xf numFmtId="0" fontId="35" fillId="33" borderId="510"/>
    <xf numFmtId="4" fontId="35" fillId="33" borderId="510"/>
    <xf numFmtId="4" fontId="33" fillId="34" borderId="510">
      <alignment horizontal="right" vertical="center"/>
    </xf>
    <xf numFmtId="0" fontId="37" fillId="32" borderId="510">
      <alignment horizontal="right" vertical="center"/>
    </xf>
    <xf numFmtId="0" fontId="50" fillId="43" borderId="507" applyNumberFormat="0" applyAlignment="0" applyProtection="0"/>
    <xf numFmtId="0" fontId="47" fillId="56" borderId="507" applyNumberFormat="0" applyAlignment="0" applyProtection="0"/>
    <xf numFmtId="4" fontId="35" fillId="0" borderId="510">
      <alignment horizontal="right" vertical="center"/>
    </xf>
    <xf numFmtId="0" fontId="35" fillId="34" borderId="513">
      <alignment horizontal="left" vertical="center" wrapText="1" indent="2"/>
    </xf>
    <xf numFmtId="0" fontId="35" fillId="0" borderId="513">
      <alignment horizontal="left" vertical="center" wrapText="1" indent="2"/>
    </xf>
    <xf numFmtId="0" fontId="63" fillId="56" borderId="514" applyNumberFormat="0" applyAlignment="0" applyProtection="0"/>
    <xf numFmtId="0" fontId="59" fillId="43" borderId="507" applyNumberFormat="0" applyAlignment="0" applyProtection="0"/>
    <xf numFmtId="0" fontId="46" fillId="56" borderId="507" applyNumberFormat="0" applyAlignment="0" applyProtection="0"/>
    <xf numFmtId="0" fontId="44" fillId="56" borderId="514" applyNumberFormat="0" applyAlignment="0" applyProtection="0"/>
    <xf numFmtId="0" fontId="33" fillId="34" borderId="512">
      <alignment horizontal="right" vertical="center"/>
    </xf>
    <xf numFmtId="0" fontId="37" fillId="32" borderId="510">
      <alignment horizontal="right" vertical="center"/>
    </xf>
    <xf numFmtId="4" fontId="33" fillId="32" borderId="510">
      <alignment horizontal="right" vertical="center"/>
    </xf>
    <xf numFmtId="4" fontId="33" fillId="34" borderId="510">
      <alignment horizontal="right" vertical="center"/>
    </xf>
    <xf numFmtId="49" fontId="35" fillId="0" borderId="511" applyNumberFormat="0" applyFont="0" applyFill="0" applyBorder="0" applyProtection="0">
      <alignment horizontal="left" vertical="center" indent="5"/>
    </xf>
    <xf numFmtId="4" fontId="35" fillId="0" borderId="510" applyFill="0" applyBorder="0" applyProtection="0">
      <alignment horizontal="right" vertical="center"/>
    </xf>
    <xf numFmtId="4" fontId="33" fillId="32" borderId="510">
      <alignment horizontal="right" vertical="center"/>
    </xf>
    <xf numFmtId="0" fontId="59" fillId="43" borderId="507" applyNumberFormat="0" applyAlignment="0" applyProtection="0"/>
    <xf numFmtId="0" fontId="50" fillId="43" borderId="507" applyNumberFormat="0" applyAlignment="0" applyProtection="0"/>
    <xf numFmtId="0" fontId="46" fillId="56" borderId="507" applyNumberFormat="0" applyAlignment="0" applyProtection="0"/>
    <xf numFmtId="0" fontId="35" fillId="34" borderId="513">
      <alignment horizontal="left" vertical="center" wrapText="1" indent="2"/>
    </xf>
    <xf numFmtId="0" fontId="35" fillId="0" borderId="513">
      <alignment horizontal="left" vertical="center" wrapText="1" indent="2"/>
    </xf>
    <xf numFmtId="0" fontId="35" fillId="34" borderId="513">
      <alignment horizontal="left" vertical="center" wrapText="1" indent="2"/>
    </xf>
    <xf numFmtId="0" fontId="47" fillId="56" borderId="521" applyNumberFormat="0" applyAlignment="0" applyProtection="0"/>
    <xf numFmtId="4" fontId="33" fillId="32" borderId="516">
      <alignment horizontal="right" vertical="center"/>
    </xf>
    <xf numFmtId="0" fontId="37" fillId="32" borderId="516">
      <alignment horizontal="right" vertical="center"/>
    </xf>
    <xf numFmtId="0" fontId="59" fillId="43" borderId="548" applyNumberFormat="0" applyAlignment="0" applyProtection="0"/>
    <xf numFmtId="0" fontId="27" fillId="17" borderId="0" applyNumberFormat="0" applyBorder="0" applyAlignment="0" applyProtection="0"/>
    <xf numFmtId="0" fontId="66" fillId="0" borderId="549" applyNumberFormat="0" applyFill="0" applyAlignment="0" applyProtection="0"/>
    <xf numFmtId="0" fontId="41" fillId="59" borderId="557" applyNumberFormat="0" applyFont="0" applyAlignment="0" applyProtection="0"/>
    <xf numFmtId="0" fontId="47" fillId="56" borderId="548" applyNumberFormat="0" applyAlignment="0" applyProtection="0"/>
    <xf numFmtId="0" fontId="5" fillId="59" borderId="550" applyNumberFormat="0" applyFont="0" applyAlignment="0" applyProtection="0"/>
    <xf numFmtId="0" fontId="33" fillId="32" borderId="551">
      <alignment horizontal="right" vertical="center"/>
    </xf>
    <xf numFmtId="0" fontId="35" fillId="33" borderId="551"/>
    <xf numFmtId="0" fontId="27" fillId="20" borderId="0" applyNumberFormat="0" applyBorder="0" applyAlignment="0" applyProtection="0"/>
    <xf numFmtId="173" fontId="35" fillId="60" borderId="551" applyNumberFormat="0" applyFont="0" applyBorder="0" applyAlignment="0" applyProtection="0">
      <alignment horizontal="right" vertical="center"/>
    </xf>
    <xf numFmtId="4" fontId="35" fillId="33" borderId="526"/>
    <xf numFmtId="4" fontId="33" fillId="32" borderId="543">
      <alignment horizontal="right" vertical="center"/>
    </xf>
    <xf numFmtId="0" fontId="33" fillId="34" borderId="551">
      <alignment horizontal="right" vertical="center"/>
    </xf>
    <xf numFmtId="0" fontId="66" fillId="0" borderId="556" applyNumberFormat="0" applyFill="0" applyAlignment="0" applyProtection="0"/>
    <xf numFmtId="0" fontId="35" fillId="34" borderId="535">
      <alignment horizontal="left" vertical="center" wrapText="1" indent="2"/>
    </xf>
    <xf numFmtId="0" fontId="33" fillId="34" borderId="553">
      <alignment horizontal="right" vertical="center"/>
    </xf>
    <xf numFmtId="0" fontId="51" fillId="0" borderId="524" applyNumberFormat="0" applyFill="0" applyAlignment="0" applyProtection="0"/>
    <xf numFmtId="0" fontId="33" fillId="34" borderId="551">
      <alignment horizontal="right" vertical="center"/>
    </xf>
    <xf numFmtId="0" fontId="31" fillId="0" borderId="0" applyNumberFormat="0" applyFill="0" applyBorder="0" applyAlignment="0" applyProtection="0"/>
    <xf numFmtId="0" fontId="31" fillId="0" borderId="0" applyNumberFormat="0" applyFill="0" applyBorder="0" applyAlignment="0" applyProtection="0"/>
    <xf numFmtId="173" fontId="35" fillId="60" borderId="551" applyNumberFormat="0" applyFont="0" applyBorder="0" applyAlignment="0" applyProtection="0">
      <alignment horizontal="right" vertical="center"/>
    </xf>
    <xf numFmtId="0" fontId="31" fillId="0" borderId="0" applyNumberFormat="0" applyFill="0" applyBorder="0" applyAlignment="0" applyProtection="0"/>
    <xf numFmtId="49" fontId="35" fillId="0" borderId="551" applyNumberFormat="0" applyFont="0" applyFill="0" applyBorder="0" applyProtection="0">
      <alignment horizontal="left" vertical="center" indent="2"/>
    </xf>
    <xf numFmtId="0" fontId="51" fillId="0" borderId="549" applyNumberFormat="0" applyFill="0" applyAlignment="0" applyProtection="0"/>
    <xf numFmtId="0" fontId="41" fillId="59" borderId="550" applyNumberFormat="0" applyFont="0" applyAlignment="0" applyProtection="0"/>
    <xf numFmtId="0" fontId="5" fillId="59" borderId="550" applyNumberFormat="0" applyFont="0" applyAlignment="0" applyProtection="0"/>
    <xf numFmtId="0" fontId="35" fillId="0" borderId="551">
      <alignment horizontal="right" vertical="center"/>
    </xf>
    <xf numFmtId="0" fontId="66" fillId="0" borderId="549" applyNumberFormat="0" applyFill="0" applyAlignment="0" applyProtection="0"/>
    <xf numFmtId="0" fontId="59" fillId="43" borderId="548" applyNumberFormat="0" applyAlignment="0" applyProtection="0"/>
    <xf numFmtId="0" fontId="41" fillId="59" borderId="515" applyNumberFormat="0" applyFont="0" applyAlignment="0" applyProtection="0"/>
    <xf numFmtId="4" fontId="35" fillId="33" borderId="551"/>
    <xf numFmtId="49" fontId="35" fillId="0" borderId="551" applyNumberFormat="0" applyFont="0" applyFill="0" applyBorder="0" applyProtection="0">
      <alignment horizontal="left" vertical="center" indent="2"/>
    </xf>
    <xf numFmtId="0" fontId="5" fillId="59" borderId="515" applyNumberFormat="0" applyFont="0" applyAlignment="0" applyProtection="0"/>
    <xf numFmtId="0" fontId="2" fillId="0" borderId="15" applyNumberFormat="0" applyFill="0" applyAlignment="0" applyProtection="0"/>
    <xf numFmtId="0" fontId="37" fillId="32" borderId="551">
      <alignment horizontal="right" vertical="center"/>
    </xf>
    <xf numFmtId="49" fontId="35" fillId="0" borderId="552" applyNumberFormat="0" applyFont="0" applyFill="0" applyBorder="0" applyProtection="0">
      <alignment horizontal="left" vertical="center" indent="5"/>
    </xf>
    <xf numFmtId="0" fontId="27" fillId="18" borderId="0" applyNumberFormat="0" applyBorder="0" applyAlignment="0" applyProtection="0"/>
    <xf numFmtId="0" fontId="50" fillId="43" borderId="548" applyNumberFormat="0" applyAlignment="0" applyProtection="0"/>
    <xf numFmtId="0" fontId="27" fillId="27" borderId="0" applyNumberFormat="0" applyBorder="0" applyAlignment="0" applyProtection="0"/>
    <xf numFmtId="0" fontId="59" fillId="43" borderId="521" applyNumberFormat="0" applyAlignment="0" applyProtection="0"/>
    <xf numFmtId="0" fontId="27" fillId="23" borderId="0" applyNumberFormat="0" applyBorder="0" applyAlignment="0" applyProtection="0"/>
    <xf numFmtId="0" fontId="35" fillId="34" borderId="519">
      <alignment horizontal="left" vertical="center" wrapText="1" indent="2"/>
    </xf>
    <xf numFmtId="4" fontId="37" fillId="32" borderId="516">
      <alignment horizontal="right" vertical="center"/>
    </xf>
    <xf numFmtId="0" fontId="46" fillId="56" borderId="555" applyNumberFormat="0" applyAlignment="0" applyProtection="0"/>
    <xf numFmtId="4" fontId="35" fillId="0" borderId="543">
      <alignment horizontal="right" vertical="center"/>
    </xf>
    <xf numFmtId="0" fontId="27" fillId="21" borderId="0" applyNumberFormat="0" applyBorder="0" applyAlignment="0" applyProtection="0"/>
    <xf numFmtId="0" fontId="33" fillId="34" borderId="533">
      <alignment horizontal="right" vertical="center"/>
    </xf>
    <xf numFmtId="0" fontId="12" fillId="25" borderId="0" applyNumberFormat="0" applyBorder="0" applyAlignment="0" applyProtection="0"/>
    <xf numFmtId="0" fontId="2" fillId="0" borderId="15" applyNumberFormat="0" applyFill="0" applyAlignment="0" applyProtection="0"/>
    <xf numFmtId="0" fontId="50" fillId="43" borderId="555" applyNumberFormat="0" applyAlignment="0" applyProtection="0"/>
    <xf numFmtId="4" fontId="35" fillId="0" borderId="543" applyFill="0" applyBorder="0" applyProtection="0">
      <alignment horizontal="right" vertical="center"/>
    </xf>
    <xf numFmtId="4" fontId="37" fillId="32" borderId="516">
      <alignment horizontal="right" vertical="center"/>
    </xf>
    <xf numFmtId="4" fontId="33" fillId="32" borderId="516">
      <alignment horizontal="right" vertical="center"/>
    </xf>
    <xf numFmtId="0" fontId="35" fillId="0" borderId="519">
      <alignment horizontal="left" vertical="center" wrapText="1" indent="2"/>
    </xf>
    <xf numFmtId="0" fontId="63" fillId="56" borderId="520" applyNumberFormat="0" applyAlignment="0" applyProtection="0"/>
    <xf numFmtId="0" fontId="35" fillId="0" borderId="516">
      <alignment horizontal="right" vertical="center"/>
    </xf>
    <xf numFmtId="0" fontId="66" fillId="0" borderId="522" applyNumberFormat="0" applyFill="0" applyAlignment="0" applyProtection="0"/>
    <xf numFmtId="49" fontId="34" fillId="0" borderId="516" applyNumberFormat="0" applyFill="0" applyBorder="0" applyProtection="0">
      <alignment horizontal="left" vertical="center"/>
    </xf>
    <xf numFmtId="4" fontId="35" fillId="33" borderId="516"/>
    <xf numFmtId="0" fontId="59" fillId="43" borderId="521" applyNumberFormat="0" applyAlignment="0" applyProtection="0"/>
    <xf numFmtId="0" fontId="35" fillId="32" borderId="552">
      <alignment horizontal="left" vertical="center"/>
    </xf>
    <xf numFmtId="0" fontId="35" fillId="33" borderId="543"/>
    <xf numFmtId="173" fontId="35" fillId="60" borderId="516" applyNumberFormat="0" applyFont="0" applyBorder="0" applyAlignment="0" applyProtection="0">
      <alignment horizontal="right" vertical="center"/>
    </xf>
    <xf numFmtId="0" fontId="47" fillId="56" borderId="521" applyNumberFormat="0" applyAlignment="0" applyProtection="0"/>
    <xf numFmtId="4" fontId="33" fillId="32" borderId="551">
      <alignment horizontal="right" vertical="center"/>
    </xf>
    <xf numFmtId="0" fontId="27" fillId="20" borderId="0" applyNumberFormat="0" applyBorder="0" applyAlignment="0" applyProtection="0"/>
    <xf numFmtId="0" fontId="35" fillId="33" borderId="551"/>
    <xf numFmtId="0" fontId="35" fillId="0" borderId="546">
      <alignment horizontal="left" vertical="center" wrapText="1" indent="2"/>
    </xf>
    <xf numFmtId="0" fontId="59" fillId="43" borderId="521" applyNumberFormat="0" applyAlignment="0" applyProtection="0"/>
    <xf numFmtId="0" fontId="44" fillId="56" borderId="520" applyNumberFormat="0" applyAlignment="0" applyProtection="0"/>
    <xf numFmtId="0" fontId="35" fillId="0" borderId="551" applyNumberFormat="0" applyFill="0" applyAlignment="0" applyProtection="0"/>
    <xf numFmtId="49" fontId="34" fillId="0" borderId="516" applyNumberFormat="0" applyFill="0" applyBorder="0" applyProtection="0">
      <alignment horizontal="left" vertical="center"/>
    </xf>
    <xf numFmtId="0" fontId="66" fillId="0" borderId="522" applyNumberFormat="0" applyFill="0" applyAlignment="0" applyProtection="0"/>
    <xf numFmtId="0" fontId="35" fillId="0" borderId="516">
      <alignment horizontal="right" vertical="center"/>
    </xf>
    <xf numFmtId="0" fontId="33" fillId="34" borderId="517">
      <alignment horizontal="right" vertical="center"/>
    </xf>
    <xf numFmtId="0" fontId="66" fillId="0" borderId="522" applyNumberFormat="0" applyFill="0" applyAlignment="0" applyProtection="0"/>
    <xf numFmtId="0" fontId="63" fillId="56" borderId="547" applyNumberFormat="0" applyAlignment="0" applyProtection="0"/>
    <xf numFmtId="4" fontId="35" fillId="33" borderId="558"/>
    <xf numFmtId="0" fontId="35" fillId="0" borderId="529">
      <alignment horizontal="left" vertical="center" wrapText="1" indent="2"/>
    </xf>
    <xf numFmtId="0" fontId="66" fillId="0" borderId="541" applyNumberFormat="0" applyFill="0" applyAlignment="0" applyProtection="0"/>
    <xf numFmtId="0" fontId="66" fillId="0" borderId="524" applyNumberFormat="0" applyFill="0" applyAlignment="0" applyProtection="0"/>
    <xf numFmtId="49" fontId="34" fillId="0" borderId="551" applyNumberFormat="0" applyFill="0" applyBorder="0" applyProtection="0">
      <alignment horizontal="left" vertical="center"/>
    </xf>
    <xf numFmtId="4" fontId="35" fillId="0" borderId="516" applyFill="0" applyBorder="0" applyProtection="0">
      <alignment horizontal="right" vertical="center"/>
    </xf>
    <xf numFmtId="4" fontId="33" fillId="34" borderId="551">
      <alignment horizontal="right" vertical="center"/>
    </xf>
    <xf numFmtId="4" fontId="35" fillId="33" borderId="551"/>
    <xf numFmtId="4" fontId="35" fillId="0" borderId="532" applyFill="0" applyBorder="0" applyProtection="0">
      <alignment horizontal="right" vertical="center"/>
    </xf>
    <xf numFmtId="0" fontId="46" fillId="56" borderId="540" applyNumberFormat="0" applyAlignment="0" applyProtection="0"/>
    <xf numFmtId="0" fontId="35" fillId="0" borderId="519">
      <alignment horizontal="left" vertical="center" wrapText="1" indent="2"/>
    </xf>
    <xf numFmtId="4" fontId="35" fillId="0" borderId="526" applyFill="0" applyBorder="0" applyProtection="0">
      <alignment horizontal="right" vertical="center"/>
    </xf>
    <xf numFmtId="0" fontId="66" fillId="0" borderId="522" applyNumberFormat="0" applyFill="0" applyAlignment="0" applyProtection="0"/>
    <xf numFmtId="0" fontId="44" fillId="56" borderId="520" applyNumberFormat="0" applyAlignment="0" applyProtection="0"/>
    <xf numFmtId="0" fontId="33" fillId="34" borderId="516">
      <alignment horizontal="right" vertical="center"/>
    </xf>
    <xf numFmtId="0" fontId="46" fillId="56" borderId="521" applyNumberFormat="0" applyAlignment="0" applyProtection="0"/>
    <xf numFmtId="0" fontId="35" fillId="0" borderId="526" applyNumberFormat="0" applyFill="0" applyAlignment="0" applyProtection="0"/>
    <xf numFmtId="0" fontId="35" fillId="32" borderId="517">
      <alignment horizontal="left" vertical="center"/>
    </xf>
    <xf numFmtId="0" fontId="63" fillId="56" borderId="547" applyNumberFormat="0" applyAlignment="0" applyProtection="0"/>
    <xf numFmtId="0" fontId="27" fillId="26" borderId="0" applyNumberFormat="0" applyBorder="0" applyAlignment="0" applyProtection="0"/>
    <xf numFmtId="0" fontId="27" fillId="14" borderId="0" applyNumberFormat="0" applyBorder="0" applyAlignment="0" applyProtection="0"/>
    <xf numFmtId="0" fontId="47" fillId="56" borderId="540" applyNumberFormat="0" applyAlignment="0" applyProtection="0"/>
    <xf numFmtId="0" fontId="33" fillId="32" borderId="516">
      <alignment horizontal="right" vertical="center"/>
    </xf>
    <xf numFmtId="0" fontId="47" fillId="56" borderId="523" applyNumberFormat="0" applyAlignment="0" applyProtection="0"/>
    <xf numFmtId="173" fontId="35" fillId="60" borderId="532" applyNumberFormat="0" applyFont="0" applyBorder="0" applyAlignment="0" applyProtection="0">
      <alignment horizontal="right" vertical="center"/>
    </xf>
    <xf numFmtId="0" fontId="51" fillId="0" borderId="522" applyNumberFormat="0" applyFill="0" applyAlignment="0" applyProtection="0"/>
    <xf numFmtId="0" fontId="27" fillId="15" borderId="0" applyNumberFormat="0" applyBorder="0" applyAlignment="0" applyProtection="0"/>
    <xf numFmtId="0" fontId="35" fillId="0" borderId="516">
      <alignment horizontal="right" vertical="center"/>
    </xf>
    <xf numFmtId="0" fontId="5" fillId="59" borderId="515" applyNumberFormat="0" applyFont="0" applyAlignment="0" applyProtection="0"/>
    <xf numFmtId="0" fontId="33" fillId="34" borderId="551">
      <alignment horizontal="right" vertical="center"/>
    </xf>
    <xf numFmtId="0" fontId="33" fillId="34" borderId="534">
      <alignment horizontal="right" vertical="center"/>
    </xf>
    <xf numFmtId="0" fontId="12" fillId="31" borderId="0" applyNumberFormat="0" applyBorder="0" applyAlignment="0" applyProtection="0"/>
    <xf numFmtId="0" fontId="63" fillId="56" borderId="539" applyNumberFormat="0" applyAlignment="0" applyProtection="0"/>
    <xf numFmtId="0" fontId="59" fillId="43" borderId="521" applyNumberFormat="0" applyAlignment="0" applyProtection="0"/>
    <xf numFmtId="49" fontId="35" fillId="0" borderId="517" applyNumberFormat="0" applyFont="0" applyFill="0" applyBorder="0" applyProtection="0">
      <alignment horizontal="left" vertical="center" indent="5"/>
    </xf>
    <xf numFmtId="0" fontId="35" fillId="0" borderId="516" applyNumberFormat="0" applyFill="0" applyAlignment="0" applyProtection="0"/>
    <xf numFmtId="0" fontId="51" fillId="0" borderId="522" applyNumberFormat="0" applyFill="0" applyAlignment="0" applyProtection="0"/>
    <xf numFmtId="0" fontId="63" fillId="56" borderId="520" applyNumberFormat="0" applyAlignment="0" applyProtection="0"/>
    <xf numFmtId="4" fontId="33" fillId="34" borderId="516">
      <alignment horizontal="right" vertical="center"/>
    </xf>
    <xf numFmtId="4" fontId="35" fillId="33" borderId="516"/>
    <xf numFmtId="0" fontId="66" fillId="0" borderId="522" applyNumberFormat="0" applyFill="0" applyAlignment="0" applyProtection="0"/>
    <xf numFmtId="0" fontId="35" fillId="0" borderId="529">
      <alignment horizontal="left" vertical="center" wrapText="1" indent="2"/>
    </xf>
    <xf numFmtId="0" fontId="44" fillId="56" borderId="520" applyNumberFormat="0" applyAlignment="0" applyProtection="0"/>
    <xf numFmtId="0" fontId="46" fillId="56" borderId="521" applyNumberFormat="0" applyAlignment="0" applyProtection="0"/>
    <xf numFmtId="0" fontId="47" fillId="56" borderId="521" applyNumberFormat="0" applyAlignment="0" applyProtection="0"/>
    <xf numFmtId="0" fontId="63" fillId="56" borderId="520" applyNumberFormat="0" applyAlignment="0" applyProtection="0"/>
    <xf numFmtId="0" fontId="33" fillId="34" borderId="518">
      <alignment horizontal="right" vertical="center"/>
    </xf>
    <xf numFmtId="0" fontId="35" fillId="0" borderId="516" applyNumberFormat="0" applyFill="0" applyAlignment="0" applyProtection="0"/>
    <xf numFmtId="49" fontId="35" fillId="0" borderId="517" applyNumberFormat="0" applyFont="0" applyFill="0" applyBorder="0" applyProtection="0">
      <alignment horizontal="left" vertical="center" indent="5"/>
    </xf>
    <xf numFmtId="0" fontId="66" fillId="0" borderId="522" applyNumberFormat="0" applyFill="0" applyAlignment="0" applyProtection="0"/>
    <xf numFmtId="0" fontId="35" fillId="0" borderId="516" applyNumberFormat="0" applyFill="0" applyAlignment="0" applyProtection="0"/>
    <xf numFmtId="0" fontId="27" fillId="26" borderId="0" applyNumberFormat="0" applyBorder="0" applyAlignment="0" applyProtection="0"/>
    <xf numFmtId="0" fontId="35" fillId="0" borderId="535">
      <alignment horizontal="left" vertical="center" wrapText="1" indent="2"/>
    </xf>
    <xf numFmtId="0" fontId="27" fillId="24" borderId="0" applyNumberFormat="0" applyBorder="0" applyAlignment="0" applyProtection="0"/>
    <xf numFmtId="0" fontId="35" fillId="0" borderId="554">
      <alignment horizontal="left" vertical="center" wrapText="1" indent="2"/>
    </xf>
    <xf numFmtId="0" fontId="41" fillId="59" borderId="531" applyNumberFormat="0" applyFont="0" applyAlignment="0" applyProtection="0"/>
    <xf numFmtId="0" fontId="41" fillId="59" borderId="515" applyNumberFormat="0" applyFont="0" applyAlignment="0" applyProtection="0"/>
    <xf numFmtId="0" fontId="12" fillId="16" borderId="0" applyNumberFormat="0" applyBorder="0" applyAlignment="0" applyProtection="0"/>
    <xf numFmtId="0" fontId="35" fillId="32" borderId="552">
      <alignment horizontal="left" vertical="center"/>
    </xf>
    <xf numFmtId="0" fontId="37" fillId="32" borderId="551">
      <alignment horizontal="right" vertical="center"/>
    </xf>
    <xf numFmtId="49" fontId="34" fillId="0" borderId="551" applyNumberFormat="0" applyFill="0" applyBorder="0" applyProtection="0">
      <alignment horizontal="left" vertical="center"/>
    </xf>
    <xf numFmtId="0" fontId="27" fillId="18" borderId="0" applyNumberFormat="0" applyBorder="0" applyAlignment="0" applyProtection="0"/>
    <xf numFmtId="0" fontId="27" fillId="27" borderId="0" applyNumberFormat="0" applyBorder="0" applyAlignment="0" applyProtection="0"/>
    <xf numFmtId="0" fontId="12" fillId="16" borderId="0" applyNumberFormat="0" applyBorder="0" applyAlignment="0" applyProtection="0"/>
    <xf numFmtId="0" fontId="35" fillId="0" borderId="519">
      <alignment horizontal="left" vertical="center" wrapText="1" indent="2"/>
    </xf>
    <xf numFmtId="0" fontId="59" fillId="43" borderId="548" applyNumberFormat="0" applyAlignment="0" applyProtection="0"/>
    <xf numFmtId="4" fontId="33" fillId="32" borderId="516">
      <alignment horizontal="right" vertical="center"/>
    </xf>
    <xf numFmtId="0" fontId="1" fillId="0" borderId="0" applyNumberFormat="0" applyFill="0" applyBorder="0" applyAlignment="0" applyProtection="0"/>
    <xf numFmtId="0" fontId="63" fillId="56" borderId="520" applyNumberFormat="0" applyAlignment="0" applyProtection="0"/>
    <xf numFmtId="49" fontId="35" fillId="0" borderId="517" applyNumberFormat="0" applyFont="0" applyFill="0" applyBorder="0" applyProtection="0">
      <alignment horizontal="left" vertical="center" indent="5"/>
    </xf>
    <xf numFmtId="4" fontId="35" fillId="0" borderId="516">
      <alignment horizontal="right" vertical="center"/>
    </xf>
    <xf numFmtId="0" fontId="59" fillId="43" borderId="523" applyNumberFormat="0" applyAlignment="0" applyProtection="0"/>
    <xf numFmtId="0" fontId="66" fillId="0" borderId="549" applyNumberFormat="0" applyFill="0" applyAlignment="0" applyProtection="0"/>
    <xf numFmtId="0" fontId="27" fillId="29" borderId="0" applyNumberFormat="0" applyBorder="0" applyAlignment="0" applyProtection="0"/>
    <xf numFmtId="0" fontId="51" fillId="0" borderId="522" applyNumberFormat="0" applyFill="0" applyAlignment="0" applyProtection="0"/>
    <xf numFmtId="0" fontId="35" fillId="0" borderId="551" applyNumberFormat="0" applyFill="0" applyAlignment="0" applyProtection="0"/>
    <xf numFmtId="4" fontId="33" fillId="34" borderId="518">
      <alignment horizontal="right" vertical="center"/>
    </xf>
    <xf numFmtId="4" fontId="33" fillId="34" borderId="516">
      <alignment horizontal="right" vertical="center"/>
    </xf>
    <xf numFmtId="4" fontId="33" fillId="34" borderId="516">
      <alignment horizontal="right" vertical="center"/>
    </xf>
    <xf numFmtId="0" fontId="66" fillId="0" borderId="522" applyNumberFormat="0" applyFill="0" applyAlignment="0" applyProtection="0"/>
    <xf numFmtId="0" fontId="47" fillId="56" borderId="521" applyNumberFormat="0" applyAlignment="0" applyProtection="0"/>
    <xf numFmtId="4" fontId="33" fillId="32" borderId="526">
      <alignment horizontal="right" vertical="center"/>
    </xf>
    <xf numFmtId="0" fontId="51" fillId="0" borderId="541" applyNumberFormat="0" applyFill="0" applyAlignment="0" applyProtection="0"/>
    <xf numFmtId="0" fontId="30" fillId="13" borderId="13" applyNumberFormat="0" applyAlignment="0" applyProtection="0"/>
    <xf numFmtId="49" fontId="34" fillId="0" borderId="516" applyNumberFormat="0" applyFill="0" applyBorder="0" applyProtection="0">
      <alignment horizontal="left" vertical="center"/>
    </xf>
    <xf numFmtId="0" fontId="5" fillId="59" borderId="515" applyNumberFormat="0" applyFont="0" applyAlignment="0" applyProtection="0"/>
    <xf numFmtId="4" fontId="33" fillId="34" borderId="516">
      <alignment horizontal="right" vertical="center"/>
    </xf>
    <xf numFmtId="0" fontId="27" fillId="26" borderId="0" applyNumberFormat="0" applyBorder="0" applyAlignment="0" applyProtection="0"/>
    <xf numFmtId="0" fontId="35" fillId="34" borderId="535">
      <alignment horizontal="left" vertical="center" wrapText="1" indent="2"/>
    </xf>
    <xf numFmtId="0" fontId="33" fillId="34" borderId="527">
      <alignment horizontal="right" vertical="center"/>
    </xf>
    <xf numFmtId="0" fontId="12" fillId="31" borderId="0" applyNumberFormat="0" applyBorder="0" applyAlignment="0" applyProtection="0"/>
    <xf numFmtId="49" fontId="35" fillId="0" borderId="516" applyNumberFormat="0" applyFont="0" applyFill="0" applyBorder="0" applyProtection="0">
      <alignment horizontal="left" vertical="center" indent="2"/>
    </xf>
    <xf numFmtId="0" fontId="66" fillId="0" borderId="522" applyNumberFormat="0" applyFill="0" applyAlignment="0" applyProtection="0"/>
    <xf numFmtId="4" fontId="35" fillId="0" borderId="516" applyFill="0" applyBorder="0" applyProtection="0">
      <alignment horizontal="right" vertical="center"/>
    </xf>
    <xf numFmtId="0" fontId="59" fillId="43" borderId="521" applyNumberFormat="0" applyAlignment="0" applyProtection="0"/>
    <xf numFmtId="49" fontId="34" fillId="0" borderId="516" applyNumberFormat="0" applyFill="0" applyBorder="0" applyProtection="0">
      <alignment horizontal="left" vertical="center"/>
    </xf>
    <xf numFmtId="49" fontId="35" fillId="0" borderId="516" applyNumberFormat="0" applyFont="0" applyFill="0" applyBorder="0" applyProtection="0">
      <alignment horizontal="left" vertical="center" indent="2"/>
    </xf>
    <xf numFmtId="4" fontId="35" fillId="0" borderId="516" applyFill="0" applyBorder="0" applyProtection="0">
      <alignment horizontal="right" vertical="center"/>
    </xf>
    <xf numFmtId="0" fontId="33" fillId="32" borderId="543">
      <alignment horizontal="right" vertical="center"/>
    </xf>
    <xf numFmtId="173" fontId="35" fillId="60" borderId="516" applyNumberFormat="0" applyFont="0" applyBorder="0" applyAlignment="0" applyProtection="0">
      <alignment horizontal="right" vertical="center"/>
    </xf>
    <xf numFmtId="0" fontId="35" fillId="33" borderId="526"/>
    <xf numFmtId="49" fontId="34" fillId="0" borderId="551" applyNumberFormat="0" applyFill="0" applyBorder="0" applyProtection="0">
      <alignment horizontal="left" vertical="center"/>
    </xf>
    <xf numFmtId="0" fontId="37" fillId="32" borderId="516">
      <alignment horizontal="right" vertical="center"/>
    </xf>
    <xf numFmtId="0" fontId="33" fillId="32" borderId="532">
      <alignment horizontal="right" vertical="center"/>
    </xf>
    <xf numFmtId="4" fontId="35" fillId="0" borderId="532">
      <alignment horizontal="right" vertical="center"/>
    </xf>
    <xf numFmtId="0" fontId="50" fillId="43" borderId="521" applyNumberFormat="0" applyAlignment="0" applyProtection="0"/>
    <xf numFmtId="4" fontId="33" fillId="34" borderId="516">
      <alignment horizontal="right" vertical="center"/>
    </xf>
    <xf numFmtId="0" fontId="35" fillId="32" borderId="517">
      <alignment horizontal="left" vertical="center"/>
    </xf>
    <xf numFmtId="0" fontId="12" fillId="19" borderId="0" applyNumberFormat="0" applyBorder="0" applyAlignment="0" applyProtection="0"/>
    <xf numFmtId="0" fontId="35" fillId="0" borderId="551">
      <alignment horizontal="right" vertical="center"/>
    </xf>
    <xf numFmtId="4" fontId="33" fillId="34" borderId="528">
      <alignment horizontal="right" vertical="center"/>
    </xf>
    <xf numFmtId="0" fontId="63" fillId="56" borderId="547" applyNumberFormat="0" applyAlignment="0" applyProtection="0"/>
    <xf numFmtId="0" fontId="12" fillId="28" borderId="0" applyNumberFormat="0" applyBorder="0" applyAlignment="0" applyProtection="0"/>
    <xf numFmtId="0" fontId="35" fillId="32" borderId="552">
      <alignment horizontal="left" vertical="center"/>
    </xf>
    <xf numFmtId="0" fontId="33" fillId="34" borderId="516">
      <alignment horizontal="right" vertical="center"/>
    </xf>
    <xf numFmtId="0" fontId="35" fillId="34" borderId="519">
      <alignment horizontal="left" vertical="center" wrapText="1" indent="2"/>
    </xf>
    <xf numFmtId="173" fontId="35" fillId="60" borderId="516" applyNumberFormat="0" applyFont="0" applyBorder="0" applyAlignment="0" applyProtection="0">
      <alignment horizontal="right" vertical="center"/>
    </xf>
    <xf numFmtId="0" fontId="41" fillId="59" borderId="515" applyNumberFormat="0" applyFont="0" applyAlignment="0" applyProtection="0"/>
    <xf numFmtId="49" fontId="35" fillId="0" borderId="516" applyNumberFormat="0" applyFont="0" applyFill="0" applyBorder="0" applyProtection="0">
      <alignment horizontal="left" vertical="center" indent="2"/>
    </xf>
    <xf numFmtId="49" fontId="34" fillId="0" borderId="532" applyNumberFormat="0" applyFill="0" applyBorder="0" applyProtection="0">
      <alignment horizontal="left" vertical="center"/>
    </xf>
    <xf numFmtId="0" fontId="41" fillId="59" borderId="525" applyNumberFormat="0" applyFont="0" applyAlignment="0" applyProtection="0"/>
    <xf numFmtId="0" fontId="27" fillId="14" borderId="0" applyNumberFormat="0" applyBorder="0" applyAlignment="0" applyProtection="0"/>
    <xf numFmtId="49" fontId="34" fillId="0" borderId="516" applyNumberFormat="0" applyFill="0" applyBorder="0" applyProtection="0">
      <alignment horizontal="left" vertical="center"/>
    </xf>
    <xf numFmtId="173" fontId="35" fillId="60" borderId="516" applyNumberFormat="0" applyFont="0" applyBorder="0" applyAlignment="0" applyProtection="0">
      <alignment horizontal="right" vertical="center"/>
    </xf>
    <xf numFmtId="0" fontId="63" fillId="56" borderId="520" applyNumberFormat="0" applyAlignment="0" applyProtection="0"/>
    <xf numFmtId="0" fontId="35" fillId="0" borderId="516">
      <alignment horizontal="right" vertical="center"/>
    </xf>
    <xf numFmtId="0" fontId="35" fillId="33" borderId="516"/>
    <xf numFmtId="4" fontId="33" fillId="34" borderId="516">
      <alignment horizontal="right" vertical="center"/>
    </xf>
    <xf numFmtId="0" fontId="35" fillId="33" borderId="516"/>
    <xf numFmtId="0" fontId="59" fillId="43" borderId="521" applyNumberFormat="0" applyAlignment="0" applyProtection="0"/>
    <xf numFmtId="4" fontId="33" fillId="34" borderId="526">
      <alignment horizontal="right" vertical="center"/>
    </xf>
    <xf numFmtId="0" fontId="37" fillId="32" borderId="516">
      <alignment horizontal="right" vertical="center"/>
    </xf>
    <xf numFmtId="0" fontId="35" fillId="0" borderId="519">
      <alignment horizontal="left" vertical="center" wrapText="1" indent="2"/>
    </xf>
    <xf numFmtId="0" fontId="33" fillId="32" borderId="516">
      <alignment horizontal="right" vertical="center"/>
    </xf>
    <xf numFmtId="0" fontId="50" fillId="43" borderId="521" applyNumberFormat="0" applyAlignment="0" applyProtection="0"/>
    <xf numFmtId="0" fontId="35" fillId="34" borderId="519">
      <alignment horizontal="left" vertical="center" wrapText="1" indent="2"/>
    </xf>
    <xf numFmtId="4" fontId="37" fillId="32" borderId="543">
      <alignment horizontal="right" vertical="center"/>
    </xf>
    <xf numFmtId="0" fontId="35" fillId="0" borderId="551" applyNumberFormat="0" applyFill="0" applyAlignment="0" applyProtection="0"/>
    <xf numFmtId="0" fontId="47" fillId="56" borderId="540" applyNumberFormat="0" applyAlignment="0" applyProtection="0"/>
    <xf numFmtId="0" fontId="27" fillId="24" borderId="0" applyNumberFormat="0" applyBorder="0" applyAlignment="0" applyProtection="0"/>
    <xf numFmtId="49" fontId="35" fillId="0" borderId="551" applyNumberFormat="0" applyFont="0" applyFill="0" applyBorder="0" applyProtection="0">
      <alignment horizontal="left" vertical="center" indent="2"/>
    </xf>
    <xf numFmtId="4" fontId="37" fillId="32" borderId="551">
      <alignment horizontal="right" vertical="center"/>
    </xf>
    <xf numFmtId="0" fontId="46" fillId="56" borderId="521" applyNumberFormat="0" applyAlignment="0" applyProtection="0"/>
    <xf numFmtId="0" fontId="37" fillId="32" borderId="516">
      <alignment horizontal="right" vertical="center"/>
    </xf>
    <xf numFmtId="0" fontId="27" fillId="21" borderId="0" applyNumberFormat="0" applyBorder="0" applyAlignment="0" applyProtection="0"/>
    <xf numFmtId="0" fontId="1" fillId="0" borderId="0" applyNumberFormat="0" applyFill="0" applyBorder="0" applyAlignment="0" applyProtection="0"/>
    <xf numFmtId="0" fontId="27" fillId="20" borderId="0" applyNumberFormat="0" applyBorder="0" applyAlignment="0" applyProtection="0"/>
    <xf numFmtId="0" fontId="35" fillId="32" borderId="552">
      <alignment horizontal="left" vertical="center"/>
    </xf>
    <xf numFmtId="0" fontId="31" fillId="0" borderId="0" applyNumberFormat="0" applyFill="0" applyBorder="0" applyAlignment="0" applyProtection="0"/>
    <xf numFmtId="0" fontId="35" fillId="0" borderId="551">
      <alignment horizontal="right" vertical="center"/>
    </xf>
    <xf numFmtId="0" fontId="33" fillId="34" borderId="516">
      <alignment horizontal="right" vertical="center"/>
    </xf>
    <xf numFmtId="4" fontId="35" fillId="0" borderId="516" applyFill="0" applyBorder="0" applyProtection="0">
      <alignment horizontal="right" vertical="center"/>
    </xf>
    <xf numFmtId="0" fontId="35" fillId="34" borderId="519">
      <alignment horizontal="left" vertical="center" wrapText="1" indent="2"/>
    </xf>
    <xf numFmtId="0" fontId="41" fillId="59" borderId="515" applyNumberFormat="0" applyFont="0" applyAlignment="0" applyProtection="0"/>
    <xf numFmtId="0" fontId="50" fillId="43" borderId="521" applyNumberFormat="0" applyAlignment="0" applyProtection="0"/>
    <xf numFmtId="4" fontId="35" fillId="33" borderId="516"/>
    <xf numFmtId="4" fontId="35" fillId="0" borderId="516" applyFill="0" applyBorder="0" applyProtection="0">
      <alignment horizontal="right" vertical="center"/>
    </xf>
    <xf numFmtId="0" fontId="66" fillId="0" borderId="522" applyNumberFormat="0" applyFill="0" applyAlignment="0" applyProtection="0"/>
    <xf numFmtId="0" fontId="35" fillId="32" borderId="517">
      <alignment horizontal="left" vertical="center"/>
    </xf>
    <xf numFmtId="0" fontId="35" fillId="0" borderId="519">
      <alignment horizontal="left" vertical="center" wrapText="1" indent="2"/>
    </xf>
    <xf numFmtId="0" fontId="35" fillId="0" borderId="532" applyNumberFormat="0" applyFill="0" applyAlignment="0" applyProtection="0"/>
    <xf numFmtId="0" fontId="59" fillId="43" borderId="521" applyNumberFormat="0" applyAlignment="0" applyProtection="0"/>
    <xf numFmtId="0" fontId="35" fillId="34" borderId="519">
      <alignment horizontal="left" vertical="center" wrapText="1" indent="2"/>
    </xf>
    <xf numFmtId="0" fontId="5" fillId="59" borderId="550" applyNumberFormat="0" applyFont="0" applyAlignment="0" applyProtection="0"/>
    <xf numFmtId="0" fontId="27" fillId="18" borderId="0" applyNumberFormat="0" applyBorder="0" applyAlignment="0" applyProtection="0"/>
    <xf numFmtId="0" fontId="27" fillId="17" borderId="0" applyNumberFormat="0" applyBorder="0" applyAlignment="0" applyProtection="0"/>
    <xf numFmtId="0" fontId="35" fillId="34" borderId="554">
      <alignment horizontal="left" vertical="center" wrapText="1" indent="2"/>
    </xf>
    <xf numFmtId="0" fontId="41" fillId="59" borderId="515" applyNumberFormat="0" applyFont="0" applyAlignment="0" applyProtection="0"/>
    <xf numFmtId="0" fontId="59" fillId="43" borderId="521" applyNumberFormat="0" applyAlignment="0" applyProtection="0"/>
    <xf numFmtId="4" fontId="35" fillId="33" borderId="516"/>
    <xf numFmtId="0" fontId="47" fillId="56" borderId="521" applyNumberFormat="0" applyAlignment="0" applyProtection="0"/>
    <xf numFmtId="0" fontId="59" fillId="43" borderId="521" applyNumberFormat="0" applyAlignment="0" applyProtection="0"/>
    <xf numFmtId="4" fontId="33" fillId="34" borderId="516">
      <alignment horizontal="right" vertical="center"/>
    </xf>
    <xf numFmtId="0" fontId="51" fillId="0" borderId="522" applyNumberFormat="0" applyFill="0" applyAlignment="0" applyProtection="0"/>
    <xf numFmtId="0" fontId="12" fillId="19" borderId="0" applyNumberFormat="0" applyBorder="0" applyAlignment="0" applyProtection="0"/>
    <xf numFmtId="0" fontId="35" fillId="0" borderId="554">
      <alignment horizontal="left" vertical="center" wrapText="1" indent="2"/>
    </xf>
    <xf numFmtId="0" fontId="35" fillId="34" borderId="554">
      <alignment horizontal="left" vertical="center" wrapText="1" indent="2"/>
    </xf>
    <xf numFmtId="0" fontId="27" fillId="30" borderId="0" applyNumberFormat="0" applyBorder="0" applyAlignment="0" applyProtection="0"/>
    <xf numFmtId="0" fontId="37" fillId="32" borderId="526">
      <alignment horizontal="right" vertical="center"/>
    </xf>
    <xf numFmtId="4" fontId="35" fillId="33" borderId="551"/>
    <xf numFmtId="0" fontId="50" fillId="43" borderId="521" applyNumberFormat="0" applyAlignment="0" applyProtection="0"/>
    <xf numFmtId="0" fontId="27" fillId="30" borderId="0" applyNumberFormat="0" applyBorder="0" applyAlignment="0" applyProtection="0"/>
    <xf numFmtId="0" fontId="66" fillId="0" borderId="541" applyNumberFormat="0" applyFill="0" applyAlignment="0" applyProtection="0"/>
    <xf numFmtId="4" fontId="37" fillId="32" borderId="558">
      <alignment horizontal="right" vertical="center"/>
    </xf>
    <xf numFmtId="0" fontId="33" fillId="34" borderId="551">
      <alignment horizontal="right" vertical="center"/>
    </xf>
    <xf numFmtId="0" fontId="12" fillId="28" borderId="0" applyNumberFormat="0" applyBorder="0" applyAlignment="0" applyProtection="0"/>
    <xf numFmtId="4" fontId="33" fillId="34" borderId="534">
      <alignment horizontal="right" vertical="center"/>
    </xf>
    <xf numFmtId="0" fontId="35" fillId="34" borderId="519">
      <alignment horizontal="left" vertical="center" wrapText="1" indent="2"/>
    </xf>
    <xf numFmtId="0" fontId="66" fillId="0" borderId="549" applyNumberFormat="0" applyFill="0" applyAlignment="0" applyProtection="0"/>
    <xf numFmtId="0" fontId="63" fillId="56" borderId="520" applyNumberFormat="0" applyAlignment="0" applyProtection="0"/>
    <xf numFmtId="0" fontId="59" fillId="43" borderId="521" applyNumberFormat="0" applyAlignment="0" applyProtection="0"/>
    <xf numFmtId="4" fontId="33" fillId="34" borderId="516">
      <alignment horizontal="right" vertical="center"/>
    </xf>
    <xf numFmtId="0" fontId="35" fillId="33" borderId="516"/>
    <xf numFmtId="0" fontId="33" fillId="34" borderId="552">
      <alignment horizontal="right" vertical="center"/>
    </xf>
    <xf numFmtId="0" fontId="5" fillId="59" borderId="531" applyNumberFormat="0" applyFont="0" applyAlignment="0" applyProtection="0"/>
    <xf numFmtId="0" fontId="35" fillId="0" borderId="519">
      <alignment horizontal="left" vertical="center" wrapText="1" indent="2"/>
    </xf>
    <xf numFmtId="0" fontId="51" fillId="0" borderId="549" applyNumberFormat="0" applyFill="0" applyAlignment="0" applyProtection="0"/>
    <xf numFmtId="0" fontId="66" fillId="0" borderId="541" applyNumberFormat="0" applyFill="0" applyAlignment="0" applyProtection="0"/>
    <xf numFmtId="0" fontId="12" fillId="25" borderId="0" applyNumberFormat="0" applyBorder="0" applyAlignment="0" applyProtection="0"/>
    <xf numFmtId="4" fontId="37" fillId="32" borderId="551">
      <alignment horizontal="right" vertical="center"/>
    </xf>
    <xf numFmtId="0" fontId="46" fillId="56" borderId="521" applyNumberFormat="0" applyAlignment="0" applyProtection="0"/>
    <xf numFmtId="0" fontId="41" fillId="59" borderId="550" applyNumberFormat="0" applyFont="0" applyAlignment="0" applyProtection="0"/>
    <xf numFmtId="173" fontId="35" fillId="60" borderId="526" applyNumberFormat="0" applyFont="0" applyBorder="0" applyAlignment="0" applyProtection="0">
      <alignment horizontal="right" vertical="center"/>
    </xf>
    <xf numFmtId="4" fontId="33" fillId="32" borderId="516">
      <alignment horizontal="right" vertical="center"/>
    </xf>
    <xf numFmtId="0" fontId="33" fillId="32" borderId="516">
      <alignment horizontal="right" vertical="center"/>
    </xf>
    <xf numFmtId="0" fontId="33" fillId="34" borderId="516">
      <alignment horizontal="right" vertical="center"/>
    </xf>
    <xf numFmtId="0" fontId="41" fillId="59" borderId="550" applyNumberFormat="0" applyFont="0" applyAlignment="0" applyProtection="0"/>
    <xf numFmtId="0" fontId="41" fillId="59" borderId="542" applyNumberFormat="0" applyFont="0" applyAlignment="0" applyProtection="0"/>
    <xf numFmtId="0" fontId="27" fillId="30" borderId="0" applyNumberFormat="0" applyBorder="0" applyAlignment="0" applyProtection="0"/>
    <xf numFmtId="4" fontId="33" fillId="34" borderId="553">
      <alignment horizontal="right" vertical="center"/>
    </xf>
    <xf numFmtId="0" fontId="63" fillId="56" borderId="520" applyNumberFormat="0" applyAlignment="0" applyProtection="0"/>
    <xf numFmtId="0" fontId="27" fillId="18" borderId="0" applyNumberFormat="0" applyBorder="0" applyAlignment="0" applyProtection="0"/>
    <xf numFmtId="49" fontId="35" fillId="0" borderId="516" applyNumberFormat="0" applyFont="0" applyFill="0" applyBorder="0" applyProtection="0">
      <alignment horizontal="left" vertical="center" indent="2"/>
    </xf>
    <xf numFmtId="0" fontId="41" fillId="59" borderId="515" applyNumberFormat="0" applyFont="0" applyAlignment="0" applyProtection="0"/>
    <xf numFmtId="173" fontId="35" fillId="60" borderId="516" applyNumberFormat="0" applyFont="0" applyBorder="0" applyAlignment="0" applyProtection="0">
      <alignment horizontal="right" vertical="center"/>
    </xf>
    <xf numFmtId="0" fontId="59" fillId="43" borderId="521" applyNumberFormat="0" applyAlignment="0" applyProtection="0"/>
    <xf numFmtId="0" fontId="33" fillId="34" borderId="516">
      <alignment horizontal="right" vertical="center"/>
    </xf>
    <xf numFmtId="0" fontId="35" fillId="33" borderId="516"/>
    <xf numFmtId="0" fontId="63" fillId="56" borderId="520" applyNumberFormat="0" applyAlignment="0" applyProtection="0"/>
    <xf numFmtId="0" fontId="47" fillId="56" borderId="521" applyNumberFormat="0" applyAlignment="0" applyProtection="0"/>
    <xf numFmtId="0" fontId="46" fillId="56" borderId="521" applyNumberFormat="0" applyAlignment="0" applyProtection="0"/>
    <xf numFmtId="0" fontId="50" fillId="43" borderId="521" applyNumberFormat="0" applyAlignment="0" applyProtection="0"/>
    <xf numFmtId="0" fontId="50" fillId="43" borderId="521" applyNumberFormat="0" applyAlignment="0" applyProtection="0"/>
    <xf numFmtId="0" fontId="35" fillId="0" borderId="519">
      <alignment horizontal="left" vertical="center" wrapText="1" indent="2"/>
    </xf>
    <xf numFmtId="4" fontId="33" fillId="34" borderId="517">
      <alignment horizontal="right" vertical="center"/>
    </xf>
    <xf numFmtId="4" fontId="35" fillId="0" borderId="516">
      <alignment horizontal="right" vertical="center"/>
    </xf>
    <xf numFmtId="49" fontId="34" fillId="0" borderId="516" applyNumberFormat="0" applyFill="0" applyBorder="0" applyProtection="0">
      <alignment horizontal="left" vertical="center"/>
    </xf>
    <xf numFmtId="4" fontId="35" fillId="0" borderId="516">
      <alignment horizontal="right" vertical="center"/>
    </xf>
    <xf numFmtId="0" fontId="63" fillId="56" borderId="520" applyNumberFormat="0" applyAlignment="0" applyProtection="0"/>
    <xf numFmtId="0" fontId="35" fillId="34" borderId="546">
      <alignment horizontal="left" vertical="center" wrapText="1" indent="2"/>
    </xf>
    <xf numFmtId="0" fontId="27" fillId="14" borderId="0" applyNumberFormat="0" applyBorder="0" applyAlignment="0" applyProtection="0"/>
    <xf numFmtId="0" fontId="27" fillId="24" borderId="0" applyNumberFormat="0" applyBorder="0" applyAlignment="0" applyProtection="0"/>
    <xf numFmtId="0" fontId="35" fillId="0" borderId="519">
      <alignment horizontal="left" vertical="center" wrapText="1" indent="2"/>
    </xf>
    <xf numFmtId="0" fontId="12" fillId="22" borderId="0" applyNumberFormat="0" applyBorder="0" applyAlignment="0" applyProtection="0"/>
    <xf numFmtId="49" fontId="34" fillId="0" borderId="558" applyNumberFormat="0" applyFill="0" applyBorder="0" applyProtection="0">
      <alignment horizontal="left" vertical="center"/>
    </xf>
    <xf numFmtId="0" fontId="33" fillId="34" borderId="543">
      <alignment horizontal="right" vertical="center"/>
    </xf>
    <xf numFmtId="0" fontId="66" fillId="0" borderId="556" applyNumberFormat="0" applyFill="0" applyAlignment="0" applyProtection="0"/>
    <xf numFmtId="0" fontId="35" fillId="34" borderId="529">
      <alignment horizontal="left" vertical="center" wrapText="1" indent="2"/>
    </xf>
    <xf numFmtId="0" fontId="47" fillId="56" borderId="523" applyNumberFormat="0" applyAlignment="0" applyProtection="0"/>
    <xf numFmtId="0" fontId="41" fillId="59" borderId="515" applyNumberFormat="0" applyFont="0" applyAlignment="0" applyProtection="0"/>
    <xf numFmtId="0" fontId="12" fillId="31" borderId="0" applyNumberFormat="0" applyBorder="0" applyAlignment="0" applyProtection="0"/>
    <xf numFmtId="0" fontId="33" fillId="32" borderId="516">
      <alignment horizontal="right" vertical="center"/>
    </xf>
    <xf numFmtId="0" fontId="12" fillId="19" borderId="0" applyNumberFormat="0" applyBorder="0" applyAlignment="0" applyProtection="0"/>
    <xf numFmtId="0" fontId="27" fillId="21" borderId="0" applyNumberFormat="0" applyBorder="0" applyAlignment="0" applyProtection="0"/>
    <xf numFmtId="0" fontId="35" fillId="0" borderId="516" applyNumberFormat="0" applyFill="0" applyAlignment="0" applyProtection="0"/>
    <xf numFmtId="49" fontId="34" fillId="0" borderId="516" applyNumberFormat="0" applyFill="0" applyBorder="0" applyProtection="0">
      <alignment horizontal="left" vertical="center"/>
    </xf>
    <xf numFmtId="0" fontId="35" fillId="0" borderId="516">
      <alignment horizontal="right" vertical="center"/>
    </xf>
    <xf numFmtId="0" fontId="27" fillId="27" borderId="0" applyNumberFormat="0" applyBorder="0" applyAlignment="0" applyProtection="0"/>
    <xf numFmtId="0" fontId="35" fillId="34" borderId="561">
      <alignment horizontal="left" vertical="center" wrapText="1" indent="2"/>
    </xf>
    <xf numFmtId="0" fontId="37" fillId="32" borderId="558">
      <alignment horizontal="right" vertical="center"/>
    </xf>
    <xf numFmtId="4" fontId="33" fillId="32" borderId="516">
      <alignment horizontal="right" vertical="center"/>
    </xf>
    <xf numFmtId="0" fontId="35" fillId="0" borderId="561">
      <alignment horizontal="left" vertical="center" wrapText="1" indent="2"/>
    </xf>
    <xf numFmtId="0" fontId="47" fillId="56" borderId="521" applyNumberFormat="0" applyAlignment="0" applyProtection="0"/>
    <xf numFmtId="0" fontId="33" fillId="34" borderId="518">
      <alignment horizontal="right" vertical="center"/>
    </xf>
    <xf numFmtId="4" fontId="33" fillId="32" borderId="516">
      <alignment horizontal="right" vertical="center"/>
    </xf>
    <xf numFmtId="0" fontId="33" fillId="34" borderId="516">
      <alignment horizontal="right" vertical="center"/>
    </xf>
    <xf numFmtId="0" fontId="47" fillId="56" borderId="521" applyNumberFormat="0" applyAlignment="0" applyProtection="0"/>
    <xf numFmtId="0" fontId="33" fillId="34" borderId="526">
      <alignment horizontal="right" vertical="center"/>
    </xf>
    <xf numFmtId="0" fontId="29" fillId="13" borderId="14" applyNumberFormat="0" applyAlignment="0" applyProtection="0"/>
    <xf numFmtId="4" fontId="35" fillId="0" borderId="516" applyFill="0" applyBorder="0" applyProtection="0">
      <alignment horizontal="right" vertical="center"/>
    </xf>
    <xf numFmtId="0" fontId="41" fillId="59" borderId="515" applyNumberFormat="0" applyFont="0" applyAlignment="0" applyProtection="0"/>
    <xf numFmtId="0" fontId="47" fillId="56" borderId="548" applyNumberFormat="0" applyAlignment="0" applyProtection="0"/>
    <xf numFmtId="0" fontId="35" fillId="0" borderId="554">
      <alignment horizontal="left" vertical="center" wrapText="1" indent="2"/>
    </xf>
    <xf numFmtId="0" fontId="5" fillId="59" borderId="542" applyNumberFormat="0" applyFont="0" applyAlignment="0" applyProtection="0"/>
    <xf numFmtId="0" fontId="33" fillId="32" borderId="516">
      <alignment horizontal="right" vertical="center"/>
    </xf>
    <xf numFmtId="0" fontId="51" fillId="0" borderId="522" applyNumberFormat="0" applyFill="0" applyAlignment="0" applyProtection="0"/>
    <xf numFmtId="0" fontId="35" fillId="0" borderId="516" applyNumberFormat="0" applyFill="0" applyAlignment="0" applyProtection="0"/>
    <xf numFmtId="0" fontId="51" fillId="0" borderId="522" applyNumberFormat="0" applyFill="0" applyAlignment="0" applyProtection="0"/>
    <xf numFmtId="4" fontId="35" fillId="0" borderId="516" applyFill="0" applyBorder="0" applyProtection="0">
      <alignment horizontal="right" vertical="center"/>
    </xf>
    <xf numFmtId="49" fontId="35" fillId="0" borderId="517" applyNumberFormat="0" applyFont="0" applyFill="0" applyBorder="0" applyProtection="0">
      <alignment horizontal="left" vertical="center" indent="5"/>
    </xf>
    <xf numFmtId="0" fontId="35" fillId="0" borderId="516" applyNumberFormat="0" applyFill="0" applyAlignment="0" applyProtection="0"/>
    <xf numFmtId="0" fontId="35" fillId="0" borderId="543">
      <alignment horizontal="right" vertical="center"/>
    </xf>
    <xf numFmtId="0" fontId="35" fillId="0" borderId="516" applyNumberFormat="0" applyFill="0" applyAlignment="0" applyProtection="0"/>
    <xf numFmtId="0" fontId="63" fillId="56" borderId="547" applyNumberFormat="0" applyAlignment="0" applyProtection="0"/>
    <xf numFmtId="4" fontId="35" fillId="0" borderId="551">
      <alignment horizontal="right" vertical="center"/>
    </xf>
    <xf numFmtId="4" fontId="33" fillId="34" borderId="516">
      <alignment horizontal="right" vertical="center"/>
    </xf>
    <xf numFmtId="0" fontId="33" fillId="32" borderId="551">
      <alignment horizontal="right" vertical="center"/>
    </xf>
    <xf numFmtId="0" fontId="35" fillId="0" borderId="554">
      <alignment horizontal="left" vertical="center" wrapText="1" indent="2"/>
    </xf>
    <xf numFmtId="0" fontId="12" fillId="22" borderId="0" applyNumberFormat="0" applyBorder="0" applyAlignment="0" applyProtection="0"/>
    <xf numFmtId="0" fontId="35" fillId="0" borderId="532">
      <alignment horizontal="right" vertical="center"/>
    </xf>
    <xf numFmtId="0" fontId="50" fillId="43" borderId="521" applyNumberFormat="0" applyAlignment="0" applyProtection="0"/>
    <xf numFmtId="0" fontId="47" fillId="56" borderId="521" applyNumberFormat="0" applyAlignment="0" applyProtection="0"/>
    <xf numFmtId="4" fontId="35" fillId="0" borderId="516">
      <alignment horizontal="right" vertical="center"/>
    </xf>
    <xf numFmtId="0" fontId="35" fillId="34" borderId="519">
      <alignment horizontal="left" vertical="center" wrapText="1" indent="2"/>
    </xf>
    <xf numFmtId="0" fontId="35" fillId="0" borderId="519">
      <alignment horizontal="left" vertical="center" wrapText="1" indent="2"/>
    </xf>
    <xf numFmtId="0" fontId="63" fillId="56" borderId="520" applyNumberFormat="0" applyAlignment="0" applyProtection="0"/>
    <xf numFmtId="0" fontId="59" fillId="43" borderId="521" applyNumberFormat="0" applyAlignment="0" applyProtection="0"/>
    <xf numFmtId="0" fontId="46" fillId="56" borderId="521" applyNumberFormat="0" applyAlignment="0" applyProtection="0"/>
    <xf numFmtId="0" fontId="44" fillId="56" borderId="520" applyNumberFormat="0" applyAlignment="0" applyProtection="0"/>
    <xf numFmtId="0" fontId="33" fillId="34" borderId="518">
      <alignment horizontal="right" vertical="center"/>
    </xf>
    <xf numFmtId="0" fontId="37" fillId="32" borderId="516">
      <alignment horizontal="right" vertical="center"/>
    </xf>
    <xf numFmtId="4" fontId="33" fillId="32" borderId="516">
      <alignment horizontal="right" vertical="center"/>
    </xf>
    <xf numFmtId="4" fontId="33" fillId="34" borderId="516">
      <alignment horizontal="right" vertical="center"/>
    </xf>
    <xf numFmtId="49" fontId="35" fillId="0" borderId="517" applyNumberFormat="0" applyFont="0" applyFill="0" applyBorder="0" applyProtection="0">
      <alignment horizontal="left" vertical="center" indent="5"/>
    </xf>
    <xf numFmtId="4" fontId="35" fillId="0" borderId="516" applyFill="0" applyBorder="0" applyProtection="0">
      <alignment horizontal="right" vertical="center"/>
    </xf>
    <xf numFmtId="4" fontId="33" fillId="32" borderId="516">
      <alignment horizontal="right" vertical="center"/>
    </xf>
    <xf numFmtId="0" fontId="59" fillId="43" borderId="521" applyNumberFormat="0" applyAlignment="0" applyProtection="0"/>
    <xf numFmtId="0" fontId="50" fillId="43" borderId="521" applyNumberFormat="0" applyAlignment="0" applyProtection="0"/>
    <xf numFmtId="0" fontId="46" fillId="56" borderId="521" applyNumberFormat="0" applyAlignment="0" applyProtection="0"/>
    <xf numFmtId="0" fontId="35" fillId="34" borderId="519">
      <alignment horizontal="left" vertical="center" wrapText="1" indent="2"/>
    </xf>
    <xf numFmtId="0" fontId="35" fillId="0" borderId="519">
      <alignment horizontal="left" vertical="center" wrapText="1" indent="2"/>
    </xf>
    <xf numFmtId="0" fontId="35" fillId="34" borderId="519">
      <alignment horizontal="left" vertical="center" wrapText="1" indent="2"/>
    </xf>
    <xf numFmtId="0" fontId="33" fillId="34" borderId="528">
      <alignment horizontal="right" vertical="center"/>
    </xf>
    <xf numFmtId="4" fontId="33" fillId="32" borderId="558">
      <alignment horizontal="right" vertical="center"/>
    </xf>
    <xf numFmtId="0" fontId="31" fillId="0" borderId="0" applyNumberFormat="0" applyFill="0" applyBorder="0" applyAlignment="0" applyProtection="0"/>
    <xf numFmtId="0" fontId="27" fillId="24" borderId="0" applyNumberFormat="0" applyBorder="0" applyAlignment="0" applyProtection="0"/>
    <xf numFmtId="49" fontId="34" fillId="0" borderId="543" applyNumberFormat="0" applyFill="0" applyBorder="0" applyProtection="0">
      <alignment horizontal="left" vertical="center"/>
    </xf>
    <xf numFmtId="0" fontId="50" fillId="43" borderId="548" applyNumberFormat="0" applyAlignment="0" applyProtection="0"/>
    <xf numFmtId="0" fontId="66" fillId="0" borderId="549" applyNumberFormat="0" applyFill="0" applyAlignment="0" applyProtection="0"/>
    <xf numFmtId="0" fontId="41" fillId="59" borderId="550" applyNumberFormat="0" applyFont="0" applyAlignment="0" applyProtection="0"/>
    <xf numFmtId="4" fontId="33" fillId="34" borderId="551">
      <alignment horizontal="right" vertical="center"/>
    </xf>
    <xf numFmtId="0" fontId="5" fillId="59" borderId="550" applyNumberFormat="0" applyFont="0" applyAlignment="0" applyProtection="0"/>
    <xf numFmtId="0" fontId="66" fillId="0" borderId="549" applyNumberFormat="0" applyFill="0" applyAlignment="0" applyProtection="0"/>
    <xf numFmtId="0" fontId="47" fillId="56" borderId="555" applyNumberFormat="0" applyAlignment="0" applyProtection="0"/>
    <xf numFmtId="0" fontId="27" fillId="20" borderId="0" applyNumberFormat="0" applyBorder="0" applyAlignment="0" applyProtection="0"/>
    <xf numFmtId="173" fontId="35" fillId="60" borderId="551" applyNumberFormat="0" applyFont="0" applyBorder="0" applyAlignment="0" applyProtection="0">
      <alignment horizontal="right" vertical="center"/>
    </xf>
    <xf numFmtId="0" fontId="33" fillId="34" borderId="558">
      <alignment horizontal="right" vertical="center"/>
    </xf>
    <xf numFmtId="0" fontId="66" fillId="0" borderId="549" applyNumberFormat="0" applyFill="0" applyAlignment="0" applyProtection="0"/>
    <xf numFmtId="0" fontId="41" fillId="59" borderId="550" applyNumberFormat="0" applyFont="0" applyAlignment="0" applyProtection="0"/>
    <xf numFmtId="0" fontId="44" fillId="56" borderId="547" applyNumberFormat="0" applyAlignment="0" applyProtection="0"/>
    <xf numFmtId="0" fontId="27" fillId="26" borderId="0" applyNumberFormat="0" applyBorder="0" applyAlignment="0" applyProtection="0"/>
    <xf numFmtId="0" fontId="66" fillId="0" borderId="549" applyNumberFormat="0" applyFill="0" applyAlignment="0" applyProtection="0"/>
    <xf numFmtId="0" fontId="27" fillId="29" borderId="0" applyNumberFormat="0" applyBorder="0" applyAlignment="0" applyProtection="0"/>
    <xf numFmtId="0" fontId="27" fillId="27" borderId="0" applyNumberFormat="0" applyBorder="0" applyAlignment="0" applyProtection="0"/>
    <xf numFmtId="0" fontId="27" fillId="23" borderId="0" applyNumberFormat="0" applyBorder="0" applyAlignment="0" applyProtection="0"/>
    <xf numFmtId="0" fontId="27" fillId="24" borderId="0" applyNumberFormat="0" applyBorder="0" applyAlignment="0" applyProtection="0"/>
    <xf numFmtId="0" fontId="12" fillId="22" borderId="0" applyNumberFormat="0" applyBorder="0" applyAlignment="0" applyProtection="0"/>
    <xf numFmtId="0" fontId="12" fillId="16" borderId="0" applyNumberFormat="0" applyBorder="0" applyAlignment="0" applyProtection="0"/>
    <xf numFmtId="0" fontId="33" fillId="34" borderId="552">
      <alignment horizontal="right" vertical="center"/>
    </xf>
    <xf numFmtId="4" fontId="33" fillId="34" borderId="532">
      <alignment horizontal="right" vertical="center"/>
    </xf>
    <xf numFmtId="4" fontId="37" fillId="32" borderId="532">
      <alignment horizontal="right" vertical="center"/>
    </xf>
    <xf numFmtId="4" fontId="33" fillId="34" borderId="526">
      <alignment horizontal="right" vertical="center"/>
    </xf>
    <xf numFmtId="0" fontId="35" fillId="33" borderId="526"/>
    <xf numFmtId="0" fontId="46" fillId="56" borderId="523" applyNumberFormat="0" applyAlignment="0" applyProtection="0"/>
    <xf numFmtId="0" fontId="33" fillId="32" borderId="526">
      <alignment horizontal="right" vertical="center"/>
    </xf>
    <xf numFmtId="0" fontId="35" fillId="0" borderId="526">
      <alignment horizontal="right" vertical="center"/>
    </xf>
    <xf numFmtId="0" fontId="66" fillId="0" borderId="524" applyNumberFormat="0" applyFill="0" applyAlignment="0" applyProtection="0"/>
    <xf numFmtId="0" fontId="35" fillId="32" borderId="527">
      <alignment horizontal="left" vertical="center"/>
    </xf>
    <xf numFmtId="0" fontId="59" fillId="43" borderId="523" applyNumberFormat="0" applyAlignment="0" applyProtection="0"/>
    <xf numFmtId="173" fontId="35" fillId="60" borderId="526" applyNumberFormat="0" applyFont="0" applyBorder="0" applyAlignment="0" applyProtection="0">
      <alignment horizontal="right" vertical="center"/>
    </xf>
    <xf numFmtId="0" fontId="41" fillId="59" borderId="525" applyNumberFormat="0" applyFont="0" applyAlignment="0" applyProtection="0"/>
    <xf numFmtId="0" fontId="35" fillId="0" borderId="529">
      <alignment horizontal="left" vertical="center" wrapText="1" indent="2"/>
    </xf>
    <xf numFmtId="4" fontId="35" fillId="33" borderId="526"/>
    <xf numFmtId="49" fontId="34" fillId="0" borderId="526" applyNumberFormat="0" applyFill="0" applyBorder="0" applyProtection="0">
      <alignment horizontal="left" vertical="center"/>
    </xf>
    <xf numFmtId="0" fontId="35" fillId="0" borderId="526">
      <alignment horizontal="right" vertical="center"/>
    </xf>
    <xf numFmtId="4" fontId="33" fillId="34" borderId="528">
      <alignment horizontal="right" vertical="center"/>
    </xf>
    <xf numFmtId="4" fontId="33" fillId="34" borderId="526">
      <alignment horizontal="right" vertical="center"/>
    </xf>
    <xf numFmtId="4" fontId="33" fillId="34" borderId="526">
      <alignment horizontal="right" vertical="center"/>
    </xf>
    <xf numFmtId="0" fontId="37" fillId="32" borderId="526">
      <alignment horizontal="right" vertical="center"/>
    </xf>
    <xf numFmtId="0" fontId="33" fillId="32" borderId="526">
      <alignment horizontal="right" vertical="center"/>
    </xf>
    <xf numFmtId="49" fontId="35" fillId="0" borderId="526" applyNumberFormat="0" applyFont="0" applyFill="0" applyBorder="0" applyProtection="0">
      <alignment horizontal="left" vertical="center" indent="2"/>
    </xf>
    <xf numFmtId="0" fontId="59" fillId="43" borderId="523" applyNumberFormat="0" applyAlignment="0" applyProtection="0"/>
    <xf numFmtId="0" fontId="44" fillId="56" borderId="530" applyNumberFormat="0" applyAlignment="0" applyProtection="0"/>
    <xf numFmtId="49" fontId="35" fillId="0" borderId="526" applyNumberFormat="0" applyFont="0" applyFill="0" applyBorder="0" applyProtection="0">
      <alignment horizontal="left" vertical="center" indent="2"/>
    </xf>
    <xf numFmtId="0" fontId="50" fillId="43" borderId="523" applyNumberFormat="0" applyAlignment="0" applyProtection="0"/>
    <xf numFmtId="4" fontId="35" fillId="0" borderId="526" applyFill="0" applyBorder="0" applyProtection="0">
      <alignment horizontal="right" vertical="center"/>
    </xf>
    <xf numFmtId="0" fontId="47" fillId="56" borderId="523" applyNumberFormat="0" applyAlignment="0" applyProtection="0"/>
    <xf numFmtId="0" fontId="66" fillId="0" borderId="524" applyNumberFormat="0" applyFill="0" applyAlignment="0" applyProtection="0"/>
    <xf numFmtId="0" fontId="63" fillId="56" borderId="530" applyNumberFormat="0" applyAlignment="0" applyProtection="0"/>
    <xf numFmtId="0" fontId="35" fillId="0" borderId="526" applyNumberFormat="0" applyFill="0" applyAlignment="0" applyProtection="0"/>
    <xf numFmtId="4" fontId="35" fillId="0" borderId="526">
      <alignment horizontal="right" vertical="center"/>
    </xf>
    <xf numFmtId="0" fontId="35" fillId="0" borderId="526">
      <alignment horizontal="right" vertical="center"/>
    </xf>
    <xf numFmtId="0" fontId="59" fillId="43" borderId="523" applyNumberFormat="0" applyAlignment="0" applyProtection="0"/>
    <xf numFmtId="0" fontId="44" fillId="56" borderId="530" applyNumberFormat="0" applyAlignment="0" applyProtection="0"/>
    <xf numFmtId="0" fontId="46" fillId="56" borderId="523" applyNumberFormat="0" applyAlignment="0" applyProtection="0"/>
    <xf numFmtId="0" fontId="35" fillId="34" borderId="529">
      <alignment horizontal="left" vertical="center" wrapText="1" indent="2"/>
    </xf>
    <xf numFmtId="0" fontId="47" fillId="56" borderId="523" applyNumberFormat="0" applyAlignment="0" applyProtection="0"/>
    <xf numFmtId="0" fontId="47" fillId="56" borderId="523" applyNumberFormat="0" applyAlignment="0" applyProtection="0"/>
    <xf numFmtId="4" fontId="33" fillId="34" borderId="527">
      <alignment horizontal="right" vertical="center"/>
    </xf>
    <xf numFmtId="0" fontId="33" fillId="34" borderId="527">
      <alignment horizontal="right" vertical="center"/>
    </xf>
    <xf numFmtId="0" fontId="33" fillId="34" borderId="526">
      <alignment horizontal="right" vertical="center"/>
    </xf>
    <xf numFmtId="4" fontId="37" fillId="32" borderId="526">
      <alignment horizontal="right" vertical="center"/>
    </xf>
    <xf numFmtId="0" fontId="50" fillId="43" borderId="523" applyNumberFormat="0" applyAlignment="0" applyProtection="0"/>
    <xf numFmtId="0" fontId="51" fillId="0" borderId="524" applyNumberFormat="0" applyFill="0" applyAlignment="0" applyProtection="0"/>
    <xf numFmtId="0" fontId="66" fillId="0" borderId="524" applyNumberFormat="0" applyFill="0" applyAlignment="0" applyProtection="0"/>
    <xf numFmtId="0" fontId="41" fillId="59" borderId="525" applyNumberFormat="0" applyFont="0" applyAlignment="0" applyProtection="0"/>
    <xf numFmtId="0" fontId="59" fillId="43" borderId="523" applyNumberFormat="0" applyAlignment="0" applyProtection="0"/>
    <xf numFmtId="49" fontId="34" fillId="0" borderId="526" applyNumberFormat="0" applyFill="0" applyBorder="0" applyProtection="0">
      <alignment horizontal="left" vertical="center"/>
    </xf>
    <xf numFmtId="0" fontId="35" fillId="34" borderId="529">
      <alignment horizontal="left" vertical="center" wrapText="1" indent="2"/>
    </xf>
    <xf numFmtId="0" fontId="47" fillId="56" borderId="523" applyNumberFormat="0" applyAlignment="0" applyProtection="0"/>
    <xf numFmtId="0" fontId="35" fillId="0" borderId="529">
      <alignment horizontal="left" vertical="center" wrapText="1" indent="2"/>
    </xf>
    <xf numFmtId="0" fontId="41" fillId="59" borderId="525" applyNumberFormat="0" applyFont="0" applyAlignment="0" applyProtection="0"/>
    <xf numFmtId="0" fontId="5" fillId="59" borderId="525" applyNumberFormat="0" applyFont="0" applyAlignment="0" applyProtection="0"/>
    <xf numFmtId="0" fontId="63" fillId="56" borderId="530" applyNumberFormat="0" applyAlignment="0" applyProtection="0"/>
    <xf numFmtId="0" fontId="66" fillId="0" borderId="524" applyNumberFormat="0" applyFill="0" applyAlignment="0" applyProtection="0"/>
    <xf numFmtId="4" fontId="35" fillId="33" borderId="526"/>
    <xf numFmtId="0" fontId="33" fillId="34" borderId="526">
      <alignment horizontal="right" vertical="center"/>
    </xf>
    <xf numFmtId="0" fontId="66" fillId="0" borderId="524" applyNumberFormat="0" applyFill="0" applyAlignment="0" applyProtection="0"/>
    <xf numFmtId="4" fontId="33" fillId="34" borderId="528">
      <alignment horizontal="right" vertical="center"/>
    </xf>
    <xf numFmtId="0" fontId="46" fillId="56" borderId="523" applyNumberFormat="0" applyAlignment="0" applyProtection="0"/>
    <xf numFmtId="0" fontId="33" fillId="34" borderId="527">
      <alignment horizontal="right" vertical="center"/>
    </xf>
    <xf numFmtId="0" fontId="47" fillId="56" borderId="523" applyNumberFormat="0" applyAlignment="0" applyProtection="0"/>
    <xf numFmtId="0" fontId="51" fillId="0" borderId="524" applyNumberFormat="0" applyFill="0" applyAlignment="0" applyProtection="0"/>
    <xf numFmtId="0" fontId="41" fillId="59" borderId="525" applyNumberFormat="0" applyFont="0" applyAlignment="0" applyProtection="0"/>
    <xf numFmtId="4" fontId="33" fillId="34" borderId="527">
      <alignment horizontal="right" vertical="center"/>
    </xf>
    <xf numFmtId="0" fontId="35" fillId="34" borderId="529">
      <alignment horizontal="left" vertical="center" wrapText="1" indent="2"/>
    </xf>
    <xf numFmtId="0" fontId="35" fillId="33" borderId="526"/>
    <xf numFmtId="173" fontId="35" fillId="60" borderId="526" applyNumberFormat="0" applyFont="0" applyBorder="0" applyAlignment="0" applyProtection="0">
      <alignment horizontal="right" vertical="center"/>
    </xf>
    <xf numFmtId="0" fontId="35" fillId="0" borderId="526" applyNumberFormat="0" applyFill="0" applyAlignment="0" applyProtection="0"/>
    <xf numFmtId="4" fontId="35" fillId="0" borderId="526" applyFill="0" applyBorder="0" applyProtection="0">
      <alignment horizontal="right" vertical="center"/>
    </xf>
    <xf numFmtId="4" fontId="33" fillId="32" borderId="526">
      <alignment horizontal="right" vertical="center"/>
    </xf>
    <xf numFmtId="0" fontId="51" fillId="0" borderId="524" applyNumberFormat="0" applyFill="0" applyAlignment="0" applyProtection="0"/>
    <xf numFmtId="49" fontId="34" fillId="0" borderId="526" applyNumberFormat="0" applyFill="0" applyBorder="0" applyProtection="0">
      <alignment horizontal="left" vertical="center"/>
    </xf>
    <xf numFmtId="49" fontId="35" fillId="0" borderId="527" applyNumberFormat="0" applyFont="0" applyFill="0" applyBorder="0" applyProtection="0">
      <alignment horizontal="left" vertical="center" indent="5"/>
    </xf>
    <xf numFmtId="0" fontId="35" fillId="32" borderId="527">
      <alignment horizontal="left" vertical="center"/>
    </xf>
    <xf numFmtId="0" fontId="47" fillId="56" borderId="523" applyNumberFormat="0" applyAlignment="0" applyProtection="0"/>
    <xf numFmtId="4" fontId="33" fillId="34" borderId="528">
      <alignment horizontal="right" vertical="center"/>
    </xf>
    <xf numFmtId="0" fontId="59" fillId="43" borderId="523" applyNumberFormat="0" applyAlignment="0" applyProtection="0"/>
    <xf numFmtId="0" fontId="59" fillId="43" borderId="523" applyNumberFormat="0" applyAlignment="0" applyProtection="0"/>
    <xf numFmtId="0" fontId="41" fillId="59" borderId="525" applyNumberFormat="0" applyFont="0" applyAlignment="0" applyProtection="0"/>
    <xf numFmtId="0" fontId="63" fillId="56" borderId="530" applyNumberFormat="0" applyAlignment="0" applyProtection="0"/>
    <xf numFmtId="0" fontId="66" fillId="0" borderId="524" applyNumberFormat="0" applyFill="0" applyAlignment="0" applyProtection="0"/>
    <xf numFmtId="0" fontId="33" fillId="34" borderId="526">
      <alignment horizontal="right" vertical="center"/>
    </xf>
    <xf numFmtId="0" fontId="5" fillId="59" borderId="525" applyNumberFormat="0" applyFont="0" applyAlignment="0" applyProtection="0"/>
    <xf numFmtId="4" fontId="35" fillId="0" borderId="526">
      <alignment horizontal="right" vertical="center"/>
    </xf>
    <xf numFmtId="0" fontId="66" fillId="0" borderId="524" applyNumberFormat="0" applyFill="0" applyAlignment="0" applyProtection="0"/>
    <xf numFmtId="0" fontId="33" fillId="34" borderId="526">
      <alignment horizontal="right" vertical="center"/>
    </xf>
    <xf numFmtId="0" fontId="33" fillId="34" borderId="526">
      <alignment horizontal="right" vertical="center"/>
    </xf>
    <xf numFmtId="4" fontId="37" fillId="32" borderId="526">
      <alignment horizontal="right" vertical="center"/>
    </xf>
    <xf numFmtId="0" fontId="33" fillId="32" borderId="526">
      <alignment horizontal="right" vertical="center"/>
    </xf>
    <xf numFmtId="4" fontId="33" fillId="32" borderId="526">
      <alignment horizontal="right" vertical="center"/>
    </xf>
    <xf numFmtId="0" fontId="37" fillId="32" borderId="526">
      <alignment horizontal="right" vertical="center"/>
    </xf>
    <xf numFmtId="4" fontId="37" fillId="32" borderId="526">
      <alignment horizontal="right" vertical="center"/>
    </xf>
    <xf numFmtId="0" fontId="33" fillId="34" borderId="526">
      <alignment horizontal="right" vertical="center"/>
    </xf>
    <xf numFmtId="4" fontId="33" fillId="34" borderId="526">
      <alignment horizontal="right" vertical="center"/>
    </xf>
    <xf numFmtId="0" fontId="33" fillId="34" borderId="526">
      <alignment horizontal="right" vertical="center"/>
    </xf>
    <xf numFmtId="4" fontId="33" fillId="34" borderId="526">
      <alignment horizontal="right" vertical="center"/>
    </xf>
    <xf numFmtId="0" fontId="33" fillId="34" borderId="527">
      <alignment horizontal="right" vertical="center"/>
    </xf>
    <xf numFmtId="4" fontId="33" fillId="34" borderId="527">
      <alignment horizontal="right" vertical="center"/>
    </xf>
    <xf numFmtId="0" fontId="33" fillId="34" borderId="528">
      <alignment horizontal="right" vertical="center"/>
    </xf>
    <xf numFmtId="4" fontId="33" fillId="34" borderId="528">
      <alignment horizontal="right" vertical="center"/>
    </xf>
    <xf numFmtId="0" fontId="47" fillId="56" borderId="523" applyNumberFormat="0" applyAlignment="0" applyProtection="0"/>
    <xf numFmtId="0" fontId="35" fillId="34" borderId="529">
      <alignment horizontal="left" vertical="center" wrapText="1" indent="2"/>
    </xf>
    <xf numFmtId="0" fontId="35" fillId="0" borderId="529">
      <alignment horizontal="left" vertical="center" wrapText="1" indent="2"/>
    </xf>
    <xf numFmtId="0" fontId="35" fillId="32" borderId="527">
      <alignment horizontal="left" vertical="center"/>
    </xf>
    <xf numFmtId="0" fontId="59" fillId="43" borderId="523" applyNumberFormat="0" applyAlignment="0" applyProtection="0"/>
    <xf numFmtId="0" fontId="35" fillId="0" borderId="526">
      <alignment horizontal="right" vertical="center"/>
    </xf>
    <xf numFmtId="4" fontId="35" fillId="0" borderId="526">
      <alignment horizontal="right" vertical="center"/>
    </xf>
    <xf numFmtId="0" fontId="35" fillId="0" borderId="526" applyNumberFormat="0" applyFill="0" applyAlignment="0" applyProtection="0"/>
    <xf numFmtId="0" fontId="63" fillId="56" borderId="530" applyNumberFormat="0" applyAlignment="0" applyProtection="0"/>
    <xf numFmtId="173" fontId="35" fillId="60" borderId="526" applyNumberFormat="0" applyFont="0" applyBorder="0" applyAlignment="0" applyProtection="0">
      <alignment horizontal="right" vertical="center"/>
    </xf>
    <xf numFmtId="0" fontId="35" fillId="33" borderId="526"/>
    <xf numFmtId="4" fontId="35" fillId="33" borderId="526"/>
    <xf numFmtId="0" fontId="66" fillId="0" borderId="524" applyNumberFormat="0" applyFill="0" applyAlignment="0" applyProtection="0"/>
    <xf numFmtId="0" fontId="5" fillId="59" borderId="525" applyNumberFormat="0" applyFont="0" applyAlignment="0" applyProtection="0"/>
    <xf numFmtId="0" fontId="41" fillId="59" borderId="525" applyNumberFormat="0" applyFont="0" applyAlignment="0" applyProtection="0"/>
    <xf numFmtId="0" fontId="35" fillId="0" borderId="526" applyNumberFormat="0" applyFill="0" applyAlignment="0" applyProtection="0"/>
    <xf numFmtId="0" fontId="51" fillId="0" borderId="524" applyNumberFormat="0" applyFill="0" applyAlignment="0" applyProtection="0"/>
    <xf numFmtId="0" fontId="66" fillId="0" borderId="524" applyNumberFormat="0" applyFill="0" applyAlignment="0" applyProtection="0"/>
    <xf numFmtId="0" fontId="50" fillId="43" borderId="523" applyNumberFormat="0" applyAlignment="0" applyProtection="0"/>
    <xf numFmtId="0" fontId="47" fillId="56" borderId="523" applyNumberFormat="0" applyAlignment="0" applyProtection="0"/>
    <xf numFmtId="4" fontId="37" fillId="32" borderId="526">
      <alignment horizontal="right" vertical="center"/>
    </xf>
    <xf numFmtId="0" fontId="33" fillId="32" borderId="526">
      <alignment horizontal="right" vertical="center"/>
    </xf>
    <xf numFmtId="173" fontId="35" fillId="60" borderId="526" applyNumberFormat="0" applyFont="0" applyBorder="0" applyAlignment="0" applyProtection="0">
      <alignment horizontal="right" vertical="center"/>
    </xf>
    <xf numFmtId="0" fontId="51" fillId="0" borderId="524" applyNumberFormat="0" applyFill="0" applyAlignment="0" applyProtection="0"/>
    <xf numFmtId="49" fontId="35" fillId="0" borderId="526" applyNumberFormat="0" applyFont="0" applyFill="0" applyBorder="0" applyProtection="0">
      <alignment horizontal="left" vertical="center" indent="2"/>
    </xf>
    <xf numFmtId="49" fontId="35" fillId="0" borderId="527" applyNumberFormat="0" applyFont="0" applyFill="0" applyBorder="0" applyProtection="0">
      <alignment horizontal="left" vertical="center" indent="5"/>
    </xf>
    <xf numFmtId="49" fontId="35" fillId="0" borderId="526" applyNumberFormat="0" applyFont="0" applyFill="0" applyBorder="0" applyProtection="0">
      <alignment horizontal="left" vertical="center" indent="2"/>
    </xf>
    <xf numFmtId="4" fontId="35" fillId="0" borderId="526" applyFill="0" applyBorder="0" applyProtection="0">
      <alignment horizontal="right" vertical="center"/>
    </xf>
    <xf numFmtId="49" fontId="34" fillId="0" borderId="526" applyNumberFormat="0" applyFill="0" applyBorder="0" applyProtection="0">
      <alignment horizontal="left" vertical="center"/>
    </xf>
    <xf numFmtId="0" fontId="35" fillId="0" borderId="529">
      <alignment horizontal="left" vertical="center" wrapText="1" indent="2"/>
    </xf>
    <xf numFmtId="0" fontId="63" fillId="56" borderId="530" applyNumberFormat="0" applyAlignment="0" applyProtection="0"/>
    <xf numFmtId="0" fontId="33" fillId="34" borderId="528">
      <alignment horizontal="right" vertical="center"/>
    </xf>
    <xf numFmtId="0" fontId="50" fillId="43" borderId="523" applyNumberFormat="0" applyAlignment="0" applyProtection="0"/>
    <xf numFmtId="0" fontId="33" fillId="34" borderId="528">
      <alignment horizontal="right" vertical="center"/>
    </xf>
    <xf numFmtId="4" fontId="33" fillId="34" borderId="526">
      <alignment horizontal="right" vertical="center"/>
    </xf>
    <xf numFmtId="0" fontId="33" fillId="34" borderId="526">
      <alignment horizontal="right" vertical="center"/>
    </xf>
    <xf numFmtId="0" fontId="44" fillId="56" borderId="530" applyNumberFormat="0" applyAlignment="0" applyProtection="0"/>
    <xf numFmtId="0" fontId="46" fillId="56" borderId="523" applyNumberFormat="0" applyAlignment="0" applyProtection="0"/>
    <xf numFmtId="0" fontId="51" fillId="0" borderId="524" applyNumberFormat="0" applyFill="0" applyAlignment="0" applyProtection="0"/>
    <xf numFmtId="0" fontId="35" fillId="33" borderId="526"/>
    <xf numFmtId="4" fontId="35" fillId="33" borderId="526"/>
    <xf numFmtId="4" fontId="33" fillId="34" borderId="526">
      <alignment horizontal="right" vertical="center"/>
    </xf>
    <xf numFmtId="0" fontId="37" fillId="32" borderId="526">
      <alignment horizontal="right" vertical="center"/>
    </xf>
    <xf numFmtId="0" fontId="50" fillId="43" borderId="523" applyNumberFormat="0" applyAlignment="0" applyProtection="0"/>
    <xf numFmtId="0" fontId="47" fillId="56" borderId="523" applyNumberFormat="0" applyAlignment="0" applyProtection="0"/>
    <xf numFmtId="4" fontId="35" fillId="0" borderId="526">
      <alignment horizontal="right" vertical="center"/>
    </xf>
    <xf numFmtId="0" fontId="35" fillId="34" borderId="529">
      <alignment horizontal="left" vertical="center" wrapText="1" indent="2"/>
    </xf>
    <xf numFmtId="0" fontId="35" fillId="0" borderId="529">
      <alignment horizontal="left" vertical="center" wrapText="1" indent="2"/>
    </xf>
    <xf numFmtId="0" fontId="63" fillId="56" borderId="530" applyNumberFormat="0" applyAlignment="0" applyProtection="0"/>
    <xf numFmtId="0" fontId="59" fillId="43" borderId="523" applyNumberFormat="0" applyAlignment="0" applyProtection="0"/>
    <xf numFmtId="0" fontId="46" fillId="56" borderId="523" applyNumberFormat="0" applyAlignment="0" applyProtection="0"/>
    <xf numFmtId="0" fontId="44" fillId="56" borderId="530" applyNumberFormat="0" applyAlignment="0" applyProtection="0"/>
    <xf numFmtId="0" fontId="33" fillId="34" borderId="528">
      <alignment horizontal="right" vertical="center"/>
    </xf>
    <xf numFmtId="0" fontId="37" fillId="32" borderId="526">
      <alignment horizontal="right" vertical="center"/>
    </xf>
    <xf numFmtId="4" fontId="33" fillId="32" borderId="526">
      <alignment horizontal="right" vertical="center"/>
    </xf>
    <xf numFmtId="4" fontId="33" fillId="34" borderId="526">
      <alignment horizontal="right" vertical="center"/>
    </xf>
    <xf numFmtId="49" fontId="35" fillId="0" borderId="527" applyNumberFormat="0" applyFont="0" applyFill="0" applyBorder="0" applyProtection="0">
      <alignment horizontal="left" vertical="center" indent="5"/>
    </xf>
    <xf numFmtId="4" fontId="35" fillId="0" borderId="526" applyFill="0" applyBorder="0" applyProtection="0">
      <alignment horizontal="right" vertical="center"/>
    </xf>
    <xf numFmtId="4" fontId="33" fillId="32" borderId="526">
      <alignment horizontal="right" vertical="center"/>
    </xf>
    <xf numFmtId="0" fontId="31" fillId="0" borderId="0" applyNumberFormat="0" applyFill="0" applyBorder="0" applyAlignment="0" applyProtection="0"/>
    <xf numFmtId="0" fontId="59" fillId="43" borderId="523" applyNumberFormat="0" applyAlignment="0" applyProtection="0"/>
    <xf numFmtId="0" fontId="50" fillId="43" borderId="523" applyNumberFormat="0" applyAlignment="0" applyProtection="0"/>
    <xf numFmtId="0" fontId="46" fillId="56" borderId="523" applyNumberFormat="0" applyAlignment="0" applyProtection="0"/>
    <xf numFmtId="0" fontId="35" fillId="34" borderId="529">
      <alignment horizontal="left" vertical="center" wrapText="1" indent="2"/>
    </xf>
    <xf numFmtId="0" fontId="35" fillId="0" borderId="529">
      <alignment horizontal="left" vertical="center" wrapText="1" indent="2"/>
    </xf>
    <xf numFmtId="0" fontId="35" fillId="34" borderId="529">
      <alignment horizontal="left" vertical="center" wrapText="1" indent="2"/>
    </xf>
    <xf numFmtId="0" fontId="35" fillId="0" borderId="529">
      <alignment horizontal="left" vertical="center" wrapText="1" indent="2"/>
    </xf>
    <xf numFmtId="0" fontId="44" fillId="56" borderId="530" applyNumberFormat="0" applyAlignment="0" applyProtection="0"/>
    <xf numFmtId="0" fontId="46" fillId="56" borderId="523" applyNumberFormat="0" applyAlignment="0" applyProtection="0"/>
    <xf numFmtId="0" fontId="47" fillId="56" borderId="523" applyNumberFormat="0" applyAlignment="0" applyProtection="0"/>
    <xf numFmtId="0" fontId="50" fillId="43" borderId="523" applyNumberFormat="0" applyAlignment="0" applyProtection="0"/>
    <xf numFmtId="0" fontId="51" fillId="0" borderId="524" applyNumberFormat="0" applyFill="0" applyAlignment="0" applyProtection="0"/>
    <xf numFmtId="0" fontId="59" fillId="43" borderId="523" applyNumberFormat="0" applyAlignment="0" applyProtection="0"/>
    <xf numFmtId="0" fontId="41" fillId="59" borderId="525" applyNumberFormat="0" applyFont="0" applyAlignment="0" applyProtection="0"/>
    <xf numFmtId="0" fontId="5" fillId="59" borderId="525" applyNumberFormat="0" applyFont="0" applyAlignment="0" applyProtection="0"/>
    <xf numFmtId="0" fontId="63" fillId="56" borderId="530" applyNumberFormat="0" applyAlignment="0" applyProtection="0"/>
    <xf numFmtId="0" fontId="66" fillId="0" borderId="524" applyNumberFormat="0" applyFill="0" applyAlignment="0" applyProtection="0"/>
    <xf numFmtId="0" fontId="47" fillId="56" borderId="523" applyNumberFormat="0" applyAlignment="0" applyProtection="0"/>
    <xf numFmtId="0" fontId="59" fillId="43" borderId="523" applyNumberFormat="0" applyAlignment="0" applyProtection="0"/>
    <xf numFmtId="0" fontId="41" fillId="59" borderId="525" applyNumberFormat="0" applyFont="0" applyAlignment="0" applyProtection="0"/>
    <xf numFmtId="0" fontId="63" fillId="56" borderId="530" applyNumberFormat="0" applyAlignment="0" applyProtection="0"/>
    <xf numFmtId="0" fontId="66" fillId="0" borderId="524" applyNumberFormat="0" applyFill="0" applyAlignment="0" applyProtection="0"/>
    <xf numFmtId="0" fontId="63" fillId="56" borderId="539" applyNumberFormat="0" applyAlignment="0" applyProtection="0"/>
    <xf numFmtId="0" fontId="30" fillId="13" borderId="13" applyNumberFormat="0" applyAlignment="0" applyProtection="0"/>
    <xf numFmtId="0" fontId="51" fillId="0" borderId="556" applyNumberFormat="0" applyFill="0" applyAlignment="0" applyProtection="0"/>
    <xf numFmtId="0" fontId="47" fillId="56" borderId="523" applyNumberFormat="0" applyAlignment="0" applyProtection="0"/>
    <xf numFmtId="0" fontId="33" fillId="34" borderId="532">
      <alignment horizontal="right" vertical="center"/>
    </xf>
    <xf numFmtId="4" fontId="33" fillId="32" borderId="532">
      <alignment horizontal="right" vertical="center"/>
    </xf>
    <xf numFmtId="0" fontId="50" fillId="43" borderId="548" applyNumberFormat="0" applyAlignment="0" applyProtection="0"/>
    <xf numFmtId="0" fontId="59" fillId="43" borderId="523" applyNumberFormat="0" applyAlignment="0" applyProtection="0"/>
    <xf numFmtId="0" fontId="63" fillId="56" borderId="530" applyNumberFormat="0" applyAlignment="0" applyProtection="0"/>
    <xf numFmtId="0" fontId="66" fillId="0" borderId="524" applyNumberFormat="0" applyFill="0" applyAlignment="0" applyProtection="0"/>
    <xf numFmtId="0" fontId="44" fillId="56" borderId="530" applyNumberFormat="0" applyAlignment="0" applyProtection="0"/>
    <xf numFmtId="0" fontId="46" fillId="56" borderId="523" applyNumberFormat="0" applyAlignment="0" applyProtection="0"/>
    <xf numFmtId="0" fontId="51" fillId="0" borderId="524" applyNumberFormat="0" applyFill="0" applyAlignment="0" applyProtection="0"/>
    <xf numFmtId="49" fontId="35" fillId="0" borderId="526" applyNumberFormat="0" applyFont="0" applyFill="0" applyBorder="0" applyProtection="0">
      <alignment horizontal="left" vertical="center" indent="2"/>
    </xf>
    <xf numFmtId="0" fontId="33" fillId="32" borderId="526">
      <alignment horizontal="right" vertical="center"/>
    </xf>
    <xf numFmtId="4" fontId="33" fillId="32" borderId="526">
      <alignment horizontal="right" vertical="center"/>
    </xf>
    <xf numFmtId="0" fontId="37" fillId="32" borderId="526">
      <alignment horizontal="right" vertical="center"/>
    </xf>
    <xf numFmtId="4" fontId="37" fillId="32" borderId="526">
      <alignment horizontal="right" vertical="center"/>
    </xf>
    <xf numFmtId="0" fontId="33" fillId="34" borderId="526">
      <alignment horizontal="right" vertical="center"/>
    </xf>
    <xf numFmtId="4" fontId="33" fillId="34" borderId="526">
      <alignment horizontal="right" vertical="center"/>
    </xf>
    <xf numFmtId="0" fontId="33" fillId="34" borderId="526">
      <alignment horizontal="right" vertical="center"/>
    </xf>
    <xf numFmtId="4" fontId="33" fillId="34" borderId="526">
      <alignment horizontal="right" vertical="center"/>
    </xf>
    <xf numFmtId="0" fontId="50" fillId="43" borderId="523" applyNumberFormat="0" applyAlignment="0" applyProtection="0"/>
    <xf numFmtId="0" fontId="35" fillId="0" borderId="526">
      <alignment horizontal="right" vertical="center"/>
    </xf>
    <xf numFmtId="4" fontId="35" fillId="0" borderId="526">
      <alignment horizontal="right" vertical="center"/>
    </xf>
    <xf numFmtId="4" fontId="35" fillId="0" borderId="526" applyFill="0" applyBorder="0" applyProtection="0">
      <alignment horizontal="right" vertical="center"/>
    </xf>
    <xf numFmtId="49" fontId="34" fillId="0" borderId="526" applyNumberFormat="0" applyFill="0" applyBorder="0" applyProtection="0">
      <alignment horizontal="left" vertical="center"/>
    </xf>
    <xf numFmtId="0" fontId="35" fillId="0" borderId="526" applyNumberFormat="0" applyFill="0" applyAlignment="0" applyProtection="0"/>
    <xf numFmtId="173" fontId="35" fillId="60" borderId="526" applyNumberFormat="0" applyFont="0" applyBorder="0" applyAlignment="0" applyProtection="0">
      <alignment horizontal="right" vertical="center"/>
    </xf>
    <xf numFmtId="0" fontId="35" fillId="33" borderId="526"/>
    <xf numFmtId="4" fontId="35" fillId="33" borderId="526"/>
    <xf numFmtId="4" fontId="33" fillId="34" borderId="526">
      <alignment horizontal="right" vertical="center"/>
    </xf>
    <xf numFmtId="0" fontId="35" fillId="33" borderId="526"/>
    <xf numFmtId="0" fontId="46" fillId="56" borderId="523" applyNumberFormat="0" applyAlignment="0" applyProtection="0"/>
    <xf numFmtId="0" fontId="33" fillId="32" borderId="526">
      <alignment horizontal="right" vertical="center"/>
    </xf>
    <xf numFmtId="0" fontId="35" fillId="0" borderId="526">
      <alignment horizontal="right" vertical="center"/>
    </xf>
    <xf numFmtId="0" fontId="66" fillId="0" borderId="524" applyNumberFormat="0" applyFill="0" applyAlignment="0" applyProtection="0"/>
    <xf numFmtId="0" fontId="35" fillId="32" borderId="527">
      <alignment horizontal="left" vertical="center"/>
    </xf>
    <xf numFmtId="0" fontId="59" fillId="43" borderId="523" applyNumberFormat="0" applyAlignment="0" applyProtection="0"/>
    <xf numFmtId="173" fontId="35" fillId="60" borderId="526" applyNumberFormat="0" applyFont="0" applyBorder="0" applyAlignment="0" applyProtection="0">
      <alignment horizontal="right" vertical="center"/>
    </xf>
    <xf numFmtId="0" fontId="41" fillId="59" borderId="525" applyNumberFormat="0" applyFont="0" applyAlignment="0" applyProtection="0"/>
    <xf numFmtId="0" fontId="35" fillId="0" borderId="529">
      <alignment horizontal="left" vertical="center" wrapText="1" indent="2"/>
    </xf>
    <xf numFmtId="4" fontId="35" fillId="33" borderId="526"/>
    <xf numFmtId="49" fontId="34" fillId="0" borderId="526" applyNumberFormat="0" applyFill="0" applyBorder="0" applyProtection="0">
      <alignment horizontal="left" vertical="center"/>
    </xf>
    <xf numFmtId="0" fontId="35" fillId="0" borderId="526">
      <alignment horizontal="right" vertical="center"/>
    </xf>
    <xf numFmtId="4" fontId="33" fillId="34" borderId="528">
      <alignment horizontal="right" vertical="center"/>
    </xf>
    <xf numFmtId="4" fontId="33" fillId="34" borderId="526">
      <alignment horizontal="right" vertical="center"/>
    </xf>
    <xf numFmtId="4" fontId="33" fillId="34" borderId="526">
      <alignment horizontal="right" vertical="center"/>
    </xf>
    <xf numFmtId="0" fontId="37" fillId="32" borderId="526">
      <alignment horizontal="right" vertical="center"/>
    </xf>
    <xf numFmtId="0" fontId="33" fillId="32" borderId="526">
      <alignment horizontal="right" vertical="center"/>
    </xf>
    <xf numFmtId="49" fontId="35" fillId="0" borderId="526" applyNumberFormat="0" applyFont="0" applyFill="0" applyBorder="0" applyProtection="0">
      <alignment horizontal="left" vertical="center" indent="2"/>
    </xf>
    <xf numFmtId="0" fontId="59" fillId="43" borderId="523" applyNumberFormat="0" applyAlignment="0" applyProtection="0"/>
    <xf numFmtId="0" fontId="44" fillId="56" borderId="530" applyNumberFormat="0" applyAlignment="0" applyProtection="0"/>
    <xf numFmtId="49" fontId="35" fillId="0" borderId="526" applyNumberFormat="0" applyFont="0" applyFill="0" applyBorder="0" applyProtection="0">
      <alignment horizontal="left" vertical="center" indent="2"/>
    </xf>
    <xf numFmtId="0" fontId="50" fillId="43" borderId="523" applyNumberFormat="0" applyAlignment="0" applyProtection="0"/>
    <xf numFmtId="4" fontId="35" fillId="0" borderId="526" applyFill="0" applyBorder="0" applyProtection="0">
      <alignment horizontal="right" vertical="center"/>
    </xf>
    <xf numFmtId="0" fontId="47" fillId="56" borderId="523" applyNumberFormat="0" applyAlignment="0" applyProtection="0"/>
    <xf numFmtId="0" fontId="66" fillId="0" borderId="524" applyNumberFormat="0" applyFill="0" applyAlignment="0" applyProtection="0"/>
    <xf numFmtId="0" fontId="63" fillId="56" borderId="530" applyNumberFormat="0" applyAlignment="0" applyProtection="0"/>
    <xf numFmtId="0" fontId="35" fillId="0" borderId="526" applyNumberFormat="0" applyFill="0" applyAlignment="0" applyProtection="0"/>
    <xf numFmtId="4" fontId="35" fillId="0" borderId="526">
      <alignment horizontal="right" vertical="center"/>
    </xf>
    <xf numFmtId="0" fontId="35" fillId="0" borderId="526">
      <alignment horizontal="right" vertical="center"/>
    </xf>
    <xf numFmtId="0" fontId="59" fillId="43" borderId="523" applyNumberFormat="0" applyAlignment="0" applyProtection="0"/>
    <xf numFmtId="0" fontId="44" fillId="56" borderId="530" applyNumberFormat="0" applyAlignment="0" applyProtection="0"/>
    <xf numFmtId="0" fontId="46" fillId="56" borderId="523" applyNumberFormat="0" applyAlignment="0" applyProtection="0"/>
    <xf numFmtId="0" fontId="35" fillId="34" borderId="529">
      <alignment horizontal="left" vertical="center" wrapText="1" indent="2"/>
    </xf>
    <xf numFmtId="0" fontId="47" fillId="56" borderId="523" applyNumberFormat="0" applyAlignment="0" applyProtection="0"/>
    <xf numFmtId="0" fontId="47" fillId="56" borderId="523" applyNumberFormat="0" applyAlignment="0" applyProtection="0"/>
    <xf numFmtId="4" fontId="33" fillId="34" borderId="527">
      <alignment horizontal="right" vertical="center"/>
    </xf>
    <xf numFmtId="0" fontId="33" fillId="34" borderId="527">
      <alignment horizontal="right" vertical="center"/>
    </xf>
    <xf numFmtId="0" fontId="33" fillId="34" borderId="526">
      <alignment horizontal="right" vertical="center"/>
    </xf>
    <xf numFmtId="4" fontId="37" fillId="32" borderId="526">
      <alignment horizontal="right" vertical="center"/>
    </xf>
    <xf numFmtId="0" fontId="50" fillId="43" borderId="523" applyNumberFormat="0" applyAlignment="0" applyProtection="0"/>
    <xf numFmtId="0" fontId="51" fillId="0" borderId="524" applyNumberFormat="0" applyFill="0" applyAlignment="0" applyProtection="0"/>
    <xf numFmtId="0" fontId="66" fillId="0" borderId="524" applyNumberFormat="0" applyFill="0" applyAlignment="0" applyProtection="0"/>
    <xf numFmtId="0" fontId="41" fillId="59" borderId="525" applyNumberFormat="0" applyFont="0" applyAlignment="0" applyProtection="0"/>
    <xf numFmtId="0" fontId="59" fillId="43" borderId="523" applyNumberFormat="0" applyAlignment="0" applyProtection="0"/>
    <xf numFmtId="49" fontId="34" fillId="0" borderId="526" applyNumberFormat="0" applyFill="0" applyBorder="0" applyProtection="0">
      <alignment horizontal="left" vertical="center"/>
    </xf>
    <xf numFmtId="0" fontId="35" fillId="34" borderId="529">
      <alignment horizontal="left" vertical="center" wrapText="1" indent="2"/>
    </xf>
    <xf numFmtId="0" fontId="47" fillId="56" borderId="523" applyNumberFormat="0" applyAlignment="0" applyProtection="0"/>
    <xf numFmtId="0" fontId="35" fillId="0" borderId="529">
      <alignment horizontal="left" vertical="center" wrapText="1" indent="2"/>
    </xf>
    <xf numFmtId="0" fontId="41" fillId="59" borderId="525" applyNumberFormat="0" applyFont="0" applyAlignment="0" applyProtection="0"/>
    <xf numFmtId="0" fontId="5" fillId="59" borderId="525" applyNumberFormat="0" applyFont="0" applyAlignment="0" applyProtection="0"/>
    <xf numFmtId="0" fontId="63" fillId="56" borderId="530" applyNumberFormat="0" applyAlignment="0" applyProtection="0"/>
    <xf numFmtId="0" fontId="66" fillId="0" borderId="524" applyNumberFormat="0" applyFill="0" applyAlignment="0" applyProtection="0"/>
    <xf numFmtId="4" fontId="35" fillId="33" borderId="526"/>
    <xf numFmtId="0" fontId="33" fillId="34" borderId="526">
      <alignment horizontal="right" vertical="center"/>
    </xf>
    <xf numFmtId="0" fontId="66" fillId="0" borderId="524" applyNumberFormat="0" applyFill="0" applyAlignment="0" applyProtection="0"/>
    <xf numFmtId="4" fontId="33" fillId="34" borderId="528">
      <alignment horizontal="right" vertical="center"/>
    </xf>
    <xf numFmtId="0" fontId="46" fillId="56" borderId="523" applyNumberFormat="0" applyAlignment="0" applyProtection="0"/>
    <xf numFmtId="0" fontId="33" fillId="34" borderId="527">
      <alignment horizontal="right" vertical="center"/>
    </xf>
    <xf numFmtId="0" fontId="47" fillId="56" borderId="523" applyNumberFormat="0" applyAlignment="0" applyProtection="0"/>
    <xf numFmtId="0" fontId="51" fillId="0" borderId="524" applyNumberFormat="0" applyFill="0" applyAlignment="0" applyProtection="0"/>
    <xf numFmtId="0" fontId="41" fillId="59" borderId="525" applyNumberFormat="0" applyFont="0" applyAlignment="0" applyProtection="0"/>
    <xf numFmtId="4" fontId="33" fillId="34" borderId="527">
      <alignment horizontal="right" vertical="center"/>
    </xf>
    <xf numFmtId="0" fontId="35" fillId="34" borderId="529">
      <alignment horizontal="left" vertical="center" wrapText="1" indent="2"/>
    </xf>
    <xf numFmtId="0" fontId="35" fillId="33" borderId="526"/>
    <xf numFmtId="173" fontId="35" fillId="60" borderId="526" applyNumberFormat="0" applyFont="0" applyBorder="0" applyAlignment="0" applyProtection="0">
      <alignment horizontal="right" vertical="center"/>
    </xf>
    <xf numFmtId="0" fontId="35" fillId="0" borderId="526" applyNumberFormat="0" applyFill="0" applyAlignment="0" applyProtection="0"/>
    <xf numFmtId="4" fontId="35" fillId="0" borderId="526" applyFill="0" applyBorder="0" applyProtection="0">
      <alignment horizontal="right" vertical="center"/>
    </xf>
    <xf numFmtId="4" fontId="33" fillId="32" borderId="526">
      <alignment horizontal="right" vertical="center"/>
    </xf>
    <xf numFmtId="0" fontId="51" fillId="0" borderId="524" applyNumberFormat="0" applyFill="0" applyAlignment="0" applyProtection="0"/>
    <xf numFmtId="49" fontId="34" fillId="0" borderId="526" applyNumberFormat="0" applyFill="0" applyBorder="0" applyProtection="0">
      <alignment horizontal="left" vertical="center"/>
    </xf>
    <xf numFmtId="49" fontId="35" fillId="0" borderId="527" applyNumberFormat="0" applyFont="0" applyFill="0" applyBorder="0" applyProtection="0">
      <alignment horizontal="left" vertical="center" indent="5"/>
    </xf>
    <xf numFmtId="0" fontId="35" fillId="32" borderId="527">
      <alignment horizontal="left" vertical="center"/>
    </xf>
    <xf numFmtId="0" fontId="47" fillId="56" borderId="523" applyNumberFormat="0" applyAlignment="0" applyProtection="0"/>
    <xf numFmtId="4" fontId="33" fillId="34" borderId="528">
      <alignment horizontal="right" vertical="center"/>
    </xf>
    <xf numFmtId="0" fontId="59" fillId="43" borderId="523" applyNumberFormat="0" applyAlignment="0" applyProtection="0"/>
    <xf numFmtId="0" fontId="59" fillId="43" borderId="523" applyNumberFormat="0" applyAlignment="0" applyProtection="0"/>
    <xf numFmtId="0" fontId="41" fillId="59" borderId="525" applyNumberFormat="0" applyFont="0" applyAlignment="0" applyProtection="0"/>
    <xf numFmtId="0" fontId="63" fillId="56" borderId="530" applyNumberFormat="0" applyAlignment="0" applyProtection="0"/>
    <xf numFmtId="0" fontId="66" fillId="0" borderId="524" applyNumberFormat="0" applyFill="0" applyAlignment="0" applyProtection="0"/>
    <xf numFmtId="0" fontId="33" fillId="34" borderId="526">
      <alignment horizontal="right" vertical="center"/>
    </xf>
    <xf numFmtId="0" fontId="5" fillId="59" borderId="525" applyNumberFormat="0" applyFont="0" applyAlignment="0" applyProtection="0"/>
    <xf numFmtId="4" fontId="35" fillId="0" borderId="526">
      <alignment horizontal="right" vertical="center"/>
    </xf>
    <xf numFmtId="0" fontId="66" fillId="0" borderId="524" applyNumberFormat="0" applyFill="0" applyAlignment="0" applyProtection="0"/>
    <xf numFmtId="0" fontId="33" fillId="34" borderId="526">
      <alignment horizontal="right" vertical="center"/>
    </xf>
    <xf numFmtId="0" fontId="33" fillId="34" borderId="526">
      <alignment horizontal="right" vertical="center"/>
    </xf>
    <xf numFmtId="4" fontId="37" fillId="32" borderId="526">
      <alignment horizontal="right" vertical="center"/>
    </xf>
    <xf numFmtId="0" fontId="33" fillId="32" borderId="526">
      <alignment horizontal="right" vertical="center"/>
    </xf>
    <xf numFmtId="4" fontId="33" fillId="32" borderId="526">
      <alignment horizontal="right" vertical="center"/>
    </xf>
    <xf numFmtId="0" fontId="37" fillId="32" borderId="526">
      <alignment horizontal="right" vertical="center"/>
    </xf>
    <xf numFmtId="4" fontId="37" fillId="32" borderId="526">
      <alignment horizontal="right" vertical="center"/>
    </xf>
    <xf numFmtId="0" fontId="33" fillId="34" borderId="526">
      <alignment horizontal="right" vertical="center"/>
    </xf>
    <xf numFmtId="4" fontId="33" fillId="34" borderId="526">
      <alignment horizontal="right" vertical="center"/>
    </xf>
    <xf numFmtId="0" fontId="33" fillId="34" borderId="526">
      <alignment horizontal="right" vertical="center"/>
    </xf>
    <xf numFmtId="4" fontId="33" fillId="34" borderId="526">
      <alignment horizontal="right" vertical="center"/>
    </xf>
    <xf numFmtId="0" fontId="33" fillId="34" borderId="527">
      <alignment horizontal="right" vertical="center"/>
    </xf>
    <xf numFmtId="4" fontId="33" fillId="34" borderId="527">
      <alignment horizontal="right" vertical="center"/>
    </xf>
    <xf numFmtId="0" fontId="33" fillId="34" borderId="528">
      <alignment horizontal="right" vertical="center"/>
    </xf>
    <xf numFmtId="4" fontId="33" fillId="34" borderId="528">
      <alignment horizontal="right" vertical="center"/>
    </xf>
    <xf numFmtId="0" fontId="47" fillId="56" borderId="523" applyNumberFormat="0" applyAlignment="0" applyProtection="0"/>
    <xf numFmtId="0" fontId="35" fillId="34" borderId="529">
      <alignment horizontal="left" vertical="center" wrapText="1" indent="2"/>
    </xf>
    <xf numFmtId="0" fontId="35" fillId="0" borderId="529">
      <alignment horizontal="left" vertical="center" wrapText="1" indent="2"/>
    </xf>
    <xf numFmtId="0" fontId="35" fillId="32" borderId="527">
      <alignment horizontal="left" vertical="center"/>
    </xf>
    <xf numFmtId="0" fontId="59" fillId="43" borderId="523" applyNumberFormat="0" applyAlignment="0" applyProtection="0"/>
    <xf numFmtId="0" fontId="35" fillId="0" borderId="526">
      <alignment horizontal="right" vertical="center"/>
    </xf>
    <xf numFmtId="4" fontId="35" fillId="0" borderId="526">
      <alignment horizontal="right" vertical="center"/>
    </xf>
    <xf numFmtId="0" fontId="35" fillId="0" borderId="526" applyNumberFormat="0" applyFill="0" applyAlignment="0" applyProtection="0"/>
    <xf numFmtId="0" fontId="63" fillId="56" borderId="530" applyNumberFormat="0" applyAlignment="0" applyProtection="0"/>
    <xf numFmtId="173" fontId="35" fillId="60" borderId="526" applyNumberFormat="0" applyFont="0" applyBorder="0" applyAlignment="0" applyProtection="0">
      <alignment horizontal="right" vertical="center"/>
    </xf>
    <xf numFmtId="0" fontId="35" fillId="33" borderId="526"/>
    <xf numFmtId="4" fontId="35" fillId="33" borderId="526"/>
    <xf numFmtId="0" fontId="66" fillId="0" borderId="524" applyNumberFormat="0" applyFill="0" applyAlignment="0" applyProtection="0"/>
    <xf numFmtId="0" fontId="5" fillId="59" borderId="525" applyNumberFormat="0" applyFont="0" applyAlignment="0" applyProtection="0"/>
    <xf numFmtId="0" fontId="41" fillId="59" borderId="525" applyNumberFormat="0" applyFont="0" applyAlignment="0" applyProtection="0"/>
    <xf numFmtId="0" fontId="35" fillId="0" borderId="526" applyNumberFormat="0" applyFill="0" applyAlignment="0" applyProtection="0"/>
    <xf numFmtId="0" fontId="51" fillId="0" borderId="524" applyNumberFormat="0" applyFill="0" applyAlignment="0" applyProtection="0"/>
    <xf numFmtId="0" fontId="66" fillId="0" borderId="524" applyNumberFormat="0" applyFill="0" applyAlignment="0" applyProtection="0"/>
    <xf numFmtId="0" fontId="50" fillId="43" borderId="523" applyNumberFormat="0" applyAlignment="0" applyProtection="0"/>
    <xf numFmtId="0" fontId="47" fillId="56" borderId="523" applyNumberFormat="0" applyAlignment="0" applyProtection="0"/>
    <xf numFmtId="4" fontId="37" fillId="32" borderId="526">
      <alignment horizontal="right" vertical="center"/>
    </xf>
    <xf numFmtId="0" fontId="33" fillId="32" borderId="526">
      <alignment horizontal="right" vertical="center"/>
    </xf>
    <xf numFmtId="173" fontId="35" fillId="60" borderId="526" applyNumberFormat="0" applyFont="0" applyBorder="0" applyAlignment="0" applyProtection="0">
      <alignment horizontal="right" vertical="center"/>
    </xf>
    <xf numFmtId="0" fontId="51" fillId="0" borderId="524" applyNumberFormat="0" applyFill="0" applyAlignment="0" applyProtection="0"/>
    <xf numFmtId="49" fontId="35" fillId="0" borderId="526" applyNumberFormat="0" applyFont="0" applyFill="0" applyBorder="0" applyProtection="0">
      <alignment horizontal="left" vertical="center" indent="2"/>
    </xf>
    <xf numFmtId="49" fontId="35" fillId="0" borderId="527" applyNumberFormat="0" applyFont="0" applyFill="0" applyBorder="0" applyProtection="0">
      <alignment horizontal="left" vertical="center" indent="5"/>
    </xf>
    <xf numFmtId="49" fontId="35" fillId="0" borderId="526" applyNumberFormat="0" applyFont="0" applyFill="0" applyBorder="0" applyProtection="0">
      <alignment horizontal="left" vertical="center" indent="2"/>
    </xf>
    <xf numFmtId="4" fontId="35" fillId="0" borderId="526" applyFill="0" applyBorder="0" applyProtection="0">
      <alignment horizontal="right" vertical="center"/>
    </xf>
    <xf numFmtId="49" fontId="34" fillId="0" borderId="526" applyNumberFormat="0" applyFill="0" applyBorder="0" applyProtection="0">
      <alignment horizontal="left" vertical="center"/>
    </xf>
    <xf numFmtId="0" fontId="35" fillId="0" borderId="529">
      <alignment horizontal="left" vertical="center" wrapText="1" indent="2"/>
    </xf>
    <xf numFmtId="0" fontId="63" fillId="56" borderId="530" applyNumberFormat="0" applyAlignment="0" applyProtection="0"/>
    <xf numFmtId="0" fontId="33" fillId="34" borderId="528">
      <alignment horizontal="right" vertical="center"/>
    </xf>
    <xf numFmtId="0" fontId="50" fillId="43" borderId="523" applyNumberFormat="0" applyAlignment="0" applyProtection="0"/>
    <xf numFmtId="0" fontId="33" fillId="34" borderId="528">
      <alignment horizontal="right" vertical="center"/>
    </xf>
    <xf numFmtId="4" fontId="33" fillId="34" borderId="526">
      <alignment horizontal="right" vertical="center"/>
    </xf>
    <xf numFmtId="0" fontId="33" fillId="34" borderId="526">
      <alignment horizontal="right" vertical="center"/>
    </xf>
    <xf numFmtId="0" fontId="44" fillId="56" borderId="530" applyNumberFormat="0" applyAlignment="0" applyProtection="0"/>
    <xf numFmtId="0" fontId="46" fillId="56" borderId="523" applyNumberFormat="0" applyAlignment="0" applyProtection="0"/>
    <xf numFmtId="0" fontId="51" fillId="0" borderId="524" applyNumberFormat="0" applyFill="0" applyAlignment="0" applyProtection="0"/>
    <xf numFmtId="0" fontId="35" fillId="33" borderId="526"/>
    <xf numFmtId="4" fontId="35" fillId="33" borderId="526"/>
    <xf numFmtId="4" fontId="33" fillId="34" borderId="526">
      <alignment horizontal="right" vertical="center"/>
    </xf>
    <xf numFmtId="0" fontId="37" fillId="32" borderId="526">
      <alignment horizontal="right" vertical="center"/>
    </xf>
    <xf numFmtId="0" fontId="50" fillId="43" borderId="523" applyNumberFormat="0" applyAlignment="0" applyProtection="0"/>
    <xf numFmtId="0" fontId="47" fillId="56" borderId="523" applyNumberFormat="0" applyAlignment="0" applyProtection="0"/>
    <xf numFmtId="4" fontId="35" fillId="0" borderId="526">
      <alignment horizontal="right" vertical="center"/>
    </xf>
    <xf numFmtId="0" fontId="35" fillId="34" borderId="529">
      <alignment horizontal="left" vertical="center" wrapText="1" indent="2"/>
    </xf>
    <xf numFmtId="0" fontId="35" fillId="0" borderId="529">
      <alignment horizontal="left" vertical="center" wrapText="1" indent="2"/>
    </xf>
    <xf numFmtId="0" fontId="63" fillId="56" borderId="530" applyNumberFormat="0" applyAlignment="0" applyProtection="0"/>
    <xf numFmtId="0" fontId="59" fillId="43" borderId="523" applyNumberFormat="0" applyAlignment="0" applyProtection="0"/>
    <xf numFmtId="0" fontId="46" fillId="56" borderId="523" applyNumberFormat="0" applyAlignment="0" applyProtection="0"/>
    <xf numFmtId="0" fontId="44" fillId="56" borderId="530" applyNumberFormat="0" applyAlignment="0" applyProtection="0"/>
    <xf numFmtId="0" fontId="33" fillId="34" borderId="528">
      <alignment horizontal="right" vertical="center"/>
    </xf>
    <xf numFmtId="0" fontId="37" fillId="32" borderId="526">
      <alignment horizontal="right" vertical="center"/>
    </xf>
    <xf numFmtId="4" fontId="33" fillId="32" borderId="526">
      <alignment horizontal="right" vertical="center"/>
    </xf>
    <xf numFmtId="4" fontId="33" fillId="34" borderId="526">
      <alignment horizontal="right" vertical="center"/>
    </xf>
    <xf numFmtId="49" fontId="35" fillId="0" borderId="527" applyNumberFormat="0" applyFont="0" applyFill="0" applyBorder="0" applyProtection="0">
      <alignment horizontal="left" vertical="center" indent="5"/>
    </xf>
    <xf numFmtId="4" fontId="35" fillId="0" borderId="526" applyFill="0" applyBorder="0" applyProtection="0">
      <alignment horizontal="right" vertical="center"/>
    </xf>
    <xf numFmtId="4" fontId="33" fillId="32" borderId="526">
      <alignment horizontal="right" vertical="center"/>
    </xf>
    <xf numFmtId="0" fontId="59" fillId="43" borderId="523" applyNumberFormat="0" applyAlignment="0" applyProtection="0"/>
    <xf numFmtId="0" fontId="50" fillId="43" borderId="523" applyNumberFormat="0" applyAlignment="0" applyProtection="0"/>
    <xf numFmtId="0" fontId="46" fillId="56" borderId="523" applyNumberFormat="0" applyAlignment="0" applyProtection="0"/>
    <xf numFmtId="0" fontId="35" fillId="34" borderId="529">
      <alignment horizontal="left" vertical="center" wrapText="1" indent="2"/>
    </xf>
    <xf numFmtId="0" fontId="35" fillId="0" borderId="529">
      <alignment horizontal="left" vertical="center" wrapText="1" indent="2"/>
    </xf>
    <xf numFmtId="0" fontId="35" fillId="34" borderId="529">
      <alignment horizontal="left" vertical="center" wrapText="1" indent="2"/>
    </xf>
    <xf numFmtId="0" fontId="37" fillId="32" borderId="532">
      <alignment horizontal="right" vertical="center"/>
    </xf>
    <xf numFmtId="0" fontId="35" fillId="33" borderId="551"/>
    <xf numFmtId="49" fontId="35" fillId="0" borderId="551" applyNumberFormat="0" applyFont="0" applyFill="0" applyBorder="0" applyProtection="0">
      <alignment horizontal="left" vertical="center" indent="2"/>
    </xf>
    <xf numFmtId="0" fontId="47" fillId="56" borderId="548" applyNumberFormat="0" applyAlignment="0" applyProtection="0"/>
    <xf numFmtId="49" fontId="35" fillId="0" borderId="551" applyNumberFormat="0" applyFont="0" applyFill="0" applyBorder="0" applyProtection="0">
      <alignment horizontal="left" vertical="center" indent="2"/>
    </xf>
    <xf numFmtId="49" fontId="34" fillId="0" borderId="551" applyNumberFormat="0" applyFill="0" applyBorder="0" applyProtection="0">
      <alignment horizontal="left" vertical="center"/>
    </xf>
    <xf numFmtId="0" fontId="44" fillId="56" borderId="547" applyNumberFormat="0" applyAlignment="0" applyProtection="0"/>
    <xf numFmtId="0" fontId="35" fillId="33" borderId="551"/>
    <xf numFmtId="0" fontId="1" fillId="0" borderId="0" applyNumberFormat="0" applyFill="0" applyBorder="0" applyAlignment="0" applyProtection="0"/>
    <xf numFmtId="0" fontId="35" fillId="34" borderId="554">
      <alignment horizontal="left" vertical="center" wrapText="1" indent="2"/>
    </xf>
    <xf numFmtId="4" fontId="33" fillId="34" borderId="551">
      <alignment horizontal="right" vertical="center"/>
    </xf>
    <xf numFmtId="4" fontId="35" fillId="0" borderId="551" applyFill="0" applyBorder="0" applyProtection="0">
      <alignment horizontal="right" vertical="center"/>
    </xf>
    <xf numFmtId="0" fontId="33" fillId="34" borderId="553">
      <alignment horizontal="right" vertical="center"/>
    </xf>
    <xf numFmtId="173" fontId="35" fillId="60" borderId="551" applyNumberFormat="0" applyFont="0" applyBorder="0" applyAlignment="0" applyProtection="0">
      <alignment horizontal="right" vertical="center"/>
    </xf>
    <xf numFmtId="0" fontId="35" fillId="0" borderId="558" applyNumberFormat="0" applyFill="0" applyAlignment="0" applyProtection="0"/>
    <xf numFmtId="0" fontId="12" fillId="22" borderId="0" applyNumberFormat="0" applyBorder="0" applyAlignment="0" applyProtection="0"/>
    <xf numFmtId="0" fontId="35" fillId="34" borderId="554">
      <alignment horizontal="left" vertical="center" wrapText="1" indent="2"/>
    </xf>
    <xf numFmtId="0" fontId="27" fillId="20" borderId="0" applyNumberFormat="0" applyBorder="0" applyAlignment="0" applyProtection="0"/>
    <xf numFmtId="0" fontId="35" fillId="0" borderId="551" applyNumberFormat="0" applyFill="0" applyAlignment="0" applyProtection="0"/>
    <xf numFmtId="0" fontId="12" fillId="28" borderId="0" applyNumberFormat="0" applyBorder="0" applyAlignment="0" applyProtection="0"/>
    <xf numFmtId="0" fontId="27" fillId="30" borderId="0" applyNumberFormat="0" applyBorder="0" applyAlignment="0" applyProtection="0"/>
    <xf numFmtId="0" fontId="12" fillId="31" borderId="0" applyNumberFormat="0" applyBorder="0" applyAlignment="0" applyProtection="0"/>
    <xf numFmtId="0" fontId="35" fillId="0" borderId="554">
      <alignment horizontal="left" vertical="center" wrapText="1" indent="2"/>
    </xf>
    <xf numFmtId="0" fontId="12" fillId="25" borderId="0" applyNumberFormat="0" applyBorder="0" applyAlignment="0" applyProtection="0"/>
    <xf numFmtId="0" fontId="27" fillId="23" borderId="0" applyNumberFormat="0" applyBorder="0" applyAlignment="0" applyProtection="0"/>
    <xf numFmtId="0" fontId="27" fillId="17" borderId="0" applyNumberFormat="0" applyBorder="0" applyAlignment="0" applyProtection="0"/>
    <xf numFmtId="4" fontId="33" fillId="34" borderId="551">
      <alignment horizontal="right" vertical="center"/>
    </xf>
    <xf numFmtId="0" fontId="35" fillId="32" borderId="544">
      <alignment horizontal="left" vertical="center"/>
    </xf>
    <xf numFmtId="4" fontId="33" fillId="34" borderId="545">
      <alignment horizontal="right" vertical="center"/>
    </xf>
    <xf numFmtId="4" fontId="33" fillId="34" borderId="558">
      <alignment horizontal="right" vertical="center"/>
    </xf>
    <xf numFmtId="4" fontId="33" fillId="34" borderId="532">
      <alignment horizontal="right" vertical="center"/>
    </xf>
    <xf numFmtId="0" fontId="35" fillId="33" borderId="532"/>
    <xf numFmtId="0" fontId="46" fillId="56" borderId="537" applyNumberFormat="0" applyAlignment="0" applyProtection="0"/>
    <xf numFmtId="0" fontId="33" fillId="32" borderId="532">
      <alignment horizontal="right" vertical="center"/>
    </xf>
    <xf numFmtId="0" fontId="35" fillId="0" borderId="532">
      <alignment horizontal="right" vertical="center"/>
    </xf>
    <xf numFmtId="0" fontId="66" fillId="0" borderId="538" applyNumberFormat="0" applyFill="0" applyAlignment="0" applyProtection="0"/>
    <xf numFmtId="0" fontId="35" fillId="32" borderId="533">
      <alignment horizontal="left" vertical="center"/>
    </xf>
    <xf numFmtId="0" fontId="59" fillId="43" borderId="537" applyNumberFormat="0" applyAlignment="0" applyProtection="0"/>
    <xf numFmtId="173" fontId="35" fillId="60" borderId="532" applyNumberFormat="0" applyFont="0" applyBorder="0" applyAlignment="0" applyProtection="0">
      <alignment horizontal="right" vertical="center"/>
    </xf>
    <xf numFmtId="0" fontId="41" fillId="59" borderId="531" applyNumberFormat="0" applyFont="0" applyAlignment="0" applyProtection="0"/>
    <xf numFmtId="0" fontId="35" fillId="0" borderId="535">
      <alignment horizontal="left" vertical="center" wrapText="1" indent="2"/>
    </xf>
    <xf numFmtId="4" fontId="35" fillId="33" borderId="532"/>
    <xf numFmtId="49" fontId="34" fillId="0" borderId="532" applyNumberFormat="0" applyFill="0" applyBorder="0" applyProtection="0">
      <alignment horizontal="left" vertical="center"/>
    </xf>
    <xf numFmtId="0" fontId="35" fillId="0" borderId="532">
      <alignment horizontal="right" vertical="center"/>
    </xf>
    <xf numFmtId="4" fontId="33" fillId="34" borderId="534">
      <alignment horizontal="right" vertical="center"/>
    </xf>
    <xf numFmtId="4" fontId="33" fillId="34" borderId="532">
      <alignment horizontal="right" vertical="center"/>
    </xf>
    <xf numFmtId="4" fontId="33" fillId="34" borderId="532">
      <alignment horizontal="right" vertical="center"/>
    </xf>
    <xf numFmtId="0" fontId="37" fillId="32" borderId="532">
      <alignment horizontal="right" vertical="center"/>
    </xf>
    <xf numFmtId="0" fontId="33" fillId="32" borderId="532">
      <alignment horizontal="right" vertical="center"/>
    </xf>
    <xf numFmtId="49" fontId="35" fillId="0" borderId="532" applyNumberFormat="0" applyFont="0" applyFill="0" applyBorder="0" applyProtection="0">
      <alignment horizontal="left" vertical="center" indent="2"/>
    </xf>
    <xf numFmtId="0" fontId="59" fillId="43" borderId="537" applyNumberFormat="0" applyAlignment="0" applyProtection="0"/>
    <xf numFmtId="0" fontId="44" fillId="56" borderId="536" applyNumberFormat="0" applyAlignment="0" applyProtection="0"/>
    <xf numFmtId="49" fontId="35" fillId="0" borderId="532" applyNumberFormat="0" applyFont="0" applyFill="0" applyBorder="0" applyProtection="0">
      <alignment horizontal="left" vertical="center" indent="2"/>
    </xf>
    <xf numFmtId="0" fontId="50" fillId="43" borderId="537" applyNumberFormat="0" applyAlignment="0" applyProtection="0"/>
    <xf numFmtId="4" fontId="35" fillId="0" borderId="532" applyFill="0" applyBorder="0" applyProtection="0">
      <alignment horizontal="right" vertical="center"/>
    </xf>
    <xf numFmtId="0" fontId="47" fillId="56" borderId="537" applyNumberFormat="0" applyAlignment="0" applyProtection="0"/>
    <xf numFmtId="0" fontId="66" fillId="0" borderId="538" applyNumberFormat="0" applyFill="0" applyAlignment="0" applyProtection="0"/>
    <xf numFmtId="0" fontId="63" fillId="56" borderId="536" applyNumberFormat="0" applyAlignment="0" applyProtection="0"/>
    <xf numFmtId="0" fontId="35" fillId="0" borderId="532" applyNumberFormat="0" applyFill="0" applyAlignment="0" applyProtection="0"/>
    <xf numFmtId="4" fontId="35" fillId="0" borderId="532">
      <alignment horizontal="right" vertical="center"/>
    </xf>
    <xf numFmtId="0" fontId="35" fillId="0" borderId="532">
      <alignment horizontal="right" vertical="center"/>
    </xf>
    <xf numFmtId="0" fontId="59" fillId="43" borderId="537" applyNumberFormat="0" applyAlignment="0" applyProtection="0"/>
    <xf numFmtId="0" fontId="44" fillId="56" borderId="536" applyNumberFormat="0" applyAlignment="0" applyProtection="0"/>
    <xf numFmtId="0" fontId="46" fillId="56" borderId="537" applyNumberFormat="0" applyAlignment="0" applyProtection="0"/>
    <xf numFmtId="0" fontId="35" fillId="34" borderId="535">
      <alignment horizontal="left" vertical="center" wrapText="1" indent="2"/>
    </xf>
    <xf numFmtId="0" fontId="47" fillId="56" borderId="537" applyNumberFormat="0" applyAlignment="0" applyProtection="0"/>
    <xf numFmtId="0" fontId="47" fillId="56" borderId="537" applyNumberFormat="0" applyAlignment="0" applyProtection="0"/>
    <xf numFmtId="4" fontId="33" fillId="34" borderId="533">
      <alignment horizontal="right" vertical="center"/>
    </xf>
    <xf numFmtId="0" fontId="33" fillId="34" borderId="533">
      <alignment horizontal="right" vertical="center"/>
    </xf>
    <xf numFmtId="0" fontId="33" fillId="34" borderId="532">
      <alignment horizontal="right" vertical="center"/>
    </xf>
    <xf numFmtId="4" fontId="37" fillId="32" borderId="532">
      <alignment horizontal="right" vertical="center"/>
    </xf>
    <xf numFmtId="0" fontId="50" fillId="43" borderId="537" applyNumberFormat="0" applyAlignment="0" applyProtection="0"/>
    <xf numFmtId="0" fontId="51" fillId="0" borderId="538" applyNumberFormat="0" applyFill="0" applyAlignment="0" applyProtection="0"/>
    <xf numFmtId="0" fontId="66" fillId="0" borderId="538" applyNumberFormat="0" applyFill="0" applyAlignment="0" applyProtection="0"/>
    <xf numFmtId="0" fontId="41" fillId="59" borderId="531" applyNumberFormat="0" applyFont="0" applyAlignment="0" applyProtection="0"/>
    <xf numFmtId="0" fontId="59" fillId="43" borderId="537" applyNumberFormat="0" applyAlignment="0" applyProtection="0"/>
    <xf numFmtId="49" fontId="34" fillId="0" borderId="532" applyNumberFormat="0" applyFill="0" applyBorder="0" applyProtection="0">
      <alignment horizontal="left" vertical="center"/>
    </xf>
    <xf numFmtId="0" fontId="35" fillId="34" borderId="535">
      <alignment horizontal="left" vertical="center" wrapText="1" indent="2"/>
    </xf>
    <xf numFmtId="0" fontId="47" fillId="56" borderId="537" applyNumberFormat="0" applyAlignment="0" applyProtection="0"/>
    <xf numFmtId="0" fontId="35" fillId="0" borderId="535">
      <alignment horizontal="left" vertical="center" wrapText="1" indent="2"/>
    </xf>
    <xf numFmtId="0" fontId="41" fillId="59" borderId="531" applyNumberFormat="0" applyFont="0" applyAlignment="0" applyProtection="0"/>
    <xf numFmtId="0" fontId="5" fillId="59" borderId="531" applyNumberFormat="0" applyFont="0" applyAlignment="0" applyProtection="0"/>
    <xf numFmtId="0" fontId="63" fillId="56" borderId="536" applyNumberFormat="0" applyAlignment="0" applyProtection="0"/>
    <xf numFmtId="0" fontId="66" fillId="0" borderId="538" applyNumberFormat="0" applyFill="0" applyAlignment="0" applyProtection="0"/>
    <xf numFmtId="4" fontId="35" fillId="33" borderId="532"/>
    <xf numFmtId="0" fontId="33" fillId="34" borderId="532">
      <alignment horizontal="right" vertical="center"/>
    </xf>
    <xf numFmtId="0" fontId="66" fillId="0" borderId="538" applyNumberFormat="0" applyFill="0" applyAlignment="0" applyProtection="0"/>
    <xf numFmtId="4" fontId="33" fillId="34" borderId="534">
      <alignment horizontal="right" vertical="center"/>
    </xf>
    <xf numFmtId="0" fontId="46" fillId="56" borderId="537" applyNumberFormat="0" applyAlignment="0" applyProtection="0"/>
    <xf numFmtId="0" fontId="33" fillId="34" borderId="533">
      <alignment horizontal="right" vertical="center"/>
    </xf>
    <xf numFmtId="0" fontId="47" fillId="56" borderId="537" applyNumberFormat="0" applyAlignment="0" applyProtection="0"/>
    <xf numFmtId="0" fontId="51" fillId="0" borderId="538" applyNumberFormat="0" applyFill="0" applyAlignment="0" applyProtection="0"/>
    <xf numFmtId="0" fontId="41" fillId="59" borderId="531" applyNumberFormat="0" applyFont="0" applyAlignment="0" applyProtection="0"/>
    <xf numFmtId="4" fontId="33" fillId="34" borderId="533">
      <alignment horizontal="right" vertical="center"/>
    </xf>
    <xf numFmtId="0" fontId="35" fillId="34" borderId="535">
      <alignment horizontal="left" vertical="center" wrapText="1" indent="2"/>
    </xf>
    <xf numFmtId="0" fontId="35" fillId="33" borderId="532"/>
    <xf numFmtId="173" fontId="35" fillId="60" borderId="532" applyNumberFormat="0" applyFont="0" applyBorder="0" applyAlignment="0" applyProtection="0">
      <alignment horizontal="right" vertical="center"/>
    </xf>
    <xf numFmtId="0" fontId="35" fillId="0" borderId="532" applyNumberFormat="0" applyFill="0" applyAlignment="0" applyProtection="0"/>
    <xf numFmtId="4" fontId="35" fillId="0" borderId="532" applyFill="0" applyBorder="0" applyProtection="0">
      <alignment horizontal="right" vertical="center"/>
    </xf>
    <xf numFmtId="4" fontId="33" fillId="32" borderId="532">
      <alignment horizontal="right" vertical="center"/>
    </xf>
    <xf numFmtId="0" fontId="51" fillId="0" borderId="538" applyNumberFormat="0" applyFill="0" applyAlignment="0" applyProtection="0"/>
    <xf numFmtId="49" fontId="34" fillId="0" borderId="532" applyNumberFormat="0" applyFill="0" applyBorder="0" applyProtection="0">
      <alignment horizontal="left" vertical="center"/>
    </xf>
    <xf numFmtId="49" fontId="35" fillId="0" borderId="533" applyNumberFormat="0" applyFont="0" applyFill="0" applyBorder="0" applyProtection="0">
      <alignment horizontal="left" vertical="center" indent="5"/>
    </xf>
    <xf numFmtId="0" fontId="35" fillId="32" borderId="533">
      <alignment horizontal="left" vertical="center"/>
    </xf>
    <xf numFmtId="0" fontId="47" fillId="56" borderId="537" applyNumberFormat="0" applyAlignment="0" applyProtection="0"/>
    <xf numFmtId="4" fontId="33" fillId="34" borderId="534">
      <alignment horizontal="right" vertical="center"/>
    </xf>
    <xf numFmtId="0" fontId="59" fillId="43" borderId="537" applyNumberFormat="0" applyAlignment="0" applyProtection="0"/>
    <xf numFmtId="0" fontId="59" fillId="43" borderId="537" applyNumberFormat="0" applyAlignment="0" applyProtection="0"/>
    <xf numFmtId="0" fontId="41" fillId="59" borderId="531" applyNumberFormat="0" applyFont="0" applyAlignment="0" applyProtection="0"/>
    <xf numFmtId="0" fontId="63" fillId="56" borderId="536" applyNumberFormat="0" applyAlignment="0" applyProtection="0"/>
    <xf numFmtId="0" fontId="66" fillId="0" borderId="538" applyNumberFormat="0" applyFill="0" applyAlignment="0" applyProtection="0"/>
    <xf numFmtId="0" fontId="33" fillId="34" borderId="532">
      <alignment horizontal="right" vertical="center"/>
    </xf>
    <xf numFmtId="0" fontId="5" fillId="59" borderId="531" applyNumberFormat="0" applyFont="0" applyAlignment="0" applyProtection="0"/>
    <xf numFmtId="4" fontId="35" fillId="0" borderId="532">
      <alignment horizontal="right" vertical="center"/>
    </xf>
    <xf numFmtId="0" fontId="66" fillId="0" borderId="538" applyNumberFormat="0" applyFill="0" applyAlignment="0" applyProtection="0"/>
    <xf numFmtId="0" fontId="33" fillId="34" borderId="532">
      <alignment horizontal="right" vertical="center"/>
    </xf>
    <xf numFmtId="0" fontId="33" fillId="34" borderId="532">
      <alignment horizontal="right" vertical="center"/>
    </xf>
    <xf numFmtId="4" fontId="37" fillId="32" borderId="532">
      <alignment horizontal="right" vertical="center"/>
    </xf>
    <xf numFmtId="0" fontId="33" fillId="32" borderId="532">
      <alignment horizontal="right" vertical="center"/>
    </xf>
    <xf numFmtId="4" fontId="33" fillId="32" borderId="532">
      <alignment horizontal="right" vertical="center"/>
    </xf>
    <xf numFmtId="0" fontId="37" fillId="32" borderId="532">
      <alignment horizontal="right" vertical="center"/>
    </xf>
    <xf numFmtId="4" fontId="37" fillId="32" borderId="532">
      <alignment horizontal="right" vertical="center"/>
    </xf>
    <xf numFmtId="0" fontId="33" fillId="34" borderId="532">
      <alignment horizontal="right" vertical="center"/>
    </xf>
    <xf numFmtId="4" fontId="33" fillId="34" borderId="532">
      <alignment horizontal="right" vertical="center"/>
    </xf>
    <xf numFmtId="0" fontId="33" fillId="34" borderId="532">
      <alignment horizontal="right" vertical="center"/>
    </xf>
    <xf numFmtId="4" fontId="33" fillId="34" borderId="532">
      <alignment horizontal="right" vertical="center"/>
    </xf>
    <xf numFmtId="0" fontId="33" fillId="34" borderId="533">
      <alignment horizontal="right" vertical="center"/>
    </xf>
    <xf numFmtId="4" fontId="33" fillId="34" borderId="533">
      <alignment horizontal="right" vertical="center"/>
    </xf>
    <xf numFmtId="0" fontId="33" fillId="34" borderId="534">
      <alignment horizontal="right" vertical="center"/>
    </xf>
    <xf numFmtId="4" fontId="33" fillId="34" borderId="534">
      <alignment horizontal="right" vertical="center"/>
    </xf>
    <xf numFmtId="0" fontId="47" fillId="56" borderId="537" applyNumberFormat="0" applyAlignment="0" applyProtection="0"/>
    <xf numFmtId="0" fontId="35" fillId="34" borderId="535">
      <alignment horizontal="left" vertical="center" wrapText="1" indent="2"/>
    </xf>
    <xf numFmtId="0" fontId="35" fillId="0" borderId="535">
      <alignment horizontal="left" vertical="center" wrapText="1" indent="2"/>
    </xf>
    <xf numFmtId="0" fontId="35" fillId="32" borderId="533">
      <alignment horizontal="left" vertical="center"/>
    </xf>
    <xf numFmtId="0" fontId="59" fillId="43" borderId="537" applyNumberFormat="0" applyAlignment="0" applyProtection="0"/>
    <xf numFmtId="0" fontId="35" fillId="0" borderId="532">
      <alignment horizontal="right" vertical="center"/>
    </xf>
    <xf numFmtId="4" fontId="35" fillId="0" borderId="532">
      <alignment horizontal="right" vertical="center"/>
    </xf>
    <xf numFmtId="0" fontId="35" fillId="0" borderId="532" applyNumberFormat="0" applyFill="0" applyAlignment="0" applyProtection="0"/>
    <xf numFmtId="0" fontId="63" fillId="56" borderId="536" applyNumberFormat="0" applyAlignment="0" applyProtection="0"/>
    <xf numFmtId="173" fontId="35" fillId="60" borderId="532" applyNumberFormat="0" applyFont="0" applyBorder="0" applyAlignment="0" applyProtection="0">
      <alignment horizontal="right" vertical="center"/>
    </xf>
    <xf numFmtId="0" fontId="35" fillId="33" borderId="532"/>
    <xf numFmtId="4" fontId="35" fillId="33" borderId="532"/>
    <xf numFmtId="0" fontId="66" fillId="0" borderId="538" applyNumberFormat="0" applyFill="0" applyAlignment="0" applyProtection="0"/>
    <xf numFmtId="0" fontId="5" fillId="59" borderId="531" applyNumberFormat="0" applyFont="0" applyAlignment="0" applyProtection="0"/>
    <xf numFmtId="0" fontId="41" fillId="59" borderId="531" applyNumberFormat="0" applyFont="0" applyAlignment="0" applyProtection="0"/>
    <xf numFmtId="0" fontId="35" fillId="0" borderId="532" applyNumberFormat="0" applyFill="0" applyAlignment="0" applyProtection="0"/>
    <xf numFmtId="0" fontId="51" fillId="0" borderId="538" applyNumberFormat="0" applyFill="0" applyAlignment="0" applyProtection="0"/>
    <xf numFmtId="0" fontId="66" fillId="0" borderId="538" applyNumberFormat="0" applyFill="0" applyAlignment="0" applyProtection="0"/>
    <xf numFmtId="0" fontId="50" fillId="43" borderId="537" applyNumberFormat="0" applyAlignment="0" applyProtection="0"/>
    <xf numFmtId="0" fontId="47" fillId="56" borderId="537" applyNumberFormat="0" applyAlignment="0" applyProtection="0"/>
    <xf numFmtId="4" fontId="37" fillId="32" borderId="532">
      <alignment horizontal="right" vertical="center"/>
    </xf>
    <xf numFmtId="0" fontId="33" fillId="32" borderId="532">
      <alignment horizontal="right" vertical="center"/>
    </xf>
    <xf numFmtId="173" fontId="35" fillId="60" borderId="532" applyNumberFormat="0" applyFont="0" applyBorder="0" applyAlignment="0" applyProtection="0">
      <alignment horizontal="right" vertical="center"/>
    </xf>
    <xf numFmtId="0" fontId="51" fillId="0" borderId="538" applyNumberFormat="0" applyFill="0" applyAlignment="0" applyProtection="0"/>
    <xf numFmtId="49" fontId="35" fillId="0" borderId="532" applyNumberFormat="0" applyFont="0" applyFill="0" applyBorder="0" applyProtection="0">
      <alignment horizontal="left" vertical="center" indent="2"/>
    </xf>
    <xf numFmtId="49" fontId="35" fillId="0" borderId="533" applyNumberFormat="0" applyFont="0" applyFill="0" applyBorder="0" applyProtection="0">
      <alignment horizontal="left" vertical="center" indent="5"/>
    </xf>
    <xf numFmtId="49" fontId="35" fillId="0" borderId="532" applyNumberFormat="0" applyFont="0" applyFill="0" applyBorder="0" applyProtection="0">
      <alignment horizontal="left" vertical="center" indent="2"/>
    </xf>
    <xf numFmtId="4" fontId="35" fillId="0" borderId="532" applyFill="0" applyBorder="0" applyProtection="0">
      <alignment horizontal="right" vertical="center"/>
    </xf>
    <xf numFmtId="49" fontId="34" fillId="0" borderId="532" applyNumberFormat="0" applyFill="0" applyBorder="0" applyProtection="0">
      <alignment horizontal="left" vertical="center"/>
    </xf>
    <xf numFmtId="0" fontId="35" fillId="0" borderId="535">
      <alignment horizontal="left" vertical="center" wrapText="1" indent="2"/>
    </xf>
    <xf numFmtId="0" fontId="63" fillId="56" borderId="536" applyNumberFormat="0" applyAlignment="0" applyProtection="0"/>
    <xf numFmtId="0" fontId="33" fillId="34" borderId="534">
      <alignment horizontal="right" vertical="center"/>
    </xf>
    <xf numFmtId="0" fontId="50" fillId="43" borderId="537" applyNumberFormat="0" applyAlignment="0" applyProtection="0"/>
    <xf numFmtId="0" fontId="33" fillId="34" borderId="534">
      <alignment horizontal="right" vertical="center"/>
    </xf>
    <xf numFmtId="4" fontId="33" fillId="34" borderId="532">
      <alignment horizontal="right" vertical="center"/>
    </xf>
    <xf numFmtId="0" fontId="33" fillId="34" borderId="532">
      <alignment horizontal="right" vertical="center"/>
    </xf>
    <xf numFmtId="0" fontId="44" fillId="56" borderId="536" applyNumberFormat="0" applyAlignment="0" applyProtection="0"/>
    <xf numFmtId="0" fontId="46" fillId="56" borderId="537" applyNumberFormat="0" applyAlignment="0" applyProtection="0"/>
    <xf numFmtId="0" fontId="51" fillId="0" borderId="538" applyNumberFormat="0" applyFill="0" applyAlignment="0" applyProtection="0"/>
    <xf numFmtId="0" fontId="35" fillId="33" borderId="532"/>
    <xf numFmtId="4" fontId="35" fillId="33" borderId="532"/>
    <xf numFmtId="4" fontId="33" fillId="34" borderId="532">
      <alignment horizontal="right" vertical="center"/>
    </xf>
    <xf numFmtId="0" fontId="37" fillId="32" borderId="532">
      <alignment horizontal="right" vertical="center"/>
    </xf>
    <xf numFmtId="0" fontId="50" fillId="43" borderId="537" applyNumberFormat="0" applyAlignment="0" applyProtection="0"/>
    <xf numFmtId="0" fontId="47" fillId="56" borderId="537" applyNumberFormat="0" applyAlignment="0" applyProtection="0"/>
    <xf numFmtId="4" fontId="35" fillId="0" borderId="532">
      <alignment horizontal="right" vertical="center"/>
    </xf>
    <xf numFmtId="0" fontId="35" fillId="34" borderId="535">
      <alignment horizontal="left" vertical="center" wrapText="1" indent="2"/>
    </xf>
    <xf numFmtId="0" fontId="35" fillId="0" borderId="535">
      <alignment horizontal="left" vertical="center" wrapText="1" indent="2"/>
    </xf>
    <xf numFmtId="0" fontId="63" fillId="56" borderId="536" applyNumberFormat="0" applyAlignment="0" applyProtection="0"/>
    <xf numFmtId="0" fontId="59" fillId="43" borderId="537" applyNumberFormat="0" applyAlignment="0" applyProtection="0"/>
    <xf numFmtId="0" fontId="46" fillId="56" borderId="537" applyNumberFormat="0" applyAlignment="0" applyProtection="0"/>
    <xf numFmtId="0" fontId="44" fillId="56" borderId="536" applyNumberFormat="0" applyAlignment="0" applyProtection="0"/>
    <xf numFmtId="0" fontId="33" fillId="34" borderId="534">
      <alignment horizontal="right" vertical="center"/>
    </xf>
    <xf numFmtId="0" fontId="37" fillId="32" borderId="532">
      <alignment horizontal="right" vertical="center"/>
    </xf>
    <xf numFmtId="4" fontId="33" fillId="32" borderId="532">
      <alignment horizontal="right" vertical="center"/>
    </xf>
    <xf numFmtId="4" fontId="33" fillId="34" borderId="532">
      <alignment horizontal="right" vertical="center"/>
    </xf>
    <xf numFmtId="49" fontId="35" fillId="0" borderId="533" applyNumberFormat="0" applyFont="0" applyFill="0" applyBorder="0" applyProtection="0">
      <alignment horizontal="left" vertical="center" indent="5"/>
    </xf>
    <xf numFmtId="4" fontId="35" fillId="0" borderId="532" applyFill="0" applyBorder="0" applyProtection="0">
      <alignment horizontal="right" vertical="center"/>
    </xf>
    <xf numFmtId="4" fontId="33" fillId="32" borderId="532">
      <alignment horizontal="right" vertical="center"/>
    </xf>
    <xf numFmtId="0" fontId="59" fillId="43" borderId="537" applyNumberFormat="0" applyAlignment="0" applyProtection="0"/>
    <xf numFmtId="0" fontId="50" fillId="43" borderId="537" applyNumberFormat="0" applyAlignment="0" applyProtection="0"/>
    <xf numFmtId="0" fontId="46" fillId="56" borderId="537" applyNumberFormat="0" applyAlignment="0" applyProtection="0"/>
    <xf numFmtId="0" fontId="35" fillId="34" borderId="535">
      <alignment horizontal="left" vertical="center" wrapText="1" indent="2"/>
    </xf>
    <xf numFmtId="0" fontId="35" fillId="0" borderId="535">
      <alignment horizontal="left" vertical="center" wrapText="1" indent="2"/>
    </xf>
    <xf numFmtId="0" fontId="35" fillId="34" borderId="535">
      <alignment horizontal="left" vertical="center" wrapText="1" indent="2"/>
    </xf>
    <xf numFmtId="0" fontId="35" fillId="0" borderId="535">
      <alignment horizontal="left" vertical="center" wrapText="1" indent="2"/>
    </xf>
    <xf numFmtId="0" fontId="44" fillId="56" borderId="536" applyNumberFormat="0" applyAlignment="0" applyProtection="0"/>
    <xf numFmtId="0" fontId="46" fillId="56" borderId="537" applyNumberFormat="0" applyAlignment="0" applyProtection="0"/>
    <xf numFmtId="0" fontId="47" fillId="56" borderId="537" applyNumberFormat="0" applyAlignment="0" applyProtection="0"/>
    <xf numFmtId="0" fontId="50" fillId="43" borderId="537" applyNumberFormat="0" applyAlignment="0" applyProtection="0"/>
    <xf numFmtId="0" fontId="51" fillId="0" borderId="538" applyNumberFormat="0" applyFill="0" applyAlignment="0" applyProtection="0"/>
    <xf numFmtId="0" fontId="59" fillId="43" borderId="537" applyNumberFormat="0" applyAlignment="0" applyProtection="0"/>
    <xf numFmtId="0" fontId="41" fillId="59" borderId="531" applyNumberFormat="0" applyFont="0" applyAlignment="0" applyProtection="0"/>
    <xf numFmtId="0" fontId="5" fillId="59" borderId="531" applyNumberFormat="0" applyFont="0" applyAlignment="0" applyProtection="0"/>
    <xf numFmtId="0" fontId="63" fillId="56" borderId="536" applyNumberFormat="0" applyAlignment="0" applyProtection="0"/>
    <xf numFmtId="0" fontId="66" fillId="0" borderId="538" applyNumberFormat="0" applyFill="0" applyAlignment="0" applyProtection="0"/>
    <xf numFmtId="0" fontId="47" fillId="56" borderId="537" applyNumberFormat="0" applyAlignment="0" applyProtection="0"/>
    <xf numFmtId="0" fontId="59" fillId="43" borderId="537" applyNumberFormat="0" applyAlignment="0" applyProtection="0"/>
    <xf numFmtId="0" fontId="41" fillId="59" borderId="531" applyNumberFormat="0" applyFont="0" applyAlignment="0" applyProtection="0"/>
    <xf numFmtId="0" fontId="63" fillId="56" borderId="536" applyNumberFormat="0" applyAlignment="0" applyProtection="0"/>
    <xf numFmtId="0" fontId="66" fillId="0" borderId="538" applyNumberFormat="0" applyFill="0" applyAlignment="0" applyProtection="0"/>
    <xf numFmtId="0" fontId="27" fillId="29" borderId="0" applyNumberFormat="0" applyBorder="0" applyAlignment="0" applyProtection="0"/>
    <xf numFmtId="0" fontId="33" fillId="34" borderId="551">
      <alignment horizontal="right" vertical="center"/>
    </xf>
    <xf numFmtId="0" fontId="47" fillId="56" borderId="537" applyNumberFormat="0" applyAlignment="0" applyProtection="0"/>
    <xf numFmtId="0" fontId="35" fillId="0" borderId="546">
      <alignment horizontal="left" vertical="center" wrapText="1" indent="2"/>
    </xf>
    <xf numFmtId="4" fontId="33" fillId="34" borderId="544">
      <alignment horizontal="right" vertical="center"/>
    </xf>
    <xf numFmtId="4" fontId="33" fillId="34" borderId="543">
      <alignment horizontal="right" vertical="center"/>
    </xf>
    <xf numFmtId="0" fontId="59" fillId="43" borderId="537" applyNumberFormat="0" applyAlignment="0" applyProtection="0"/>
    <xf numFmtId="0" fontId="63" fillId="56" borderId="536" applyNumberFormat="0" applyAlignment="0" applyProtection="0"/>
    <xf numFmtId="0" fontId="66" fillId="0" borderId="538" applyNumberFormat="0" applyFill="0" applyAlignment="0" applyProtection="0"/>
    <xf numFmtId="0" fontId="44" fillId="56" borderId="536" applyNumberFormat="0" applyAlignment="0" applyProtection="0"/>
    <xf numFmtId="0" fontId="46" fillId="56" borderId="537" applyNumberFormat="0" applyAlignment="0" applyProtection="0"/>
    <xf numFmtId="0" fontId="51" fillId="0" borderId="538" applyNumberFormat="0" applyFill="0" applyAlignment="0" applyProtection="0"/>
    <xf numFmtId="49" fontId="35" fillId="0" borderId="532" applyNumberFormat="0" applyFont="0" applyFill="0" applyBorder="0" applyProtection="0">
      <alignment horizontal="left" vertical="center" indent="2"/>
    </xf>
    <xf numFmtId="0" fontId="33" fillId="32" borderId="532">
      <alignment horizontal="right" vertical="center"/>
    </xf>
    <xf numFmtId="4" fontId="33" fillId="32" borderId="532">
      <alignment horizontal="right" vertical="center"/>
    </xf>
    <xf numFmtId="0" fontId="37" fillId="32" borderId="532">
      <alignment horizontal="right" vertical="center"/>
    </xf>
    <xf numFmtId="4" fontId="37" fillId="32" borderId="532">
      <alignment horizontal="right" vertical="center"/>
    </xf>
    <xf numFmtId="0" fontId="33" fillId="34" borderId="532">
      <alignment horizontal="right" vertical="center"/>
    </xf>
    <xf numFmtId="4" fontId="33" fillId="34" borderId="532">
      <alignment horizontal="right" vertical="center"/>
    </xf>
    <xf numFmtId="0" fontId="33" fillId="34" borderId="532">
      <alignment horizontal="right" vertical="center"/>
    </xf>
    <xf numFmtId="4" fontId="33" fillId="34" borderId="532">
      <alignment horizontal="right" vertical="center"/>
    </xf>
    <xf numFmtId="0" fontId="50" fillId="43" borderId="537" applyNumberFormat="0" applyAlignment="0" applyProtection="0"/>
    <xf numFmtId="0" fontId="35" fillId="0" borderId="532">
      <alignment horizontal="right" vertical="center"/>
    </xf>
    <xf numFmtId="4" fontId="35" fillId="0" borderId="532">
      <alignment horizontal="right" vertical="center"/>
    </xf>
    <xf numFmtId="4" fontId="35" fillId="0" borderId="532" applyFill="0" applyBorder="0" applyProtection="0">
      <alignment horizontal="right" vertical="center"/>
    </xf>
    <xf numFmtId="49" fontId="34" fillId="0" borderId="532" applyNumberFormat="0" applyFill="0" applyBorder="0" applyProtection="0">
      <alignment horizontal="left" vertical="center"/>
    </xf>
    <xf numFmtId="0" fontId="35" fillId="0" borderId="532" applyNumberFormat="0" applyFill="0" applyAlignment="0" applyProtection="0"/>
    <xf numFmtId="173" fontId="35" fillId="60" borderId="532" applyNumberFormat="0" applyFont="0" applyBorder="0" applyAlignment="0" applyProtection="0">
      <alignment horizontal="right" vertical="center"/>
    </xf>
    <xf numFmtId="0" fontId="35" fillId="33" borderId="532"/>
    <xf numFmtId="4" fontId="35" fillId="33" borderId="532"/>
    <xf numFmtId="4" fontId="33" fillId="34" borderId="532">
      <alignment horizontal="right" vertical="center"/>
    </xf>
    <xf numFmtId="0" fontId="35" fillId="33" borderId="532"/>
    <xf numFmtId="0" fontId="46" fillId="56" borderId="537" applyNumberFormat="0" applyAlignment="0" applyProtection="0"/>
    <xf numFmtId="0" fontId="33" fillId="32" borderId="532">
      <alignment horizontal="right" vertical="center"/>
    </xf>
    <xf numFmtId="0" fontId="35" fillId="0" borderId="532">
      <alignment horizontal="right" vertical="center"/>
    </xf>
    <xf numFmtId="0" fontId="66" fillId="0" borderId="538" applyNumberFormat="0" applyFill="0" applyAlignment="0" applyProtection="0"/>
    <xf numFmtId="0" fontId="35" fillId="32" borderId="533">
      <alignment horizontal="left" vertical="center"/>
    </xf>
    <xf numFmtId="0" fontId="59" fillId="43" borderId="537" applyNumberFormat="0" applyAlignment="0" applyProtection="0"/>
    <xf numFmtId="173" fontId="35" fillId="60" borderId="532" applyNumberFormat="0" applyFont="0" applyBorder="0" applyAlignment="0" applyProtection="0">
      <alignment horizontal="right" vertical="center"/>
    </xf>
    <xf numFmtId="0" fontId="41" fillId="59" borderId="531" applyNumberFormat="0" applyFont="0" applyAlignment="0" applyProtection="0"/>
    <xf numFmtId="0" fontId="35" fillId="0" borderId="535">
      <alignment horizontal="left" vertical="center" wrapText="1" indent="2"/>
    </xf>
    <xf numFmtId="4" fontId="35" fillId="33" borderId="532"/>
    <xf numFmtId="49" fontId="34" fillId="0" borderId="532" applyNumberFormat="0" applyFill="0" applyBorder="0" applyProtection="0">
      <alignment horizontal="left" vertical="center"/>
    </xf>
    <xf numFmtId="0" fontId="35" fillId="0" borderId="532">
      <alignment horizontal="right" vertical="center"/>
    </xf>
    <xf numFmtId="4" fontId="33" fillId="34" borderId="534">
      <alignment horizontal="right" vertical="center"/>
    </xf>
    <xf numFmtId="4" fontId="33" fillId="34" borderId="532">
      <alignment horizontal="right" vertical="center"/>
    </xf>
    <xf numFmtId="4" fontId="33" fillId="34" borderId="532">
      <alignment horizontal="right" vertical="center"/>
    </xf>
    <xf numFmtId="0" fontId="37" fillId="32" borderId="532">
      <alignment horizontal="right" vertical="center"/>
    </xf>
    <xf numFmtId="0" fontId="33" fillId="32" borderId="532">
      <alignment horizontal="right" vertical="center"/>
    </xf>
    <xf numFmtId="49" fontId="35" fillId="0" borderId="532" applyNumberFormat="0" applyFont="0" applyFill="0" applyBorder="0" applyProtection="0">
      <alignment horizontal="left" vertical="center" indent="2"/>
    </xf>
    <xf numFmtId="0" fontId="59" fillId="43" borderId="537" applyNumberFormat="0" applyAlignment="0" applyProtection="0"/>
    <xf numFmtId="0" fontId="44" fillId="56" borderId="536" applyNumberFormat="0" applyAlignment="0" applyProtection="0"/>
    <xf numFmtId="49" fontId="35" fillId="0" borderId="532" applyNumberFormat="0" applyFont="0" applyFill="0" applyBorder="0" applyProtection="0">
      <alignment horizontal="left" vertical="center" indent="2"/>
    </xf>
    <xf numFmtId="0" fontId="50" fillId="43" borderId="537" applyNumberFormat="0" applyAlignment="0" applyProtection="0"/>
    <xf numFmtId="4" fontId="35" fillId="0" borderId="532" applyFill="0" applyBorder="0" applyProtection="0">
      <alignment horizontal="right" vertical="center"/>
    </xf>
    <xf numFmtId="0" fontId="47" fillId="56" borderId="537" applyNumberFormat="0" applyAlignment="0" applyProtection="0"/>
    <xf numFmtId="0" fontId="66" fillId="0" borderId="538" applyNumberFormat="0" applyFill="0" applyAlignment="0" applyProtection="0"/>
    <xf numFmtId="0" fontId="63" fillId="56" borderId="536" applyNumberFormat="0" applyAlignment="0" applyProtection="0"/>
    <xf numFmtId="0" fontId="35" fillId="0" borderId="532" applyNumberFormat="0" applyFill="0" applyAlignment="0" applyProtection="0"/>
    <xf numFmtId="4" fontId="35" fillId="0" borderId="532">
      <alignment horizontal="right" vertical="center"/>
    </xf>
    <xf numFmtId="0" fontId="35" fillId="0" borderId="532">
      <alignment horizontal="right" vertical="center"/>
    </xf>
    <xf numFmtId="0" fontId="59" fillId="43" borderId="537" applyNumberFormat="0" applyAlignment="0" applyProtection="0"/>
    <xf numFmtId="0" fontId="44" fillId="56" borderId="536" applyNumberFormat="0" applyAlignment="0" applyProtection="0"/>
    <xf numFmtId="0" fontId="46" fillId="56" borderId="537" applyNumberFormat="0" applyAlignment="0" applyProtection="0"/>
    <xf numFmtId="0" fontId="35" fillId="34" borderId="535">
      <alignment horizontal="left" vertical="center" wrapText="1" indent="2"/>
    </xf>
    <xf numFmtId="0" fontId="47" fillId="56" borderId="537" applyNumberFormat="0" applyAlignment="0" applyProtection="0"/>
    <xf numFmtId="0" fontId="47" fillId="56" borderId="537" applyNumberFormat="0" applyAlignment="0" applyProtection="0"/>
    <xf numFmtId="4" fontId="33" fillId="34" borderId="533">
      <alignment horizontal="right" vertical="center"/>
    </xf>
    <xf numFmtId="0" fontId="33" fillId="34" borderId="533">
      <alignment horizontal="right" vertical="center"/>
    </xf>
    <xf numFmtId="0" fontId="33" fillId="34" borderId="532">
      <alignment horizontal="right" vertical="center"/>
    </xf>
    <xf numFmtId="4" fontId="37" fillId="32" borderId="532">
      <alignment horizontal="right" vertical="center"/>
    </xf>
    <xf numFmtId="0" fontId="50" fillId="43" borderId="537" applyNumberFormat="0" applyAlignment="0" applyProtection="0"/>
    <xf numFmtId="0" fontId="51" fillId="0" borderId="538" applyNumberFormat="0" applyFill="0" applyAlignment="0" applyProtection="0"/>
    <xf numFmtId="0" fontId="66" fillId="0" borderId="538" applyNumberFormat="0" applyFill="0" applyAlignment="0" applyProtection="0"/>
    <xf numFmtId="0" fontId="41" fillId="59" borderId="531" applyNumberFormat="0" applyFont="0" applyAlignment="0" applyProtection="0"/>
    <xf numFmtId="0" fontId="59" fillId="43" borderId="537" applyNumberFormat="0" applyAlignment="0" applyProtection="0"/>
    <xf numFmtId="49" fontId="34" fillId="0" borderId="532" applyNumberFormat="0" applyFill="0" applyBorder="0" applyProtection="0">
      <alignment horizontal="left" vertical="center"/>
    </xf>
    <xf numFmtId="0" fontId="35" fillId="34" borderId="535">
      <alignment horizontal="left" vertical="center" wrapText="1" indent="2"/>
    </xf>
    <xf numFmtId="0" fontId="47" fillId="56" borderId="537" applyNumberFormat="0" applyAlignment="0" applyProtection="0"/>
    <xf numFmtId="0" fontId="35" fillId="0" borderId="535">
      <alignment horizontal="left" vertical="center" wrapText="1" indent="2"/>
    </xf>
    <xf numFmtId="0" fontId="41" fillId="59" borderId="531" applyNumberFormat="0" applyFont="0" applyAlignment="0" applyProtection="0"/>
    <xf numFmtId="0" fontId="5" fillId="59" borderId="531" applyNumberFormat="0" applyFont="0" applyAlignment="0" applyProtection="0"/>
    <xf numFmtId="0" fontId="63" fillId="56" borderId="536" applyNumberFormat="0" applyAlignment="0" applyProtection="0"/>
    <xf numFmtId="0" fontId="66" fillId="0" borderId="538" applyNumberFormat="0" applyFill="0" applyAlignment="0" applyProtection="0"/>
    <xf numFmtId="4" fontId="35" fillId="33" borderId="532"/>
    <xf numFmtId="0" fontId="33" fillId="34" borderId="532">
      <alignment horizontal="right" vertical="center"/>
    </xf>
    <xf numFmtId="0" fontId="66" fillId="0" borderId="538" applyNumberFormat="0" applyFill="0" applyAlignment="0" applyProtection="0"/>
    <xf numFmtId="4" fontId="33" fillId="34" borderId="534">
      <alignment horizontal="right" vertical="center"/>
    </xf>
    <xf numFmtId="0" fontId="46" fillId="56" borderId="537" applyNumberFormat="0" applyAlignment="0" applyProtection="0"/>
    <xf numFmtId="0" fontId="33" fillId="34" borderId="533">
      <alignment horizontal="right" vertical="center"/>
    </xf>
    <xf numFmtId="0" fontId="47" fillId="56" borderId="537" applyNumberFormat="0" applyAlignment="0" applyProtection="0"/>
    <xf numFmtId="0" fontId="51" fillId="0" borderId="538" applyNumberFormat="0" applyFill="0" applyAlignment="0" applyProtection="0"/>
    <xf numFmtId="0" fontId="41" fillId="59" borderId="531" applyNumberFormat="0" applyFont="0" applyAlignment="0" applyProtection="0"/>
    <xf numFmtId="4" fontId="33" fillId="34" borderId="533">
      <alignment horizontal="right" vertical="center"/>
    </xf>
    <xf numFmtId="0" fontId="35" fillId="34" borderId="535">
      <alignment horizontal="left" vertical="center" wrapText="1" indent="2"/>
    </xf>
    <xf numFmtId="0" fontId="35" fillId="33" borderId="532"/>
    <xf numFmtId="173" fontId="35" fillId="60" borderId="532" applyNumberFormat="0" applyFont="0" applyBorder="0" applyAlignment="0" applyProtection="0">
      <alignment horizontal="right" vertical="center"/>
    </xf>
    <xf numFmtId="0" fontId="35" fillId="0" borderId="532" applyNumberFormat="0" applyFill="0" applyAlignment="0" applyProtection="0"/>
    <xf numFmtId="4" fontId="35" fillId="0" borderId="532" applyFill="0" applyBorder="0" applyProtection="0">
      <alignment horizontal="right" vertical="center"/>
    </xf>
    <xf numFmtId="4" fontId="33" fillId="32" borderId="532">
      <alignment horizontal="right" vertical="center"/>
    </xf>
    <xf numFmtId="0" fontId="51" fillId="0" borderId="538" applyNumberFormat="0" applyFill="0" applyAlignment="0" applyProtection="0"/>
    <xf numFmtId="49" fontId="34" fillId="0" borderId="532" applyNumberFormat="0" applyFill="0" applyBorder="0" applyProtection="0">
      <alignment horizontal="left" vertical="center"/>
    </xf>
    <xf numFmtId="49" fontId="35" fillId="0" borderId="533" applyNumberFormat="0" applyFont="0" applyFill="0" applyBorder="0" applyProtection="0">
      <alignment horizontal="left" vertical="center" indent="5"/>
    </xf>
    <xf numFmtId="0" fontId="35" fillId="32" borderId="533">
      <alignment horizontal="left" vertical="center"/>
    </xf>
    <xf numFmtId="0" fontId="47" fillId="56" borderId="537" applyNumberFormat="0" applyAlignment="0" applyProtection="0"/>
    <xf numFmtId="4" fontId="33" fillId="34" borderId="534">
      <alignment horizontal="right" vertical="center"/>
    </xf>
    <xf numFmtId="0" fontId="59" fillId="43" borderId="537" applyNumberFormat="0" applyAlignment="0" applyProtection="0"/>
    <xf numFmtId="0" fontId="59" fillId="43" borderId="537" applyNumberFormat="0" applyAlignment="0" applyProtection="0"/>
    <xf numFmtId="0" fontId="41" fillId="59" borderId="531" applyNumberFormat="0" applyFont="0" applyAlignment="0" applyProtection="0"/>
    <xf numFmtId="0" fontId="63" fillId="56" borderId="536" applyNumberFormat="0" applyAlignment="0" applyProtection="0"/>
    <xf numFmtId="0" fontId="66" fillId="0" borderId="538" applyNumberFormat="0" applyFill="0" applyAlignment="0" applyProtection="0"/>
    <xf numFmtId="0" fontId="33" fillId="34" borderId="532">
      <alignment horizontal="right" vertical="center"/>
    </xf>
    <xf numFmtId="0" fontId="5" fillId="59" borderId="531" applyNumberFormat="0" applyFont="0" applyAlignment="0" applyProtection="0"/>
    <xf numFmtId="4" fontId="35" fillId="0" borderId="532">
      <alignment horizontal="right" vertical="center"/>
    </xf>
    <xf numFmtId="0" fontId="66" fillId="0" borderId="538" applyNumberFormat="0" applyFill="0" applyAlignment="0" applyProtection="0"/>
    <xf numFmtId="0" fontId="33" fillId="34" borderId="532">
      <alignment horizontal="right" vertical="center"/>
    </xf>
    <xf numFmtId="0" fontId="33" fillId="34" borderId="532">
      <alignment horizontal="right" vertical="center"/>
    </xf>
    <xf numFmtId="4" fontId="37" fillId="32" borderId="532">
      <alignment horizontal="right" vertical="center"/>
    </xf>
    <xf numFmtId="0" fontId="33" fillId="32" borderId="532">
      <alignment horizontal="right" vertical="center"/>
    </xf>
    <xf numFmtId="4" fontId="33" fillId="32" borderId="532">
      <alignment horizontal="right" vertical="center"/>
    </xf>
    <xf numFmtId="0" fontId="37" fillId="32" borderId="532">
      <alignment horizontal="right" vertical="center"/>
    </xf>
    <xf numFmtId="4" fontId="37" fillId="32" borderId="532">
      <alignment horizontal="right" vertical="center"/>
    </xf>
    <xf numFmtId="0" fontId="33" fillId="34" borderId="532">
      <alignment horizontal="right" vertical="center"/>
    </xf>
    <xf numFmtId="4" fontId="33" fillId="34" borderId="532">
      <alignment horizontal="right" vertical="center"/>
    </xf>
    <xf numFmtId="0" fontId="33" fillId="34" borderId="532">
      <alignment horizontal="right" vertical="center"/>
    </xf>
    <xf numFmtId="4" fontId="33" fillId="34" borderId="532">
      <alignment horizontal="right" vertical="center"/>
    </xf>
    <xf numFmtId="0" fontId="33" fillId="34" borderId="533">
      <alignment horizontal="right" vertical="center"/>
    </xf>
    <xf numFmtId="4" fontId="33" fillId="34" borderId="533">
      <alignment horizontal="right" vertical="center"/>
    </xf>
    <xf numFmtId="0" fontId="33" fillId="34" borderId="534">
      <alignment horizontal="right" vertical="center"/>
    </xf>
    <xf numFmtId="4" fontId="33" fillId="34" borderId="534">
      <alignment horizontal="right" vertical="center"/>
    </xf>
    <xf numFmtId="0" fontId="47" fillId="56" borderId="537" applyNumberFormat="0" applyAlignment="0" applyProtection="0"/>
    <xf numFmtId="0" fontId="35" fillId="34" borderId="535">
      <alignment horizontal="left" vertical="center" wrapText="1" indent="2"/>
    </xf>
    <xf numFmtId="0" fontId="35" fillId="0" borderId="535">
      <alignment horizontal="left" vertical="center" wrapText="1" indent="2"/>
    </xf>
    <xf numFmtId="0" fontId="35" fillId="32" borderId="533">
      <alignment horizontal="left" vertical="center"/>
    </xf>
    <xf numFmtId="0" fontId="59" fillId="43" borderId="537" applyNumberFormat="0" applyAlignment="0" applyProtection="0"/>
    <xf numFmtId="0" fontId="35" fillId="0" borderId="532">
      <alignment horizontal="right" vertical="center"/>
    </xf>
    <xf numFmtId="4" fontId="35" fillId="0" borderId="532">
      <alignment horizontal="right" vertical="center"/>
    </xf>
    <xf numFmtId="0" fontId="35" fillId="0" borderId="532" applyNumberFormat="0" applyFill="0" applyAlignment="0" applyProtection="0"/>
    <xf numFmtId="0" fontId="63" fillId="56" borderId="536" applyNumberFormat="0" applyAlignment="0" applyProtection="0"/>
    <xf numFmtId="173" fontId="35" fillId="60" borderId="532" applyNumberFormat="0" applyFont="0" applyBorder="0" applyAlignment="0" applyProtection="0">
      <alignment horizontal="right" vertical="center"/>
    </xf>
    <xf numFmtId="0" fontId="35" fillId="33" borderId="532"/>
    <xf numFmtId="4" fontId="35" fillId="33" borderId="532"/>
    <xf numFmtId="0" fontId="66" fillId="0" borderId="538" applyNumberFormat="0" applyFill="0" applyAlignment="0" applyProtection="0"/>
    <xf numFmtId="0" fontId="5" fillId="59" borderId="531" applyNumberFormat="0" applyFont="0" applyAlignment="0" applyProtection="0"/>
    <xf numFmtId="0" fontId="41" fillId="59" borderId="531" applyNumberFormat="0" applyFont="0" applyAlignment="0" applyProtection="0"/>
    <xf numFmtId="0" fontId="35" fillId="0" borderId="532" applyNumberFormat="0" applyFill="0" applyAlignment="0" applyProtection="0"/>
    <xf numFmtId="0" fontId="51" fillId="0" borderId="538" applyNumberFormat="0" applyFill="0" applyAlignment="0" applyProtection="0"/>
    <xf numFmtId="0" fontId="66" fillId="0" borderId="538" applyNumberFormat="0" applyFill="0" applyAlignment="0" applyProtection="0"/>
    <xf numFmtId="0" fontId="50" fillId="43" borderId="537" applyNumberFormat="0" applyAlignment="0" applyProtection="0"/>
    <xf numFmtId="0" fontId="47" fillId="56" borderId="537" applyNumberFormat="0" applyAlignment="0" applyProtection="0"/>
    <xf numFmtId="4" fontId="37" fillId="32" borderId="532">
      <alignment horizontal="right" vertical="center"/>
    </xf>
    <xf numFmtId="0" fontId="33" fillId="32" borderId="532">
      <alignment horizontal="right" vertical="center"/>
    </xf>
    <xf numFmtId="173" fontId="35" fillId="60" borderId="532" applyNumberFormat="0" applyFont="0" applyBorder="0" applyAlignment="0" applyProtection="0">
      <alignment horizontal="right" vertical="center"/>
    </xf>
    <xf numFmtId="0" fontId="51" fillId="0" borderId="538" applyNumberFormat="0" applyFill="0" applyAlignment="0" applyProtection="0"/>
    <xf numFmtId="49" fontId="35" fillId="0" borderId="532" applyNumberFormat="0" applyFont="0" applyFill="0" applyBorder="0" applyProtection="0">
      <alignment horizontal="left" vertical="center" indent="2"/>
    </xf>
    <xf numFmtId="49" fontId="35" fillId="0" borderId="533" applyNumberFormat="0" applyFont="0" applyFill="0" applyBorder="0" applyProtection="0">
      <alignment horizontal="left" vertical="center" indent="5"/>
    </xf>
    <xf numFmtId="49" fontId="35" fillId="0" borderId="532" applyNumberFormat="0" applyFont="0" applyFill="0" applyBorder="0" applyProtection="0">
      <alignment horizontal="left" vertical="center" indent="2"/>
    </xf>
    <xf numFmtId="4" fontId="35" fillId="0" borderId="532" applyFill="0" applyBorder="0" applyProtection="0">
      <alignment horizontal="right" vertical="center"/>
    </xf>
    <xf numFmtId="49" fontId="34" fillId="0" borderId="532" applyNumberFormat="0" applyFill="0" applyBorder="0" applyProtection="0">
      <alignment horizontal="left" vertical="center"/>
    </xf>
    <xf numFmtId="0" fontId="35" fillId="0" borderId="535">
      <alignment horizontal="left" vertical="center" wrapText="1" indent="2"/>
    </xf>
    <xf numFmtId="0" fontId="63" fillId="56" borderId="536" applyNumberFormat="0" applyAlignment="0" applyProtection="0"/>
    <xf numFmtId="0" fontId="33" fillId="34" borderId="534">
      <alignment horizontal="right" vertical="center"/>
    </xf>
    <xf numFmtId="0" fontId="50" fillId="43" borderId="537" applyNumberFormat="0" applyAlignment="0" applyProtection="0"/>
    <xf numFmtId="0" fontId="33" fillId="34" borderId="534">
      <alignment horizontal="right" vertical="center"/>
    </xf>
    <xf numFmtId="4" fontId="33" fillId="34" borderId="532">
      <alignment horizontal="right" vertical="center"/>
    </xf>
    <xf numFmtId="0" fontId="33" fillId="34" borderId="532">
      <alignment horizontal="right" vertical="center"/>
    </xf>
    <xf numFmtId="0" fontId="44" fillId="56" borderId="536" applyNumberFormat="0" applyAlignment="0" applyProtection="0"/>
    <xf numFmtId="0" fontId="46" fillId="56" borderId="537" applyNumberFormat="0" applyAlignment="0" applyProtection="0"/>
    <xf numFmtId="0" fontId="51" fillId="0" borderId="538" applyNumberFormat="0" applyFill="0" applyAlignment="0" applyProtection="0"/>
    <xf numFmtId="0" fontId="35" fillId="33" borderId="532"/>
    <xf numFmtId="4" fontId="35" fillId="33" borderId="532"/>
    <xf numFmtId="4" fontId="33" fillId="34" borderId="532">
      <alignment horizontal="right" vertical="center"/>
    </xf>
    <xf numFmtId="0" fontId="37" fillId="32" borderId="532">
      <alignment horizontal="right" vertical="center"/>
    </xf>
    <xf numFmtId="0" fontId="50" fillId="43" borderId="537" applyNumberFormat="0" applyAlignment="0" applyProtection="0"/>
    <xf numFmtId="0" fontId="47" fillId="56" borderId="537" applyNumberFormat="0" applyAlignment="0" applyProtection="0"/>
    <xf numFmtId="4" fontId="35" fillId="0" borderId="532">
      <alignment horizontal="right" vertical="center"/>
    </xf>
    <xf numFmtId="0" fontId="35" fillId="34" borderId="535">
      <alignment horizontal="left" vertical="center" wrapText="1" indent="2"/>
    </xf>
    <xf numFmtId="0" fontId="35" fillId="0" borderId="535">
      <alignment horizontal="left" vertical="center" wrapText="1" indent="2"/>
    </xf>
    <xf numFmtId="0" fontId="63" fillId="56" borderId="536" applyNumberFormat="0" applyAlignment="0" applyProtection="0"/>
    <xf numFmtId="0" fontId="59" fillId="43" borderId="537" applyNumberFormat="0" applyAlignment="0" applyProtection="0"/>
    <xf numFmtId="0" fontId="46" fillId="56" borderId="537" applyNumberFormat="0" applyAlignment="0" applyProtection="0"/>
    <xf numFmtId="0" fontId="44" fillId="56" borderId="536" applyNumberFormat="0" applyAlignment="0" applyProtection="0"/>
    <xf numFmtId="0" fontId="33" fillId="34" borderId="534">
      <alignment horizontal="right" vertical="center"/>
    </xf>
    <xf numFmtId="0" fontId="37" fillId="32" borderId="532">
      <alignment horizontal="right" vertical="center"/>
    </xf>
    <xf numFmtId="4" fontId="33" fillId="32" borderId="532">
      <alignment horizontal="right" vertical="center"/>
    </xf>
    <xf numFmtId="4" fontId="33" fillId="34" borderId="532">
      <alignment horizontal="right" vertical="center"/>
    </xf>
    <xf numFmtId="49" fontId="35" fillId="0" borderId="533" applyNumberFormat="0" applyFont="0" applyFill="0" applyBorder="0" applyProtection="0">
      <alignment horizontal="left" vertical="center" indent="5"/>
    </xf>
    <xf numFmtId="4" fontId="35" fillId="0" borderId="532" applyFill="0" applyBorder="0" applyProtection="0">
      <alignment horizontal="right" vertical="center"/>
    </xf>
    <xf numFmtId="4" fontId="33" fillId="32" borderId="532">
      <alignment horizontal="right" vertical="center"/>
    </xf>
    <xf numFmtId="0" fontId="59" fillId="43" borderId="537" applyNumberFormat="0" applyAlignment="0" applyProtection="0"/>
    <xf numFmtId="0" fontId="50" fillId="43" borderId="537" applyNumberFormat="0" applyAlignment="0" applyProtection="0"/>
    <xf numFmtId="0" fontId="46" fillId="56" borderId="537" applyNumberFormat="0" applyAlignment="0" applyProtection="0"/>
    <xf numFmtId="0" fontId="35" fillId="34" borderId="535">
      <alignment horizontal="left" vertical="center" wrapText="1" indent="2"/>
    </xf>
    <xf numFmtId="0" fontId="35" fillId="0" borderId="535">
      <alignment horizontal="left" vertical="center" wrapText="1" indent="2"/>
    </xf>
    <xf numFmtId="0" fontId="35" fillId="34" borderId="535">
      <alignment horizontal="left" vertical="center" wrapText="1" indent="2"/>
    </xf>
    <xf numFmtId="0" fontId="33" fillId="34" borderId="545">
      <alignment horizontal="right" vertical="center"/>
    </xf>
    <xf numFmtId="0" fontId="41" fillId="59" borderId="550" applyNumberFormat="0" applyFont="0" applyAlignment="0" applyProtection="0"/>
    <xf numFmtId="0" fontId="63" fillId="56" borderId="547" applyNumberFormat="0" applyAlignment="0" applyProtection="0"/>
    <xf numFmtId="0" fontId="50" fillId="43" borderId="548" applyNumberFormat="0" applyAlignment="0" applyProtection="0"/>
    <xf numFmtId="0" fontId="46" fillId="56" borderId="548" applyNumberFormat="0" applyAlignment="0" applyProtection="0"/>
    <xf numFmtId="0" fontId="59" fillId="43" borderId="548" applyNumberFormat="0" applyAlignment="0" applyProtection="0"/>
    <xf numFmtId="49" fontId="34" fillId="0" borderId="551" applyNumberFormat="0" applyFill="0" applyBorder="0" applyProtection="0">
      <alignment horizontal="left" vertical="center"/>
    </xf>
    <xf numFmtId="173" fontId="35" fillId="60" borderId="551" applyNumberFormat="0" applyFont="0" applyBorder="0" applyAlignment="0" applyProtection="0">
      <alignment horizontal="right" vertical="center"/>
    </xf>
    <xf numFmtId="4" fontId="33" fillId="34" borderId="553">
      <alignment horizontal="right" vertical="center"/>
    </xf>
    <xf numFmtId="0" fontId="35" fillId="0" borderId="551">
      <alignment horizontal="right" vertical="center"/>
    </xf>
    <xf numFmtId="0" fontId="59" fillId="43" borderId="548" applyNumberFormat="0" applyAlignment="0" applyProtection="0"/>
    <xf numFmtId="0" fontId="51" fillId="0" borderId="549" applyNumberFormat="0" applyFill="0" applyAlignment="0" applyProtection="0"/>
    <xf numFmtId="0" fontId="47" fillId="56" borderId="548" applyNumberFormat="0" applyAlignment="0" applyProtection="0"/>
    <xf numFmtId="0" fontId="35" fillId="34" borderId="554">
      <alignment horizontal="left" vertical="center" wrapText="1" indent="2"/>
    </xf>
    <xf numFmtId="4" fontId="37" fillId="32" borderId="551">
      <alignment horizontal="right" vertical="center"/>
    </xf>
    <xf numFmtId="4" fontId="33" fillId="32" borderId="551">
      <alignment horizontal="right" vertical="center"/>
    </xf>
    <xf numFmtId="4" fontId="35" fillId="0" borderId="551" applyFill="0" applyBorder="0" applyProtection="0">
      <alignment horizontal="right" vertical="center"/>
    </xf>
    <xf numFmtId="0" fontId="47" fillId="56" borderId="548" applyNumberFormat="0" applyAlignment="0" applyProtection="0"/>
    <xf numFmtId="0" fontId="41" fillId="59" borderId="550" applyNumberFormat="0" applyFont="0" applyAlignment="0" applyProtection="0"/>
    <xf numFmtId="0" fontId="5" fillId="59" borderId="550" applyNumberFormat="0" applyFont="0" applyAlignment="0" applyProtection="0"/>
    <xf numFmtId="0" fontId="35" fillId="0" borderId="551" applyNumberFormat="0" applyFill="0" applyAlignment="0" applyProtection="0"/>
    <xf numFmtId="0" fontId="12" fillId="19" borderId="0" applyNumberFormat="0" applyBorder="0" applyAlignment="0" applyProtection="0"/>
    <xf numFmtId="0" fontId="12" fillId="31" borderId="0" applyNumberFormat="0" applyBorder="0" applyAlignment="0" applyProtection="0"/>
    <xf numFmtId="0" fontId="33" fillId="32" borderId="551">
      <alignment horizontal="right" vertical="center"/>
    </xf>
    <xf numFmtId="0" fontId="47" fillId="56" borderId="548" applyNumberFormat="0" applyAlignment="0" applyProtection="0"/>
    <xf numFmtId="4" fontId="35" fillId="0" borderId="551">
      <alignment horizontal="right" vertical="center"/>
    </xf>
    <xf numFmtId="4" fontId="33" fillId="34" borderId="553">
      <alignment horizontal="right" vertical="center"/>
    </xf>
    <xf numFmtId="0" fontId="46" fillId="56" borderId="548" applyNumberFormat="0" applyAlignment="0" applyProtection="0"/>
    <xf numFmtId="0" fontId="12" fillId="25" borderId="0" applyNumberFormat="0" applyBorder="0" applyAlignment="0" applyProtection="0"/>
    <xf numFmtId="0" fontId="27" fillId="27" borderId="0" applyNumberFormat="0" applyBorder="0" applyAlignment="0" applyProtection="0"/>
    <xf numFmtId="0" fontId="12" fillId="28" borderId="0" applyNumberFormat="0" applyBorder="0" applyAlignment="0" applyProtection="0"/>
    <xf numFmtId="0" fontId="12" fillId="22" borderId="0" applyNumberFormat="0" applyBorder="0" applyAlignment="0" applyProtection="0"/>
    <xf numFmtId="0" fontId="27" fillId="20" borderId="0" applyNumberFormat="0" applyBorder="0" applyAlignment="0" applyProtection="0"/>
    <xf numFmtId="0" fontId="27" fillId="14" borderId="0" applyNumberFormat="0" applyBorder="0" applyAlignment="0" applyProtection="0"/>
    <xf numFmtId="0" fontId="59" fillId="43" borderId="548" applyNumberFormat="0" applyAlignment="0" applyProtection="0"/>
    <xf numFmtId="0" fontId="44" fillId="56" borderId="547" applyNumberFormat="0" applyAlignment="0" applyProtection="0"/>
    <xf numFmtId="4" fontId="33" fillId="34" borderId="551">
      <alignment horizontal="right" vertical="center"/>
    </xf>
    <xf numFmtId="0" fontId="35" fillId="0" borderId="551">
      <alignment horizontal="right" vertical="center"/>
    </xf>
    <xf numFmtId="4" fontId="33" fillId="34" borderId="543">
      <alignment horizontal="right" vertical="center"/>
    </xf>
    <xf numFmtId="0" fontId="35" fillId="33" borderId="543"/>
    <xf numFmtId="0" fontId="46" fillId="56" borderId="540" applyNumberFormat="0" applyAlignment="0" applyProtection="0"/>
    <xf numFmtId="0" fontId="33" fillId="32" borderId="543">
      <alignment horizontal="right" vertical="center"/>
    </xf>
    <xf numFmtId="0" fontId="35" fillId="0" borderId="543">
      <alignment horizontal="right" vertical="center"/>
    </xf>
    <xf numFmtId="0" fontId="66" fillId="0" borderId="541" applyNumberFormat="0" applyFill="0" applyAlignment="0" applyProtection="0"/>
    <xf numFmtId="0" fontId="35" fillId="32" borderId="544">
      <alignment horizontal="left" vertical="center"/>
    </xf>
    <xf numFmtId="0" fontId="59" fillId="43" borderId="540" applyNumberFormat="0" applyAlignment="0" applyProtection="0"/>
    <xf numFmtId="173" fontId="35" fillId="60" borderId="543" applyNumberFormat="0" applyFont="0" applyBorder="0" applyAlignment="0" applyProtection="0">
      <alignment horizontal="right" vertical="center"/>
    </xf>
    <xf numFmtId="0" fontId="41" fillId="59" borderId="542" applyNumberFormat="0" applyFont="0" applyAlignment="0" applyProtection="0"/>
    <xf numFmtId="0" fontId="35" fillId="0" borderId="546">
      <alignment horizontal="left" vertical="center" wrapText="1" indent="2"/>
    </xf>
    <xf numFmtId="4" fontId="35" fillId="33" borderId="543"/>
    <xf numFmtId="49" fontId="34" fillId="0" borderId="543" applyNumberFormat="0" applyFill="0" applyBorder="0" applyProtection="0">
      <alignment horizontal="left" vertical="center"/>
    </xf>
    <xf numFmtId="0" fontId="35" fillId="0" borderId="543">
      <alignment horizontal="right" vertical="center"/>
    </xf>
    <xf numFmtId="4" fontId="33" fillId="34" borderId="545">
      <alignment horizontal="right" vertical="center"/>
    </xf>
    <xf numFmtId="4" fontId="33" fillId="34" borderId="543">
      <alignment horizontal="right" vertical="center"/>
    </xf>
    <xf numFmtId="4" fontId="33" fillId="34" borderId="543">
      <alignment horizontal="right" vertical="center"/>
    </xf>
    <xf numFmtId="0" fontId="37" fillId="32" borderId="543">
      <alignment horizontal="right" vertical="center"/>
    </xf>
    <xf numFmtId="0" fontId="33" fillId="32" borderId="543">
      <alignment horizontal="right" vertical="center"/>
    </xf>
    <xf numFmtId="49" fontId="35" fillId="0" borderId="543" applyNumberFormat="0" applyFont="0" applyFill="0" applyBorder="0" applyProtection="0">
      <alignment horizontal="left" vertical="center" indent="2"/>
    </xf>
    <xf numFmtId="0" fontId="59" fillId="43" borderId="540" applyNumberFormat="0" applyAlignment="0" applyProtection="0"/>
    <xf numFmtId="0" fontId="44" fillId="56" borderId="539" applyNumberFormat="0" applyAlignment="0" applyProtection="0"/>
    <xf numFmtId="49" fontId="35" fillId="0" borderId="543" applyNumberFormat="0" applyFont="0" applyFill="0" applyBorder="0" applyProtection="0">
      <alignment horizontal="left" vertical="center" indent="2"/>
    </xf>
    <xf numFmtId="0" fontId="50" fillId="43" borderId="540" applyNumberFormat="0" applyAlignment="0" applyProtection="0"/>
    <xf numFmtId="4" fontId="35" fillId="0" borderId="543" applyFill="0" applyBorder="0" applyProtection="0">
      <alignment horizontal="right" vertical="center"/>
    </xf>
    <xf numFmtId="0" fontId="47" fillId="56" borderId="540" applyNumberFormat="0" applyAlignment="0" applyProtection="0"/>
    <xf numFmtId="0" fontId="66" fillId="0" borderId="541" applyNumberFormat="0" applyFill="0" applyAlignment="0" applyProtection="0"/>
    <xf numFmtId="0" fontId="63" fillId="56" borderId="539" applyNumberFormat="0" applyAlignment="0" applyProtection="0"/>
    <xf numFmtId="0" fontId="35" fillId="0" borderId="543" applyNumberFormat="0" applyFill="0" applyAlignment="0" applyProtection="0"/>
    <xf numFmtId="4" fontId="35" fillId="0" borderId="543">
      <alignment horizontal="right" vertical="center"/>
    </xf>
    <xf numFmtId="0" fontId="35" fillId="0" borderId="543">
      <alignment horizontal="right" vertical="center"/>
    </xf>
    <xf numFmtId="0" fontId="59" fillId="43" borderId="540" applyNumberFormat="0" applyAlignment="0" applyProtection="0"/>
    <xf numFmtId="0" fontId="44" fillId="56" borderId="539" applyNumberFormat="0" applyAlignment="0" applyProtection="0"/>
    <xf numFmtId="0" fontId="46" fillId="56" borderId="540" applyNumberFormat="0" applyAlignment="0" applyProtection="0"/>
    <xf numFmtId="0" fontId="35" fillId="34" borderId="546">
      <alignment horizontal="left" vertical="center" wrapText="1" indent="2"/>
    </xf>
    <xf numFmtId="0" fontId="47" fillId="56" borderId="540" applyNumberFormat="0" applyAlignment="0" applyProtection="0"/>
    <xf numFmtId="0" fontId="47" fillId="56" borderId="540" applyNumberFormat="0" applyAlignment="0" applyProtection="0"/>
    <xf numFmtId="4" fontId="33" fillId="34" borderId="544">
      <alignment horizontal="right" vertical="center"/>
    </xf>
    <xf numFmtId="0" fontId="33" fillId="34" borderId="544">
      <alignment horizontal="right" vertical="center"/>
    </xf>
    <xf numFmtId="0" fontId="33" fillId="34" borderId="543">
      <alignment horizontal="right" vertical="center"/>
    </xf>
    <xf numFmtId="4" fontId="37" fillId="32" borderId="543">
      <alignment horizontal="right" vertical="center"/>
    </xf>
    <xf numFmtId="0" fontId="50" fillId="43" borderId="540" applyNumberFormat="0" applyAlignment="0" applyProtection="0"/>
    <xf numFmtId="0" fontId="51" fillId="0" borderId="541" applyNumberFormat="0" applyFill="0" applyAlignment="0" applyProtection="0"/>
    <xf numFmtId="0" fontId="66" fillId="0" borderId="541" applyNumberFormat="0" applyFill="0" applyAlignment="0" applyProtection="0"/>
    <xf numFmtId="0" fontId="41" fillId="59" borderId="542" applyNumberFormat="0" applyFont="0" applyAlignment="0" applyProtection="0"/>
    <xf numFmtId="0" fontId="59" fillId="43" borderId="540" applyNumberFormat="0" applyAlignment="0" applyProtection="0"/>
    <xf numFmtId="49" fontId="34" fillId="0" borderId="543" applyNumberFormat="0" applyFill="0" applyBorder="0" applyProtection="0">
      <alignment horizontal="left" vertical="center"/>
    </xf>
    <xf numFmtId="0" fontId="35" fillId="34" borderId="546">
      <alignment horizontal="left" vertical="center" wrapText="1" indent="2"/>
    </xf>
    <xf numFmtId="0" fontId="47" fillId="56" borderId="540" applyNumberFormat="0" applyAlignment="0" applyProtection="0"/>
    <xf numFmtId="0" fontId="35" fillId="0" borderId="546">
      <alignment horizontal="left" vertical="center" wrapText="1" indent="2"/>
    </xf>
    <xf numFmtId="0" fontId="41" fillId="59" borderId="542" applyNumberFormat="0" applyFont="0" applyAlignment="0" applyProtection="0"/>
    <xf numFmtId="0" fontId="5" fillId="59" borderId="542" applyNumberFormat="0" applyFont="0" applyAlignment="0" applyProtection="0"/>
    <xf numFmtId="0" fontId="63" fillId="56" borderId="539" applyNumberFormat="0" applyAlignment="0" applyProtection="0"/>
    <xf numFmtId="0" fontId="66" fillId="0" borderId="541" applyNumberFormat="0" applyFill="0" applyAlignment="0" applyProtection="0"/>
    <xf numFmtId="4" fontId="35" fillId="33" borderId="543"/>
    <xf numFmtId="0" fontId="33" fillId="34" borderId="543">
      <alignment horizontal="right" vertical="center"/>
    </xf>
    <xf numFmtId="0" fontId="66" fillId="0" borderId="541" applyNumberFormat="0" applyFill="0" applyAlignment="0" applyProtection="0"/>
    <xf numFmtId="4" fontId="33" fillId="34" borderId="545">
      <alignment horizontal="right" vertical="center"/>
    </xf>
    <xf numFmtId="0" fontId="46" fillId="56" borderId="540" applyNumberFormat="0" applyAlignment="0" applyProtection="0"/>
    <xf numFmtId="0" fontId="33" fillId="34" borderId="544">
      <alignment horizontal="right" vertical="center"/>
    </xf>
    <xf numFmtId="0" fontId="47" fillId="56" borderId="540" applyNumberFormat="0" applyAlignment="0" applyProtection="0"/>
    <xf numFmtId="0" fontId="51" fillId="0" borderId="541" applyNumberFormat="0" applyFill="0" applyAlignment="0" applyProtection="0"/>
    <xf numFmtId="0" fontId="41" fillId="59" borderId="542" applyNumberFormat="0" applyFont="0" applyAlignment="0" applyProtection="0"/>
    <xf numFmtId="4" fontId="33" fillId="34" borderId="544">
      <alignment horizontal="right" vertical="center"/>
    </xf>
    <xf numFmtId="0" fontId="35" fillId="34" borderId="546">
      <alignment horizontal="left" vertical="center" wrapText="1" indent="2"/>
    </xf>
    <xf numFmtId="0" fontId="35" fillId="33" borderId="543"/>
    <xf numFmtId="173" fontId="35" fillId="60" borderId="543" applyNumberFormat="0" applyFont="0" applyBorder="0" applyAlignment="0" applyProtection="0">
      <alignment horizontal="right" vertical="center"/>
    </xf>
    <xf numFmtId="0" fontId="35" fillId="0" borderId="543" applyNumberFormat="0" applyFill="0" applyAlignment="0" applyProtection="0"/>
    <xf numFmtId="4" fontId="35" fillId="0" borderId="543" applyFill="0" applyBorder="0" applyProtection="0">
      <alignment horizontal="right" vertical="center"/>
    </xf>
    <xf numFmtId="4" fontId="33" fillId="32" borderId="543">
      <alignment horizontal="right" vertical="center"/>
    </xf>
    <xf numFmtId="0" fontId="51" fillId="0" borderId="541" applyNumberFormat="0" applyFill="0" applyAlignment="0" applyProtection="0"/>
    <xf numFmtId="49" fontId="34" fillId="0" borderId="543" applyNumberFormat="0" applyFill="0" applyBorder="0" applyProtection="0">
      <alignment horizontal="left" vertical="center"/>
    </xf>
    <xf numFmtId="49" fontId="35" fillId="0" borderId="544" applyNumberFormat="0" applyFont="0" applyFill="0" applyBorder="0" applyProtection="0">
      <alignment horizontal="left" vertical="center" indent="5"/>
    </xf>
    <xf numFmtId="0" fontId="35" fillId="32" borderId="544">
      <alignment horizontal="left" vertical="center"/>
    </xf>
    <xf numFmtId="0" fontId="47" fillId="56" borderId="540" applyNumberFormat="0" applyAlignment="0" applyProtection="0"/>
    <xf numFmtId="4" fontId="33" fillId="34" borderId="545">
      <alignment horizontal="right" vertical="center"/>
    </xf>
    <xf numFmtId="0" fontId="59" fillId="43" borderId="540" applyNumberFormat="0" applyAlignment="0" applyProtection="0"/>
    <xf numFmtId="0" fontId="59" fillId="43" borderId="540" applyNumberFormat="0" applyAlignment="0" applyProtection="0"/>
    <xf numFmtId="0" fontId="41" fillId="59" borderId="542" applyNumberFormat="0" applyFont="0" applyAlignment="0" applyProtection="0"/>
    <xf numFmtId="0" fontId="63" fillId="56" borderId="539" applyNumberFormat="0" applyAlignment="0" applyProtection="0"/>
    <xf numFmtId="0" fontId="66" fillId="0" borderId="541" applyNumberFormat="0" applyFill="0" applyAlignment="0" applyProtection="0"/>
    <xf numFmtId="0" fontId="33" fillId="34" borderId="543">
      <alignment horizontal="right" vertical="center"/>
    </xf>
    <xf numFmtId="0" fontId="5" fillId="59" borderId="542" applyNumberFormat="0" applyFont="0" applyAlignment="0" applyProtection="0"/>
    <xf numFmtId="4" fontId="35" fillId="0" borderId="543">
      <alignment horizontal="right" vertical="center"/>
    </xf>
    <xf numFmtId="0" fontId="66" fillId="0" borderId="541" applyNumberFormat="0" applyFill="0" applyAlignment="0" applyProtection="0"/>
    <xf numFmtId="0" fontId="33" fillId="34" borderId="543">
      <alignment horizontal="right" vertical="center"/>
    </xf>
    <xf numFmtId="0" fontId="33" fillId="34" borderId="543">
      <alignment horizontal="right" vertical="center"/>
    </xf>
    <xf numFmtId="4" fontId="37" fillId="32" borderId="543">
      <alignment horizontal="right" vertical="center"/>
    </xf>
    <xf numFmtId="0" fontId="33" fillId="32" borderId="543">
      <alignment horizontal="right" vertical="center"/>
    </xf>
    <xf numFmtId="4" fontId="33" fillId="32" borderId="543">
      <alignment horizontal="right" vertical="center"/>
    </xf>
    <xf numFmtId="0" fontId="37" fillId="32" borderId="543">
      <alignment horizontal="right" vertical="center"/>
    </xf>
    <xf numFmtId="4" fontId="37" fillId="32" borderId="543">
      <alignment horizontal="right" vertical="center"/>
    </xf>
    <xf numFmtId="0" fontId="33" fillId="34" borderId="543">
      <alignment horizontal="right" vertical="center"/>
    </xf>
    <xf numFmtId="4" fontId="33" fillId="34" borderId="543">
      <alignment horizontal="right" vertical="center"/>
    </xf>
    <xf numFmtId="0" fontId="33" fillId="34" borderId="543">
      <alignment horizontal="right" vertical="center"/>
    </xf>
    <xf numFmtId="4" fontId="33" fillId="34" borderId="543">
      <alignment horizontal="right" vertical="center"/>
    </xf>
    <xf numFmtId="0" fontId="33" fillId="34" borderId="544">
      <alignment horizontal="right" vertical="center"/>
    </xf>
    <xf numFmtId="4" fontId="33" fillId="34" borderId="544">
      <alignment horizontal="right" vertical="center"/>
    </xf>
    <xf numFmtId="0" fontId="33" fillId="34" borderId="545">
      <alignment horizontal="right" vertical="center"/>
    </xf>
    <xf numFmtId="4" fontId="33" fillId="34" borderId="545">
      <alignment horizontal="right" vertical="center"/>
    </xf>
    <xf numFmtId="0" fontId="47" fillId="56" borderId="540" applyNumberFormat="0" applyAlignment="0" applyProtection="0"/>
    <xf numFmtId="0" fontId="35" fillId="34" borderId="546">
      <alignment horizontal="left" vertical="center" wrapText="1" indent="2"/>
    </xf>
    <xf numFmtId="0" fontId="35" fillId="0" borderId="546">
      <alignment horizontal="left" vertical="center" wrapText="1" indent="2"/>
    </xf>
    <xf numFmtId="0" fontId="35" fillId="32" borderId="544">
      <alignment horizontal="left" vertical="center"/>
    </xf>
    <xf numFmtId="0" fontId="59" fillId="43" borderId="540" applyNumberFormat="0" applyAlignment="0" applyProtection="0"/>
    <xf numFmtId="0" fontId="35" fillId="0" borderId="543">
      <alignment horizontal="right" vertical="center"/>
    </xf>
    <xf numFmtId="4" fontId="35" fillId="0" borderId="543">
      <alignment horizontal="right" vertical="center"/>
    </xf>
    <xf numFmtId="0" fontId="35" fillId="0" borderId="543" applyNumberFormat="0" applyFill="0" applyAlignment="0" applyProtection="0"/>
    <xf numFmtId="0" fontId="63" fillId="56" borderId="539" applyNumberFormat="0" applyAlignment="0" applyProtection="0"/>
    <xf numFmtId="173" fontId="35" fillId="60" borderId="543" applyNumberFormat="0" applyFont="0" applyBorder="0" applyAlignment="0" applyProtection="0">
      <alignment horizontal="right" vertical="center"/>
    </xf>
    <xf numFmtId="0" fontId="35" fillId="33" borderId="543"/>
    <xf numFmtId="4" fontId="35" fillId="33" borderId="543"/>
    <xf numFmtId="0" fontId="66" fillId="0" borderId="541" applyNumberFormat="0" applyFill="0" applyAlignment="0" applyProtection="0"/>
    <xf numFmtId="0" fontId="5" fillId="59" borderId="542" applyNumberFormat="0" applyFont="0" applyAlignment="0" applyProtection="0"/>
    <xf numFmtId="0" fontId="41" fillId="59" borderId="542" applyNumberFormat="0" applyFont="0" applyAlignment="0" applyProtection="0"/>
    <xf numFmtId="0" fontId="35" fillId="0" borderId="543" applyNumberFormat="0" applyFill="0" applyAlignment="0" applyProtection="0"/>
    <xf numFmtId="0" fontId="51" fillId="0" borderId="541" applyNumberFormat="0" applyFill="0" applyAlignment="0" applyProtection="0"/>
    <xf numFmtId="0" fontId="66" fillId="0" borderId="541" applyNumberFormat="0" applyFill="0" applyAlignment="0" applyProtection="0"/>
    <xf numFmtId="0" fontId="50" fillId="43" borderId="540" applyNumberFormat="0" applyAlignment="0" applyProtection="0"/>
    <xf numFmtId="0" fontId="47" fillId="56" borderId="540" applyNumberFormat="0" applyAlignment="0" applyProtection="0"/>
    <xf numFmtId="4" fontId="37" fillId="32" borderId="543">
      <alignment horizontal="right" vertical="center"/>
    </xf>
    <xf numFmtId="0" fontId="33" fillId="32" borderId="543">
      <alignment horizontal="right" vertical="center"/>
    </xf>
    <xf numFmtId="173" fontId="35" fillId="60" borderId="543" applyNumberFormat="0" applyFont="0" applyBorder="0" applyAlignment="0" applyProtection="0">
      <alignment horizontal="right" vertical="center"/>
    </xf>
    <xf numFmtId="0" fontId="51" fillId="0" borderId="541" applyNumberFormat="0" applyFill="0" applyAlignment="0" applyProtection="0"/>
    <xf numFmtId="49" fontId="35" fillId="0" borderId="543" applyNumberFormat="0" applyFont="0" applyFill="0" applyBorder="0" applyProtection="0">
      <alignment horizontal="left" vertical="center" indent="2"/>
    </xf>
    <xf numFmtId="49" fontId="35" fillId="0" borderId="544" applyNumberFormat="0" applyFont="0" applyFill="0" applyBorder="0" applyProtection="0">
      <alignment horizontal="left" vertical="center" indent="5"/>
    </xf>
    <xf numFmtId="49" fontId="35" fillId="0" borderId="543" applyNumberFormat="0" applyFont="0" applyFill="0" applyBorder="0" applyProtection="0">
      <alignment horizontal="left" vertical="center" indent="2"/>
    </xf>
    <xf numFmtId="4" fontId="35" fillId="0" borderId="543" applyFill="0" applyBorder="0" applyProtection="0">
      <alignment horizontal="right" vertical="center"/>
    </xf>
    <xf numFmtId="49" fontId="34" fillId="0" borderId="543" applyNumberFormat="0" applyFill="0" applyBorder="0" applyProtection="0">
      <alignment horizontal="left" vertical="center"/>
    </xf>
    <xf numFmtId="0" fontId="35" fillId="0" borderId="546">
      <alignment horizontal="left" vertical="center" wrapText="1" indent="2"/>
    </xf>
    <xf numFmtId="0" fontId="63" fillId="56" borderId="539" applyNumberFormat="0" applyAlignment="0" applyProtection="0"/>
    <xf numFmtId="0" fontId="33" fillId="34" borderId="545">
      <alignment horizontal="right" vertical="center"/>
    </xf>
    <xf numFmtId="0" fontId="50" fillId="43" borderId="540" applyNumberFormat="0" applyAlignment="0" applyProtection="0"/>
    <xf numFmtId="0" fontId="33" fillId="34" borderId="545">
      <alignment horizontal="right" vertical="center"/>
    </xf>
    <xf numFmtId="4" fontId="33" fillId="34" borderId="543">
      <alignment horizontal="right" vertical="center"/>
    </xf>
    <xf numFmtId="0" fontId="33" fillId="34" borderId="543">
      <alignment horizontal="right" vertical="center"/>
    </xf>
    <xf numFmtId="0" fontId="44" fillId="56" borderId="539" applyNumberFormat="0" applyAlignment="0" applyProtection="0"/>
    <xf numFmtId="0" fontId="46" fillId="56" borderId="540" applyNumberFormat="0" applyAlignment="0" applyProtection="0"/>
    <xf numFmtId="0" fontId="51" fillId="0" borderId="541" applyNumberFormat="0" applyFill="0" applyAlignment="0" applyProtection="0"/>
    <xf numFmtId="0" fontId="35" fillId="33" borderId="543"/>
    <xf numFmtId="4" fontId="35" fillId="33" borderId="543"/>
    <xf numFmtId="4" fontId="33" fillId="34" borderId="543">
      <alignment horizontal="right" vertical="center"/>
    </xf>
    <xf numFmtId="0" fontId="37" fillId="32" borderId="543">
      <alignment horizontal="right" vertical="center"/>
    </xf>
    <xf numFmtId="0" fontId="50" fillId="43" borderId="540" applyNumberFormat="0" applyAlignment="0" applyProtection="0"/>
    <xf numFmtId="0" fontId="47" fillId="56" borderId="540" applyNumberFormat="0" applyAlignment="0" applyProtection="0"/>
    <xf numFmtId="4" fontId="35" fillId="0" borderId="543">
      <alignment horizontal="right" vertical="center"/>
    </xf>
    <xf numFmtId="0" fontId="35" fillId="34" borderId="546">
      <alignment horizontal="left" vertical="center" wrapText="1" indent="2"/>
    </xf>
    <xf numFmtId="0" fontId="35" fillId="0" borderId="546">
      <alignment horizontal="left" vertical="center" wrapText="1" indent="2"/>
    </xf>
    <xf numFmtId="0" fontId="63" fillId="56" borderId="539" applyNumberFormat="0" applyAlignment="0" applyProtection="0"/>
    <xf numFmtId="0" fontId="59" fillId="43" borderId="540" applyNumberFormat="0" applyAlignment="0" applyProtection="0"/>
    <xf numFmtId="0" fontId="46" fillId="56" borderId="540" applyNumberFormat="0" applyAlignment="0" applyProtection="0"/>
    <xf numFmtId="0" fontId="44" fillId="56" borderId="539" applyNumberFormat="0" applyAlignment="0" applyProtection="0"/>
    <xf numFmtId="0" fontId="33" fillId="34" borderId="545">
      <alignment horizontal="right" vertical="center"/>
    </xf>
    <xf numFmtId="0" fontId="37" fillId="32" borderId="543">
      <alignment horizontal="right" vertical="center"/>
    </xf>
    <xf numFmtId="4" fontId="33" fillId="32" borderId="543">
      <alignment horizontal="right" vertical="center"/>
    </xf>
    <xf numFmtId="4" fontId="33" fillId="34" borderId="543">
      <alignment horizontal="right" vertical="center"/>
    </xf>
    <xf numFmtId="49" fontId="35" fillId="0" borderId="544" applyNumberFormat="0" applyFont="0" applyFill="0" applyBorder="0" applyProtection="0">
      <alignment horizontal="left" vertical="center" indent="5"/>
    </xf>
    <xf numFmtId="4" fontId="35" fillId="0" borderId="543" applyFill="0" applyBorder="0" applyProtection="0">
      <alignment horizontal="right" vertical="center"/>
    </xf>
    <xf numFmtId="4" fontId="33" fillId="32" borderId="543">
      <alignment horizontal="right" vertical="center"/>
    </xf>
    <xf numFmtId="4" fontId="35" fillId="0" borderId="558" applyFill="0" applyBorder="0" applyProtection="0">
      <alignment horizontal="right" vertical="center"/>
    </xf>
    <xf numFmtId="0" fontId="59" fillId="43" borderId="540" applyNumberFormat="0" applyAlignment="0" applyProtection="0"/>
    <xf numFmtId="0" fontId="50" fillId="43" borderId="540" applyNumberFormat="0" applyAlignment="0" applyProtection="0"/>
    <xf numFmtId="0" fontId="46" fillId="56" borderId="540" applyNumberFormat="0" applyAlignment="0" applyProtection="0"/>
    <xf numFmtId="0" fontId="35" fillId="34" borderId="546">
      <alignment horizontal="left" vertical="center" wrapText="1" indent="2"/>
    </xf>
    <xf numFmtId="0" fontId="35" fillId="0" borderId="546">
      <alignment horizontal="left" vertical="center" wrapText="1" indent="2"/>
    </xf>
    <xf numFmtId="0" fontId="35" fillId="34" borderId="546">
      <alignment horizontal="left" vertical="center" wrapText="1" indent="2"/>
    </xf>
    <xf numFmtId="0" fontId="35" fillId="0" borderId="546">
      <alignment horizontal="left" vertical="center" wrapText="1" indent="2"/>
    </xf>
    <xf numFmtId="0" fontId="44" fillId="56" borderId="539" applyNumberFormat="0" applyAlignment="0" applyProtection="0"/>
    <xf numFmtId="0" fontId="46" fillId="56" borderId="540" applyNumberFormat="0" applyAlignment="0" applyProtection="0"/>
    <xf numFmtId="0" fontId="47" fillId="56" borderId="540" applyNumberFormat="0" applyAlignment="0" applyProtection="0"/>
    <xf numFmtId="0" fontId="50" fillId="43" borderId="540" applyNumberFormat="0" applyAlignment="0" applyProtection="0"/>
    <xf numFmtId="0" fontId="51" fillId="0" borderId="541" applyNumberFormat="0" applyFill="0" applyAlignment="0" applyProtection="0"/>
    <xf numFmtId="0" fontId="59" fillId="43" borderId="540" applyNumberFormat="0" applyAlignment="0" applyProtection="0"/>
    <xf numFmtId="0" fontId="41" fillId="59" borderId="542" applyNumberFormat="0" applyFont="0" applyAlignment="0" applyProtection="0"/>
    <xf numFmtId="0" fontId="5" fillId="59" borderId="542" applyNumberFormat="0" applyFont="0" applyAlignment="0" applyProtection="0"/>
    <xf numFmtId="0" fontId="63" fillId="56" borderId="539" applyNumberFormat="0" applyAlignment="0" applyProtection="0"/>
    <xf numFmtId="0" fontId="66" fillId="0" borderId="541" applyNumberFormat="0" applyFill="0" applyAlignment="0" applyProtection="0"/>
    <xf numFmtId="0" fontId="47" fillId="56" borderId="540" applyNumberFormat="0" applyAlignment="0" applyProtection="0"/>
    <xf numFmtId="0" fontId="59" fillId="43" borderId="540" applyNumberFormat="0" applyAlignment="0" applyProtection="0"/>
    <xf numFmtId="0" fontId="41" fillId="59" borderId="542" applyNumberFormat="0" applyFont="0" applyAlignment="0" applyProtection="0"/>
    <xf numFmtId="0" fontId="63" fillId="56" borderId="539" applyNumberFormat="0" applyAlignment="0" applyProtection="0"/>
    <xf numFmtId="0" fontId="66" fillId="0" borderId="541" applyNumberFormat="0" applyFill="0" applyAlignment="0" applyProtection="0"/>
    <xf numFmtId="0" fontId="47" fillId="56" borderId="548" applyNumberFormat="0" applyAlignment="0" applyProtection="0"/>
    <xf numFmtId="0" fontId="63" fillId="56" borderId="547" applyNumberFormat="0" applyAlignment="0" applyProtection="0"/>
    <xf numFmtId="4" fontId="33" fillId="34" borderId="558">
      <alignment horizontal="right" vertical="center"/>
    </xf>
    <xf numFmtId="0" fontId="47" fillId="56" borderId="540" applyNumberFormat="0" applyAlignment="0" applyProtection="0"/>
    <xf numFmtId="0" fontId="47" fillId="56" borderId="548" applyNumberFormat="0" applyAlignment="0" applyProtection="0"/>
    <xf numFmtId="0" fontId="59" fillId="43" borderId="548" applyNumberFormat="0" applyAlignment="0" applyProtection="0"/>
    <xf numFmtId="0" fontId="66" fillId="0" borderId="549" applyNumberFormat="0" applyFill="0" applyAlignment="0" applyProtection="0"/>
    <xf numFmtId="0" fontId="59" fillId="43" borderId="540" applyNumberFormat="0" applyAlignment="0" applyProtection="0"/>
    <xf numFmtId="0" fontId="63" fillId="56" borderId="539" applyNumberFormat="0" applyAlignment="0" applyProtection="0"/>
    <xf numFmtId="0" fontId="66" fillId="0" borderId="541" applyNumberFormat="0" applyFill="0" applyAlignment="0" applyProtection="0"/>
    <xf numFmtId="4" fontId="35" fillId="0" borderId="551">
      <alignment horizontal="right" vertical="center"/>
    </xf>
    <xf numFmtId="0" fontId="44" fillId="56" borderId="539" applyNumberFormat="0" applyAlignment="0" applyProtection="0"/>
    <xf numFmtId="0" fontId="46" fillId="56" borderId="540" applyNumberFormat="0" applyAlignment="0" applyProtection="0"/>
    <xf numFmtId="0" fontId="51" fillId="0" borderId="541" applyNumberFormat="0" applyFill="0" applyAlignment="0" applyProtection="0"/>
    <xf numFmtId="49" fontId="35" fillId="0" borderId="543" applyNumberFormat="0" applyFont="0" applyFill="0" applyBorder="0" applyProtection="0">
      <alignment horizontal="left" vertical="center" indent="2"/>
    </xf>
    <xf numFmtId="0" fontId="33" fillId="32" borderId="543">
      <alignment horizontal="right" vertical="center"/>
    </xf>
    <xf numFmtId="4" fontId="33" fillId="32" borderId="543">
      <alignment horizontal="right" vertical="center"/>
    </xf>
    <xf numFmtId="0" fontId="37" fillId="32" borderId="543">
      <alignment horizontal="right" vertical="center"/>
    </xf>
    <xf numFmtId="4" fontId="37" fillId="32" borderId="543">
      <alignment horizontal="right" vertical="center"/>
    </xf>
    <xf numFmtId="0" fontId="33" fillId="34" borderId="543">
      <alignment horizontal="right" vertical="center"/>
    </xf>
    <xf numFmtId="4" fontId="33" fillId="34" borderId="543">
      <alignment horizontal="right" vertical="center"/>
    </xf>
    <xf numFmtId="0" fontId="33" fillId="34" borderId="543">
      <alignment horizontal="right" vertical="center"/>
    </xf>
    <xf numFmtId="4" fontId="33" fillId="34" borderId="543">
      <alignment horizontal="right" vertical="center"/>
    </xf>
    <xf numFmtId="0" fontId="50" fillId="43" borderId="540" applyNumberFormat="0" applyAlignment="0" applyProtection="0"/>
    <xf numFmtId="0" fontId="35" fillId="0" borderId="543">
      <alignment horizontal="right" vertical="center"/>
    </xf>
    <xf numFmtId="4" fontId="35" fillId="0" borderId="543">
      <alignment horizontal="right" vertical="center"/>
    </xf>
    <xf numFmtId="4" fontId="35" fillId="0" borderId="543" applyFill="0" applyBorder="0" applyProtection="0">
      <alignment horizontal="right" vertical="center"/>
    </xf>
    <xf numFmtId="49" fontId="34" fillId="0" borderId="543" applyNumberFormat="0" applyFill="0" applyBorder="0" applyProtection="0">
      <alignment horizontal="left" vertical="center"/>
    </xf>
    <xf numFmtId="0" fontId="35" fillId="0" borderId="543" applyNumberFormat="0" applyFill="0" applyAlignment="0" applyProtection="0"/>
    <xf numFmtId="173" fontId="35" fillId="60" borderId="543" applyNumberFormat="0" applyFont="0" applyBorder="0" applyAlignment="0" applyProtection="0">
      <alignment horizontal="right" vertical="center"/>
    </xf>
    <xf numFmtId="0" fontId="35" fillId="33" borderId="543"/>
    <xf numFmtId="4" fontId="35" fillId="33" borderId="543"/>
    <xf numFmtId="4" fontId="33" fillId="34" borderId="543">
      <alignment horizontal="right" vertical="center"/>
    </xf>
    <xf numFmtId="0" fontId="35" fillId="33" borderId="543"/>
    <xf numFmtId="0" fontId="46" fillId="56" borderId="540" applyNumberFormat="0" applyAlignment="0" applyProtection="0"/>
    <xf numFmtId="0" fontId="33" fillId="32" borderId="543">
      <alignment horizontal="right" vertical="center"/>
    </xf>
    <xf numFmtId="0" fontId="35" fillId="0" borderId="543">
      <alignment horizontal="right" vertical="center"/>
    </xf>
    <xf numFmtId="0" fontId="66" fillId="0" borderId="541" applyNumberFormat="0" applyFill="0" applyAlignment="0" applyProtection="0"/>
    <xf numFmtId="0" fontId="35" fillId="32" borderId="544">
      <alignment horizontal="left" vertical="center"/>
    </xf>
    <xf numFmtId="0" fontId="59" fillId="43" borderId="540" applyNumberFormat="0" applyAlignment="0" applyProtection="0"/>
    <xf numFmtId="173" fontId="35" fillId="60" borderId="543" applyNumberFormat="0" applyFont="0" applyBorder="0" applyAlignment="0" applyProtection="0">
      <alignment horizontal="right" vertical="center"/>
    </xf>
    <xf numFmtId="0" fontId="41" fillId="59" borderId="542" applyNumberFormat="0" applyFont="0" applyAlignment="0" applyProtection="0"/>
    <xf numFmtId="0" fontId="35" fillId="0" borderId="546">
      <alignment horizontal="left" vertical="center" wrapText="1" indent="2"/>
    </xf>
    <xf numFmtId="4" fontId="35" fillId="33" borderId="543"/>
    <xf numFmtId="49" fontId="34" fillId="0" borderId="543" applyNumberFormat="0" applyFill="0" applyBorder="0" applyProtection="0">
      <alignment horizontal="left" vertical="center"/>
    </xf>
    <xf numFmtId="0" fontId="35" fillId="0" borderId="543">
      <alignment horizontal="right" vertical="center"/>
    </xf>
    <xf numFmtId="4" fontId="33" fillId="34" borderId="545">
      <alignment horizontal="right" vertical="center"/>
    </xf>
    <xf numFmtId="4" fontId="33" fillId="34" borderId="543">
      <alignment horizontal="right" vertical="center"/>
    </xf>
    <xf numFmtId="4" fontId="33" fillId="34" borderId="543">
      <alignment horizontal="right" vertical="center"/>
    </xf>
    <xf numFmtId="0" fontId="37" fillId="32" borderId="543">
      <alignment horizontal="right" vertical="center"/>
    </xf>
    <xf numFmtId="0" fontId="33" fillId="32" borderId="543">
      <alignment horizontal="right" vertical="center"/>
    </xf>
    <xf numFmtId="49" fontId="35" fillId="0" borderId="543" applyNumberFormat="0" applyFont="0" applyFill="0" applyBorder="0" applyProtection="0">
      <alignment horizontal="left" vertical="center" indent="2"/>
    </xf>
    <xf numFmtId="0" fontId="59" fillId="43" borderId="540" applyNumberFormat="0" applyAlignment="0" applyProtection="0"/>
    <xf numFmtId="0" fontId="44" fillId="56" borderId="539" applyNumberFormat="0" applyAlignment="0" applyProtection="0"/>
    <xf numFmtId="49" fontId="35" fillId="0" borderId="543" applyNumberFormat="0" applyFont="0" applyFill="0" applyBorder="0" applyProtection="0">
      <alignment horizontal="left" vertical="center" indent="2"/>
    </xf>
    <xf numFmtId="0" fontId="50" fillId="43" borderId="540" applyNumberFormat="0" applyAlignment="0" applyProtection="0"/>
    <xf numFmtId="4" fontId="35" fillId="0" borderId="543" applyFill="0" applyBorder="0" applyProtection="0">
      <alignment horizontal="right" vertical="center"/>
    </xf>
    <xf numFmtId="0" fontId="47" fillId="56" borderId="540" applyNumberFormat="0" applyAlignment="0" applyProtection="0"/>
    <xf numFmtId="0" fontId="66" fillId="0" borderId="541" applyNumberFormat="0" applyFill="0" applyAlignment="0" applyProtection="0"/>
    <xf numFmtId="0" fontId="63" fillId="56" borderId="539" applyNumberFormat="0" applyAlignment="0" applyProtection="0"/>
    <xf numFmtId="0" fontId="35" fillId="0" borderId="543" applyNumberFormat="0" applyFill="0" applyAlignment="0" applyProtection="0"/>
    <xf numFmtId="4" fontId="35" fillId="0" borderId="543">
      <alignment horizontal="right" vertical="center"/>
    </xf>
    <xf numFmtId="0" fontId="35" fillId="0" borderId="543">
      <alignment horizontal="right" vertical="center"/>
    </xf>
    <xf numFmtId="0" fontId="59" fillId="43" borderId="540" applyNumberFormat="0" applyAlignment="0" applyProtection="0"/>
    <xf numFmtId="0" fontId="44" fillId="56" borderId="539" applyNumberFormat="0" applyAlignment="0" applyProtection="0"/>
    <xf numFmtId="0" fontId="46" fillId="56" borderId="540" applyNumberFormat="0" applyAlignment="0" applyProtection="0"/>
    <xf numFmtId="0" fontId="35" fillId="34" borderId="546">
      <alignment horizontal="left" vertical="center" wrapText="1" indent="2"/>
    </xf>
    <xf numFmtId="0" fontId="47" fillId="56" borderId="540" applyNumberFormat="0" applyAlignment="0" applyProtection="0"/>
    <xf numFmtId="0" fontId="47" fillId="56" borderId="540" applyNumberFormat="0" applyAlignment="0" applyProtection="0"/>
    <xf numFmtId="4" fontId="33" fillId="34" borderId="544">
      <alignment horizontal="right" vertical="center"/>
    </xf>
    <xf numFmtId="0" fontId="33" fillId="34" borderId="544">
      <alignment horizontal="right" vertical="center"/>
    </xf>
    <xf numFmtId="0" fontId="33" fillId="34" borderId="543">
      <alignment horizontal="right" vertical="center"/>
    </xf>
    <xf numFmtId="4" fontId="37" fillId="32" borderId="543">
      <alignment horizontal="right" vertical="center"/>
    </xf>
    <xf numFmtId="0" fontId="50" fillId="43" borderId="540" applyNumberFormat="0" applyAlignment="0" applyProtection="0"/>
    <xf numFmtId="0" fontId="51" fillId="0" borderId="541" applyNumberFormat="0" applyFill="0" applyAlignment="0" applyProtection="0"/>
    <xf numFmtId="0" fontId="66" fillId="0" borderId="541" applyNumberFormat="0" applyFill="0" applyAlignment="0" applyProtection="0"/>
    <xf numFmtId="0" fontId="41" fillId="59" borderId="542" applyNumberFormat="0" applyFont="0" applyAlignment="0" applyProtection="0"/>
    <xf numFmtId="0" fontId="59" fillId="43" borderId="540" applyNumberFormat="0" applyAlignment="0" applyProtection="0"/>
    <xf numFmtId="49" fontId="34" fillId="0" borderId="543" applyNumberFormat="0" applyFill="0" applyBorder="0" applyProtection="0">
      <alignment horizontal="left" vertical="center"/>
    </xf>
    <xf numFmtId="0" fontId="35" fillId="34" borderId="546">
      <alignment horizontal="left" vertical="center" wrapText="1" indent="2"/>
    </xf>
    <xf numFmtId="0" fontId="47" fillId="56" borderId="540" applyNumberFormat="0" applyAlignment="0" applyProtection="0"/>
    <xf numFmtId="0" fontId="35" fillId="0" borderId="546">
      <alignment horizontal="left" vertical="center" wrapText="1" indent="2"/>
    </xf>
    <xf numFmtId="0" fontId="41" fillId="59" borderId="542" applyNumberFormat="0" applyFont="0" applyAlignment="0" applyProtection="0"/>
    <xf numFmtId="0" fontId="5" fillId="59" borderId="542" applyNumberFormat="0" applyFont="0" applyAlignment="0" applyProtection="0"/>
    <xf numFmtId="0" fontId="63" fillId="56" borderId="539" applyNumberFormat="0" applyAlignment="0" applyProtection="0"/>
    <xf numFmtId="0" fontId="66" fillId="0" borderId="541" applyNumberFormat="0" applyFill="0" applyAlignment="0" applyProtection="0"/>
    <xf numFmtId="4" fontId="35" fillId="33" borderId="543"/>
    <xf numFmtId="0" fontId="33" fillId="34" borderId="543">
      <alignment horizontal="right" vertical="center"/>
    </xf>
    <xf numFmtId="0" fontId="66" fillId="0" borderId="541" applyNumberFormat="0" applyFill="0" applyAlignment="0" applyProtection="0"/>
    <xf numFmtId="4" fontId="33" fillId="34" borderId="545">
      <alignment horizontal="right" vertical="center"/>
    </xf>
    <xf numFmtId="0" fontId="46" fillId="56" borderId="540" applyNumberFormat="0" applyAlignment="0" applyProtection="0"/>
    <xf numFmtId="0" fontId="33" fillId="34" borderId="544">
      <alignment horizontal="right" vertical="center"/>
    </xf>
    <xf numFmtId="0" fontId="47" fillId="56" borderId="540" applyNumberFormat="0" applyAlignment="0" applyProtection="0"/>
    <xf numFmtId="0" fontId="51" fillId="0" borderId="541" applyNumberFormat="0" applyFill="0" applyAlignment="0" applyProtection="0"/>
    <xf numFmtId="0" fontId="41" fillId="59" borderId="542" applyNumberFormat="0" applyFont="0" applyAlignment="0" applyProtection="0"/>
    <xf numFmtId="4" fontId="33" fillId="34" borderId="544">
      <alignment horizontal="right" vertical="center"/>
    </xf>
    <xf numFmtId="0" fontId="35" fillId="34" borderId="546">
      <alignment horizontal="left" vertical="center" wrapText="1" indent="2"/>
    </xf>
    <xf numFmtId="0" fontId="35" fillId="33" borderId="543"/>
    <xf numFmtId="173" fontId="35" fillId="60" borderId="543" applyNumberFormat="0" applyFont="0" applyBorder="0" applyAlignment="0" applyProtection="0">
      <alignment horizontal="right" vertical="center"/>
    </xf>
    <xf numFmtId="0" fontId="35" fillId="0" borderId="543" applyNumberFormat="0" applyFill="0" applyAlignment="0" applyProtection="0"/>
    <xf numFmtId="4" fontId="35" fillId="0" borderId="543" applyFill="0" applyBorder="0" applyProtection="0">
      <alignment horizontal="right" vertical="center"/>
    </xf>
    <xf numFmtId="4" fontId="33" fillId="32" borderId="543">
      <alignment horizontal="right" vertical="center"/>
    </xf>
    <xf numFmtId="0" fontId="51" fillId="0" borderId="541" applyNumberFormat="0" applyFill="0" applyAlignment="0" applyProtection="0"/>
    <xf numFmtId="49" fontId="34" fillId="0" borderId="543" applyNumberFormat="0" applyFill="0" applyBorder="0" applyProtection="0">
      <alignment horizontal="left" vertical="center"/>
    </xf>
    <xf numFmtId="49" fontId="35" fillId="0" borderId="544" applyNumberFormat="0" applyFont="0" applyFill="0" applyBorder="0" applyProtection="0">
      <alignment horizontal="left" vertical="center" indent="5"/>
    </xf>
    <xf numFmtId="0" fontId="35" fillId="32" borderId="544">
      <alignment horizontal="left" vertical="center"/>
    </xf>
    <xf numFmtId="0" fontId="47" fillId="56" borderId="540" applyNumberFormat="0" applyAlignment="0" applyProtection="0"/>
    <xf numFmtId="4" fontId="33" fillId="34" borderId="545">
      <alignment horizontal="right" vertical="center"/>
    </xf>
    <xf numFmtId="0" fontId="59" fillId="43" borderId="540" applyNumberFormat="0" applyAlignment="0" applyProtection="0"/>
    <xf numFmtId="0" fontId="59" fillId="43" borderId="540" applyNumberFormat="0" applyAlignment="0" applyProtection="0"/>
    <xf numFmtId="0" fontId="41" fillId="59" borderId="542" applyNumberFormat="0" applyFont="0" applyAlignment="0" applyProtection="0"/>
    <xf numFmtId="0" fontId="63" fillId="56" borderId="539" applyNumberFormat="0" applyAlignment="0" applyProtection="0"/>
    <xf numFmtId="0" fontId="66" fillId="0" borderId="541" applyNumberFormat="0" applyFill="0" applyAlignment="0" applyProtection="0"/>
    <xf numFmtId="0" fontId="33" fillId="34" borderId="543">
      <alignment horizontal="right" vertical="center"/>
    </xf>
    <xf numFmtId="0" fontId="5" fillId="59" borderId="542" applyNumberFormat="0" applyFont="0" applyAlignment="0" applyProtection="0"/>
    <xf numFmtId="4" fontId="35" fillId="0" borderId="543">
      <alignment horizontal="right" vertical="center"/>
    </xf>
    <xf numFmtId="0" fontId="66" fillId="0" borderId="541" applyNumberFormat="0" applyFill="0" applyAlignment="0" applyProtection="0"/>
    <xf numFmtId="0" fontId="33" fillId="34" borderId="543">
      <alignment horizontal="right" vertical="center"/>
    </xf>
    <xf numFmtId="0" fontId="33" fillId="34" borderId="543">
      <alignment horizontal="right" vertical="center"/>
    </xf>
    <xf numFmtId="4" fontId="37" fillId="32" borderId="543">
      <alignment horizontal="right" vertical="center"/>
    </xf>
    <xf numFmtId="0" fontId="33" fillId="32" borderId="543">
      <alignment horizontal="right" vertical="center"/>
    </xf>
    <xf numFmtId="4" fontId="33" fillId="32" borderId="543">
      <alignment horizontal="right" vertical="center"/>
    </xf>
    <xf numFmtId="0" fontId="37" fillId="32" borderId="543">
      <alignment horizontal="right" vertical="center"/>
    </xf>
    <xf numFmtId="4" fontId="37" fillId="32" borderId="543">
      <alignment horizontal="right" vertical="center"/>
    </xf>
    <xf numFmtId="0" fontId="33" fillId="34" borderId="543">
      <alignment horizontal="right" vertical="center"/>
    </xf>
    <xf numFmtId="4" fontId="33" fillId="34" borderId="543">
      <alignment horizontal="right" vertical="center"/>
    </xf>
    <xf numFmtId="0" fontId="33" fillId="34" borderId="543">
      <alignment horizontal="right" vertical="center"/>
    </xf>
    <xf numFmtId="4" fontId="33" fillId="34" borderId="543">
      <alignment horizontal="right" vertical="center"/>
    </xf>
    <xf numFmtId="0" fontId="33" fillId="34" borderId="544">
      <alignment horizontal="right" vertical="center"/>
    </xf>
    <xf numFmtId="4" fontId="33" fillId="34" borderId="544">
      <alignment horizontal="right" vertical="center"/>
    </xf>
    <xf numFmtId="0" fontId="33" fillId="34" borderId="545">
      <alignment horizontal="right" vertical="center"/>
    </xf>
    <xf numFmtId="4" fontId="33" fillId="34" borderId="545">
      <alignment horizontal="right" vertical="center"/>
    </xf>
    <xf numFmtId="0" fontId="47" fillId="56" borderId="540" applyNumberFormat="0" applyAlignment="0" applyProtection="0"/>
    <xf numFmtId="0" fontId="35" fillId="34" borderId="546">
      <alignment horizontal="left" vertical="center" wrapText="1" indent="2"/>
    </xf>
    <xf numFmtId="0" fontId="35" fillId="0" borderId="546">
      <alignment horizontal="left" vertical="center" wrapText="1" indent="2"/>
    </xf>
    <xf numFmtId="0" fontId="35" fillId="32" borderId="544">
      <alignment horizontal="left" vertical="center"/>
    </xf>
    <xf numFmtId="0" fontId="59" fillId="43" borderId="540" applyNumberFormat="0" applyAlignment="0" applyProtection="0"/>
    <xf numFmtId="0" fontId="35" fillId="0" borderId="543">
      <alignment horizontal="right" vertical="center"/>
    </xf>
    <xf numFmtId="4" fontId="35" fillId="0" borderId="543">
      <alignment horizontal="right" vertical="center"/>
    </xf>
    <xf numFmtId="0" fontId="35" fillId="0" borderId="543" applyNumberFormat="0" applyFill="0" applyAlignment="0" applyProtection="0"/>
    <xf numFmtId="0" fontId="63" fillId="56" borderId="539" applyNumberFormat="0" applyAlignment="0" applyProtection="0"/>
    <xf numFmtId="173" fontId="35" fillId="60" borderId="543" applyNumberFormat="0" applyFont="0" applyBorder="0" applyAlignment="0" applyProtection="0">
      <alignment horizontal="right" vertical="center"/>
    </xf>
    <xf numFmtId="0" fontId="35" fillId="33" borderId="543"/>
    <xf numFmtId="4" fontId="35" fillId="33" borderId="543"/>
    <xf numFmtId="0" fontId="66" fillId="0" borderId="541" applyNumberFormat="0" applyFill="0" applyAlignment="0" applyProtection="0"/>
    <xf numFmtId="0" fontId="5" fillId="59" borderId="542" applyNumberFormat="0" applyFont="0" applyAlignment="0" applyProtection="0"/>
    <xf numFmtId="0" fontId="41" fillId="59" borderId="542" applyNumberFormat="0" applyFont="0" applyAlignment="0" applyProtection="0"/>
    <xf numFmtId="0" fontId="35" fillId="0" borderId="543" applyNumberFormat="0" applyFill="0" applyAlignment="0" applyProtection="0"/>
    <xf numFmtId="0" fontId="51" fillId="0" borderId="541" applyNumberFormat="0" applyFill="0" applyAlignment="0" applyProtection="0"/>
    <xf numFmtId="0" fontId="66" fillId="0" borderId="541" applyNumberFormat="0" applyFill="0" applyAlignment="0" applyProtection="0"/>
    <xf numFmtId="0" fontId="50" fillId="43" borderId="540" applyNumberFormat="0" applyAlignment="0" applyProtection="0"/>
    <xf numFmtId="0" fontId="47" fillId="56" borderId="540" applyNumberFormat="0" applyAlignment="0" applyProtection="0"/>
    <xf numFmtId="4" fontId="37" fillId="32" borderId="543">
      <alignment horizontal="right" vertical="center"/>
    </xf>
    <xf numFmtId="0" fontId="33" fillId="32" borderId="543">
      <alignment horizontal="right" vertical="center"/>
    </xf>
    <xf numFmtId="173" fontId="35" fillId="60" borderId="543" applyNumberFormat="0" applyFont="0" applyBorder="0" applyAlignment="0" applyProtection="0">
      <alignment horizontal="right" vertical="center"/>
    </xf>
    <xf numFmtId="0" fontId="51" fillId="0" borderId="541" applyNumberFormat="0" applyFill="0" applyAlignment="0" applyProtection="0"/>
    <xf numFmtId="49" fontId="35" fillId="0" borderId="543" applyNumberFormat="0" applyFont="0" applyFill="0" applyBorder="0" applyProtection="0">
      <alignment horizontal="left" vertical="center" indent="2"/>
    </xf>
    <xf numFmtId="49" fontId="35" fillId="0" borderId="544" applyNumberFormat="0" applyFont="0" applyFill="0" applyBorder="0" applyProtection="0">
      <alignment horizontal="left" vertical="center" indent="5"/>
    </xf>
    <xf numFmtId="49" fontId="35" fillId="0" borderId="543" applyNumberFormat="0" applyFont="0" applyFill="0" applyBorder="0" applyProtection="0">
      <alignment horizontal="left" vertical="center" indent="2"/>
    </xf>
    <xf numFmtId="4" fontId="35" fillId="0" borderId="543" applyFill="0" applyBorder="0" applyProtection="0">
      <alignment horizontal="right" vertical="center"/>
    </xf>
    <xf numFmtId="49" fontId="34" fillId="0" borderId="543" applyNumberFormat="0" applyFill="0" applyBorder="0" applyProtection="0">
      <alignment horizontal="left" vertical="center"/>
    </xf>
    <xf numFmtId="0" fontId="35" fillId="0" borderId="546">
      <alignment horizontal="left" vertical="center" wrapText="1" indent="2"/>
    </xf>
    <xf numFmtId="0" fontId="63" fillId="56" borderId="539" applyNumberFormat="0" applyAlignment="0" applyProtection="0"/>
    <xf numFmtId="0" fontId="33" fillId="34" borderId="545">
      <alignment horizontal="right" vertical="center"/>
    </xf>
    <xf numFmtId="0" fontId="50" fillId="43" borderId="540" applyNumberFormat="0" applyAlignment="0" applyProtection="0"/>
    <xf numFmtId="0" fontId="33" fillId="34" borderId="545">
      <alignment horizontal="right" vertical="center"/>
    </xf>
    <xf numFmtId="4" fontId="33" fillId="34" borderId="543">
      <alignment horizontal="right" vertical="center"/>
    </xf>
    <xf numFmtId="0" fontId="33" fillId="34" borderId="543">
      <alignment horizontal="right" vertical="center"/>
    </xf>
    <xf numFmtId="0" fontId="44" fillId="56" borderId="539" applyNumberFormat="0" applyAlignment="0" applyProtection="0"/>
    <xf numFmtId="0" fontId="46" fillId="56" borderId="540" applyNumberFormat="0" applyAlignment="0" applyProtection="0"/>
    <xf numFmtId="0" fontId="51" fillId="0" borderId="541" applyNumberFormat="0" applyFill="0" applyAlignment="0" applyProtection="0"/>
    <xf numFmtId="0" fontId="35" fillId="33" borderId="543"/>
    <xf numFmtId="4" fontId="35" fillId="33" borderId="543"/>
    <xf numFmtId="4" fontId="33" fillId="34" borderId="543">
      <alignment horizontal="right" vertical="center"/>
    </xf>
    <xf numFmtId="0" fontId="37" fillId="32" borderId="543">
      <alignment horizontal="right" vertical="center"/>
    </xf>
    <xf numFmtId="0" fontId="50" fillId="43" borderId="540" applyNumberFormat="0" applyAlignment="0" applyProtection="0"/>
    <xf numFmtId="0" fontId="47" fillId="56" borderId="540" applyNumberFormat="0" applyAlignment="0" applyProtection="0"/>
    <xf numFmtId="4" fontId="35" fillId="0" borderId="543">
      <alignment horizontal="right" vertical="center"/>
    </xf>
    <xf numFmtId="0" fontId="35" fillId="34" borderId="546">
      <alignment horizontal="left" vertical="center" wrapText="1" indent="2"/>
    </xf>
    <xf numFmtId="0" fontId="35" fillId="0" borderId="546">
      <alignment horizontal="left" vertical="center" wrapText="1" indent="2"/>
    </xf>
    <xf numFmtId="0" fontId="63" fillId="56" borderId="539" applyNumberFormat="0" applyAlignment="0" applyProtection="0"/>
    <xf numFmtId="0" fontId="59" fillId="43" borderId="540" applyNumberFormat="0" applyAlignment="0" applyProtection="0"/>
    <xf numFmtId="0" fontId="46" fillId="56" borderId="540" applyNumberFormat="0" applyAlignment="0" applyProtection="0"/>
    <xf numFmtId="0" fontId="44" fillId="56" borderId="539" applyNumberFormat="0" applyAlignment="0" applyProtection="0"/>
    <xf numFmtId="0" fontId="33" fillId="34" borderId="545">
      <alignment horizontal="right" vertical="center"/>
    </xf>
    <xf numFmtId="0" fontId="37" fillId="32" borderId="543">
      <alignment horizontal="right" vertical="center"/>
    </xf>
    <xf numFmtId="4" fontId="33" fillId="32" borderId="543">
      <alignment horizontal="right" vertical="center"/>
    </xf>
    <xf numFmtId="4" fontId="33" fillId="34" borderId="543">
      <alignment horizontal="right" vertical="center"/>
    </xf>
    <xf numFmtId="49" fontId="35" fillId="0" borderId="544" applyNumberFormat="0" applyFont="0" applyFill="0" applyBorder="0" applyProtection="0">
      <alignment horizontal="left" vertical="center" indent="5"/>
    </xf>
    <xf numFmtId="4" fontId="35" fillId="0" borderId="543" applyFill="0" applyBorder="0" applyProtection="0">
      <alignment horizontal="right" vertical="center"/>
    </xf>
    <xf numFmtId="4" fontId="33" fillId="32" borderId="543">
      <alignment horizontal="right" vertical="center"/>
    </xf>
    <xf numFmtId="0" fontId="59" fillId="43" borderId="540" applyNumberFormat="0" applyAlignment="0" applyProtection="0"/>
    <xf numFmtId="0" fontId="50" fillId="43" borderId="540" applyNumberFormat="0" applyAlignment="0" applyProtection="0"/>
    <xf numFmtId="0" fontId="46" fillId="56" borderId="540" applyNumberFormat="0" applyAlignment="0" applyProtection="0"/>
    <xf numFmtId="0" fontId="35" fillId="34" borderId="546">
      <alignment horizontal="left" vertical="center" wrapText="1" indent="2"/>
    </xf>
    <xf numFmtId="0" fontId="35" fillId="0" borderId="546">
      <alignment horizontal="left" vertical="center" wrapText="1" indent="2"/>
    </xf>
    <xf numFmtId="0" fontId="35" fillId="34" borderId="546">
      <alignment horizontal="left" vertical="center" wrapText="1" indent="2"/>
    </xf>
    <xf numFmtId="0" fontId="51" fillId="0" borderId="549" applyNumberFormat="0" applyFill="0" applyAlignment="0" applyProtection="0"/>
    <xf numFmtId="0" fontId="33" fillId="32" borderId="551">
      <alignment horizontal="right" vertical="center"/>
    </xf>
    <xf numFmtId="4" fontId="33" fillId="32" borderId="551">
      <alignment horizontal="right" vertical="center"/>
    </xf>
    <xf numFmtId="0" fontId="66" fillId="0" borderId="549" applyNumberFormat="0" applyFill="0" applyAlignment="0" applyProtection="0"/>
    <xf numFmtId="0" fontId="41" fillId="59" borderId="550" applyNumberFormat="0" applyFont="0" applyAlignment="0" applyProtection="0"/>
    <xf numFmtId="0" fontId="59" fillId="43" borderId="548" applyNumberFormat="0" applyAlignment="0" applyProtection="0"/>
    <xf numFmtId="49" fontId="35" fillId="0" borderId="558" applyNumberFormat="0" applyFont="0" applyFill="0" applyBorder="0" applyProtection="0">
      <alignment horizontal="left" vertical="center" indent="2"/>
    </xf>
    <xf numFmtId="0" fontId="41" fillId="59" borderId="550" applyNumberFormat="0" applyFont="0" applyAlignment="0" applyProtection="0"/>
    <xf numFmtId="0" fontId="66" fillId="0" borderId="549" applyNumberFormat="0" applyFill="0" applyAlignment="0" applyProtection="0"/>
    <xf numFmtId="0" fontId="5" fillId="59" borderId="550" applyNumberFormat="0" applyFont="0" applyAlignment="0" applyProtection="0"/>
    <xf numFmtId="0" fontId="29" fillId="13" borderId="14" applyNumberFormat="0" applyAlignment="0" applyProtection="0"/>
    <xf numFmtId="0" fontId="2" fillId="0" borderId="15" applyNumberFormat="0" applyFill="0" applyAlignment="0" applyProtection="0"/>
    <xf numFmtId="0" fontId="33" fillId="34" borderId="553">
      <alignment horizontal="right" vertical="center"/>
    </xf>
    <xf numFmtId="0" fontId="66" fillId="0" borderId="549" applyNumberFormat="0" applyFill="0" applyAlignment="0" applyProtection="0"/>
    <xf numFmtId="0" fontId="27" fillId="15" borderId="0" applyNumberFormat="0" applyBorder="0" applyAlignment="0" applyProtection="0"/>
    <xf numFmtId="0" fontId="33" fillId="34" borderId="559">
      <alignment horizontal="right" vertical="center"/>
    </xf>
    <xf numFmtId="0" fontId="63" fillId="56" borderId="547" applyNumberFormat="0" applyAlignment="0" applyProtection="0"/>
    <xf numFmtId="0" fontId="46" fillId="56" borderId="548" applyNumberFormat="0" applyAlignment="0" applyProtection="0"/>
    <xf numFmtId="4" fontId="33" fillId="32" borderId="551">
      <alignment horizontal="right" vertical="center"/>
    </xf>
    <xf numFmtId="0" fontId="59" fillId="43" borderId="548" applyNumberFormat="0" applyAlignment="0" applyProtection="0"/>
    <xf numFmtId="4" fontId="33" fillId="32" borderId="551">
      <alignment horizontal="right" vertical="center"/>
    </xf>
    <xf numFmtId="0" fontId="59" fillId="43" borderId="548" applyNumberFormat="0" applyAlignment="0" applyProtection="0"/>
    <xf numFmtId="49" fontId="34" fillId="0" borderId="551" applyNumberFormat="0" applyFill="0" applyBorder="0" applyProtection="0">
      <alignment horizontal="left" vertical="center"/>
    </xf>
    <xf numFmtId="0" fontId="33" fillId="34" borderId="552">
      <alignment horizontal="right" vertical="center"/>
    </xf>
    <xf numFmtId="0" fontId="59" fillId="43" borderId="555" applyNumberFormat="0" applyAlignment="0" applyProtection="0"/>
    <xf numFmtId="4" fontId="33" fillId="34" borderId="551">
      <alignment horizontal="right" vertical="center"/>
    </xf>
    <xf numFmtId="4" fontId="37" fillId="32" borderId="551">
      <alignment horizontal="right" vertical="center"/>
    </xf>
    <xf numFmtId="0" fontId="12" fillId="28" borderId="0" applyNumberFormat="0" applyBorder="0" applyAlignment="0" applyProtection="0"/>
    <xf numFmtId="4" fontId="33" fillId="34" borderId="552">
      <alignment horizontal="right" vertical="center"/>
    </xf>
    <xf numFmtId="0" fontId="35" fillId="0" borderId="551">
      <alignment horizontal="right" vertical="center"/>
    </xf>
    <xf numFmtId="0" fontId="35" fillId="0" borderId="551">
      <alignment horizontal="right" vertical="center"/>
    </xf>
    <xf numFmtId="0" fontId="33" fillId="32" borderId="551">
      <alignment horizontal="right" vertical="center"/>
    </xf>
    <xf numFmtId="4" fontId="33" fillId="34" borderId="552">
      <alignment horizontal="right" vertical="center"/>
    </xf>
    <xf numFmtId="0" fontId="33" fillId="32" borderId="551">
      <alignment horizontal="right" vertical="center"/>
    </xf>
    <xf numFmtId="173" fontId="35" fillId="60" borderId="551" applyNumberFormat="0" applyFont="0" applyBorder="0" applyAlignment="0" applyProtection="0">
      <alignment horizontal="right" vertical="center"/>
    </xf>
    <xf numFmtId="0" fontId="47" fillId="56" borderId="548" applyNumberFormat="0" applyAlignment="0" applyProtection="0"/>
    <xf numFmtId="0" fontId="59" fillId="43" borderId="555" applyNumberFormat="0" applyAlignment="0" applyProtection="0"/>
    <xf numFmtId="4" fontId="33" fillId="34" borderId="551">
      <alignment horizontal="right" vertical="center"/>
    </xf>
    <xf numFmtId="0" fontId="27" fillId="29" borderId="0" applyNumberFormat="0" applyBorder="0" applyAlignment="0" applyProtection="0"/>
    <xf numFmtId="0" fontId="35" fillId="33" borderId="551"/>
    <xf numFmtId="49" fontId="35" fillId="0" borderId="552" applyNumberFormat="0" applyFont="0" applyFill="0" applyBorder="0" applyProtection="0">
      <alignment horizontal="left" vertical="center" indent="5"/>
    </xf>
    <xf numFmtId="4" fontId="35" fillId="0" borderId="551" applyFill="0" applyBorder="0" applyProtection="0">
      <alignment horizontal="right" vertical="center"/>
    </xf>
    <xf numFmtId="0" fontId="33" fillId="34" borderId="551">
      <alignment horizontal="right" vertical="center"/>
    </xf>
    <xf numFmtId="0" fontId="30" fillId="13" borderId="13" applyNumberFormat="0" applyAlignment="0" applyProtection="0"/>
    <xf numFmtId="4" fontId="33" fillId="34" borderId="551">
      <alignment horizontal="right" vertical="center"/>
    </xf>
    <xf numFmtId="49" fontId="34" fillId="0" borderId="551" applyNumberFormat="0" applyFill="0" applyBorder="0" applyProtection="0">
      <alignment horizontal="left" vertical="center"/>
    </xf>
    <xf numFmtId="0" fontId="35" fillId="32" borderId="559">
      <alignment horizontal="left" vertical="center"/>
    </xf>
    <xf numFmtId="0" fontId="41" fillId="59" borderId="550" applyNumberFormat="0" applyFont="0" applyAlignment="0" applyProtection="0"/>
    <xf numFmtId="0" fontId="47" fillId="56" borderId="548" applyNumberFormat="0" applyAlignment="0" applyProtection="0"/>
    <xf numFmtId="0" fontId="12" fillId="25" borderId="0" applyNumberFormat="0" applyBorder="0" applyAlignment="0" applyProtection="0"/>
    <xf numFmtId="4" fontId="33" fillId="34" borderId="551">
      <alignment horizontal="right" vertical="center"/>
    </xf>
    <xf numFmtId="0" fontId="27" fillId="17" borderId="0" applyNumberFormat="0" applyBorder="0" applyAlignment="0" applyProtection="0"/>
    <xf numFmtId="0" fontId="35" fillId="0" borderId="551" applyNumberFormat="0" applyFill="0" applyAlignment="0" applyProtection="0"/>
    <xf numFmtId="0" fontId="35" fillId="0" borderId="551" applyNumberFormat="0" applyFill="0" applyAlignment="0" applyProtection="0"/>
    <xf numFmtId="0" fontId="46" fillId="56" borderId="548" applyNumberFormat="0" applyAlignment="0" applyProtection="0"/>
    <xf numFmtId="0" fontId="50" fillId="43" borderId="548" applyNumberFormat="0" applyAlignment="0" applyProtection="0"/>
    <xf numFmtId="0" fontId="46" fillId="56" borderId="548" applyNumberFormat="0" applyAlignment="0" applyProtection="0"/>
    <xf numFmtId="0" fontId="41" fillId="59" borderId="550" applyNumberFormat="0" applyFont="0" applyAlignment="0" applyProtection="0"/>
    <xf numFmtId="0" fontId="50" fillId="43" borderId="548" applyNumberFormat="0" applyAlignment="0" applyProtection="0"/>
    <xf numFmtId="4" fontId="33" fillId="32" borderId="551">
      <alignment horizontal="right" vertical="center"/>
    </xf>
    <xf numFmtId="4" fontId="35" fillId="33" borderId="551"/>
    <xf numFmtId="173" fontId="35" fillId="60" borderId="551" applyNumberFormat="0" applyFont="0" applyBorder="0" applyAlignment="0" applyProtection="0">
      <alignment horizontal="right" vertical="center"/>
    </xf>
    <xf numFmtId="0" fontId="37" fillId="32" borderId="551">
      <alignment horizontal="right" vertical="center"/>
    </xf>
    <xf numFmtId="4" fontId="33" fillId="34" borderId="553">
      <alignment horizontal="right" vertical="center"/>
    </xf>
    <xf numFmtId="0" fontId="35" fillId="34" borderId="554">
      <alignment horizontal="left" vertical="center" wrapText="1" indent="2"/>
    </xf>
    <xf numFmtId="0" fontId="59" fillId="43" borderId="548" applyNumberFormat="0" applyAlignment="0" applyProtection="0"/>
    <xf numFmtId="0" fontId="59" fillId="43" borderId="548" applyNumberFormat="0" applyAlignment="0" applyProtection="0"/>
    <xf numFmtId="0" fontId="51" fillId="0" borderId="549" applyNumberFormat="0" applyFill="0" applyAlignment="0" applyProtection="0"/>
    <xf numFmtId="0" fontId="51" fillId="0" borderId="549" applyNumberFormat="0" applyFill="0" applyAlignment="0" applyProtection="0"/>
    <xf numFmtId="4" fontId="35" fillId="0" borderId="558">
      <alignment horizontal="right" vertical="center"/>
    </xf>
    <xf numFmtId="0" fontId="46" fillId="56" borderId="548" applyNumberFormat="0" applyAlignment="0" applyProtection="0"/>
    <xf numFmtId="0" fontId="63" fillId="56" borderId="547" applyNumberFormat="0" applyAlignment="0" applyProtection="0"/>
    <xf numFmtId="0" fontId="63" fillId="56" borderId="547" applyNumberFormat="0" applyAlignment="0" applyProtection="0"/>
    <xf numFmtId="0" fontId="44" fillId="56" borderId="547" applyNumberFormat="0" applyAlignment="0" applyProtection="0"/>
    <xf numFmtId="0" fontId="47" fillId="56" borderId="548" applyNumberFormat="0" applyAlignment="0" applyProtection="0"/>
    <xf numFmtId="0" fontId="35" fillId="34" borderId="554">
      <alignment horizontal="left" vertical="center" wrapText="1" indent="2"/>
    </xf>
    <xf numFmtId="0" fontId="33" fillId="34" borderId="553">
      <alignment horizontal="right" vertical="center"/>
    </xf>
    <xf numFmtId="0" fontId="35" fillId="34" borderId="561">
      <alignment horizontal="left" vertical="center" wrapText="1" indent="2"/>
    </xf>
    <xf numFmtId="0" fontId="27" fillId="23" borderId="0" applyNumberFormat="0" applyBorder="0" applyAlignment="0" applyProtection="0"/>
    <xf numFmtId="0" fontId="41" fillId="59" borderId="550" applyNumberFormat="0" applyFont="0" applyAlignment="0" applyProtection="0"/>
    <xf numFmtId="0" fontId="35" fillId="0" borderId="551" applyNumberFormat="0" applyFill="0" applyAlignment="0" applyProtection="0"/>
    <xf numFmtId="49" fontId="35" fillId="0" borderId="551" applyNumberFormat="0" applyFont="0" applyFill="0" applyBorder="0" applyProtection="0">
      <alignment horizontal="left" vertical="center" indent="2"/>
    </xf>
    <xf numFmtId="0" fontId="35" fillId="0" borderId="554">
      <alignment horizontal="left" vertical="center" wrapText="1" indent="2"/>
    </xf>
    <xf numFmtId="0" fontId="47" fillId="56" borderId="548" applyNumberFormat="0" applyAlignment="0" applyProtection="0"/>
    <xf numFmtId="0" fontId="35" fillId="0" borderId="551" applyNumberFormat="0" applyFill="0" applyAlignment="0" applyProtection="0"/>
    <xf numFmtId="4" fontId="37" fillId="32" borderId="551">
      <alignment horizontal="right" vertical="center"/>
    </xf>
    <xf numFmtId="0" fontId="35" fillId="0" borderId="554">
      <alignment horizontal="left" vertical="center" wrapText="1" indent="2"/>
    </xf>
    <xf numFmtId="0" fontId="12" fillId="28" borderId="0" applyNumberFormat="0" applyBorder="0" applyAlignment="0" applyProtection="0"/>
    <xf numFmtId="0" fontId="33" fillId="34" borderId="560">
      <alignment horizontal="right" vertical="center"/>
    </xf>
    <xf numFmtId="4" fontId="35" fillId="33" borderId="551"/>
    <xf numFmtId="0" fontId="47" fillId="56" borderId="548" applyNumberFormat="0" applyAlignment="0" applyProtection="0"/>
    <xf numFmtId="0" fontId="47" fillId="56" borderId="548" applyNumberFormat="0" applyAlignment="0" applyProtection="0"/>
    <xf numFmtId="0" fontId="35" fillId="0" borderId="554">
      <alignment horizontal="left" vertical="center" wrapText="1" indent="2"/>
    </xf>
    <xf numFmtId="0" fontId="33" fillId="34" borderId="551">
      <alignment horizontal="right" vertical="center"/>
    </xf>
    <xf numFmtId="0" fontId="50" fillId="43" borderId="548" applyNumberFormat="0" applyAlignment="0" applyProtection="0"/>
    <xf numFmtId="0" fontId="47" fillId="56" borderId="548" applyNumberFormat="0" applyAlignment="0" applyProtection="0"/>
    <xf numFmtId="0" fontId="41" fillId="59" borderId="557" applyNumberFormat="0" applyFont="0" applyAlignment="0" applyProtection="0"/>
    <xf numFmtId="0" fontId="33" fillId="34" borderId="551">
      <alignment horizontal="right" vertical="center"/>
    </xf>
    <xf numFmtId="49" fontId="34" fillId="0" borderId="551" applyNumberFormat="0" applyFill="0" applyBorder="0" applyProtection="0">
      <alignment horizontal="left" vertical="center"/>
    </xf>
    <xf numFmtId="0" fontId="41" fillId="59" borderId="550" applyNumberFormat="0" applyFont="0" applyAlignment="0" applyProtection="0"/>
    <xf numFmtId="0" fontId="46" fillId="56" borderId="548" applyNumberFormat="0" applyAlignment="0" applyProtection="0"/>
    <xf numFmtId="0" fontId="59" fillId="43" borderId="548" applyNumberFormat="0" applyAlignment="0" applyProtection="0"/>
    <xf numFmtId="0" fontId="12" fillId="31" borderId="0" applyNumberFormat="0" applyBorder="0" applyAlignment="0" applyProtection="0"/>
    <xf numFmtId="0" fontId="27" fillId="26" borderId="0" applyNumberFormat="0" applyBorder="0" applyAlignment="0" applyProtection="0"/>
    <xf numFmtId="0" fontId="12" fillId="22" borderId="0" applyNumberFormat="0" applyBorder="0" applyAlignment="0" applyProtection="0"/>
    <xf numFmtId="0" fontId="66" fillId="0" borderId="549" applyNumberFormat="0" applyFill="0" applyAlignment="0" applyProtection="0"/>
    <xf numFmtId="4" fontId="33" fillId="34" borderId="551">
      <alignment horizontal="right" vertical="center"/>
    </xf>
    <xf numFmtId="0" fontId="46" fillId="56" borderId="548" applyNumberFormat="0" applyAlignment="0" applyProtection="0"/>
    <xf numFmtId="0" fontId="51" fillId="0" borderId="549" applyNumberFormat="0" applyFill="0" applyAlignment="0" applyProtection="0"/>
    <xf numFmtId="4" fontId="33" fillId="34" borderId="553">
      <alignment horizontal="right" vertical="center"/>
    </xf>
    <xf numFmtId="0" fontId="33" fillId="34" borderId="552">
      <alignment horizontal="right" vertical="center"/>
    </xf>
    <xf numFmtId="0" fontId="46" fillId="56" borderId="548" applyNumberFormat="0" applyAlignment="0" applyProtection="0"/>
    <xf numFmtId="0" fontId="41" fillId="59" borderId="550" applyNumberFormat="0" applyFont="0" applyAlignment="0" applyProtection="0"/>
    <xf numFmtId="49" fontId="35" fillId="0" borderId="551" applyNumberFormat="0" applyFont="0" applyFill="0" applyBorder="0" applyProtection="0">
      <alignment horizontal="left" vertical="center" indent="2"/>
    </xf>
    <xf numFmtId="0" fontId="35" fillId="0" borderId="554">
      <alignment horizontal="left" vertical="center" wrapText="1" indent="2"/>
    </xf>
    <xf numFmtId="49" fontId="35" fillId="0" borderId="551" applyNumberFormat="0" applyFont="0" applyFill="0" applyBorder="0" applyProtection="0">
      <alignment horizontal="left" vertical="center" indent="2"/>
    </xf>
    <xf numFmtId="4" fontId="35" fillId="0" borderId="551">
      <alignment horizontal="right" vertical="center"/>
    </xf>
    <xf numFmtId="0" fontId="50" fillId="43" borderId="548" applyNumberFormat="0" applyAlignment="0" applyProtection="0"/>
    <xf numFmtId="0" fontId="66" fillId="0" borderId="549" applyNumberFormat="0" applyFill="0" applyAlignment="0" applyProtection="0"/>
    <xf numFmtId="4" fontId="35" fillId="0" borderId="551">
      <alignment horizontal="right" vertical="center"/>
    </xf>
    <xf numFmtId="49" fontId="35" fillId="0" borderId="552" applyNumberFormat="0" applyFont="0" applyFill="0" applyBorder="0" applyProtection="0">
      <alignment horizontal="left" vertical="center" indent="5"/>
    </xf>
    <xf numFmtId="0" fontId="5" fillId="59" borderId="550" applyNumberFormat="0" applyFont="0" applyAlignment="0" applyProtection="0"/>
    <xf numFmtId="49" fontId="35" fillId="0" borderId="551" applyNumberFormat="0" applyFont="0" applyFill="0" applyBorder="0" applyProtection="0">
      <alignment horizontal="left" vertical="center" indent="2"/>
    </xf>
    <xf numFmtId="0" fontId="27" fillId="20" borderId="0" applyNumberFormat="0" applyBorder="0" applyAlignment="0" applyProtection="0"/>
    <xf numFmtId="0" fontId="59" fillId="43" borderId="548" applyNumberFormat="0" applyAlignment="0" applyProtection="0"/>
    <xf numFmtId="4" fontId="33" fillId="34" borderId="559">
      <alignment horizontal="right" vertical="center"/>
    </xf>
    <xf numFmtId="0" fontId="27" fillId="18" borderId="0" applyNumberFormat="0" applyBorder="0" applyAlignment="0" applyProtection="0"/>
    <xf numFmtId="0" fontId="44" fillId="56" borderId="547" applyNumberFormat="0" applyAlignment="0" applyProtection="0"/>
    <xf numFmtId="0" fontId="47" fillId="56" borderId="548" applyNumberFormat="0" applyAlignment="0" applyProtection="0"/>
    <xf numFmtId="0" fontId="66" fillId="0" borderId="549" applyNumberFormat="0" applyFill="0" applyAlignment="0" applyProtection="0"/>
    <xf numFmtId="0" fontId="5" fillId="59" borderId="557" applyNumberFormat="0" applyFont="0" applyAlignment="0" applyProtection="0"/>
    <xf numFmtId="0" fontId="27" fillId="14" borderId="0" applyNumberFormat="0" applyBorder="0" applyAlignment="0" applyProtection="0"/>
    <xf numFmtId="0" fontId="47" fillId="56" borderId="548" applyNumberFormat="0" applyAlignment="0" applyProtection="0"/>
    <xf numFmtId="0" fontId="41" fillId="59" borderId="550" applyNumberFormat="0" applyFont="0" applyAlignment="0" applyProtection="0"/>
    <xf numFmtId="0" fontId="59" fillId="43" borderId="548" applyNumberFormat="0" applyAlignment="0" applyProtection="0"/>
    <xf numFmtId="4" fontId="35" fillId="0" borderId="551" applyFill="0" applyBorder="0" applyProtection="0">
      <alignment horizontal="right" vertical="center"/>
    </xf>
    <xf numFmtId="0" fontId="51" fillId="0" borderId="549" applyNumberFormat="0" applyFill="0" applyAlignment="0" applyProtection="0"/>
    <xf numFmtId="0" fontId="33" fillId="32" borderId="551">
      <alignment horizontal="right" vertical="center"/>
    </xf>
    <xf numFmtId="0" fontId="35" fillId="32" borderId="552">
      <alignment horizontal="left" vertical="center"/>
    </xf>
    <xf numFmtId="0" fontId="59" fillId="43" borderId="548" applyNumberFormat="0" applyAlignment="0" applyProtection="0"/>
    <xf numFmtId="4" fontId="33" fillId="34" borderId="551">
      <alignment horizontal="right" vertical="center"/>
    </xf>
    <xf numFmtId="0" fontId="33" fillId="34" borderId="551">
      <alignment horizontal="right" vertical="center"/>
    </xf>
    <xf numFmtId="0" fontId="27" fillId="15" borderId="0" applyNumberFormat="0" applyBorder="0" applyAlignment="0" applyProtection="0"/>
    <xf numFmtId="0" fontId="47" fillId="56" borderId="548" applyNumberFormat="0" applyAlignment="0" applyProtection="0"/>
    <xf numFmtId="49" fontId="34" fillId="0" borderId="551" applyNumberFormat="0" applyFill="0" applyBorder="0" applyProtection="0">
      <alignment horizontal="left" vertical="center"/>
    </xf>
    <xf numFmtId="0" fontId="33" fillId="32" borderId="551">
      <alignment horizontal="right" vertical="center"/>
    </xf>
    <xf numFmtId="0" fontId="37" fillId="32" borderId="551">
      <alignment horizontal="right" vertical="center"/>
    </xf>
    <xf numFmtId="0" fontId="33" fillId="34" borderId="552">
      <alignment horizontal="right" vertical="center"/>
    </xf>
    <xf numFmtId="4" fontId="37" fillId="32" borderId="551">
      <alignment horizontal="right" vertical="center"/>
    </xf>
    <xf numFmtId="0" fontId="63" fillId="56" borderId="547" applyNumberFormat="0" applyAlignment="0" applyProtection="0"/>
    <xf numFmtId="0" fontId="66" fillId="0" borderId="549" applyNumberFormat="0" applyFill="0" applyAlignment="0" applyProtection="0"/>
    <xf numFmtId="0" fontId="35" fillId="0" borderId="558">
      <alignment horizontal="right" vertical="center"/>
    </xf>
    <xf numFmtId="4" fontId="33" fillId="34" borderId="551">
      <alignment horizontal="right" vertical="center"/>
    </xf>
    <xf numFmtId="0" fontId="51" fillId="0" borderId="549" applyNumberFormat="0" applyFill="0" applyAlignment="0" applyProtection="0"/>
    <xf numFmtId="49" fontId="34" fillId="0" borderId="551" applyNumberFormat="0" applyFill="0" applyBorder="0" applyProtection="0">
      <alignment horizontal="left" vertical="center"/>
    </xf>
    <xf numFmtId="0" fontId="50" fillId="43" borderId="548" applyNumberFormat="0" applyAlignment="0" applyProtection="0"/>
    <xf numFmtId="0" fontId="33" fillId="34" borderId="551">
      <alignment horizontal="right" vertical="center"/>
    </xf>
    <xf numFmtId="0" fontId="27" fillId="14" borderId="0" applyNumberFormat="0" applyBorder="0" applyAlignment="0" applyProtection="0"/>
    <xf numFmtId="0" fontId="33" fillId="34" borderId="551">
      <alignment horizontal="right" vertical="center"/>
    </xf>
    <xf numFmtId="0" fontId="12" fillId="19" borderId="0" applyNumberFormat="0" applyBorder="0" applyAlignment="0" applyProtection="0"/>
    <xf numFmtId="4" fontId="35" fillId="0" borderId="551" applyFill="0" applyBorder="0" applyProtection="0">
      <alignment horizontal="right" vertical="center"/>
    </xf>
    <xf numFmtId="0" fontId="51" fillId="0" borderId="549" applyNumberFormat="0" applyFill="0" applyAlignment="0" applyProtection="0"/>
    <xf numFmtId="0" fontId="35" fillId="32" borderId="552">
      <alignment horizontal="left" vertical="center"/>
    </xf>
    <xf numFmtId="0" fontId="27" fillId="24" borderId="0" applyNumberFormat="0" applyBorder="0" applyAlignment="0" applyProtection="0"/>
    <xf numFmtId="4" fontId="35" fillId="33" borderId="551"/>
    <xf numFmtId="4" fontId="35" fillId="0" borderId="551">
      <alignment horizontal="right" vertical="center"/>
    </xf>
    <xf numFmtId="0" fontId="41" fillId="59" borderId="550" applyNumberFormat="0" applyFont="0" applyAlignment="0" applyProtection="0"/>
    <xf numFmtId="0" fontId="44" fillId="56" borderId="547" applyNumberFormat="0" applyAlignment="0" applyProtection="0"/>
    <xf numFmtId="4" fontId="33" fillId="34" borderId="551">
      <alignment horizontal="right" vertical="center"/>
    </xf>
    <xf numFmtId="0" fontId="44" fillId="56" borderId="547" applyNumberFormat="0" applyAlignment="0" applyProtection="0"/>
    <xf numFmtId="0" fontId="59" fillId="43" borderId="548" applyNumberFormat="0" applyAlignment="0" applyProtection="0"/>
    <xf numFmtId="0" fontId="37" fillId="32" borderId="551">
      <alignment horizontal="right" vertical="center"/>
    </xf>
    <xf numFmtId="0" fontId="37" fillId="32" borderId="551">
      <alignment horizontal="right" vertical="center"/>
    </xf>
    <xf numFmtId="0" fontId="35" fillId="33" borderId="551"/>
    <xf numFmtId="0" fontId="33" fillId="32" borderId="551">
      <alignment horizontal="right" vertical="center"/>
    </xf>
    <xf numFmtId="4" fontId="33" fillId="32" borderId="551">
      <alignment horizontal="right" vertical="center"/>
    </xf>
    <xf numFmtId="0" fontId="33" fillId="34" borderId="553">
      <alignment horizontal="right" vertical="center"/>
    </xf>
    <xf numFmtId="4" fontId="33" fillId="34" borderId="552">
      <alignment horizontal="right" vertical="center"/>
    </xf>
    <xf numFmtId="4" fontId="33" fillId="34" borderId="553">
      <alignment horizontal="right" vertical="center"/>
    </xf>
    <xf numFmtId="49" fontId="35" fillId="0" borderId="551" applyNumberFormat="0" applyFont="0" applyFill="0" applyBorder="0" applyProtection="0">
      <alignment horizontal="left" vertical="center" indent="2"/>
    </xf>
    <xf numFmtId="0" fontId="59" fillId="43" borderId="555" applyNumberFormat="0" applyAlignment="0" applyProtection="0"/>
    <xf numFmtId="0" fontId="27" fillId="26" borderId="0" applyNumberFormat="0" applyBorder="0" applyAlignment="0" applyProtection="0"/>
    <xf numFmtId="0" fontId="47" fillId="56" borderId="555" applyNumberFormat="0" applyAlignment="0" applyProtection="0"/>
    <xf numFmtId="0" fontId="50" fillId="43" borderId="548" applyNumberFormat="0" applyAlignment="0" applyProtection="0"/>
    <xf numFmtId="0" fontId="12" fillId="16" borderId="0" applyNumberFormat="0" applyBorder="0" applyAlignment="0" applyProtection="0"/>
    <xf numFmtId="0" fontId="46" fillId="56" borderId="548" applyNumberFormat="0" applyAlignment="0" applyProtection="0"/>
    <xf numFmtId="0" fontId="50" fillId="43" borderId="548" applyNumberFormat="0" applyAlignment="0" applyProtection="0"/>
    <xf numFmtId="0" fontId="35" fillId="33" borderId="551"/>
    <xf numFmtId="0" fontId="5" fillId="59" borderId="550" applyNumberFormat="0" applyFont="0" applyAlignment="0" applyProtection="0"/>
    <xf numFmtId="0" fontId="59" fillId="43" borderId="548" applyNumberFormat="0" applyAlignment="0" applyProtection="0"/>
    <xf numFmtId="0" fontId="2" fillId="0" borderId="15" applyNumberFormat="0" applyFill="0" applyAlignment="0" applyProtection="0"/>
    <xf numFmtId="4" fontId="33" fillId="34" borderId="553">
      <alignment horizontal="right" vertical="center"/>
    </xf>
    <xf numFmtId="4" fontId="33" fillId="34" borderId="552">
      <alignment horizontal="right" vertical="center"/>
    </xf>
    <xf numFmtId="4" fontId="33" fillId="34" borderId="552">
      <alignment horizontal="right" vertical="center"/>
    </xf>
    <xf numFmtId="0" fontId="35" fillId="0" borderId="561">
      <alignment horizontal="left" vertical="center" wrapText="1" indent="2"/>
    </xf>
    <xf numFmtId="0" fontId="51" fillId="0" borderId="549" applyNumberFormat="0" applyFill="0" applyAlignment="0" applyProtection="0"/>
    <xf numFmtId="173" fontId="35" fillId="60" borderId="551" applyNumberFormat="0" applyFont="0" applyBorder="0" applyAlignment="0" applyProtection="0">
      <alignment horizontal="right" vertical="center"/>
    </xf>
    <xf numFmtId="49" fontId="35" fillId="0" borderId="552" applyNumberFormat="0" applyFont="0" applyFill="0" applyBorder="0" applyProtection="0">
      <alignment horizontal="left" vertical="center" indent="5"/>
    </xf>
    <xf numFmtId="0" fontId="35" fillId="34" borderId="554">
      <alignment horizontal="left" vertical="center" wrapText="1" indent="2"/>
    </xf>
    <xf numFmtId="0" fontId="35" fillId="34" borderId="554">
      <alignment horizontal="left" vertical="center" wrapText="1" indent="2"/>
    </xf>
    <xf numFmtId="0" fontId="63" fillId="56" borderId="547" applyNumberFormat="0" applyAlignment="0" applyProtection="0"/>
    <xf numFmtId="0" fontId="47" fillId="56" borderId="548" applyNumberFormat="0" applyAlignment="0" applyProtection="0"/>
    <xf numFmtId="0" fontId="35" fillId="34" borderId="554">
      <alignment horizontal="left" vertical="center" wrapText="1" indent="2"/>
    </xf>
    <xf numFmtId="0" fontId="12" fillId="16" borderId="0" applyNumberFormat="0" applyBorder="0" applyAlignment="0" applyProtection="0"/>
    <xf numFmtId="0" fontId="27" fillId="27" borderId="0" applyNumberFormat="0" applyBorder="0" applyAlignment="0" applyProtection="0"/>
    <xf numFmtId="0" fontId="35" fillId="0" borderId="554">
      <alignment horizontal="left" vertical="center" wrapText="1" indent="2"/>
    </xf>
    <xf numFmtId="0" fontId="35" fillId="34" borderId="554">
      <alignment horizontal="left" vertical="center" wrapText="1" indent="2"/>
    </xf>
    <xf numFmtId="0" fontId="33" fillId="34" borderId="552">
      <alignment horizontal="right" vertical="center"/>
    </xf>
    <xf numFmtId="0" fontId="35" fillId="34" borderId="554">
      <alignment horizontal="left" vertical="center" wrapText="1" indent="2"/>
    </xf>
    <xf numFmtId="4" fontId="37" fillId="32" borderId="551">
      <alignment horizontal="right" vertical="center"/>
    </xf>
    <xf numFmtId="0" fontId="66" fillId="0" borderId="549" applyNumberFormat="0" applyFill="0" applyAlignment="0" applyProtection="0"/>
    <xf numFmtId="0" fontId="33" fillId="34" borderId="552">
      <alignment horizontal="right" vertical="center"/>
    </xf>
    <xf numFmtId="4" fontId="33" fillId="34" borderId="551">
      <alignment horizontal="right" vertical="center"/>
    </xf>
    <xf numFmtId="4" fontId="35" fillId="0" borderId="551" applyFill="0" applyBorder="0" applyProtection="0">
      <alignment horizontal="right" vertical="center"/>
    </xf>
    <xf numFmtId="173" fontId="35" fillId="60" borderId="551" applyNumberFormat="0" applyFont="0" applyBorder="0" applyAlignment="0" applyProtection="0">
      <alignment horizontal="right" vertical="center"/>
    </xf>
    <xf numFmtId="0" fontId="33" fillId="34" borderId="551">
      <alignment horizontal="right" vertical="center"/>
    </xf>
    <xf numFmtId="0" fontId="44" fillId="56" borderId="547" applyNumberFormat="0" applyAlignment="0" applyProtection="0"/>
    <xf numFmtId="0" fontId="46" fillId="56" borderId="548" applyNumberFormat="0" applyAlignment="0" applyProtection="0"/>
    <xf numFmtId="0" fontId="51" fillId="0" borderId="549" applyNumberFormat="0" applyFill="0" applyAlignment="0" applyProtection="0"/>
    <xf numFmtId="0" fontId="35" fillId="33" borderId="551"/>
    <xf numFmtId="4" fontId="35" fillId="33" borderId="551"/>
    <xf numFmtId="4" fontId="33" fillId="34" borderId="551">
      <alignment horizontal="right" vertical="center"/>
    </xf>
    <xf numFmtId="0" fontId="37" fillId="32" borderId="551">
      <alignment horizontal="right" vertical="center"/>
    </xf>
    <xf numFmtId="0" fontId="50" fillId="43" borderId="548" applyNumberFormat="0" applyAlignment="0" applyProtection="0"/>
    <xf numFmtId="0" fontId="47" fillId="56" borderId="548" applyNumberFormat="0" applyAlignment="0" applyProtection="0"/>
    <xf numFmtId="4" fontId="35" fillId="0" borderId="551">
      <alignment horizontal="right" vertical="center"/>
    </xf>
    <xf numFmtId="0" fontId="35" fillId="34" borderId="554">
      <alignment horizontal="left" vertical="center" wrapText="1" indent="2"/>
    </xf>
    <xf numFmtId="0" fontId="35" fillId="0" borderId="554">
      <alignment horizontal="left" vertical="center" wrapText="1" indent="2"/>
    </xf>
    <xf numFmtId="0" fontId="63" fillId="56" borderId="547" applyNumberFormat="0" applyAlignment="0" applyProtection="0"/>
    <xf numFmtId="0" fontId="59" fillId="43" borderId="548" applyNumberFormat="0" applyAlignment="0" applyProtection="0"/>
    <xf numFmtId="0" fontId="46" fillId="56" borderId="548" applyNumberFormat="0" applyAlignment="0" applyProtection="0"/>
    <xf numFmtId="0" fontId="44" fillId="56" borderId="547" applyNumberFormat="0" applyAlignment="0" applyProtection="0"/>
    <xf numFmtId="0" fontId="33" fillId="34" borderId="553">
      <alignment horizontal="right" vertical="center"/>
    </xf>
    <xf numFmtId="0" fontId="37" fillId="32" borderId="551">
      <alignment horizontal="right" vertical="center"/>
    </xf>
    <xf numFmtId="4" fontId="33" fillId="32" borderId="551">
      <alignment horizontal="right" vertical="center"/>
    </xf>
    <xf numFmtId="4" fontId="33" fillId="34" borderId="551">
      <alignment horizontal="right" vertical="center"/>
    </xf>
    <xf numFmtId="49" fontId="35" fillId="0" borderId="552" applyNumberFormat="0" applyFont="0" applyFill="0" applyBorder="0" applyProtection="0">
      <alignment horizontal="left" vertical="center" indent="5"/>
    </xf>
    <xf numFmtId="4" fontId="35" fillId="0" borderId="551" applyFill="0" applyBorder="0" applyProtection="0">
      <alignment horizontal="right" vertical="center"/>
    </xf>
    <xf numFmtId="4" fontId="33" fillId="32" borderId="551">
      <alignment horizontal="right" vertical="center"/>
    </xf>
    <xf numFmtId="0" fontId="59" fillId="43" borderId="548" applyNumberFormat="0" applyAlignment="0" applyProtection="0"/>
    <xf numFmtId="0" fontId="50" fillId="43" borderId="548" applyNumberFormat="0" applyAlignment="0" applyProtection="0"/>
    <xf numFmtId="0" fontId="46" fillId="56" borderId="548" applyNumberFormat="0" applyAlignment="0" applyProtection="0"/>
    <xf numFmtId="0" fontId="35" fillId="34" borderId="554">
      <alignment horizontal="left" vertical="center" wrapText="1" indent="2"/>
    </xf>
    <xf numFmtId="0" fontId="35" fillId="0" borderId="554">
      <alignment horizontal="left" vertical="center" wrapText="1" indent="2"/>
    </xf>
    <xf numFmtId="0" fontId="35" fillId="34" borderId="554">
      <alignment horizontal="left" vertical="center" wrapText="1" indent="2"/>
    </xf>
    <xf numFmtId="4" fontId="33" fillId="34" borderId="558">
      <alignment horizontal="right" vertical="center"/>
    </xf>
    <xf numFmtId="0" fontId="35" fillId="33" borderId="558"/>
    <xf numFmtId="0" fontId="46" fillId="56" borderId="555" applyNumberFormat="0" applyAlignment="0" applyProtection="0"/>
    <xf numFmtId="0" fontId="33" fillId="32" borderId="558">
      <alignment horizontal="right" vertical="center"/>
    </xf>
    <xf numFmtId="0" fontId="35" fillId="0" borderId="558">
      <alignment horizontal="right" vertical="center"/>
    </xf>
    <xf numFmtId="0" fontId="66" fillId="0" borderId="556" applyNumberFormat="0" applyFill="0" applyAlignment="0" applyProtection="0"/>
    <xf numFmtId="0" fontId="35" fillId="32" borderId="559">
      <alignment horizontal="left" vertical="center"/>
    </xf>
    <xf numFmtId="0" fontId="59" fillId="43" borderId="555" applyNumberFormat="0" applyAlignment="0" applyProtection="0"/>
    <xf numFmtId="173" fontId="35" fillId="60" borderId="558" applyNumberFormat="0" applyFont="0" applyBorder="0" applyAlignment="0" applyProtection="0">
      <alignment horizontal="right" vertical="center"/>
    </xf>
    <xf numFmtId="0" fontId="41" fillId="59" borderId="557" applyNumberFormat="0" applyFont="0" applyAlignment="0" applyProtection="0"/>
    <xf numFmtId="0" fontId="35" fillId="0" borderId="561">
      <alignment horizontal="left" vertical="center" wrapText="1" indent="2"/>
    </xf>
    <xf numFmtId="4" fontId="35" fillId="33" borderId="558"/>
    <xf numFmtId="49" fontId="34" fillId="0" borderId="558" applyNumberFormat="0" applyFill="0" applyBorder="0" applyProtection="0">
      <alignment horizontal="left" vertical="center"/>
    </xf>
    <xf numFmtId="0" fontId="35" fillId="0" borderId="558">
      <alignment horizontal="right" vertical="center"/>
    </xf>
    <xf numFmtId="4" fontId="33" fillId="34" borderId="560">
      <alignment horizontal="right" vertical="center"/>
    </xf>
    <xf numFmtId="4" fontId="33" fillId="34" borderId="558">
      <alignment horizontal="right" vertical="center"/>
    </xf>
    <xf numFmtId="4" fontId="33" fillId="34" borderId="558">
      <alignment horizontal="right" vertical="center"/>
    </xf>
    <xf numFmtId="0" fontId="37" fillId="32" borderId="558">
      <alignment horizontal="right" vertical="center"/>
    </xf>
    <xf numFmtId="0" fontId="33" fillId="32" borderId="558">
      <alignment horizontal="right" vertical="center"/>
    </xf>
    <xf numFmtId="49" fontId="35" fillId="0" borderId="558" applyNumberFormat="0" applyFont="0" applyFill="0" applyBorder="0" applyProtection="0">
      <alignment horizontal="left" vertical="center" indent="2"/>
    </xf>
    <xf numFmtId="0" fontId="59" fillId="43" borderId="555" applyNumberFormat="0" applyAlignment="0" applyProtection="0"/>
    <xf numFmtId="0" fontId="44" fillId="56" borderId="562" applyNumberFormat="0" applyAlignment="0" applyProtection="0"/>
    <xf numFmtId="49" fontId="35" fillId="0" borderId="558" applyNumberFormat="0" applyFont="0" applyFill="0" applyBorder="0" applyProtection="0">
      <alignment horizontal="left" vertical="center" indent="2"/>
    </xf>
    <xf numFmtId="0" fontId="50" fillId="43" borderId="555" applyNumberFormat="0" applyAlignment="0" applyProtection="0"/>
    <xf numFmtId="4" fontId="35" fillId="0" borderId="558" applyFill="0" applyBorder="0" applyProtection="0">
      <alignment horizontal="right" vertical="center"/>
    </xf>
    <xf numFmtId="0" fontId="47" fillId="56" borderId="555" applyNumberFormat="0" applyAlignment="0" applyProtection="0"/>
    <xf numFmtId="0" fontId="66" fillId="0" borderId="556" applyNumberFormat="0" applyFill="0" applyAlignment="0" applyProtection="0"/>
    <xf numFmtId="0" fontId="63" fillId="56" borderId="562" applyNumberFormat="0" applyAlignment="0" applyProtection="0"/>
    <xf numFmtId="0" fontId="35" fillId="0" borderId="558" applyNumberFormat="0" applyFill="0" applyAlignment="0" applyProtection="0"/>
    <xf numFmtId="4" fontId="35" fillId="0" borderId="558">
      <alignment horizontal="right" vertical="center"/>
    </xf>
    <xf numFmtId="0" fontId="35" fillId="0" borderId="558">
      <alignment horizontal="right" vertical="center"/>
    </xf>
    <xf numFmtId="0" fontId="59" fillId="43" borderId="555" applyNumberFormat="0" applyAlignment="0" applyProtection="0"/>
    <xf numFmtId="0" fontId="44" fillId="56" borderId="562" applyNumberFormat="0" applyAlignment="0" applyProtection="0"/>
    <xf numFmtId="0" fontId="46" fillId="56" borderId="555" applyNumberFormat="0" applyAlignment="0" applyProtection="0"/>
    <xf numFmtId="0" fontId="35" fillId="34" borderId="561">
      <alignment horizontal="left" vertical="center" wrapText="1" indent="2"/>
    </xf>
    <xf numFmtId="0" fontId="47" fillId="56" borderId="555" applyNumberFormat="0" applyAlignment="0" applyProtection="0"/>
    <xf numFmtId="0" fontId="47" fillId="56" borderId="555" applyNumberFormat="0" applyAlignment="0" applyProtection="0"/>
    <xf numFmtId="4" fontId="33" fillId="34" borderId="559">
      <alignment horizontal="right" vertical="center"/>
    </xf>
    <xf numFmtId="0" fontId="33" fillId="34" borderId="559">
      <alignment horizontal="right" vertical="center"/>
    </xf>
    <xf numFmtId="0" fontId="33" fillId="34" borderId="558">
      <alignment horizontal="right" vertical="center"/>
    </xf>
    <xf numFmtId="4" fontId="37" fillId="32" borderId="558">
      <alignment horizontal="right" vertical="center"/>
    </xf>
    <xf numFmtId="0" fontId="50" fillId="43" borderId="555" applyNumberFormat="0" applyAlignment="0" applyProtection="0"/>
    <xf numFmtId="0" fontId="51" fillId="0" borderId="556" applyNumberFormat="0" applyFill="0" applyAlignment="0" applyProtection="0"/>
    <xf numFmtId="0" fontId="66" fillId="0" borderId="556" applyNumberFormat="0" applyFill="0" applyAlignment="0" applyProtection="0"/>
    <xf numFmtId="0" fontId="41" fillId="59" borderId="557" applyNumberFormat="0" applyFont="0" applyAlignment="0" applyProtection="0"/>
    <xf numFmtId="0" fontId="59" fillId="43" borderId="555" applyNumberFormat="0" applyAlignment="0" applyProtection="0"/>
    <xf numFmtId="49" fontId="34" fillId="0" borderId="558" applyNumberFormat="0" applyFill="0" applyBorder="0" applyProtection="0">
      <alignment horizontal="left" vertical="center"/>
    </xf>
    <xf numFmtId="0" fontId="35" fillId="34" borderId="561">
      <alignment horizontal="left" vertical="center" wrapText="1" indent="2"/>
    </xf>
    <xf numFmtId="0" fontId="47" fillId="56" borderId="555" applyNumberFormat="0" applyAlignment="0" applyProtection="0"/>
    <xf numFmtId="0" fontId="35" fillId="0" borderId="561">
      <alignment horizontal="left" vertical="center" wrapText="1" indent="2"/>
    </xf>
    <xf numFmtId="0" fontId="41" fillId="59" borderId="557" applyNumberFormat="0" applyFont="0" applyAlignment="0" applyProtection="0"/>
    <xf numFmtId="0" fontId="5" fillId="59" borderId="557" applyNumberFormat="0" applyFont="0" applyAlignment="0" applyProtection="0"/>
    <xf numFmtId="0" fontId="63" fillId="56" borderId="562" applyNumberFormat="0" applyAlignment="0" applyProtection="0"/>
    <xf numFmtId="0" fontId="66" fillId="0" borderId="556" applyNumberFormat="0" applyFill="0" applyAlignment="0" applyProtection="0"/>
    <xf numFmtId="4" fontId="35" fillId="33" borderId="558"/>
    <xf numFmtId="0" fontId="33" fillId="34" borderId="558">
      <alignment horizontal="right" vertical="center"/>
    </xf>
    <xf numFmtId="0" fontId="66" fillId="0" borderId="556" applyNumberFormat="0" applyFill="0" applyAlignment="0" applyProtection="0"/>
    <xf numFmtId="4" fontId="33" fillId="34" borderId="560">
      <alignment horizontal="right" vertical="center"/>
    </xf>
    <xf numFmtId="0" fontId="46" fillId="56" borderId="555" applyNumberFormat="0" applyAlignment="0" applyProtection="0"/>
    <xf numFmtId="0" fontId="33" fillId="34" borderId="559">
      <alignment horizontal="right" vertical="center"/>
    </xf>
    <xf numFmtId="0" fontId="47" fillId="56" borderId="555" applyNumberFormat="0" applyAlignment="0" applyProtection="0"/>
    <xf numFmtId="0" fontId="51" fillId="0" borderId="556" applyNumberFormat="0" applyFill="0" applyAlignment="0" applyProtection="0"/>
    <xf numFmtId="0" fontId="41" fillId="59" borderId="557" applyNumberFormat="0" applyFont="0" applyAlignment="0" applyProtection="0"/>
    <xf numFmtId="4" fontId="33" fillId="34" borderId="559">
      <alignment horizontal="right" vertical="center"/>
    </xf>
    <xf numFmtId="0" fontId="35" fillId="34" borderId="561">
      <alignment horizontal="left" vertical="center" wrapText="1" indent="2"/>
    </xf>
    <xf numFmtId="0" fontId="35" fillId="33" borderId="558"/>
    <xf numFmtId="173" fontId="35" fillId="60" borderId="558" applyNumberFormat="0" applyFont="0" applyBorder="0" applyAlignment="0" applyProtection="0">
      <alignment horizontal="right" vertical="center"/>
    </xf>
    <xf numFmtId="0" fontId="35" fillId="0" borderId="558" applyNumberFormat="0" applyFill="0" applyAlignment="0" applyProtection="0"/>
    <xf numFmtId="4" fontId="35" fillId="0" borderId="558" applyFill="0" applyBorder="0" applyProtection="0">
      <alignment horizontal="right" vertical="center"/>
    </xf>
    <xf numFmtId="4" fontId="33" fillId="32" borderId="558">
      <alignment horizontal="right" vertical="center"/>
    </xf>
    <xf numFmtId="0" fontId="51" fillId="0" borderId="556" applyNumberFormat="0" applyFill="0" applyAlignment="0" applyProtection="0"/>
    <xf numFmtId="49" fontId="34" fillId="0" borderId="558" applyNumberFormat="0" applyFill="0" applyBorder="0" applyProtection="0">
      <alignment horizontal="left" vertical="center"/>
    </xf>
    <xf numFmtId="49" fontId="35" fillId="0" borderId="559" applyNumberFormat="0" applyFont="0" applyFill="0" applyBorder="0" applyProtection="0">
      <alignment horizontal="left" vertical="center" indent="5"/>
    </xf>
    <xf numFmtId="0" fontId="35" fillId="32" borderId="559">
      <alignment horizontal="left" vertical="center"/>
    </xf>
    <xf numFmtId="0" fontId="47" fillId="56" borderId="555" applyNumberFormat="0" applyAlignment="0" applyProtection="0"/>
    <xf numFmtId="4" fontId="33" fillId="34" borderId="560">
      <alignment horizontal="right" vertical="center"/>
    </xf>
    <xf numFmtId="0" fontId="59" fillId="43" borderId="555" applyNumberFormat="0" applyAlignment="0" applyProtection="0"/>
    <xf numFmtId="0" fontId="59" fillId="43" borderId="555" applyNumberFormat="0" applyAlignment="0" applyProtection="0"/>
    <xf numFmtId="0" fontId="41" fillId="59" borderId="557" applyNumberFormat="0" applyFont="0" applyAlignment="0" applyProtection="0"/>
    <xf numFmtId="0" fontId="63" fillId="56" borderId="562" applyNumberFormat="0" applyAlignment="0" applyProtection="0"/>
    <xf numFmtId="0" fontId="66" fillId="0" borderId="556" applyNumberFormat="0" applyFill="0" applyAlignment="0" applyProtection="0"/>
    <xf numFmtId="0" fontId="33" fillId="34" borderId="558">
      <alignment horizontal="right" vertical="center"/>
    </xf>
    <xf numFmtId="0" fontId="5" fillId="59" borderId="557" applyNumberFormat="0" applyFont="0" applyAlignment="0" applyProtection="0"/>
    <xf numFmtId="4" fontId="35" fillId="0" borderId="558">
      <alignment horizontal="right" vertical="center"/>
    </xf>
    <xf numFmtId="0" fontId="66" fillId="0" borderId="556" applyNumberFormat="0" applyFill="0" applyAlignment="0" applyProtection="0"/>
    <xf numFmtId="0" fontId="33" fillId="34" borderId="558">
      <alignment horizontal="right" vertical="center"/>
    </xf>
    <xf numFmtId="0" fontId="33" fillId="34" borderId="558">
      <alignment horizontal="right" vertical="center"/>
    </xf>
    <xf numFmtId="4" fontId="37" fillId="32" borderId="558">
      <alignment horizontal="right" vertical="center"/>
    </xf>
    <xf numFmtId="0" fontId="33" fillId="32" borderId="558">
      <alignment horizontal="right" vertical="center"/>
    </xf>
    <xf numFmtId="4" fontId="33" fillId="32" borderId="558">
      <alignment horizontal="right" vertical="center"/>
    </xf>
    <xf numFmtId="0" fontId="37" fillId="32" borderId="558">
      <alignment horizontal="right" vertical="center"/>
    </xf>
    <xf numFmtId="4" fontId="37" fillId="32" borderId="558">
      <alignment horizontal="right" vertical="center"/>
    </xf>
    <xf numFmtId="0" fontId="33" fillId="34" borderId="558">
      <alignment horizontal="right" vertical="center"/>
    </xf>
    <xf numFmtId="4" fontId="33" fillId="34" borderId="558">
      <alignment horizontal="right" vertical="center"/>
    </xf>
    <xf numFmtId="0" fontId="33" fillId="34" borderId="558">
      <alignment horizontal="right" vertical="center"/>
    </xf>
    <xf numFmtId="4" fontId="33" fillId="34" borderId="558">
      <alignment horizontal="right" vertical="center"/>
    </xf>
    <xf numFmtId="0" fontId="33" fillId="34" borderId="559">
      <alignment horizontal="right" vertical="center"/>
    </xf>
    <xf numFmtId="4" fontId="33" fillId="34" borderId="559">
      <alignment horizontal="right" vertical="center"/>
    </xf>
    <xf numFmtId="0" fontId="33" fillId="34" borderId="560">
      <alignment horizontal="right" vertical="center"/>
    </xf>
    <xf numFmtId="4" fontId="33" fillId="34" borderId="560">
      <alignment horizontal="right" vertical="center"/>
    </xf>
    <xf numFmtId="0" fontId="47" fillId="56" borderId="555" applyNumberFormat="0" applyAlignment="0" applyProtection="0"/>
    <xf numFmtId="0" fontId="35" fillId="34" borderId="561">
      <alignment horizontal="left" vertical="center" wrapText="1" indent="2"/>
    </xf>
    <xf numFmtId="0" fontId="35" fillId="0" borderId="561">
      <alignment horizontal="left" vertical="center" wrapText="1" indent="2"/>
    </xf>
    <xf numFmtId="0" fontId="35" fillId="32" borderId="559">
      <alignment horizontal="left" vertical="center"/>
    </xf>
    <xf numFmtId="0" fontId="59" fillId="43" borderId="555" applyNumberFormat="0" applyAlignment="0" applyProtection="0"/>
    <xf numFmtId="0" fontId="35" fillId="0" borderId="558">
      <alignment horizontal="right" vertical="center"/>
    </xf>
    <xf numFmtId="4" fontId="35" fillId="0" borderId="558">
      <alignment horizontal="right" vertical="center"/>
    </xf>
    <xf numFmtId="0" fontId="35" fillId="0" borderId="558" applyNumberFormat="0" applyFill="0" applyAlignment="0" applyProtection="0"/>
    <xf numFmtId="0" fontId="63" fillId="56" borderId="562" applyNumberFormat="0" applyAlignment="0" applyProtection="0"/>
    <xf numFmtId="173" fontId="35" fillId="60" borderId="558" applyNumberFormat="0" applyFont="0" applyBorder="0" applyAlignment="0" applyProtection="0">
      <alignment horizontal="right" vertical="center"/>
    </xf>
    <xf numFmtId="0" fontId="35" fillId="33" borderId="558"/>
    <xf numFmtId="4" fontId="35" fillId="33" borderId="558"/>
    <xf numFmtId="0" fontId="66" fillId="0" borderId="556" applyNumberFormat="0" applyFill="0" applyAlignment="0" applyProtection="0"/>
    <xf numFmtId="0" fontId="5" fillId="59" borderId="557" applyNumberFormat="0" applyFont="0" applyAlignment="0" applyProtection="0"/>
    <xf numFmtId="0" fontId="41" fillId="59" borderId="557" applyNumberFormat="0" applyFont="0" applyAlignment="0" applyProtection="0"/>
    <xf numFmtId="0" fontId="35" fillId="0" borderId="558" applyNumberFormat="0" applyFill="0" applyAlignment="0" applyProtection="0"/>
    <xf numFmtId="0" fontId="51" fillId="0" borderId="556" applyNumberFormat="0" applyFill="0" applyAlignment="0" applyProtection="0"/>
    <xf numFmtId="0" fontId="66" fillId="0" borderId="556" applyNumberFormat="0" applyFill="0" applyAlignment="0" applyProtection="0"/>
    <xf numFmtId="0" fontId="50" fillId="43" borderId="555" applyNumberFormat="0" applyAlignment="0" applyProtection="0"/>
    <xf numFmtId="0" fontId="47" fillId="56" borderId="555" applyNumberFormat="0" applyAlignment="0" applyProtection="0"/>
    <xf numFmtId="4" fontId="37" fillId="32" borderId="558">
      <alignment horizontal="right" vertical="center"/>
    </xf>
    <xf numFmtId="0" fontId="33" fillId="32" borderId="558">
      <alignment horizontal="right" vertical="center"/>
    </xf>
    <xf numFmtId="173" fontId="35" fillId="60" borderId="558" applyNumberFormat="0" applyFont="0" applyBorder="0" applyAlignment="0" applyProtection="0">
      <alignment horizontal="right" vertical="center"/>
    </xf>
    <xf numFmtId="0" fontId="51" fillId="0" borderId="556" applyNumberFormat="0" applyFill="0" applyAlignment="0" applyProtection="0"/>
    <xf numFmtId="49" fontId="35" fillId="0" borderId="558" applyNumberFormat="0" applyFont="0" applyFill="0" applyBorder="0" applyProtection="0">
      <alignment horizontal="left" vertical="center" indent="2"/>
    </xf>
    <xf numFmtId="49" fontId="35" fillId="0" borderId="559" applyNumberFormat="0" applyFont="0" applyFill="0" applyBorder="0" applyProtection="0">
      <alignment horizontal="left" vertical="center" indent="5"/>
    </xf>
    <xf numFmtId="49" fontId="35" fillId="0" borderId="558" applyNumberFormat="0" applyFont="0" applyFill="0" applyBorder="0" applyProtection="0">
      <alignment horizontal="left" vertical="center" indent="2"/>
    </xf>
    <xf numFmtId="4" fontId="35" fillId="0" borderId="558" applyFill="0" applyBorder="0" applyProtection="0">
      <alignment horizontal="right" vertical="center"/>
    </xf>
    <xf numFmtId="49" fontId="34" fillId="0" borderId="558" applyNumberFormat="0" applyFill="0" applyBorder="0" applyProtection="0">
      <alignment horizontal="left" vertical="center"/>
    </xf>
    <xf numFmtId="0" fontId="35" fillId="0" borderId="561">
      <alignment horizontal="left" vertical="center" wrapText="1" indent="2"/>
    </xf>
    <xf numFmtId="0" fontId="63" fillId="56" borderId="562" applyNumberFormat="0" applyAlignment="0" applyProtection="0"/>
    <xf numFmtId="0" fontId="33" fillId="34" borderId="560">
      <alignment horizontal="right" vertical="center"/>
    </xf>
    <xf numFmtId="0" fontId="50" fillId="43" borderId="555" applyNumberFormat="0" applyAlignment="0" applyProtection="0"/>
    <xf numFmtId="0" fontId="33" fillId="34" borderId="560">
      <alignment horizontal="right" vertical="center"/>
    </xf>
    <xf numFmtId="4" fontId="33" fillId="34" borderId="558">
      <alignment horizontal="right" vertical="center"/>
    </xf>
    <xf numFmtId="0" fontId="33" fillId="34" borderId="558">
      <alignment horizontal="right" vertical="center"/>
    </xf>
    <xf numFmtId="0" fontId="44" fillId="56" borderId="562" applyNumberFormat="0" applyAlignment="0" applyProtection="0"/>
    <xf numFmtId="0" fontId="46" fillId="56" borderId="555" applyNumberFormat="0" applyAlignment="0" applyProtection="0"/>
    <xf numFmtId="0" fontId="51" fillId="0" borderId="556" applyNumberFormat="0" applyFill="0" applyAlignment="0" applyProtection="0"/>
    <xf numFmtId="0" fontId="35" fillId="33" borderId="558"/>
    <xf numFmtId="4" fontId="35" fillId="33" borderId="558"/>
    <xf numFmtId="4" fontId="33" fillId="34" borderId="558">
      <alignment horizontal="right" vertical="center"/>
    </xf>
    <xf numFmtId="0" fontId="37" fillId="32" borderId="558">
      <alignment horizontal="right" vertical="center"/>
    </xf>
    <xf numFmtId="0" fontId="50" fillId="43" borderId="555" applyNumberFormat="0" applyAlignment="0" applyProtection="0"/>
    <xf numFmtId="0" fontId="47" fillId="56" borderId="555" applyNumberFormat="0" applyAlignment="0" applyProtection="0"/>
    <xf numFmtId="4" fontId="35" fillId="0" borderId="558">
      <alignment horizontal="right" vertical="center"/>
    </xf>
    <xf numFmtId="0" fontId="35" fillId="34" borderId="561">
      <alignment horizontal="left" vertical="center" wrapText="1" indent="2"/>
    </xf>
    <xf numFmtId="0" fontId="35" fillId="0" borderId="561">
      <alignment horizontal="left" vertical="center" wrapText="1" indent="2"/>
    </xf>
    <xf numFmtId="0" fontId="63" fillId="56" borderId="562" applyNumberFormat="0" applyAlignment="0" applyProtection="0"/>
    <xf numFmtId="0" fontId="59" fillId="43" borderId="555" applyNumberFormat="0" applyAlignment="0" applyProtection="0"/>
    <xf numFmtId="0" fontId="46" fillId="56" borderId="555" applyNumberFormat="0" applyAlignment="0" applyProtection="0"/>
    <xf numFmtId="0" fontId="44" fillId="56" borderId="562" applyNumberFormat="0" applyAlignment="0" applyProtection="0"/>
    <xf numFmtId="0" fontId="33" fillId="34" borderId="560">
      <alignment horizontal="right" vertical="center"/>
    </xf>
    <xf numFmtId="0" fontId="37" fillId="32" borderId="558">
      <alignment horizontal="right" vertical="center"/>
    </xf>
    <xf numFmtId="4" fontId="33" fillId="32" borderId="558">
      <alignment horizontal="right" vertical="center"/>
    </xf>
    <xf numFmtId="4" fontId="33" fillId="34" borderId="558">
      <alignment horizontal="right" vertical="center"/>
    </xf>
    <xf numFmtId="49" fontId="35" fillId="0" borderId="559" applyNumberFormat="0" applyFont="0" applyFill="0" applyBorder="0" applyProtection="0">
      <alignment horizontal="left" vertical="center" indent="5"/>
    </xf>
    <xf numFmtId="4" fontId="35" fillId="0" borderId="558" applyFill="0" applyBorder="0" applyProtection="0">
      <alignment horizontal="right" vertical="center"/>
    </xf>
    <xf numFmtId="4" fontId="33" fillId="32" borderId="558">
      <alignment horizontal="right" vertical="center"/>
    </xf>
    <xf numFmtId="0" fontId="59" fillId="43" borderId="555" applyNumberFormat="0" applyAlignment="0" applyProtection="0"/>
    <xf numFmtId="0" fontId="50" fillId="43" borderId="555" applyNumberFormat="0" applyAlignment="0" applyProtection="0"/>
    <xf numFmtId="0" fontId="46" fillId="56" borderId="555" applyNumberFormat="0" applyAlignment="0" applyProtection="0"/>
    <xf numFmtId="0" fontId="35" fillId="34" borderId="561">
      <alignment horizontal="left" vertical="center" wrapText="1" indent="2"/>
    </xf>
    <xf numFmtId="0" fontId="35" fillId="0" borderId="561">
      <alignment horizontal="left" vertical="center" wrapText="1" indent="2"/>
    </xf>
    <xf numFmtId="0" fontId="35" fillId="34" borderId="561">
      <alignment horizontal="left" vertical="center" wrapText="1" indent="2"/>
    </xf>
    <xf numFmtId="0" fontId="35" fillId="0" borderId="561">
      <alignment horizontal="left" vertical="center" wrapText="1" indent="2"/>
    </xf>
    <xf numFmtId="0" fontId="44" fillId="56" borderId="562" applyNumberFormat="0" applyAlignment="0" applyProtection="0"/>
    <xf numFmtId="0" fontId="46" fillId="56" borderId="555" applyNumberFormat="0" applyAlignment="0" applyProtection="0"/>
    <xf numFmtId="0" fontId="47" fillId="56" borderId="555" applyNumberFormat="0" applyAlignment="0" applyProtection="0"/>
    <xf numFmtId="0" fontId="50" fillId="43" borderId="555" applyNumberFormat="0" applyAlignment="0" applyProtection="0"/>
    <xf numFmtId="0" fontId="51" fillId="0" borderId="556" applyNumberFormat="0" applyFill="0" applyAlignment="0" applyProtection="0"/>
    <xf numFmtId="0" fontId="59" fillId="43" borderId="555" applyNumberFormat="0" applyAlignment="0" applyProtection="0"/>
    <xf numFmtId="0" fontId="41" fillId="59" borderId="557" applyNumberFormat="0" applyFont="0" applyAlignment="0" applyProtection="0"/>
    <xf numFmtId="0" fontId="5" fillId="59" borderId="557" applyNumberFormat="0" applyFont="0" applyAlignment="0" applyProtection="0"/>
    <xf numFmtId="0" fontId="63" fillId="56" borderId="562" applyNumberFormat="0" applyAlignment="0" applyProtection="0"/>
    <xf numFmtId="0" fontId="66" fillId="0" borderId="556" applyNumberFormat="0" applyFill="0" applyAlignment="0" applyProtection="0"/>
    <xf numFmtId="0" fontId="47" fillId="56" borderId="555" applyNumberFormat="0" applyAlignment="0" applyProtection="0"/>
    <xf numFmtId="0" fontId="59" fillId="43" borderId="555" applyNumberFormat="0" applyAlignment="0" applyProtection="0"/>
    <xf numFmtId="0" fontId="41" fillId="59" borderId="557" applyNumberFormat="0" applyFont="0" applyAlignment="0" applyProtection="0"/>
    <xf numFmtId="0" fontId="63" fillId="56" borderId="562" applyNumberFormat="0" applyAlignment="0" applyProtection="0"/>
    <xf numFmtId="0" fontId="66" fillId="0" borderId="556" applyNumberFormat="0" applyFill="0" applyAlignment="0" applyProtection="0"/>
    <xf numFmtId="0" fontId="47" fillId="56" borderId="555" applyNumberFormat="0" applyAlignment="0" applyProtection="0"/>
    <xf numFmtId="0" fontId="59" fillId="43" borderId="555" applyNumberFormat="0" applyAlignment="0" applyProtection="0"/>
    <xf numFmtId="0" fontId="63" fillId="56" borderId="562" applyNumberFormat="0" applyAlignment="0" applyProtection="0"/>
    <xf numFmtId="0" fontId="66" fillId="0" borderId="556" applyNumberFormat="0" applyFill="0" applyAlignment="0" applyProtection="0"/>
    <xf numFmtId="0" fontId="44" fillId="56" borderId="562" applyNumberFormat="0" applyAlignment="0" applyProtection="0"/>
    <xf numFmtId="0" fontId="46" fillId="56" borderId="555" applyNumberFormat="0" applyAlignment="0" applyProtection="0"/>
    <xf numFmtId="0" fontId="51" fillId="0" borderId="556" applyNumberFormat="0" applyFill="0" applyAlignment="0" applyProtection="0"/>
    <xf numFmtId="49" fontId="35" fillId="0" borderId="558" applyNumberFormat="0" applyFont="0" applyFill="0" applyBorder="0" applyProtection="0">
      <alignment horizontal="left" vertical="center" indent="2"/>
    </xf>
    <xf numFmtId="0" fontId="33" fillId="32" borderId="558">
      <alignment horizontal="right" vertical="center"/>
    </xf>
    <xf numFmtId="4" fontId="33" fillId="32" borderId="558">
      <alignment horizontal="right" vertical="center"/>
    </xf>
    <xf numFmtId="0" fontId="37" fillId="32" borderId="558">
      <alignment horizontal="right" vertical="center"/>
    </xf>
    <xf numFmtId="4" fontId="37" fillId="32" borderId="558">
      <alignment horizontal="right" vertical="center"/>
    </xf>
    <xf numFmtId="0" fontId="33" fillId="34" borderId="558">
      <alignment horizontal="right" vertical="center"/>
    </xf>
    <xf numFmtId="4" fontId="33" fillId="34" borderId="558">
      <alignment horizontal="right" vertical="center"/>
    </xf>
    <xf numFmtId="0" fontId="33" fillId="34" borderId="558">
      <alignment horizontal="right" vertical="center"/>
    </xf>
    <xf numFmtId="4" fontId="33" fillId="34" borderId="558">
      <alignment horizontal="right" vertical="center"/>
    </xf>
    <xf numFmtId="0" fontId="50" fillId="43" borderId="555" applyNumberFormat="0" applyAlignment="0" applyProtection="0"/>
    <xf numFmtId="0" fontId="35" fillId="0" borderId="558">
      <alignment horizontal="right" vertical="center"/>
    </xf>
    <xf numFmtId="4" fontId="35" fillId="0" borderId="558">
      <alignment horizontal="right" vertical="center"/>
    </xf>
    <xf numFmtId="4" fontId="35" fillId="0" borderId="558" applyFill="0" applyBorder="0" applyProtection="0">
      <alignment horizontal="right" vertical="center"/>
    </xf>
    <xf numFmtId="49" fontId="34" fillId="0" borderId="558" applyNumberFormat="0" applyFill="0" applyBorder="0" applyProtection="0">
      <alignment horizontal="left" vertical="center"/>
    </xf>
    <xf numFmtId="0" fontId="35" fillId="0" borderId="558" applyNumberFormat="0" applyFill="0" applyAlignment="0" applyProtection="0"/>
    <xf numFmtId="173" fontId="35" fillId="60" borderId="558" applyNumberFormat="0" applyFont="0" applyBorder="0" applyAlignment="0" applyProtection="0">
      <alignment horizontal="right" vertical="center"/>
    </xf>
    <xf numFmtId="0" fontId="35" fillId="33" borderId="558"/>
    <xf numFmtId="4" fontId="35" fillId="33" borderId="558"/>
    <xf numFmtId="4" fontId="33" fillId="34" borderId="558">
      <alignment horizontal="right" vertical="center"/>
    </xf>
    <xf numFmtId="0" fontId="35" fillId="33" borderId="558"/>
    <xf numFmtId="0" fontId="46" fillId="56" borderId="555" applyNumberFormat="0" applyAlignment="0" applyProtection="0"/>
    <xf numFmtId="0" fontId="33" fillId="32" borderId="558">
      <alignment horizontal="right" vertical="center"/>
    </xf>
    <xf numFmtId="0" fontId="35" fillId="0" borderId="558">
      <alignment horizontal="right" vertical="center"/>
    </xf>
    <xf numFmtId="0" fontId="66" fillId="0" borderId="556" applyNumberFormat="0" applyFill="0" applyAlignment="0" applyProtection="0"/>
    <xf numFmtId="0" fontId="35" fillId="32" borderId="559">
      <alignment horizontal="left" vertical="center"/>
    </xf>
    <xf numFmtId="0" fontId="59" fillId="43" borderId="555" applyNumberFormat="0" applyAlignment="0" applyProtection="0"/>
    <xf numFmtId="173" fontId="35" fillId="60" borderId="558" applyNumberFormat="0" applyFont="0" applyBorder="0" applyAlignment="0" applyProtection="0">
      <alignment horizontal="right" vertical="center"/>
    </xf>
    <xf numFmtId="0" fontId="41" fillId="59" borderId="557" applyNumberFormat="0" applyFont="0" applyAlignment="0" applyProtection="0"/>
    <xf numFmtId="0" fontId="35" fillId="0" borderId="561">
      <alignment horizontal="left" vertical="center" wrapText="1" indent="2"/>
    </xf>
    <xf numFmtId="4" fontId="35" fillId="33" borderId="558"/>
    <xf numFmtId="49" fontId="34" fillId="0" borderId="558" applyNumberFormat="0" applyFill="0" applyBorder="0" applyProtection="0">
      <alignment horizontal="left" vertical="center"/>
    </xf>
    <xf numFmtId="0" fontId="35" fillId="0" borderId="558">
      <alignment horizontal="right" vertical="center"/>
    </xf>
    <xf numFmtId="4" fontId="33" fillId="34" borderId="560">
      <alignment horizontal="right" vertical="center"/>
    </xf>
    <xf numFmtId="4" fontId="33" fillId="34" borderId="558">
      <alignment horizontal="right" vertical="center"/>
    </xf>
    <xf numFmtId="4" fontId="33" fillId="34" borderId="558">
      <alignment horizontal="right" vertical="center"/>
    </xf>
    <xf numFmtId="0" fontId="37" fillId="32" borderId="558">
      <alignment horizontal="right" vertical="center"/>
    </xf>
    <xf numFmtId="0" fontId="33" fillId="32" borderId="558">
      <alignment horizontal="right" vertical="center"/>
    </xf>
    <xf numFmtId="49" fontId="35" fillId="0" borderId="558" applyNumberFormat="0" applyFont="0" applyFill="0" applyBorder="0" applyProtection="0">
      <alignment horizontal="left" vertical="center" indent="2"/>
    </xf>
    <xf numFmtId="0" fontId="59" fillId="43" borderId="555" applyNumberFormat="0" applyAlignment="0" applyProtection="0"/>
    <xf numFmtId="0" fontId="44" fillId="56" borderId="562" applyNumberFormat="0" applyAlignment="0" applyProtection="0"/>
    <xf numFmtId="49" fontId="35" fillId="0" borderId="558" applyNumberFormat="0" applyFont="0" applyFill="0" applyBorder="0" applyProtection="0">
      <alignment horizontal="left" vertical="center" indent="2"/>
    </xf>
    <xf numFmtId="0" fontId="50" fillId="43" borderId="555" applyNumberFormat="0" applyAlignment="0" applyProtection="0"/>
    <xf numFmtId="4" fontId="35" fillId="0" borderId="558" applyFill="0" applyBorder="0" applyProtection="0">
      <alignment horizontal="right" vertical="center"/>
    </xf>
    <xf numFmtId="0" fontId="47" fillId="56" borderId="555" applyNumberFormat="0" applyAlignment="0" applyProtection="0"/>
    <xf numFmtId="0" fontId="66" fillId="0" borderId="556" applyNumberFormat="0" applyFill="0" applyAlignment="0" applyProtection="0"/>
    <xf numFmtId="0" fontId="63" fillId="56" borderId="562" applyNumberFormat="0" applyAlignment="0" applyProtection="0"/>
    <xf numFmtId="0" fontId="35" fillId="0" borderId="558" applyNumberFormat="0" applyFill="0" applyAlignment="0" applyProtection="0"/>
    <xf numFmtId="4" fontId="35" fillId="0" borderId="558">
      <alignment horizontal="right" vertical="center"/>
    </xf>
    <xf numFmtId="0" fontId="35" fillId="0" borderId="558">
      <alignment horizontal="right" vertical="center"/>
    </xf>
    <xf numFmtId="0" fontId="59" fillId="43" borderId="555" applyNumberFormat="0" applyAlignment="0" applyProtection="0"/>
    <xf numFmtId="0" fontId="44" fillId="56" borderId="562" applyNumberFormat="0" applyAlignment="0" applyProtection="0"/>
    <xf numFmtId="0" fontId="46" fillId="56" borderId="555" applyNumberFormat="0" applyAlignment="0" applyProtection="0"/>
    <xf numFmtId="0" fontId="35" fillId="34" borderId="561">
      <alignment horizontal="left" vertical="center" wrapText="1" indent="2"/>
    </xf>
    <xf numFmtId="0" fontId="47" fillId="56" borderId="555" applyNumberFormat="0" applyAlignment="0" applyProtection="0"/>
    <xf numFmtId="0" fontId="47" fillId="56" borderId="555" applyNumberFormat="0" applyAlignment="0" applyProtection="0"/>
    <xf numFmtId="4" fontId="33" fillId="34" borderId="559">
      <alignment horizontal="right" vertical="center"/>
    </xf>
    <xf numFmtId="0" fontId="33" fillId="34" borderId="559">
      <alignment horizontal="right" vertical="center"/>
    </xf>
    <xf numFmtId="0" fontId="33" fillId="34" borderId="558">
      <alignment horizontal="right" vertical="center"/>
    </xf>
    <xf numFmtId="4" fontId="37" fillId="32" borderId="558">
      <alignment horizontal="right" vertical="center"/>
    </xf>
    <xf numFmtId="0" fontId="50" fillId="43" borderId="555" applyNumberFormat="0" applyAlignment="0" applyProtection="0"/>
    <xf numFmtId="0" fontId="51" fillId="0" borderId="556" applyNumberFormat="0" applyFill="0" applyAlignment="0" applyProtection="0"/>
    <xf numFmtId="0" fontId="66" fillId="0" borderId="556" applyNumberFormat="0" applyFill="0" applyAlignment="0" applyProtection="0"/>
    <xf numFmtId="0" fontId="41" fillId="59" borderId="557" applyNumberFormat="0" applyFont="0" applyAlignment="0" applyProtection="0"/>
    <xf numFmtId="0" fontId="59" fillId="43" borderId="555" applyNumberFormat="0" applyAlignment="0" applyProtection="0"/>
    <xf numFmtId="49" fontId="34" fillId="0" borderId="558" applyNumberFormat="0" applyFill="0" applyBorder="0" applyProtection="0">
      <alignment horizontal="left" vertical="center"/>
    </xf>
    <xf numFmtId="0" fontId="35" fillId="34" borderId="561">
      <alignment horizontal="left" vertical="center" wrapText="1" indent="2"/>
    </xf>
    <xf numFmtId="0" fontId="47" fillId="56" borderId="555" applyNumberFormat="0" applyAlignment="0" applyProtection="0"/>
    <xf numFmtId="0" fontId="35" fillId="0" borderId="561">
      <alignment horizontal="left" vertical="center" wrapText="1" indent="2"/>
    </xf>
    <xf numFmtId="0" fontId="41" fillId="59" borderId="557" applyNumberFormat="0" applyFont="0" applyAlignment="0" applyProtection="0"/>
    <xf numFmtId="0" fontId="5" fillId="59" borderId="557" applyNumberFormat="0" applyFont="0" applyAlignment="0" applyProtection="0"/>
    <xf numFmtId="0" fontId="63" fillId="56" borderId="562" applyNumberFormat="0" applyAlignment="0" applyProtection="0"/>
    <xf numFmtId="0" fontId="66" fillId="0" borderId="556" applyNumberFormat="0" applyFill="0" applyAlignment="0" applyProtection="0"/>
    <xf numFmtId="4" fontId="35" fillId="33" borderId="558"/>
    <xf numFmtId="0" fontId="33" fillId="34" borderId="558">
      <alignment horizontal="right" vertical="center"/>
    </xf>
    <xf numFmtId="0" fontId="66" fillId="0" borderId="556" applyNumberFormat="0" applyFill="0" applyAlignment="0" applyProtection="0"/>
    <xf numFmtId="4" fontId="33" fillId="34" borderId="560">
      <alignment horizontal="right" vertical="center"/>
    </xf>
    <xf numFmtId="0" fontId="46" fillId="56" borderId="555" applyNumberFormat="0" applyAlignment="0" applyProtection="0"/>
    <xf numFmtId="0" fontId="33" fillId="34" borderId="559">
      <alignment horizontal="right" vertical="center"/>
    </xf>
    <xf numFmtId="0" fontId="47" fillId="56" borderId="555" applyNumberFormat="0" applyAlignment="0" applyProtection="0"/>
    <xf numFmtId="0" fontId="51" fillId="0" borderId="556" applyNumberFormat="0" applyFill="0" applyAlignment="0" applyProtection="0"/>
    <xf numFmtId="0" fontId="41" fillId="59" borderId="557" applyNumberFormat="0" applyFont="0" applyAlignment="0" applyProtection="0"/>
    <xf numFmtId="4" fontId="33" fillId="34" borderId="559">
      <alignment horizontal="right" vertical="center"/>
    </xf>
    <xf numFmtId="0" fontId="35" fillId="34" borderId="561">
      <alignment horizontal="left" vertical="center" wrapText="1" indent="2"/>
    </xf>
    <xf numFmtId="0" fontId="35" fillId="33" borderId="558"/>
    <xf numFmtId="173" fontId="35" fillId="60" borderId="558" applyNumberFormat="0" applyFont="0" applyBorder="0" applyAlignment="0" applyProtection="0">
      <alignment horizontal="right" vertical="center"/>
    </xf>
    <xf numFmtId="0" fontId="35" fillId="0" borderId="558" applyNumberFormat="0" applyFill="0" applyAlignment="0" applyProtection="0"/>
    <xf numFmtId="4" fontId="35" fillId="0" borderId="558" applyFill="0" applyBorder="0" applyProtection="0">
      <alignment horizontal="right" vertical="center"/>
    </xf>
    <xf numFmtId="4" fontId="33" fillId="32" borderId="558">
      <alignment horizontal="right" vertical="center"/>
    </xf>
    <xf numFmtId="0" fontId="51" fillId="0" borderId="556" applyNumberFormat="0" applyFill="0" applyAlignment="0" applyProtection="0"/>
    <xf numFmtId="49" fontId="34" fillId="0" borderId="558" applyNumberFormat="0" applyFill="0" applyBorder="0" applyProtection="0">
      <alignment horizontal="left" vertical="center"/>
    </xf>
    <xf numFmtId="49" fontId="35" fillId="0" borderId="559" applyNumberFormat="0" applyFont="0" applyFill="0" applyBorder="0" applyProtection="0">
      <alignment horizontal="left" vertical="center" indent="5"/>
    </xf>
    <xf numFmtId="0" fontId="35" fillId="32" borderId="559">
      <alignment horizontal="left" vertical="center"/>
    </xf>
    <xf numFmtId="0" fontId="47" fillId="56" borderId="555" applyNumberFormat="0" applyAlignment="0" applyProtection="0"/>
    <xf numFmtId="4" fontId="33" fillId="34" borderId="560">
      <alignment horizontal="right" vertical="center"/>
    </xf>
    <xf numFmtId="0" fontId="59" fillId="43" borderId="555" applyNumberFormat="0" applyAlignment="0" applyProtection="0"/>
    <xf numFmtId="0" fontId="59" fillId="43" borderId="555" applyNumberFormat="0" applyAlignment="0" applyProtection="0"/>
    <xf numFmtId="0" fontId="41" fillId="59" borderId="557" applyNumberFormat="0" applyFont="0" applyAlignment="0" applyProtection="0"/>
    <xf numFmtId="0" fontId="63" fillId="56" borderId="562" applyNumberFormat="0" applyAlignment="0" applyProtection="0"/>
    <xf numFmtId="0" fontId="66" fillId="0" borderId="556" applyNumberFormat="0" applyFill="0" applyAlignment="0" applyProtection="0"/>
    <xf numFmtId="0" fontId="33" fillId="34" borderId="558">
      <alignment horizontal="right" vertical="center"/>
    </xf>
    <xf numFmtId="0" fontId="5" fillId="59" borderId="557" applyNumberFormat="0" applyFont="0" applyAlignment="0" applyProtection="0"/>
    <xf numFmtId="4" fontId="35" fillId="0" borderId="558">
      <alignment horizontal="right" vertical="center"/>
    </xf>
    <xf numFmtId="0" fontId="66" fillId="0" borderId="556" applyNumberFormat="0" applyFill="0" applyAlignment="0" applyProtection="0"/>
    <xf numFmtId="0" fontId="33" fillId="34" borderId="558">
      <alignment horizontal="right" vertical="center"/>
    </xf>
    <xf numFmtId="0" fontId="33" fillId="34" borderId="558">
      <alignment horizontal="right" vertical="center"/>
    </xf>
    <xf numFmtId="4" fontId="37" fillId="32" borderId="558">
      <alignment horizontal="right" vertical="center"/>
    </xf>
    <xf numFmtId="0" fontId="33" fillId="32" borderId="558">
      <alignment horizontal="right" vertical="center"/>
    </xf>
    <xf numFmtId="4" fontId="33" fillId="32" borderId="558">
      <alignment horizontal="right" vertical="center"/>
    </xf>
    <xf numFmtId="0" fontId="37" fillId="32" borderId="558">
      <alignment horizontal="right" vertical="center"/>
    </xf>
    <xf numFmtId="4" fontId="37" fillId="32" borderId="558">
      <alignment horizontal="right" vertical="center"/>
    </xf>
    <xf numFmtId="0" fontId="33" fillId="34" borderId="558">
      <alignment horizontal="right" vertical="center"/>
    </xf>
    <xf numFmtId="4" fontId="33" fillId="34" borderId="558">
      <alignment horizontal="right" vertical="center"/>
    </xf>
    <xf numFmtId="0" fontId="33" fillId="34" borderId="558">
      <alignment horizontal="right" vertical="center"/>
    </xf>
    <xf numFmtId="4" fontId="33" fillId="34" borderId="558">
      <alignment horizontal="right" vertical="center"/>
    </xf>
    <xf numFmtId="0" fontId="33" fillId="34" borderId="559">
      <alignment horizontal="right" vertical="center"/>
    </xf>
    <xf numFmtId="4" fontId="33" fillId="34" borderId="559">
      <alignment horizontal="right" vertical="center"/>
    </xf>
    <xf numFmtId="0" fontId="33" fillId="34" borderId="560">
      <alignment horizontal="right" vertical="center"/>
    </xf>
    <xf numFmtId="4" fontId="33" fillId="34" borderId="560">
      <alignment horizontal="right" vertical="center"/>
    </xf>
    <xf numFmtId="0" fontId="47" fillId="56" borderId="555" applyNumberFormat="0" applyAlignment="0" applyProtection="0"/>
    <xf numFmtId="0" fontId="35" fillId="34" borderId="561">
      <alignment horizontal="left" vertical="center" wrapText="1" indent="2"/>
    </xf>
    <xf numFmtId="0" fontId="35" fillId="0" borderId="561">
      <alignment horizontal="left" vertical="center" wrapText="1" indent="2"/>
    </xf>
    <xf numFmtId="0" fontId="35" fillId="32" borderId="559">
      <alignment horizontal="left" vertical="center"/>
    </xf>
    <xf numFmtId="0" fontId="59" fillId="43" borderId="555" applyNumberFormat="0" applyAlignment="0" applyProtection="0"/>
    <xf numFmtId="0" fontId="35" fillId="0" borderId="558">
      <alignment horizontal="right" vertical="center"/>
    </xf>
    <xf numFmtId="4" fontId="35" fillId="0" borderId="558">
      <alignment horizontal="right" vertical="center"/>
    </xf>
    <xf numFmtId="0" fontId="35" fillId="0" borderId="558" applyNumberFormat="0" applyFill="0" applyAlignment="0" applyProtection="0"/>
    <xf numFmtId="0" fontId="63" fillId="56" borderId="562" applyNumberFormat="0" applyAlignment="0" applyProtection="0"/>
    <xf numFmtId="173" fontId="35" fillId="60" borderId="558" applyNumberFormat="0" applyFont="0" applyBorder="0" applyAlignment="0" applyProtection="0">
      <alignment horizontal="right" vertical="center"/>
    </xf>
    <xf numFmtId="0" fontId="35" fillId="33" borderId="558"/>
    <xf numFmtId="4" fontId="35" fillId="33" borderId="558"/>
    <xf numFmtId="0" fontId="66" fillId="0" borderId="556" applyNumberFormat="0" applyFill="0" applyAlignment="0" applyProtection="0"/>
    <xf numFmtId="0" fontId="5" fillId="59" borderId="557" applyNumberFormat="0" applyFont="0" applyAlignment="0" applyProtection="0"/>
    <xf numFmtId="0" fontId="41" fillId="59" borderId="557" applyNumberFormat="0" applyFont="0" applyAlignment="0" applyProtection="0"/>
    <xf numFmtId="0" fontId="35" fillId="0" borderId="558" applyNumberFormat="0" applyFill="0" applyAlignment="0" applyProtection="0"/>
    <xf numFmtId="0" fontId="51" fillId="0" borderId="556" applyNumberFormat="0" applyFill="0" applyAlignment="0" applyProtection="0"/>
    <xf numFmtId="0" fontId="66" fillId="0" borderId="556" applyNumberFormat="0" applyFill="0" applyAlignment="0" applyProtection="0"/>
    <xf numFmtId="0" fontId="50" fillId="43" borderId="555" applyNumberFormat="0" applyAlignment="0" applyProtection="0"/>
    <xf numFmtId="0" fontId="47" fillId="56" borderId="555" applyNumberFormat="0" applyAlignment="0" applyProtection="0"/>
    <xf numFmtId="4" fontId="37" fillId="32" borderId="558">
      <alignment horizontal="right" vertical="center"/>
    </xf>
    <xf numFmtId="0" fontId="33" fillId="32" borderId="558">
      <alignment horizontal="right" vertical="center"/>
    </xf>
    <xf numFmtId="173" fontId="35" fillId="60" borderId="558" applyNumberFormat="0" applyFont="0" applyBorder="0" applyAlignment="0" applyProtection="0">
      <alignment horizontal="right" vertical="center"/>
    </xf>
    <xf numFmtId="0" fontId="51" fillId="0" borderId="556" applyNumberFormat="0" applyFill="0" applyAlignment="0" applyProtection="0"/>
    <xf numFmtId="49" fontId="35" fillId="0" borderId="558" applyNumberFormat="0" applyFont="0" applyFill="0" applyBorder="0" applyProtection="0">
      <alignment horizontal="left" vertical="center" indent="2"/>
    </xf>
    <xf numFmtId="49" fontId="35" fillId="0" borderId="559" applyNumberFormat="0" applyFont="0" applyFill="0" applyBorder="0" applyProtection="0">
      <alignment horizontal="left" vertical="center" indent="5"/>
    </xf>
    <xf numFmtId="49" fontId="35" fillId="0" borderId="558" applyNumberFormat="0" applyFont="0" applyFill="0" applyBorder="0" applyProtection="0">
      <alignment horizontal="left" vertical="center" indent="2"/>
    </xf>
    <xf numFmtId="4" fontId="35" fillId="0" borderId="558" applyFill="0" applyBorder="0" applyProtection="0">
      <alignment horizontal="right" vertical="center"/>
    </xf>
    <xf numFmtId="49" fontId="34" fillId="0" borderId="558" applyNumberFormat="0" applyFill="0" applyBorder="0" applyProtection="0">
      <alignment horizontal="left" vertical="center"/>
    </xf>
    <xf numFmtId="0" fontId="35" fillId="0" borderId="561">
      <alignment horizontal="left" vertical="center" wrapText="1" indent="2"/>
    </xf>
    <xf numFmtId="0" fontId="63" fillId="56" borderId="562" applyNumberFormat="0" applyAlignment="0" applyProtection="0"/>
    <xf numFmtId="0" fontId="33" fillId="34" borderId="560">
      <alignment horizontal="right" vertical="center"/>
    </xf>
    <xf numFmtId="0" fontId="50" fillId="43" borderId="555" applyNumberFormat="0" applyAlignment="0" applyProtection="0"/>
    <xf numFmtId="0" fontId="33" fillId="34" borderId="560">
      <alignment horizontal="right" vertical="center"/>
    </xf>
    <xf numFmtId="4" fontId="33" fillId="34" borderId="558">
      <alignment horizontal="right" vertical="center"/>
    </xf>
    <xf numFmtId="0" fontId="33" fillId="34" borderId="558">
      <alignment horizontal="right" vertical="center"/>
    </xf>
    <xf numFmtId="0" fontId="44" fillId="56" borderId="562" applyNumberFormat="0" applyAlignment="0" applyProtection="0"/>
    <xf numFmtId="0" fontId="46" fillId="56" borderId="555" applyNumberFormat="0" applyAlignment="0" applyProtection="0"/>
    <xf numFmtId="0" fontId="51" fillId="0" borderId="556" applyNumberFormat="0" applyFill="0" applyAlignment="0" applyProtection="0"/>
    <xf numFmtId="0" fontId="35" fillId="33" borderId="558"/>
    <xf numFmtId="4" fontId="35" fillId="33" borderId="558"/>
    <xf numFmtId="4" fontId="33" fillId="34" borderId="558">
      <alignment horizontal="right" vertical="center"/>
    </xf>
    <xf numFmtId="0" fontId="37" fillId="32" borderId="558">
      <alignment horizontal="right" vertical="center"/>
    </xf>
    <xf numFmtId="0" fontId="50" fillId="43" borderId="555" applyNumberFormat="0" applyAlignment="0" applyProtection="0"/>
    <xf numFmtId="0" fontId="47" fillId="56" borderId="555" applyNumberFormat="0" applyAlignment="0" applyProtection="0"/>
    <xf numFmtId="4" fontId="35" fillId="0" borderId="558">
      <alignment horizontal="right" vertical="center"/>
    </xf>
    <xf numFmtId="0" fontId="35" fillId="34" borderId="561">
      <alignment horizontal="left" vertical="center" wrapText="1" indent="2"/>
    </xf>
    <xf numFmtId="0" fontId="35" fillId="0" borderId="561">
      <alignment horizontal="left" vertical="center" wrapText="1" indent="2"/>
    </xf>
    <xf numFmtId="0" fontId="63" fillId="56" borderId="562" applyNumberFormat="0" applyAlignment="0" applyProtection="0"/>
    <xf numFmtId="0" fontId="59" fillId="43" borderId="555" applyNumberFormat="0" applyAlignment="0" applyProtection="0"/>
    <xf numFmtId="0" fontId="46" fillId="56" borderId="555" applyNumberFormat="0" applyAlignment="0" applyProtection="0"/>
    <xf numFmtId="0" fontId="44" fillId="56" borderId="562" applyNumberFormat="0" applyAlignment="0" applyProtection="0"/>
    <xf numFmtId="0" fontId="33" fillId="34" borderId="560">
      <alignment horizontal="right" vertical="center"/>
    </xf>
    <xf numFmtId="0" fontId="37" fillId="32" borderId="558">
      <alignment horizontal="right" vertical="center"/>
    </xf>
    <xf numFmtId="4" fontId="33" fillId="32" borderId="558">
      <alignment horizontal="right" vertical="center"/>
    </xf>
    <xf numFmtId="4" fontId="33" fillId="34" borderId="558">
      <alignment horizontal="right" vertical="center"/>
    </xf>
    <xf numFmtId="49" fontId="35" fillId="0" borderId="559" applyNumberFormat="0" applyFont="0" applyFill="0" applyBorder="0" applyProtection="0">
      <alignment horizontal="left" vertical="center" indent="5"/>
    </xf>
    <xf numFmtId="4" fontId="35" fillId="0" borderId="558" applyFill="0" applyBorder="0" applyProtection="0">
      <alignment horizontal="right" vertical="center"/>
    </xf>
    <xf numFmtId="4" fontId="33" fillId="32" borderId="558">
      <alignment horizontal="right" vertical="center"/>
    </xf>
    <xf numFmtId="0" fontId="59" fillId="43" borderId="555" applyNumberFormat="0" applyAlignment="0" applyProtection="0"/>
    <xf numFmtId="0" fontId="50" fillId="43" borderId="555" applyNumberFormat="0" applyAlignment="0" applyProtection="0"/>
    <xf numFmtId="0" fontId="46" fillId="56" borderId="555" applyNumberFormat="0" applyAlignment="0" applyProtection="0"/>
    <xf numFmtId="0" fontId="35" fillId="34" borderId="561">
      <alignment horizontal="left" vertical="center" wrapText="1" indent="2"/>
    </xf>
    <xf numFmtId="0" fontId="35" fillId="0" borderId="561">
      <alignment horizontal="left" vertical="center" wrapText="1" indent="2"/>
    </xf>
    <xf numFmtId="0" fontId="35" fillId="34" borderId="561">
      <alignment horizontal="left" vertical="center" wrapText="1" indent="2"/>
    </xf>
    <xf numFmtId="0" fontId="88" fillId="0" borderId="0"/>
  </cellStyleXfs>
  <cellXfs count="473">
    <xf numFmtId="0" fontId="0" fillId="0" borderId="0" xfId="0"/>
    <xf numFmtId="0" fontId="3" fillId="0" borderId="0" xfId="0" applyFont="1"/>
    <xf numFmtId="0" fontId="4" fillId="0" borderId="0" xfId="0" applyFont="1"/>
    <xf numFmtId="0" fontId="7" fillId="0" borderId="0" xfId="0" applyFont="1"/>
    <xf numFmtId="164" fontId="0" fillId="0" borderId="0" xfId="0" applyNumberFormat="1"/>
    <xf numFmtId="165" fontId="0" fillId="0" borderId="0" xfId="0" applyNumberFormat="1"/>
    <xf numFmtId="0" fontId="1" fillId="0" borderId="0" xfId="0" applyFont="1"/>
    <xf numFmtId="0" fontId="9" fillId="0" borderId="0" xfId="0" applyFont="1"/>
    <xf numFmtId="0" fontId="0" fillId="0" borderId="0" xfId="0" applyAlignment="1">
      <alignment vertical="center"/>
    </xf>
    <xf numFmtId="4" fontId="0" fillId="0" borderId="0" xfId="0" applyNumberFormat="1"/>
    <xf numFmtId="2" fontId="0" fillId="0" borderId="0" xfId="0" applyNumberFormat="1"/>
    <xf numFmtId="0" fontId="0" fillId="0" borderId="0" xfId="0" applyAlignment="1">
      <alignment horizontal="left" vertical="top"/>
    </xf>
    <xf numFmtId="0" fontId="13" fillId="0" borderId="0" xfId="0" applyFont="1"/>
    <xf numFmtId="165" fontId="13" fillId="0" borderId="0" xfId="0" applyNumberFormat="1" applyFont="1"/>
    <xf numFmtId="2" fontId="13" fillId="0" borderId="0" xfId="0" applyNumberFormat="1" applyFont="1"/>
    <xf numFmtId="0" fontId="8" fillId="0" borderId="0" xfId="0" applyFont="1"/>
    <xf numFmtId="3" fontId="0" fillId="0" borderId="0" xfId="0" applyNumberFormat="1"/>
    <xf numFmtId="2" fontId="8" fillId="0" borderId="0" xfId="0" applyNumberFormat="1" applyFont="1"/>
    <xf numFmtId="164" fontId="8" fillId="0" borderId="0" xfId="0" applyNumberFormat="1" applyFont="1"/>
    <xf numFmtId="2" fontId="15" fillId="0" borderId="0" xfId="0" applyNumberFormat="1" applyFont="1"/>
    <xf numFmtId="49" fontId="0" fillId="0" borderId="0" xfId="0" applyNumberFormat="1"/>
    <xf numFmtId="0" fontId="8" fillId="0" borderId="0" xfId="0" applyFont="1" applyAlignment="1">
      <alignment horizontal="left"/>
    </xf>
    <xf numFmtId="2" fontId="15" fillId="0" borderId="0" xfId="0" applyNumberFormat="1" applyFont="1" applyAlignment="1">
      <alignment horizontal="right"/>
    </xf>
    <xf numFmtId="3" fontId="2" fillId="5" borderId="3" xfId="0" applyNumberFormat="1" applyFont="1" applyFill="1" applyBorder="1"/>
    <xf numFmtId="0" fontId="8" fillId="5" borderId="3" xfId="0" applyFont="1" applyFill="1" applyBorder="1"/>
    <xf numFmtId="164" fontId="8" fillId="5" borderId="3" xfId="0" applyNumberFormat="1" applyFont="1" applyFill="1" applyBorder="1"/>
    <xf numFmtId="11" fontId="15" fillId="0" borderId="0" xfId="0" applyNumberFormat="1" applyFont="1"/>
    <xf numFmtId="11" fontId="8" fillId="0" borderId="0" xfId="0" applyNumberFormat="1" applyFont="1"/>
    <xf numFmtId="11" fontId="8" fillId="5" borderId="3" xfId="0" applyNumberFormat="1" applyFont="1" applyFill="1" applyBorder="1"/>
    <xf numFmtId="0" fontId="0" fillId="0" borderId="0" xfId="0" applyAlignment="1">
      <alignment horizontal="left"/>
    </xf>
    <xf numFmtId="164" fontId="13" fillId="0" borderId="0" xfId="0" applyNumberFormat="1" applyFont="1" applyAlignment="1">
      <alignment vertical="center"/>
    </xf>
    <xf numFmtId="2" fontId="0" fillId="0" borderId="0" xfId="0" applyNumberFormat="1" applyAlignment="1">
      <alignment vertical="center"/>
    </xf>
    <xf numFmtId="166" fontId="8" fillId="0" borderId="0" xfId="0" applyNumberFormat="1" applyFont="1"/>
    <xf numFmtId="166" fontId="0" fillId="0" borderId="0" xfId="0" applyNumberFormat="1"/>
    <xf numFmtId="11" fontId="8" fillId="0" borderId="0" xfId="0" applyNumberFormat="1" applyFont="1" applyAlignment="1">
      <alignment horizontal="left" vertical="top"/>
    </xf>
    <xf numFmtId="165" fontId="13" fillId="0" borderId="0" xfId="0" applyNumberFormat="1" applyFont="1" applyAlignment="1">
      <alignment vertical="center"/>
    </xf>
    <xf numFmtId="3" fontId="0" fillId="0" borderId="0" xfId="0" applyNumberFormat="1" applyAlignment="1">
      <alignment horizontal="left" vertical="top"/>
    </xf>
    <xf numFmtId="3" fontId="0" fillId="4" borderId="0" xfId="0" applyNumberFormat="1" applyFill="1"/>
    <xf numFmtId="164" fontId="15" fillId="0" borderId="0" xfId="0" applyNumberFormat="1" applyFont="1"/>
    <xf numFmtId="2" fontId="2" fillId="3" borderId="0" xfId="0" applyNumberFormat="1" applyFont="1" applyFill="1" applyAlignment="1">
      <alignment horizontal="left" vertical="center"/>
    </xf>
    <xf numFmtId="11" fontId="2" fillId="3" borderId="0" xfId="0" applyNumberFormat="1" applyFont="1" applyFill="1" applyAlignment="1">
      <alignment horizontal="left" vertical="center"/>
    </xf>
    <xf numFmtId="0" fontId="8" fillId="3" borderId="0" xfId="0" applyFont="1" applyFill="1"/>
    <xf numFmtId="11" fontId="0" fillId="0" borderId="0" xfId="0" applyNumberFormat="1"/>
    <xf numFmtId="0" fontId="12" fillId="7" borderId="0" xfId="0" applyFont="1" applyFill="1"/>
    <xf numFmtId="0" fontId="11" fillId="7" borderId="0" xfId="0" applyFont="1" applyFill="1"/>
    <xf numFmtId="166" fontId="11" fillId="7" borderId="0" xfId="0" applyNumberFormat="1" applyFont="1" applyFill="1"/>
    <xf numFmtId="166" fontId="0" fillId="2" borderId="0" xfId="0" applyNumberFormat="1" applyFill="1" applyAlignment="1">
      <alignment horizontal="center" vertical="center" wrapText="1"/>
    </xf>
    <xf numFmtId="0" fontId="0" fillId="3" borderId="0" xfId="0" applyFill="1"/>
    <xf numFmtId="0" fontId="0" fillId="3" borderId="0" xfId="0" applyFill="1" applyAlignment="1">
      <alignment horizontal="left" vertical="top"/>
    </xf>
    <xf numFmtId="166" fontId="2" fillId="3" borderId="0" xfId="0" applyNumberFormat="1" applyFont="1" applyFill="1" applyAlignment="1">
      <alignment horizontal="left" vertical="center"/>
    </xf>
    <xf numFmtId="166" fontId="0" fillId="3" borderId="0" xfId="0" applyNumberFormat="1" applyFill="1" applyAlignment="1">
      <alignment horizontal="center" vertical="center" wrapText="1"/>
    </xf>
    <xf numFmtId="166" fontId="0" fillId="3" borderId="0" xfId="0" applyNumberFormat="1" applyFill="1"/>
    <xf numFmtId="166" fontId="2" fillId="3" borderId="0" xfId="0" applyNumberFormat="1" applyFont="1" applyFill="1"/>
    <xf numFmtId="0" fontId="12" fillId="3" borderId="0" xfId="0" applyFont="1" applyFill="1"/>
    <xf numFmtId="166" fontId="12" fillId="3" borderId="0" xfId="0" applyNumberFormat="1" applyFont="1" applyFill="1"/>
    <xf numFmtId="0" fontId="10" fillId="7" borderId="0" xfId="0" applyFont="1" applyFill="1"/>
    <xf numFmtId="0" fontId="9" fillId="3" borderId="0" xfId="0" applyFont="1" applyFill="1"/>
    <xf numFmtId="11" fontId="9" fillId="0" borderId="0" xfId="0" applyNumberFormat="1" applyFont="1"/>
    <xf numFmtId="0" fontId="4" fillId="0" borderId="0" xfId="0" applyFont="1" applyAlignment="1">
      <alignment horizontal="left"/>
    </xf>
    <xf numFmtId="0" fontId="12" fillId="7" borderId="0" xfId="0" applyFont="1" applyFill="1" applyAlignment="1">
      <alignment horizontal="left"/>
    </xf>
    <xf numFmtId="49" fontId="2" fillId="3" borderId="0" xfId="0" applyNumberFormat="1" applyFont="1" applyFill="1" applyAlignment="1">
      <alignment horizontal="left"/>
    </xf>
    <xf numFmtId="0" fontId="8" fillId="2" borderId="0" xfId="0" applyFont="1" applyFill="1" applyAlignment="1">
      <alignment horizontal="center" vertical="center" wrapText="1"/>
    </xf>
    <xf numFmtId="49" fontId="0" fillId="2" borderId="0" xfId="0" applyNumberFormat="1" applyFill="1" applyAlignment="1">
      <alignment horizontal="center" vertical="center" wrapText="1"/>
    </xf>
    <xf numFmtId="0" fontId="0" fillId="2" borderId="0" xfId="0" applyFill="1" applyAlignment="1">
      <alignment horizontal="center" vertical="center"/>
    </xf>
    <xf numFmtId="0" fontId="0" fillId="2" borderId="0" xfId="0" applyFill="1" applyAlignment="1">
      <alignment horizontal="center" vertical="center" wrapText="1"/>
    </xf>
    <xf numFmtId="0" fontId="9" fillId="2" borderId="0" xfId="0" applyFont="1" applyFill="1" applyAlignment="1">
      <alignment horizontal="center" vertical="center" wrapText="1"/>
    </xf>
    <xf numFmtId="0" fontId="8" fillId="4" borderId="0" xfId="0" applyFont="1" applyFill="1"/>
    <xf numFmtId="1" fontId="8" fillId="2" borderId="0" xfId="0" applyNumberFormat="1" applyFont="1" applyFill="1" applyAlignment="1">
      <alignment horizontal="center" vertical="center" wrapText="1"/>
    </xf>
    <xf numFmtId="2" fontId="8" fillId="2" borderId="0" xfId="0" applyNumberFormat="1" applyFont="1" applyFill="1" applyAlignment="1">
      <alignment horizontal="center" vertical="center" wrapText="1"/>
    </xf>
    <xf numFmtId="168" fontId="0" fillId="2" borderId="0" xfId="0" applyNumberFormat="1" applyFill="1" applyAlignment="1">
      <alignment horizontal="center" vertical="center" wrapText="1"/>
    </xf>
    <xf numFmtId="11" fontId="0" fillId="2" borderId="0" xfId="0" applyNumberFormat="1" applyFill="1" applyAlignment="1">
      <alignment horizontal="center" vertical="center" wrapText="1"/>
    </xf>
    <xf numFmtId="49" fontId="0" fillId="0" borderId="2" xfId="0" applyNumberFormat="1" applyBorder="1"/>
    <xf numFmtId="164" fontId="13" fillId="0" borderId="0" xfId="0" applyNumberFormat="1" applyFont="1"/>
    <xf numFmtId="2" fontId="8" fillId="0" borderId="0" xfId="0" applyNumberFormat="1" applyFont="1" applyAlignment="1">
      <alignment horizontal="right" vertical="center"/>
    </xf>
    <xf numFmtId="11" fontId="8" fillId="0" borderId="0" xfId="0" applyNumberFormat="1" applyFont="1" applyAlignment="1">
      <alignment horizontal="right" vertical="center"/>
    </xf>
    <xf numFmtId="0" fontId="6" fillId="0" borderId="0" xfId="0" applyFont="1" applyAlignment="1">
      <alignment horizontal="left" vertical="center"/>
    </xf>
    <xf numFmtId="2" fontId="8" fillId="0" borderId="0" xfId="0" applyNumberFormat="1" applyFont="1" applyAlignment="1">
      <alignment horizontal="left" vertical="center"/>
    </xf>
    <xf numFmtId="0" fontId="0" fillId="3" borderId="0" xfId="0" applyFill="1" applyAlignment="1">
      <alignment horizontal="left"/>
    </xf>
    <xf numFmtId="0" fontId="0" fillId="7" borderId="0" xfId="0" applyFill="1" applyAlignment="1">
      <alignment horizontal="left"/>
    </xf>
    <xf numFmtId="0" fontId="0" fillId="7" borderId="0" xfId="0" applyFill="1"/>
    <xf numFmtId="0" fontId="0" fillId="7" borderId="0" xfId="0" applyFill="1" applyAlignment="1">
      <alignment horizontal="left" vertical="top"/>
    </xf>
    <xf numFmtId="0" fontId="1" fillId="7" borderId="0" xfId="0" applyFont="1" applyFill="1"/>
    <xf numFmtId="0" fontId="9" fillId="7" borderId="0" xfId="0" applyFont="1" applyFill="1"/>
    <xf numFmtId="0" fontId="17" fillId="0" borderId="0" xfId="0" applyFont="1"/>
    <xf numFmtId="3" fontId="7" fillId="0" borderId="0" xfId="0" applyNumberFormat="1" applyFont="1"/>
    <xf numFmtId="167" fontId="7" fillId="0" borderId="0" xfId="0" applyNumberFormat="1" applyFont="1"/>
    <xf numFmtId="0" fontId="7" fillId="0" borderId="0" xfId="0" applyFont="1" applyAlignment="1">
      <alignment vertical="center"/>
    </xf>
    <xf numFmtId="0" fontId="14" fillId="0" borderId="0" xfId="0" applyFont="1"/>
    <xf numFmtId="0" fontId="18" fillId="0" borderId="0" xfId="0" applyFont="1"/>
    <xf numFmtId="0" fontId="0" fillId="8" borderId="0" xfId="0" applyFill="1" applyAlignment="1">
      <alignment horizontal="left" vertical="center"/>
    </xf>
    <xf numFmtId="166" fontId="0" fillId="8" borderId="0" xfId="0" applyNumberFormat="1" applyFill="1" applyAlignment="1">
      <alignment horizontal="center" vertical="center" wrapText="1"/>
    </xf>
    <xf numFmtId="166" fontId="13" fillId="0" borderId="0" xfId="0" applyNumberFormat="1" applyFont="1"/>
    <xf numFmtId="169" fontId="13" fillId="0" borderId="0" xfId="0" applyNumberFormat="1" applyFont="1"/>
    <xf numFmtId="11" fontId="13" fillId="0" borderId="0" xfId="0" applyNumberFormat="1" applyFont="1"/>
    <xf numFmtId="0" fontId="8" fillId="5" borderId="3" xfId="0" applyFont="1" applyFill="1" applyBorder="1" applyAlignment="1">
      <alignment horizontal="left"/>
    </xf>
    <xf numFmtId="166" fontId="0" fillId="6" borderId="0" xfId="0" applyNumberFormat="1" applyFill="1" applyAlignment="1">
      <alignment horizontal="center" vertical="center"/>
    </xf>
    <xf numFmtId="166" fontId="2" fillId="6" borderId="0" xfId="0" applyNumberFormat="1" applyFont="1" applyFill="1" applyAlignment="1">
      <alignment horizontal="center" vertical="center" wrapText="1"/>
    </xf>
    <xf numFmtId="2" fontId="1" fillId="0" borderId="0" xfId="0" applyNumberFormat="1" applyFont="1"/>
    <xf numFmtId="164" fontId="1" fillId="0" borderId="0" xfId="0" applyNumberFormat="1" applyFont="1"/>
    <xf numFmtId="164" fontId="8" fillId="0" borderId="0" xfId="0" applyNumberFormat="1" applyFont="1" applyAlignment="1">
      <alignment horizontal="right" vertical="center"/>
    </xf>
    <xf numFmtId="170" fontId="0" fillId="0" borderId="0" xfId="0" applyNumberFormat="1"/>
    <xf numFmtId="0" fontId="0" fillId="6" borderId="0" xfId="0" applyFill="1" applyAlignment="1">
      <alignment horizontal="left"/>
    </xf>
    <xf numFmtId="0" fontId="0" fillId="4" borderId="0" xfId="0" applyFill="1" applyAlignment="1">
      <alignment horizontal="left"/>
    </xf>
    <xf numFmtId="0" fontId="2" fillId="0" borderId="0" xfId="0" applyFont="1" applyAlignment="1">
      <alignment horizontal="left"/>
    </xf>
    <xf numFmtId="2" fontId="8" fillId="4" borderId="0" xfId="0" applyNumberFormat="1" applyFont="1" applyFill="1"/>
    <xf numFmtId="11" fontId="1" fillId="0" borderId="0" xfId="0" applyNumberFormat="1" applyFont="1"/>
    <xf numFmtId="0" fontId="13" fillId="0" borderId="0" xfId="0" applyFont="1" applyAlignment="1">
      <alignment horizontal="right"/>
    </xf>
    <xf numFmtId="0" fontId="13" fillId="0" borderId="0" xfId="0" applyFont="1" applyAlignment="1">
      <alignment horizontal="right" vertical="center"/>
    </xf>
    <xf numFmtId="2" fontId="13" fillId="0" borderId="0" xfId="0" applyNumberFormat="1" applyFont="1" applyAlignment="1">
      <alignment vertical="center"/>
    </xf>
    <xf numFmtId="0" fontId="0" fillId="4" borderId="0" xfId="0" applyFill="1"/>
    <xf numFmtId="2" fontId="8" fillId="0" borderId="0" xfId="0" applyNumberFormat="1" applyFont="1" applyAlignment="1">
      <alignment horizontal="right"/>
    </xf>
    <xf numFmtId="166" fontId="8" fillId="0" borderId="0" xfId="0" applyNumberFormat="1" applyFont="1" applyAlignment="1">
      <alignment horizontal="right"/>
    </xf>
    <xf numFmtId="2" fontId="8" fillId="0" borderId="0" xfId="0" applyNumberFormat="1" applyFont="1" applyAlignment="1">
      <alignment horizontal="right" vertical="center" wrapText="1"/>
    </xf>
    <xf numFmtId="1" fontId="8" fillId="0" borderId="0" xfId="0" applyNumberFormat="1" applyFont="1" applyAlignment="1">
      <alignment vertical="center"/>
    </xf>
    <xf numFmtId="165" fontId="8" fillId="0" borderId="0" xfId="0" applyNumberFormat="1" applyFont="1" applyAlignment="1">
      <alignment vertical="center"/>
    </xf>
    <xf numFmtId="165" fontId="8" fillId="0" borderId="0" xfId="0" applyNumberFormat="1" applyFont="1"/>
    <xf numFmtId="0" fontId="18" fillId="0" borderId="0" xfId="0" applyFont="1" applyAlignment="1">
      <alignment horizontal="left" vertical="center"/>
    </xf>
    <xf numFmtId="0" fontId="18" fillId="0" borderId="0" xfId="0" applyFont="1" applyAlignment="1">
      <alignment vertical="center"/>
    </xf>
    <xf numFmtId="1" fontId="0" fillId="0" borderId="0" xfId="0" applyNumberFormat="1"/>
    <xf numFmtId="0" fontId="0" fillId="9" borderId="0" xfId="0" applyFill="1"/>
    <xf numFmtId="11" fontId="8" fillId="0" borderId="0" xfId="0" applyNumberFormat="1" applyFont="1" applyAlignment="1">
      <alignment horizontal="right"/>
    </xf>
    <xf numFmtId="1" fontId="8" fillId="0" borderId="0" xfId="0" applyNumberFormat="1" applyFont="1"/>
    <xf numFmtId="0" fontId="0" fillId="0" borderId="1" xfId="0" applyBorder="1"/>
    <xf numFmtId="3" fontId="0" fillId="0" borderId="1" xfId="0" applyNumberFormat="1" applyBorder="1"/>
    <xf numFmtId="0" fontId="19" fillId="0" borderId="0" xfId="0" applyFont="1" applyAlignment="1">
      <alignment horizontal="left" vertical="center" wrapText="1"/>
    </xf>
    <xf numFmtId="0" fontId="0" fillId="8" borderId="0" xfId="0" applyFill="1"/>
    <xf numFmtId="4" fontId="0" fillId="4" borderId="0" xfId="0" applyNumberFormat="1" applyFill="1"/>
    <xf numFmtId="0" fontId="0" fillId="4" borderId="3" xfId="0" applyFill="1" applyBorder="1" applyAlignment="1">
      <alignment horizontal="left" vertical="top"/>
    </xf>
    <xf numFmtId="0" fontId="8" fillId="4" borderId="3" xfId="0" applyFont="1" applyFill="1" applyBorder="1"/>
    <xf numFmtId="3" fontId="0" fillId="4" borderId="3" xfId="0" applyNumberFormat="1" applyFill="1" applyBorder="1"/>
    <xf numFmtId="11" fontId="8" fillId="4" borderId="3" xfId="0" applyNumberFormat="1" applyFont="1" applyFill="1" applyBorder="1" applyAlignment="1">
      <alignment horizontal="left" vertical="top"/>
    </xf>
    <xf numFmtId="164" fontId="8" fillId="4" borderId="3" xfId="0" applyNumberFormat="1" applyFont="1" applyFill="1" applyBorder="1"/>
    <xf numFmtId="0" fontId="0" fillId="0" borderId="1" xfId="0" applyBorder="1" applyAlignment="1">
      <alignment horizontal="left" vertical="top"/>
    </xf>
    <xf numFmtId="0" fontId="8" fillId="0" borderId="1" xfId="0" applyFont="1" applyBorder="1"/>
    <xf numFmtId="3" fontId="0" fillId="0" borderId="1" xfId="0" applyNumberFormat="1" applyBorder="1" applyAlignment="1">
      <alignment horizontal="left" vertical="top"/>
    </xf>
    <xf numFmtId="164" fontId="8" fillId="0" borderId="1" xfId="0" applyNumberFormat="1" applyFont="1" applyBorder="1"/>
    <xf numFmtId="0" fontId="9" fillId="0" borderId="1" xfId="0" applyFont="1" applyBorder="1"/>
    <xf numFmtId="164" fontId="0" fillId="0" borderId="1" xfId="0" applyNumberFormat="1" applyBorder="1"/>
    <xf numFmtId="2" fontId="0" fillId="0" borderId="1" xfId="0" applyNumberFormat="1" applyBorder="1"/>
    <xf numFmtId="11" fontId="8" fillId="4" borderId="4" xfId="0" applyNumberFormat="1" applyFont="1" applyFill="1" applyBorder="1" applyAlignment="1">
      <alignment horizontal="left" vertical="top"/>
    </xf>
    <xf numFmtId="2" fontId="8" fillId="4" borderId="5" xfId="0" applyNumberFormat="1" applyFont="1" applyFill="1" applyBorder="1"/>
    <xf numFmtId="171" fontId="13" fillId="0" borderId="0" xfId="0" applyNumberFormat="1" applyFont="1"/>
    <xf numFmtId="170" fontId="13" fillId="0" borderId="0" xfId="0" applyNumberFormat="1" applyFont="1"/>
    <xf numFmtId="0" fontId="20" fillId="0" borderId="0" xfId="0" applyFont="1" applyAlignment="1">
      <alignment horizontal="left" vertical="center" wrapText="1"/>
    </xf>
    <xf numFmtId="11" fontId="20" fillId="0" borderId="0" xfId="0" applyNumberFormat="1" applyFont="1" applyAlignment="1">
      <alignment horizontal="left" vertical="center" wrapText="1"/>
    </xf>
    <xf numFmtId="0" fontId="0" fillId="6" borderId="0" xfId="0" applyFill="1" applyAlignment="1">
      <alignment horizontal="center" vertical="center"/>
    </xf>
    <xf numFmtId="166" fontId="2" fillId="6" borderId="0" xfId="0" applyNumberFormat="1" applyFont="1" applyFill="1" applyAlignment="1">
      <alignment horizontal="center" vertical="center"/>
    </xf>
    <xf numFmtId="166" fontId="0" fillId="6" borderId="0" xfId="0" applyNumberFormat="1" applyFill="1" applyAlignment="1">
      <alignment horizontal="center" vertical="center" wrapText="1"/>
    </xf>
    <xf numFmtId="0" fontId="2" fillId="6" borderId="0" xfId="0" applyFont="1" applyFill="1" applyAlignment="1">
      <alignment horizontal="center" vertical="center"/>
    </xf>
    <xf numFmtId="0" fontId="0" fillId="8" borderId="0" xfId="0" applyFill="1" applyAlignment="1">
      <alignment horizontal="center" vertical="center" wrapText="1"/>
    </xf>
    <xf numFmtId="0" fontId="0" fillId="5" borderId="3" xfId="0" applyFill="1" applyBorder="1"/>
    <xf numFmtId="2" fontId="17" fillId="0" borderId="0" xfId="0" applyNumberFormat="1" applyFont="1"/>
    <xf numFmtId="0" fontId="21" fillId="5" borderId="3" xfId="0" applyFont="1" applyFill="1" applyBorder="1"/>
    <xf numFmtId="0" fontId="2" fillId="6" borderId="0" xfId="0" applyFont="1" applyFill="1" applyAlignment="1">
      <alignment vertical="center"/>
    </xf>
    <xf numFmtId="2" fontId="0" fillId="10" borderId="0" xfId="0" applyNumberFormat="1" applyFill="1"/>
    <xf numFmtId="0" fontId="0" fillId="4" borderId="3" xfId="0" applyFill="1" applyBorder="1"/>
    <xf numFmtId="0" fontId="2" fillId="6" borderId="0" xfId="0" applyFont="1" applyFill="1"/>
    <xf numFmtId="0" fontId="0" fillId="6" borderId="0" xfId="0" applyFill="1"/>
    <xf numFmtId="2" fontId="2" fillId="6" borderId="0" xfId="0" applyNumberFormat="1" applyFont="1" applyFill="1" applyAlignment="1">
      <alignment horizontal="left" vertical="center"/>
    </xf>
    <xf numFmtId="11" fontId="2" fillId="6" borderId="0" xfId="0" applyNumberFormat="1" applyFont="1" applyFill="1" applyAlignment="1">
      <alignment horizontal="left" vertical="center"/>
    </xf>
    <xf numFmtId="0" fontId="0" fillId="8" borderId="0" xfId="0" applyFill="1" applyAlignment="1">
      <alignment horizontal="center" vertical="center"/>
    </xf>
    <xf numFmtId="0" fontId="7" fillId="4" borderId="0" xfId="0" applyFont="1" applyFill="1"/>
    <xf numFmtId="2" fontId="2" fillId="0" borderId="0" xfId="0" applyNumberFormat="1" applyFont="1"/>
    <xf numFmtId="0" fontId="18" fillId="0" borderId="0" xfId="0" applyFont="1" applyAlignment="1">
      <alignment horizontal="left"/>
    </xf>
    <xf numFmtId="168" fontId="8" fillId="0" borderId="0" xfId="0" applyNumberFormat="1" applyFont="1" applyAlignment="1">
      <alignment horizontal="right" vertical="center"/>
    </xf>
    <xf numFmtId="1" fontId="8" fillId="8" borderId="0" xfId="0" applyNumberFormat="1" applyFont="1" applyFill="1" applyAlignment="1">
      <alignment horizontal="center" vertical="center" wrapText="1"/>
    </xf>
    <xf numFmtId="2" fontId="8" fillId="8" borderId="0" xfId="0" applyNumberFormat="1" applyFont="1" applyFill="1" applyAlignment="1">
      <alignment horizontal="center" vertical="center" wrapText="1"/>
    </xf>
    <xf numFmtId="168" fontId="0" fillId="8" borderId="0" xfId="0" applyNumberFormat="1" applyFill="1" applyAlignment="1">
      <alignment horizontal="center" vertical="center" wrapText="1"/>
    </xf>
    <xf numFmtId="11" fontId="0" fillId="8" borderId="0" xfId="0" applyNumberFormat="1" applyFill="1" applyAlignment="1">
      <alignment horizontal="center" vertical="center" wrapText="1"/>
    </xf>
    <xf numFmtId="4" fontId="8" fillId="0" borderId="0" xfId="0" applyNumberFormat="1" applyFont="1"/>
    <xf numFmtId="0" fontId="2" fillId="0" borderId="0" xfId="0" applyFont="1"/>
    <xf numFmtId="1" fontId="8" fillId="2" borderId="0" xfId="0" applyNumberFormat="1" applyFont="1" applyFill="1" applyAlignment="1">
      <alignment horizontal="left" vertical="top" wrapText="1"/>
    </xf>
    <xf numFmtId="1" fontId="0" fillId="2" borderId="0" xfId="0" applyNumberFormat="1" applyFill="1" applyAlignment="1">
      <alignment horizontal="left" vertical="top" wrapText="1"/>
    </xf>
    <xf numFmtId="0" fontId="2" fillId="3" borderId="0" xfId="0" applyFont="1" applyFill="1"/>
    <xf numFmtId="0" fontId="22" fillId="0" borderId="0" xfId="0" applyFont="1" applyAlignment="1">
      <alignment horizontal="right" vertical="center" wrapText="1"/>
    </xf>
    <xf numFmtId="0" fontId="23" fillId="0" borderId="0" xfId="0" applyFont="1"/>
    <xf numFmtId="0" fontId="18" fillId="11" borderId="0" xfId="0" applyFont="1" applyFill="1"/>
    <xf numFmtId="3" fontId="23" fillId="0" borderId="0" xfId="0" applyNumberFormat="1" applyFont="1"/>
    <xf numFmtId="0" fontId="18" fillId="8" borderId="0" xfId="0" applyFont="1" applyFill="1"/>
    <xf numFmtId="0" fontId="23" fillId="8" borderId="0" xfId="0" applyFont="1" applyFill="1"/>
    <xf numFmtId="0" fontId="17" fillId="0" borderId="2" xfId="1" applyFont="1" applyBorder="1" applyAlignment="1">
      <alignment horizontal="left" vertical="center"/>
    </xf>
    <xf numFmtId="0" fontId="7" fillId="0" borderId="0" xfId="0" applyFont="1" applyAlignment="1">
      <alignment horizontal="left" vertical="center"/>
    </xf>
    <xf numFmtId="0" fontId="24" fillId="0" borderId="0" xfId="0" applyFont="1"/>
    <xf numFmtId="0" fontId="26" fillId="0" borderId="0" xfId="0" applyFont="1"/>
    <xf numFmtId="3" fontId="8" fillId="0" borderId="0" xfId="0" applyNumberFormat="1" applyFont="1"/>
    <xf numFmtId="4" fontId="8" fillId="4" borderId="0" xfId="0" applyNumberFormat="1" applyFont="1" applyFill="1"/>
    <xf numFmtId="3" fontId="8" fillId="4" borderId="0" xfId="0" applyNumberFormat="1" applyFont="1" applyFill="1"/>
    <xf numFmtId="167" fontId="8" fillId="0" borderId="0" xfId="0" applyNumberFormat="1" applyFont="1"/>
    <xf numFmtId="166" fontId="9" fillId="0" borderId="0" xfId="0" applyNumberFormat="1" applyFont="1"/>
    <xf numFmtId="0" fontId="22" fillId="0" borderId="0" xfId="0" applyFont="1"/>
    <xf numFmtId="0" fontId="8" fillId="9" borderId="0" xfId="0" applyFont="1" applyFill="1"/>
    <xf numFmtId="0" fontId="13" fillId="8" borderId="0" xfId="0" applyFont="1" applyFill="1"/>
    <xf numFmtId="0" fontId="17" fillId="0" borderId="8" xfId="1" applyFont="1" applyBorder="1" applyAlignment="1">
      <alignment horizontal="left" vertical="center"/>
    </xf>
    <xf numFmtId="2" fontId="13" fillId="0" borderId="2" xfId="1" applyNumberFormat="1" applyFont="1" applyBorder="1" applyAlignment="1">
      <alignment horizontal="right" vertical="center"/>
    </xf>
    <xf numFmtId="2" fontId="13" fillId="0" borderId="8" xfId="1" applyNumberFormat="1" applyFont="1" applyBorder="1" applyAlignment="1">
      <alignment horizontal="right" vertical="center"/>
    </xf>
    <xf numFmtId="0" fontId="0" fillId="0" borderId="2" xfId="0" applyBorder="1"/>
    <xf numFmtId="0" fontId="0" fillId="0" borderId="8" xfId="0" applyBorder="1"/>
    <xf numFmtId="0" fontId="23" fillId="4" borderId="2" xfId="0" applyFont="1" applyFill="1" applyBorder="1"/>
    <xf numFmtId="0" fontId="23" fillId="4" borderId="8" xfId="0" applyFont="1" applyFill="1" applyBorder="1"/>
    <xf numFmtId="164" fontId="13" fillId="0" borderId="2" xfId="1" applyNumberFormat="1" applyFont="1" applyBorder="1" applyAlignment="1">
      <alignment horizontal="right" vertical="center"/>
    </xf>
    <xf numFmtId="2" fontId="13" fillId="0" borderId="2" xfId="0" applyNumberFormat="1" applyFont="1" applyBorder="1" applyAlignment="1">
      <alignment horizontal="right" vertical="center"/>
    </xf>
    <xf numFmtId="0" fontId="13" fillId="0" borderId="2" xfId="0" applyFont="1" applyBorder="1"/>
    <xf numFmtId="0" fontId="13" fillId="0" borderId="8" xfId="0" applyFont="1" applyBorder="1"/>
    <xf numFmtId="0" fontId="0" fillId="4" borderId="2" xfId="0" applyFill="1" applyBorder="1"/>
    <xf numFmtId="0" fontId="0" fillId="4" borderId="8" xfId="0" applyFill="1" applyBorder="1"/>
    <xf numFmtId="1" fontId="0" fillId="0" borderId="2" xfId="0" applyNumberFormat="1" applyBorder="1"/>
    <xf numFmtId="1" fontId="0" fillId="0" borderId="8" xfId="0" applyNumberFormat="1" applyBorder="1"/>
    <xf numFmtId="2" fontId="0" fillId="0" borderId="2" xfId="0" applyNumberFormat="1" applyBorder="1"/>
    <xf numFmtId="2" fontId="0" fillId="0" borderId="8" xfId="0" applyNumberFormat="1" applyBorder="1"/>
    <xf numFmtId="164" fontId="0" fillId="0" borderId="8" xfId="0" applyNumberFormat="1" applyBorder="1"/>
    <xf numFmtId="165" fontId="13" fillId="0" borderId="2" xfId="1" applyNumberFormat="1" applyFont="1" applyBorder="1" applyAlignment="1">
      <alignment horizontal="right" vertical="center"/>
    </xf>
    <xf numFmtId="165" fontId="13" fillId="0" borderId="8" xfId="1" applyNumberFormat="1" applyFont="1" applyBorder="1" applyAlignment="1">
      <alignment horizontal="right" vertical="center"/>
    </xf>
    <xf numFmtId="165" fontId="0" fillId="0" borderId="2" xfId="0" applyNumberFormat="1" applyBorder="1"/>
    <xf numFmtId="165" fontId="0" fillId="0" borderId="8" xfId="0" applyNumberFormat="1" applyBorder="1"/>
    <xf numFmtId="1" fontId="8" fillId="0" borderId="2" xfId="0" applyNumberFormat="1" applyFont="1" applyBorder="1"/>
    <xf numFmtId="2" fontId="13" fillId="0" borderId="2" xfId="0" applyNumberFormat="1" applyFont="1" applyBorder="1"/>
    <xf numFmtId="2" fontId="13" fillId="0" borderId="8" xfId="0" applyNumberFormat="1" applyFont="1" applyBorder="1"/>
    <xf numFmtId="0" fontId="1" fillId="0" borderId="2" xfId="0" applyFont="1" applyBorder="1"/>
    <xf numFmtId="0" fontId="1" fillId="0" borderId="8" xfId="0" applyFont="1" applyBorder="1"/>
    <xf numFmtId="1" fontId="8" fillId="4" borderId="2" xfId="0" applyNumberFormat="1" applyFont="1" applyFill="1" applyBorder="1"/>
    <xf numFmtId="165" fontId="8" fillId="0" borderId="2" xfId="0" applyNumberFormat="1" applyFont="1" applyBorder="1"/>
    <xf numFmtId="164" fontId="0" fillId="0" borderId="2" xfId="0" applyNumberFormat="1" applyBorder="1"/>
    <xf numFmtId="1" fontId="13" fillId="0" borderId="0" xfId="0" applyNumberFormat="1" applyFont="1"/>
    <xf numFmtId="170" fontId="13" fillId="0" borderId="2" xfId="0" applyNumberFormat="1" applyFont="1" applyBorder="1"/>
    <xf numFmtId="170" fontId="13" fillId="0" borderId="8" xfId="0" applyNumberFormat="1" applyFont="1" applyBorder="1"/>
    <xf numFmtId="165" fontId="0" fillId="4" borderId="2" xfId="0" applyNumberFormat="1" applyFill="1" applyBorder="1"/>
    <xf numFmtId="165" fontId="0" fillId="4" borderId="0" xfId="0" applyNumberFormat="1" applyFill="1"/>
    <xf numFmtId="165" fontId="0" fillId="4" borderId="8" xfId="0" applyNumberFormat="1" applyFill="1" applyBorder="1"/>
    <xf numFmtId="2" fontId="7" fillId="0" borderId="2" xfId="0" applyNumberFormat="1" applyFont="1" applyBorder="1"/>
    <xf numFmtId="2" fontId="7" fillId="0" borderId="8" xfId="0" applyNumberFormat="1" applyFont="1" applyBorder="1"/>
    <xf numFmtId="0" fontId="23" fillId="0" borderId="2" xfId="0" applyFont="1" applyBorder="1"/>
    <xf numFmtId="0" fontId="0" fillId="0" borderId="9" xfId="0" applyBorder="1"/>
    <xf numFmtId="0" fontId="0" fillId="0" borderId="3" xfId="0" applyBorder="1"/>
    <xf numFmtId="0" fontId="0" fillId="0" borderId="10" xfId="0" applyBorder="1"/>
    <xf numFmtId="0" fontId="0" fillId="0" borderId="11" xfId="0" applyBorder="1"/>
    <xf numFmtId="0" fontId="17" fillId="0" borderId="11" xfId="0" applyFont="1" applyBorder="1"/>
    <xf numFmtId="0" fontId="8" fillId="6" borderId="11" xfId="1" applyFont="1" applyFill="1" applyBorder="1" applyAlignment="1">
      <alignment horizontal="left" vertical="center"/>
    </xf>
    <xf numFmtId="0" fontId="0" fillId="4" borderId="11" xfId="0" applyFill="1" applyBorder="1"/>
    <xf numFmtId="0" fontId="7" fillId="0" borderId="11" xfId="0" applyFont="1" applyBorder="1" applyAlignment="1">
      <alignment horizontal="left" vertical="center"/>
    </xf>
    <xf numFmtId="0" fontId="17" fillId="0" borderId="11" xfId="1" applyFont="1" applyBorder="1" applyAlignment="1">
      <alignment horizontal="left" vertical="center"/>
    </xf>
    <xf numFmtId="0" fontId="7" fillId="4" borderId="11" xfId="0" applyFont="1" applyFill="1" applyBorder="1" applyAlignment="1">
      <alignment horizontal="left" vertical="center"/>
    </xf>
    <xf numFmtId="0" fontId="17" fillId="4" borderId="11" xfId="1" applyFont="1" applyFill="1" applyBorder="1" applyAlignment="1">
      <alignment horizontal="left" vertical="center"/>
    </xf>
    <xf numFmtId="0" fontId="7" fillId="0" borderId="11" xfId="0" applyFont="1" applyBorder="1"/>
    <xf numFmtId="0" fontId="25" fillId="0" borderId="11" xfId="1" applyFont="1" applyBorder="1" applyAlignment="1">
      <alignment horizontal="left" vertical="center"/>
    </xf>
    <xf numFmtId="0" fontId="7" fillId="4" borderId="11" xfId="0" applyFont="1" applyFill="1" applyBorder="1"/>
    <xf numFmtId="0" fontId="0" fillId="0" borderId="12" xfId="0" applyBorder="1"/>
    <xf numFmtId="0" fontId="8" fillId="0" borderId="0" xfId="0" applyFont="1" applyAlignment="1">
      <alignment horizontal="right" vertical="center" wrapText="1"/>
    </xf>
    <xf numFmtId="2" fontId="22" fillId="0" borderId="0" xfId="0" applyNumberFormat="1" applyFont="1" applyAlignment="1">
      <alignment horizontal="right" vertical="center" wrapText="1"/>
    </xf>
    <xf numFmtId="0" fontId="0" fillId="6" borderId="2" xfId="0" applyFill="1" applyBorder="1"/>
    <xf numFmtId="165" fontId="22" fillId="0" borderId="0" xfId="0" applyNumberFormat="1" applyFont="1" applyAlignment="1">
      <alignment horizontal="right" vertical="center" wrapText="1"/>
    </xf>
    <xf numFmtId="0" fontId="19" fillId="0" borderId="0" xfId="0" applyFont="1" applyAlignment="1">
      <alignment horizontal="left" vertical="center"/>
    </xf>
    <xf numFmtId="2" fontId="8" fillId="0" borderId="2" xfId="0" applyNumberFormat="1" applyFont="1" applyBorder="1"/>
    <xf numFmtId="166" fontId="8" fillId="0" borderId="0" xfId="0" applyNumberFormat="1" applyFont="1" applyAlignment="1">
      <alignment horizontal="left" vertical="center" wrapText="1"/>
    </xf>
    <xf numFmtId="0" fontId="8" fillId="0" borderId="0" xfId="0" applyFont="1" applyAlignment="1">
      <alignment horizontal="left" vertical="center" wrapText="1"/>
    </xf>
    <xf numFmtId="0" fontId="80" fillId="0" borderId="0" xfId="0" applyFont="1"/>
    <xf numFmtId="0" fontId="0" fillId="8" borderId="54" xfId="0" applyFill="1" applyBorder="1"/>
    <xf numFmtId="0" fontId="0" fillId="8" borderId="55" xfId="0" applyFill="1" applyBorder="1"/>
    <xf numFmtId="0" fontId="0" fillId="8" borderId="56" xfId="0" applyFill="1" applyBorder="1"/>
    <xf numFmtId="0" fontId="17" fillId="0" borderId="0" xfId="1" applyFont="1" applyAlignment="1">
      <alignment horizontal="left" vertical="center"/>
    </xf>
    <xf numFmtId="2" fontId="13" fillId="0" borderId="0" xfId="1" applyNumberFormat="1" applyFont="1" applyAlignment="1">
      <alignment horizontal="right" vertical="center"/>
    </xf>
    <xf numFmtId="0" fontId="0" fillId="6" borderId="8" xfId="0" applyFill="1" applyBorder="1"/>
    <xf numFmtId="0" fontId="23" fillId="4" borderId="0" xfId="0" applyFont="1" applyFill="1"/>
    <xf numFmtId="1" fontId="8" fillId="4" borderId="0" xfId="0" applyNumberFormat="1" applyFont="1" applyFill="1"/>
    <xf numFmtId="165" fontId="13" fillId="0" borderId="0" xfId="1" applyNumberFormat="1" applyFont="1" applyAlignment="1">
      <alignment horizontal="right" vertical="center"/>
    </xf>
    <xf numFmtId="2" fontId="7" fillId="0" borderId="0" xfId="0" applyNumberFormat="1" applyFont="1"/>
    <xf numFmtId="0" fontId="3" fillId="4" borderId="0" xfId="0" applyFont="1" applyFill="1"/>
    <xf numFmtId="0" fontId="2" fillId="61" borderId="0" xfId="0" applyFont="1" applyFill="1"/>
    <xf numFmtId="0" fontId="0" fillId="61" borderId="0" xfId="0" applyFill="1"/>
    <xf numFmtId="166" fontId="2" fillId="61" borderId="0" xfId="0" applyNumberFormat="1" applyFont="1" applyFill="1" applyAlignment="1">
      <alignment horizontal="left" vertical="center"/>
    </xf>
    <xf numFmtId="166" fontId="0" fillId="61" borderId="0" xfId="0" applyNumberFormat="1" applyFill="1" applyAlignment="1">
      <alignment horizontal="center" vertical="center" wrapText="1"/>
    </xf>
    <xf numFmtId="166" fontId="0" fillId="61" borderId="0" xfId="0" applyNumberFormat="1" applyFill="1"/>
    <xf numFmtId="166" fontId="2" fillId="61" borderId="0" xfId="0" applyNumberFormat="1" applyFont="1" applyFill="1"/>
    <xf numFmtId="0" fontId="0" fillId="2" borderId="0" xfId="0" applyFill="1" applyAlignment="1">
      <alignment horizontal="left" vertical="center"/>
    </xf>
    <xf numFmtId="0" fontId="0" fillId="2" borderId="0" xfId="0" applyFill="1" applyAlignment="1">
      <alignment horizontal="left" vertical="top" wrapText="1"/>
    </xf>
    <xf numFmtId="0" fontId="2" fillId="2" borderId="0" xfId="0" applyFont="1" applyFill="1" applyAlignment="1">
      <alignment horizontal="left" vertical="center" wrapText="1"/>
    </xf>
    <xf numFmtId="166" fontId="0" fillId="0" borderId="0" xfId="0" applyNumberFormat="1" applyAlignment="1">
      <alignment horizontal="left" vertical="center" wrapText="1"/>
    </xf>
    <xf numFmtId="174" fontId="0" fillId="0" borderId="0" xfId="0" applyNumberFormat="1"/>
    <xf numFmtId="0" fontId="0" fillId="0" borderId="57" xfId="0" applyBorder="1"/>
    <xf numFmtId="0" fontId="0" fillId="0" borderId="58" xfId="0" applyBorder="1"/>
    <xf numFmtId="164" fontId="0" fillId="0" borderId="58" xfId="0" applyNumberFormat="1" applyBorder="1"/>
    <xf numFmtId="164" fontId="0" fillId="0" borderId="59" xfId="0" applyNumberFormat="1" applyBorder="1"/>
    <xf numFmtId="168" fontId="0" fillId="0" borderId="0" xfId="0" applyNumberFormat="1"/>
    <xf numFmtId="168" fontId="0" fillId="0" borderId="8" xfId="0" applyNumberFormat="1" applyBorder="1"/>
    <xf numFmtId="168" fontId="0" fillId="0" borderId="3" xfId="0" applyNumberFormat="1" applyBorder="1"/>
    <xf numFmtId="168" fontId="0" fillId="0" borderId="10" xfId="0" applyNumberFormat="1" applyBorder="1"/>
    <xf numFmtId="166" fontId="2" fillId="0" borderId="0" xfId="0" applyNumberFormat="1" applyFont="1"/>
    <xf numFmtId="166" fontId="0" fillId="0" borderId="0" xfId="0" applyNumberFormat="1" applyAlignment="1">
      <alignment horizontal="center" vertical="center" wrapText="1"/>
    </xf>
    <xf numFmtId="0" fontId="0" fillId="0" borderId="0" xfId="0" applyAlignment="1">
      <alignment horizontal="center" vertical="center" wrapText="1"/>
    </xf>
    <xf numFmtId="49" fontId="0" fillId="0" borderId="60" xfId="0" applyNumberFormat="1" applyBorder="1"/>
    <xf numFmtId="0" fontId="0" fillId="0" borderId="61" xfId="0" applyBorder="1"/>
    <xf numFmtId="2" fontId="0" fillId="0" borderId="61" xfId="0" applyNumberFormat="1" applyBorder="1"/>
    <xf numFmtId="170" fontId="0" fillId="0" borderId="61" xfId="0" applyNumberFormat="1" applyBorder="1"/>
    <xf numFmtId="11" fontId="0" fillId="0" borderId="61" xfId="0" applyNumberFormat="1" applyBorder="1"/>
    <xf numFmtId="0" fontId="0" fillId="0" borderId="60" xfId="0" applyBorder="1"/>
    <xf numFmtId="170" fontId="8" fillId="0" borderId="0" xfId="0" applyNumberFormat="1" applyFont="1"/>
    <xf numFmtId="2" fontId="8" fillId="0" borderId="0" xfId="5" applyNumberFormat="1" applyFont="1" applyAlignment="1">
      <alignment horizontal="right"/>
    </xf>
    <xf numFmtId="166" fontId="16" fillId="6" borderId="0" xfId="0" applyNumberFormat="1" applyFont="1" applyFill="1" applyAlignment="1">
      <alignment horizontal="center" vertical="center"/>
    </xf>
    <xf numFmtId="0" fontId="16" fillId="8" borderId="0" xfId="0" applyFont="1" applyFill="1" applyAlignment="1">
      <alignment horizontal="left" vertical="center" wrapText="1"/>
    </xf>
    <xf numFmtId="0" fontId="82" fillId="0" borderId="0" xfId="0" applyFont="1"/>
    <xf numFmtId="11" fontId="82" fillId="0" borderId="0" xfId="0" applyNumberFormat="1" applyFont="1" applyAlignment="1">
      <alignment horizontal="right" vertical="center"/>
    </xf>
    <xf numFmtId="0" fontId="83" fillId="0" borderId="0" xfId="1814"/>
    <xf numFmtId="1" fontId="84" fillId="0" borderId="0" xfId="0" applyNumberFormat="1" applyFont="1"/>
    <xf numFmtId="1" fontId="0" fillId="8" borderId="0" xfId="0" applyNumberFormat="1" applyFill="1" applyAlignment="1">
      <alignment horizontal="left" vertical="top" wrapText="1"/>
    </xf>
    <xf numFmtId="0" fontId="8" fillId="8" borderId="0" xfId="0" applyFont="1" applyFill="1" applyAlignment="1">
      <alignment horizontal="center" vertical="top" wrapText="1"/>
    </xf>
    <xf numFmtId="1" fontId="8" fillId="8" borderId="0" xfId="0" applyNumberFormat="1" applyFont="1" applyFill="1" applyAlignment="1">
      <alignment horizontal="left" vertical="top" wrapText="1"/>
    </xf>
    <xf numFmtId="0" fontId="0" fillId="8" borderId="0" xfId="0" applyFill="1" applyAlignment="1">
      <alignment horizontal="left" vertical="top" wrapText="1"/>
    </xf>
    <xf numFmtId="11" fontId="0" fillId="8" borderId="0" xfId="0" applyNumberFormat="1" applyFill="1" applyAlignment="1">
      <alignment horizontal="left" vertical="top" wrapText="1"/>
    </xf>
    <xf numFmtId="1" fontId="0" fillId="5" borderId="0" xfId="0" applyNumberFormat="1" applyFill="1" applyAlignment="1">
      <alignment horizontal="left" vertical="top" wrapText="1"/>
    </xf>
    <xf numFmtId="1" fontId="8" fillId="5" borderId="0" xfId="0" applyNumberFormat="1" applyFont="1" applyFill="1" applyAlignment="1">
      <alignment horizontal="left" vertical="top" wrapText="1"/>
    </xf>
    <xf numFmtId="2" fontId="8" fillId="5" borderId="0" xfId="0" applyNumberFormat="1" applyFont="1" applyFill="1" applyAlignment="1">
      <alignment horizontal="left" vertical="top" wrapText="1"/>
    </xf>
    <xf numFmtId="168" fontId="0" fillId="5" borderId="0" xfId="0" applyNumberFormat="1" applyFill="1" applyAlignment="1">
      <alignment horizontal="left" vertical="top" wrapText="1"/>
    </xf>
    <xf numFmtId="0" fontId="0" fillId="5" borderId="0" xfId="0" applyFill="1" applyAlignment="1">
      <alignment horizontal="left" vertical="top" wrapText="1"/>
    </xf>
    <xf numFmtId="11" fontId="0" fillId="5" borderId="0" xfId="0" applyNumberFormat="1" applyFill="1" applyAlignment="1">
      <alignment horizontal="left" vertical="top" wrapText="1"/>
    </xf>
    <xf numFmtId="11" fontId="84" fillId="0" borderId="0" xfId="0" applyNumberFormat="1" applyFont="1" applyAlignment="1">
      <alignment vertical="top"/>
    </xf>
    <xf numFmtId="171" fontId="0" fillId="0" borderId="0" xfId="0" applyNumberFormat="1"/>
    <xf numFmtId="0" fontId="86" fillId="4" borderId="0" xfId="0" applyFont="1" applyFill="1" applyAlignment="1">
      <alignment vertical="center"/>
    </xf>
    <xf numFmtId="0" fontId="18" fillId="4" borderId="0" xfId="0" applyFont="1" applyFill="1" applyAlignment="1">
      <alignment vertical="center"/>
    </xf>
    <xf numFmtId="0" fontId="0" fillId="4" borderId="0" xfId="0" applyFill="1" applyAlignment="1">
      <alignment vertical="center"/>
    </xf>
    <xf numFmtId="164" fontId="8" fillId="0" borderId="0" xfId="0" applyNumberFormat="1" applyFont="1" applyAlignment="1">
      <alignment horizontal="right"/>
    </xf>
    <xf numFmtId="170" fontId="8" fillId="0" borderId="0" xfId="0" applyNumberFormat="1" applyFont="1" applyAlignment="1">
      <alignment horizontal="right"/>
    </xf>
    <xf numFmtId="2" fontId="82" fillId="0" borderId="0" xfId="0" applyNumberFormat="1" applyFont="1"/>
    <xf numFmtId="164" fontId="82" fillId="0" borderId="0" xfId="0" applyNumberFormat="1" applyFont="1"/>
    <xf numFmtId="164" fontId="82" fillId="0" borderId="0" xfId="0" applyNumberFormat="1" applyFont="1" applyAlignment="1">
      <alignment horizontal="right" vertical="center"/>
    </xf>
    <xf numFmtId="170" fontId="15" fillId="0" borderId="0" xfId="0" applyNumberFormat="1" applyFont="1"/>
    <xf numFmtId="170" fontId="82" fillId="0" borderId="0" xfId="0" applyNumberFormat="1" applyFont="1"/>
    <xf numFmtId="170" fontId="1" fillId="0" borderId="0" xfId="0" applyNumberFormat="1" applyFont="1"/>
    <xf numFmtId="170" fontId="8" fillId="0" borderId="0" xfId="0" applyNumberFormat="1" applyFont="1" applyAlignment="1">
      <alignment horizontal="right" vertical="center"/>
    </xf>
    <xf numFmtId="2" fontId="8" fillId="5" borderId="3" xfId="0" applyNumberFormat="1" applyFont="1" applyFill="1" applyBorder="1"/>
    <xf numFmtId="0" fontId="0" fillId="5" borderId="0" xfId="0" applyFill="1"/>
    <xf numFmtId="3" fontId="2" fillId="5" borderId="0" xfId="0" applyNumberFormat="1" applyFont="1" applyFill="1"/>
    <xf numFmtId="0" fontId="8" fillId="5" borderId="0" xfId="0" applyFont="1" applyFill="1"/>
    <xf numFmtId="0" fontId="8" fillId="5" borderId="0" xfId="0" applyFont="1" applyFill="1" applyAlignment="1">
      <alignment horizontal="left"/>
    </xf>
    <xf numFmtId="2" fontId="8" fillId="5" borderId="0" xfId="0" applyNumberFormat="1" applyFont="1" applyFill="1"/>
    <xf numFmtId="164" fontId="8" fillId="5" borderId="0" xfId="0" applyNumberFormat="1" applyFont="1" applyFill="1"/>
    <xf numFmtId="11" fontId="8" fillId="5" borderId="0" xfId="0" applyNumberFormat="1" applyFont="1" applyFill="1"/>
    <xf numFmtId="0" fontId="21" fillId="5" borderId="0" xfId="0" applyFont="1" applyFill="1"/>
    <xf numFmtId="2" fontId="21" fillId="5" borderId="0" xfId="0" applyNumberFormat="1" applyFont="1" applyFill="1"/>
    <xf numFmtId="164" fontId="22" fillId="0" borderId="0" xfId="0" applyNumberFormat="1" applyFont="1" applyAlignment="1">
      <alignment horizontal="right" vertical="center"/>
    </xf>
    <xf numFmtId="11" fontId="22" fillId="0" borderId="0" xfId="0" applyNumberFormat="1" applyFont="1" applyAlignment="1">
      <alignment horizontal="right" vertical="center"/>
    </xf>
    <xf numFmtId="2" fontId="15" fillId="64" borderId="0" xfId="0" applyNumberFormat="1" applyFont="1" applyFill="1"/>
    <xf numFmtId="1" fontId="7" fillId="0" borderId="0" xfId="0" applyNumberFormat="1" applyFont="1" applyAlignment="1">
      <alignment vertical="center"/>
    </xf>
    <xf numFmtId="2" fontId="7" fillId="0" borderId="0" xfId="0" applyNumberFormat="1" applyFont="1" applyAlignment="1">
      <alignment vertical="center"/>
    </xf>
    <xf numFmtId="0" fontId="6" fillId="0" borderId="0" xfId="0" applyFont="1" applyAlignment="1">
      <alignment vertical="center"/>
    </xf>
    <xf numFmtId="165" fontId="25" fillId="0" borderId="0" xfId="0" applyNumberFormat="1" applyFont="1"/>
    <xf numFmtId="168" fontId="8" fillId="0" borderId="0" xfId="0" applyNumberFormat="1" applyFont="1"/>
    <xf numFmtId="164" fontId="0" fillId="4" borderId="3" xfId="0" applyNumberFormat="1" applyFill="1" applyBorder="1"/>
    <xf numFmtId="2" fontId="13" fillId="0" borderId="8" xfId="0" applyNumberFormat="1" applyFont="1" applyBorder="1" applyAlignment="1">
      <alignment horizontal="right" vertical="center"/>
    </xf>
    <xf numFmtId="0" fontId="0" fillId="8" borderId="207" xfId="0" applyFill="1" applyBorder="1"/>
    <xf numFmtId="0" fontId="0" fillId="8" borderId="174" xfId="0" applyFill="1" applyBorder="1"/>
    <xf numFmtId="1" fontId="8" fillId="4" borderId="8" xfId="0" applyNumberFormat="1" applyFont="1" applyFill="1" applyBorder="1"/>
    <xf numFmtId="2" fontId="8" fillId="0" borderId="8" xfId="0" applyNumberFormat="1" applyFont="1" applyBorder="1"/>
    <xf numFmtId="2" fontId="13" fillId="0" borderId="0" xfId="0" applyNumberFormat="1" applyFont="1" applyAlignment="1">
      <alignment horizontal="right" vertical="center"/>
    </xf>
    <xf numFmtId="164" fontId="13" fillId="0" borderId="0" xfId="1" applyNumberFormat="1" applyFont="1" applyAlignment="1">
      <alignment horizontal="right" vertical="center"/>
    </xf>
    <xf numFmtId="11" fontId="7" fillId="4" borderId="0" xfId="0" applyNumberFormat="1" applyFont="1" applyFill="1"/>
    <xf numFmtId="166" fontId="2" fillId="6" borderId="0" xfId="0" applyNumberFormat="1" applyFont="1" applyFill="1" applyAlignment="1">
      <alignment vertical="center"/>
    </xf>
    <xf numFmtId="164" fontId="8" fillId="0" borderId="216" xfId="0" applyNumberFormat="1" applyFont="1" applyBorder="1"/>
    <xf numFmtId="170" fontId="0" fillId="0" borderId="1" xfId="0" applyNumberFormat="1" applyBorder="1"/>
    <xf numFmtId="0" fontId="83" fillId="0" borderId="0" xfId="1814" applyAlignment="1">
      <alignment horizontal="left" vertical="center"/>
    </xf>
    <xf numFmtId="2" fontId="23" fillId="0" borderId="0" xfId="0" applyNumberFormat="1" applyFont="1"/>
    <xf numFmtId="2" fontId="13" fillId="0" borderId="8" xfId="0" applyNumberFormat="1" applyFont="1" applyBorder="1" applyAlignment="1">
      <alignment horizontal="right"/>
    </xf>
    <xf numFmtId="0" fontId="0" fillId="8" borderId="449" xfId="0" applyFill="1" applyBorder="1"/>
    <xf numFmtId="0" fontId="0" fillId="8" borderId="458" xfId="0" applyFill="1" applyBorder="1"/>
    <xf numFmtId="2" fontId="13" fillId="0" borderId="0" xfId="0" applyNumberFormat="1" applyFont="1" applyAlignment="1">
      <alignment horizontal="right"/>
    </xf>
    <xf numFmtId="168" fontId="1" fillId="0" borderId="0" xfId="0" applyNumberFormat="1" applyFont="1"/>
    <xf numFmtId="164" fontId="8" fillId="0" borderId="563" xfId="0" applyNumberFormat="1" applyFont="1" applyBorder="1"/>
    <xf numFmtId="0" fontId="21" fillId="0" borderId="11" xfId="1" applyFont="1" applyBorder="1" applyAlignment="1">
      <alignment horizontal="left" vertical="center"/>
    </xf>
    <xf numFmtId="2" fontId="35" fillId="0" borderId="0" xfId="0" applyNumberFormat="1" applyFont="1" applyAlignment="1">
      <alignment horizontal="right"/>
    </xf>
    <xf numFmtId="0" fontId="0" fillId="8" borderId="564" xfId="0" applyFill="1" applyBorder="1"/>
    <xf numFmtId="170" fontId="8" fillId="0" borderId="0" xfId="0" applyNumberFormat="1" applyFont="1" applyAlignment="1">
      <alignment horizontal="right" vertical="center" wrapText="1"/>
    </xf>
    <xf numFmtId="0" fontId="89" fillId="0" borderId="0" xfId="0" applyFont="1"/>
    <xf numFmtId="0" fontId="8" fillId="0" borderId="11" xfId="1" applyFont="1" applyBorder="1" applyAlignment="1">
      <alignment horizontal="left" vertical="center"/>
    </xf>
    <xf numFmtId="2" fontId="8" fillId="4" borderId="6" xfId="0" applyNumberFormat="1" applyFont="1" applyFill="1" applyBorder="1"/>
    <xf numFmtId="164" fontId="8" fillId="4" borderId="7" xfId="0" applyNumberFormat="1" applyFont="1" applyFill="1" applyBorder="1"/>
    <xf numFmtId="2" fontId="0" fillId="4" borderId="0" xfId="0" applyNumberFormat="1" applyFill="1"/>
    <xf numFmtId="2" fontId="90" fillId="0" borderId="0" xfId="0" applyNumberFormat="1" applyFont="1"/>
    <xf numFmtId="0" fontId="1" fillId="0" borderId="0" xfId="0" applyFont="1" applyAlignment="1">
      <alignment horizontal="left"/>
    </xf>
    <xf numFmtId="0" fontId="91" fillId="0" borderId="0" xfId="0" applyFont="1"/>
    <xf numFmtId="0" fontId="92" fillId="0" borderId="0" xfId="0" applyFont="1"/>
    <xf numFmtId="1" fontId="8" fillId="0" borderId="8" xfId="0" applyNumberFormat="1" applyFont="1" applyBorder="1"/>
    <xf numFmtId="1" fontId="24" fillId="0" borderId="0" xfId="1" applyNumberFormat="1" applyFont="1" applyAlignment="1">
      <alignment horizontal="center" vertical="center"/>
    </xf>
    <xf numFmtId="1" fontId="24" fillId="0" borderId="8" xfId="1" applyNumberFormat="1" applyFont="1" applyBorder="1" applyAlignment="1">
      <alignment horizontal="center" vertical="center"/>
    </xf>
    <xf numFmtId="0" fontId="18" fillId="0" borderId="0" xfId="0" applyFont="1" applyAlignment="1">
      <alignment horizontal="center" vertical="center"/>
    </xf>
    <xf numFmtId="0" fontId="81" fillId="0" borderId="0" xfId="0" applyFont="1" applyAlignment="1">
      <alignment horizontal="left" vertical="center"/>
    </xf>
    <xf numFmtId="0" fontId="18" fillId="0" borderId="2" xfId="0" applyFont="1" applyBorder="1" applyAlignment="1">
      <alignment horizontal="left" vertical="center"/>
    </xf>
    <xf numFmtId="170" fontId="8" fillId="4" borderId="5" xfId="0" applyNumberFormat="1" applyFont="1" applyFill="1" applyBorder="1"/>
    <xf numFmtId="0" fontId="1" fillId="4" borderId="0" xfId="0" applyFont="1" applyFill="1"/>
    <xf numFmtId="49" fontId="2" fillId="62" borderId="0" xfId="0" applyNumberFormat="1" applyFont="1" applyFill="1"/>
    <xf numFmtId="0" fontId="8" fillId="62" borderId="0" xfId="0" applyFont="1" applyFill="1"/>
    <xf numFmtId="1" fontId="2" fillId="62" borderId="0" xfId="0" applyNumberFormat="1" applyFont="1" applyFill="1" applyAlignment="1">
      <alignment vertical="center"/>
    </xf>
    <xf numFmtId="1" fontId="2" fillId="62" borderId="0" xfId="0" applyNumberFormat="1" applyFont="1" applyFill="1" applyAlignment="1">
      <alignment horizontal="left" vertical="top"/>
    </xf>
    <xf numFmtId="2" fontId="0" fillId="62" borderId="0" xfId="0" applyNumberFormat="1" applyFill="1" applyAlignment="1">
      <alignment horizontal="left" vertical="center"/>
    </xf>
    <xf numFmtId="1" fontId="0" fillId="62" borderId="0" xfId="0" applyNumberFormat="1" applyFill="1" applyAlignment="1">
      <alignment horizontal="left" vertical="center"/>
    </xf>
    <xf numFmtId="2" fontId="2" fillId="62" borderId="0" xfId="0" applyNumberFormat="1" applyFont="1" applyFill="1" applyAlignment="1">
      <alignment horizontal="left" vertical="center"/>
    </xf>
    <xf numFmtId="11" fontId="2" fillId="62" borderId="0" xfId="0" applyNumberFormat="1" applyFont="1" applyFill="1" applyAlignment="1">
      <alignment horizontal="left" vertical="center"/>
    </xf>
    <xf numFmtId="1" fontId="2" fillId="62" borderId="0" xfId="0" applyNumberFormat="1" applyFont="1" applyFill="1" applyAlignment="1">
      <alignment horizontal="left" vertical="center"/>
    </xf>
    <xf numFmtId="11" fontId="0" fillId="62" borderId="0" xfId="0" applyNumberFormat="1" applyFill="1" applyAlignment="1">
      <alignment horizontal="left" vertical="center"/>
    </xf>
    <xf numFmtId="1" fontId="2" fillId="63" borderId="0" xfId="0" applyNumberFormat="1" applyFont="1" applyFill="1" applyAlignment="1">
      <alignment vertical="center"/>
    </xf>
    <xf numFmtId="1" fontId="2" fillId="63" borderId="0" xfId="0" applyNumberFormat="1" applyFont="1" applyFill="1" applyAlignment="1">
      <alignment horizontal="left" vertical="top"/>
    </xf>
    <xf numFmtId="2" fontId="0" fillId="63" borderId="0" xfId="0" applyNumberFormat="1" applyFill="1" applyAlignment="1">
      <alignment horizontal="left" vertical="center"/>
    </xf>
    <xf numFmtId="1" fontId="0" fillId="63" borderId="0" xfId="0" applyNumberFormat="1" applyFill="1" applyAlignment="1">
      <alignment horizontal="left" vertical="center"/>
    </xf>
    <xf numFmtId="2" fontId="2" fillId="63" borderId="0" xfId="0" applyNumberFormat="1" applyFont="1" applyFill="1" applyAlignment="1">
      <alignment horizontal="left" vertical="center"/>
    </xf>
    <xf numFmtId="11" fontId="2" fillId="63" borderId="0" xfId="0" applyNumberFormat="1" applyFont="1" applyFill="1" applyAlignment="1">
      <alignment horizontal="left" vertical="center"/>
    </xf>
    <xf numFmtId="1" fontId="2" fillId="63" borderId="0" xfId="0" applyNumberFormat="1" applyFont="1" applyFill="1" applyAlignment="1">
      <alignment horizontal="left" vertical="center"/>
    </xf>
    <xf numFmtId="11" fontId="0" fillId="63" borderId="0" xfId="0" applyNumberFormat="1" applyFill="1" applyAlignment="1">
      <alignment horizontal="left" vertical="center"/>
    </xf>
    <xf numFmtId="49" fontId="0" fillId="8" borderId="0" xfId="0" applyNumberFormat="1" applyFill="1" applyAlignment="1">
      <alignment horizontal="center" vertical="top" wrapText="1"/>
    </xf>
    <xf numFmtId="2" fontId="8" fillId="8" borderId="0" xfId="0" applyNumberFormat="1" applyFont="1" applyFill="1" applyAlignment="1">
      <alignment horizontal="left" vertical="top" wrapText="1"/>
    </xf>
    <xf numFmtId="168" fontId="0" fillId="8" borderId="0" xfId="0" applyNumberFormat="1" applyFill="1" applyAlignment="1">
      <alignment horizontal="left" vertical="top" wrapText="1"/>
    </xf>
    <xf numFmtId="3" fontId="13" fillId="0" borderId="0" xfId="0" applyNumberFormat="1" applyFont="1"/>
    <xf numFmtId="1" fontId="8" fillId="0" borderId="0" xfId="0" applyNumberFormat="1" applyFont="1" applyAlignment="1">
      <alignment horizontal="right" vertical="center" wrapText="1"/>
    </xf>
    <xf numFmtId="167" fontId="13" fillId="0" borderId="0" xfId="0" applyNumberFormat="1" applyFont="1"/>
    <xf numFmtId="0" fontId="85" fillId="0" borderId="0" xfId="0" applyFont="1"/>
    <xf numFmtId="164" fontId="0" fillId="0" borderId="0" xfId="0" applyNumberFormat="1" applyAlignment="1">
      <alignment horizontal="right"/>
    </xf>
    <xf numFmtId="164" fontId="0" fillId="0" borderId="0" xfId="0" applyNumberFormat="1" applyAlignment="1">
      <alignment horizontal="right" vertical="center"/>
    </xf>
    <xf numFmtId="164" fontId="0" fillId="0" borderId="0" xfId="0" applyNumberFormat="1" applyAlignment="1">
      <alignment horizontal="right" vertical="center" wrapText="1"/>
    </xf>
    <xf numFmtId="11" fontId="84" fillId="0" borderId="0" xfId="0" applyNumberFormat="1" applyFont="1" applyAlignment="1">
      <alignment horizontal="right"/>
    </xf>
    <xf numFmtId="1" fontId="90" fillId="0" borderId="0" xfId="0" applyNumberFormat="1" applyFont="1"/>
    <xf numFmtId="1" fontId="8" fillId="64" borderId="0" xfId="0" applyNumberFormat="1" applyFont="1" applyFill="1"/>
    <xf numFmtId="11" fontId="90" fillId="0" borderId="0" xfId="0" applyNumberFormat="1" applyFont="1" applyAlignment="1">
      <alignment vertical="top"/>
    </xf>
    <xf numFmtId="11" fontId="13" fillId="0" borderId="0" xfId="0" applyNumberFormat="1" applyFont="1" applyAlignment="1">
      <alignment horizontal="right"/>
    </xf>
    <xf numFmtId="169" fontId="0" fillId="0" borderId="0" xfId="0" applyNumberFormat="1"/>
    <xf numFmtId="169" fontId="8" fillId="0" borderId="0" xfId="0" applyNumberFormat="1" applyFont="1" applyAlignment="1">
      <alignment horizontal="right" vertical="center"/>
    </xf>
    <xf numFmtId="2" fontId="84" fillId="0" borderId="0" xfId="0" applyNumberFormat="1" applyFont="1"/>
    <xf numFmtId="0" fontId="14" fillId="0" borderId="565" xfId="0" applyFont="1" applyBorder="1"/>
    <xf numFmtId="0" fontId="0" fillId="0" borderId="566" xfId="0" applyBorder="1"/>
    <xf numFmtId="0" fontId="0" fillId="0" borderId="567" xfId="0" applyBorder="1"/>
    <xf numFmtId="0" fontId="18" fillId="0" borderId="2" xfId="0" applyFont="1" applyBorder="1"/>
    <xf numFmtId="164" fontId="84" fillId="0" borderId="0" xfId="0" applyNumberFormat="1" applyFont="1"/>
    <xf numFmtId="2" fontId="17" fillId="0" borderId="2" xfId="0" applyNumberFormat="1" applyFont="1" applyBorder="1"/>
    <xf numFmtId="0" fontId="17" fillId="0" borderId="2" xfId="0" applyFont="1" applyBorder="1"/>
    <xf numFmtId="2" fontId="2" fillId="8" borderId="0" xfId="0" applyNumberFormat="1" applyFont="1" applyFill="1"/>
    <xf numFmtId="0" fontId="0" fillId="2" borderId="0" xfId="0" applyFill="1" applyAlignment="1">
      <alignment wrapText="1"/>
    </xf>
    <xf numFmtId="0" fontId="0" fillId="0" borderId="568" xfId="0" applyBorder="1" applyAlignment="1">
      <alignment horizontal="left" vertical="top"/>
    </xf>
    <xf numFmtId="0" fontId="8" fillId="0" borderId="568" xfId="0" applyFont="1" applyBorder="1"/>
    <xf numFmtId="164" fontId="13" fillId="0" borderId="0" xfId="0" applyNumberFormat="1" applyFont="1" applyAlignment="1">
      <alignment horizontal="right"/>
    </xf>
    <xf numFmtId="164" fontId="13" fillId="0" borderId="0" xfId="0" applyNumberFormat="1" applyFont="1" applyAlignment="1">
      <alignment horizontal="right" vertical="center"/>
    </xf>
    <xf numFmtId="164" fontId="13" fillId="0" borderId="0" xfId="0" applyNumberFormat="1" applyFont="1" applyAlignment="1">
      <alignment horizontal="right" vertical="center" wrapText="1"/>
    </xf>
    <xf numFmtId="0" fontId="0" fillId="62" borderId="0" xfId="0" applyFill="1"/>
    <xf numFmtId="0" fontId="0" fillId="11" borderId="0" xfId="0" applyFill="1"/>
    <xf numFmtId="164" fontId="0" fillId="11" borderId="0" xfId="0" applyNumberFormat="1" applyFill="1"/>
    <xf numFmtId="2" fontId="1" fillId="0" borderId="0" xfId="0" applyNumberFormat="1" applyFont="1" applyAlignment="1">
      <alignment horizontal="right"/>
    </xf>
    <xf numFmtId="2" fontId="1" fillId="0" borderId="0" xfId="1" applyNumberFormat="1" applyFont="1" applyAlignment="1">
      <alignment horizontal="right" vertical="center"/>
    </xf>
    <xf numFmtId="2" fontId="1" fillId="0" borderId="8" xfId="1" applyNumberFormat="1" applyFont="1" applyBorder="1" applyAlignment="1">
      <alignment horizontal="right" vertical="center"/>
    </xf>
    <xf numFmtId="164" fontId="1" fillId="0" borderId="2" xfId="1" applyNumberFormat="1" applyFont="1" applyBorder="1" applyAlignment="1">
      <alignment horizontal="right" vertical="center"/>
    </xf>
    <xf numFmtId="2" fontId="1" fillId="0" borderId="2" xfId="0" applyNumberFormat="1" applyFont="1" applyBorder="1" applyAlignment="1">
      <alignment horizontal="right" vertical="center"/>
    </xf>
    <xf numFmtId="2" fontId="1" fillId="0" borderId="8" xfId="0" applyNumberFormat="1" applyFont="1" applyBorder="1" applyAlignment="1">
      <alignment horizontal="right" vertical="center"/>
    </xf>
    <xf numFmtId="2" fontId="1" fillId="0" borderId="8" xfId="0" applyNumberFormat="1" applyFont="1" applyBorder="1"/>
    <xf numFmtId="2" fontId="1" fillId="0" borderId="8" xfId="0" applyNumberFormat="1" applyFont="1" applyBorder="1" applyAlignment="1">
      <alignment horizontal="right"/>
    </xf>
    <xf numFmtId="165" fontId="1" fillId="0" borderId="2" xfId="1" applyNumberFormat="1" applyFont="1" applyBorder="1" applyAlignment="1">
      <alignment horizontal="right" vertical="center"/>
    </xf>
    <xf numFmtId="165" fontId="1" fillId="0" borderId="8" xfId="1" applyNumberFormat="1" applyFont="1" applyBorder="1" applyAlignment="1">
      <alignment horizontal="right" vertical="center"/>
    </xf>
    <xf numFmtId="175" fontId="1" fillId="0" borderId="0" xfId="0" applyNumberFormat="1" applyFont="1"/>
    <xf numFmtId="0" fontId="14" fillId="0" borderId="570" xfId="0" applyFont="1" applyBorder="1"/>
    <xf numFmtId="0" fontId="0" fillId="0" borderId="569" xfId="0" applyBorder="1"/>
    <xf numFmtId="0" fontId="0" fillId="0" borderId="571" xfId="0" applyBorder="1"/>
    <xf numFmtId="0" fontId="21" fillId="0" borderId="0" xfId="0" applyFont="1"/>
    <xf numFmtId="2" fontId="21" fillId="5" borderId="3" xfId="0" applyNumberFormat="1" applyFont="1" applyFill="1" applyBorder="1"/>
    <xf numFmtId="2" fontId="91" fillId="6" borderId="0" xfId="0" applyNumberFormat="1" applyFont="1" applyFill="1" applyAlignment="1">
      <alignment vertical="center"/>
    </xf>
    <xf numFmtId="2" fontId="17" fillId="5" borderId="0" xfId="0" applyNumberFormat="1" applyFont="1" applyFill="1"/>
    <xf numFmtId="2" fontId="17" fillId="5" borderId="3" xfId="0" applyNumberFormat="1" applyFont="1" applyFill="1" applyBorder="1"/>
    <xf numFmtId="2" fontId="0" fillId="8" borderId="0" xfId="0" applyNumberFormat="1" applyFill="1" applyAlignment="1">
      <alignment horizontal="center" vertical="center" wrapText="1"/>
    </xf>
    <xf numFmtId="2" fontId="0" fillId="65" borderId="0" xfId="0" applyNumberFormat="1" applyFill="1"/>
    <xf numFmtId="170" fontId="0" fillId="65" borderId="0" xfId="0" applyNumberFormat="1" applyFill="1"/>
    <xf numFmtId="11" fontId="0" fillId="65" borderId="0" xfId="0" applyNumberFormat="1" applyFill="1"/>
    <xf numFmtId="4" fontId="0" fillId="65" borderId="0" xfId="0" applyNumberFormat="1" applyFill="1"/>
    <xf numFmtId="170" fontId="8" fillId="65" borderId="0" xfId="0" applyNumberFormat="1" applyFont="1" applyFill="1"/>
    <xf numFmtId="168" fontId="8" fillId="65" borderId="0" xfId="0" applyNumberFormat="1" applyFont="1" applyFill="1"/>
    <xf numFmtId="164" fontId="8" fillId="65" borderId="0" xfId="0" applyNumberFormat="1" applyFont="1" applyFill="1"/>
    <xf numFmtId="0" fontId="4" fillId="11" borderId="0" xfId="0" applyFont="1" applyFill="1" applyAlignment="1">
      <alignment horizontal="left"/>
    </xf>
    <xf numFmtId="11" fontId="9" fillId="11" borderId="0" xfId="0" applyNumberFormat="1" applyFont="1" applyFill="1"/>
    <xf numFmtId="0" fontId="9" fillId="11" borderId="0" xfId="0" applyFont="1" applyFill="1"/>
    <xf numFmtId="166" fontId="9" fillId="11" borderId="0" xfId="0" applyNumberFormat="1" applyFont="1" applyFill="1"/>
    <xf numFmtId="164" fontId="0" fillId="11" borderId="1" xfId="0" applyNumberFormat="1" applyFill="1" applyBorder="1"/>
    <xf numFmtId="170" fontId="0" fillId="11" borderId="1" xfId="0" applyNumberFormat="1" applyFill="1" applyBorder="1"/>
    <xf numFmtId="11" fontId="0" fillId="11" borderId="0" xfId="0" applyNumberFormat="1" applyFill="1"/>
  </cellXfs>
  <cellStyles count="31427">
    <cellStyle name="???????????" xfId="39" xr:uid="{8E55C96E-B6C4-42C7-8A77-1D222F139B87}"/>
    <cellStyle name="20 % - Akzent1" xfId="50" hidden="1" xr:uid="{4CF27CCE-BDB1-477C-8444-DAF4AD78D0BB}"/>
    <cellStyle name="20 % - Akzent1" xfId="897" hidden="1" xr:uid="{742B2FB3-88C1-440E-ABD5-31D2E15EAE69}"/>
    <cellStyle name="20 % - Akzent1" xfId="971" hidden="1" xr:uid="{F6C29430-E793-433B-93A3-40C478BD78FF}"/>
    <cellStyle name="20 % - Akzent1" xfId="1391" hidden="1" xr:uid="{5DB6C647-25B7-45F3-AB4B-1D3708E37156}"/>
    <cellStyle name="20 % - Akzent1" xfId="1530" hidden="1" xr:uid="{3774188B-D62F-4FD9-A5D8-637A54084CBD}"/>
    <cellStyle name="20 % - Akzent1" xfId="1874" hidden="1" xr:uid="{81367C3D-234E-4B04-A0A1-F2099FC5BCD1}"/>
    <cellStyle name="20 % - Akzent1" xfId="2163" hidden="1" xr:uid="{E46668C1-F0F5-412C-A935-95F76AA1F10A}"/>
    <cellStyle name="20 % - Akzent1" xfId="1978" hidden="1" xr:uid="{2789AF9E-E4A4-49CE-948B-DFE8FD723D79}"/>
    <cellStyle name="20 % - Akzent1" xfId="2176" hidden="1" xr:uid="{E0D63762-08D4-4E1C-81B2-9FFCB93F01DD}"/>
    <cellStyle name="20 % - Akzent1" xfId="3093" hidden="1" xr:uid="{62D216E4-A557-48AD-A453-EC223B299695}"/>
    <cellStyle name="20 % - Akzent1" xfId="2126" hidden="1" xr:uid="{20A60424-6A70-4542-AD38-0F417B62CB69}"/>
    <cellStyle name="20 % - Akzent1" xfId="1925" hidden="1" xr:uid="{E1525C48-9F8C-488E-A05D-5F10E7C22672}"/>
    <cellStyle name="20 % - Akzent1" xfId="3408" hidden="1" xr:uid="{0A154AFE-DD21-4F47-A5C2-B92EA7EB3DD3}"/>
    <cellStyle name="20 % - Akzent1" xfId="3053" hidden="1" xr:uid="{D15594E5-71B7-4754-91A1-47DE062F54E8}"/>
    <cellStyle name="20 % - Akzent1" xfId="3680" hidden="1" xr:uid="{A113AB9C-867D-4091-B81B-7663EA513AEA}"/>
    <cellStyle name="20 % - Akzent1" xfId="3281" hidden="1" xr:uid="{3B27D3C3-3124-4446-8ECA-02E0C0E74D9C}"/>
    <cellStyle name="20 % - Akzent1" xfId="3823" hidden="1" xr:uid="{A0F5F1FD-9188-4AD8-9605-88D382928AA5}"/>
    <cellStyle name="20 % - Akzent1" xfId="4261" hidden="1" xr:uid="{BD0E42BE-AF47-4AC7-A3C1-BDE4117C0680}"/>
    <cellStyle name="20 % - Akzent1" xfId="4960" hidden="1" xr:uid="{57524E07-300A-4F20-8EF0-4FFCB581EB8E}"/>
    <cellStyle name="20 % - Akzent1" xfId="4955" hidden="1" xr:uid="{B7487F9C-3318-4189-A2C4-F8C7C30BF615}"/>
    <cellStyle name="20 % - Akzent1" xfId="5151" hidden="1" xr:uid="{866CB7DA-B0F1-42BE-9FCB-F95151BD6A44}"/>
    <cellStyle name="20 % - Akzent1" xfId="4770" hidden="1" xr:uid="{B7342BA6-5953-4143-A0A2-AE2277A8923B}"/>
    <cellStyle name="20 % - Akzent1" xfId="4451" hidden="1" xr:uid="{5617DD95-A4E0-4D1A-BA65-B61D8A89D058}"/>
    <cellStyle name="20 % - Akzent1" xfId="5097" hidden="1" xr:uid="{44EB42CF-6503-49B3-AA26-052EC5839483}"/>
    <cellStyle name="20 % - Akzent1" xfId="5098" hidden="1" xr:uid="{EB39DFE1-8D35-41FC-B58C-1BBB615B73E0}"/>
    <cellStyle name="20 % - Akzent1" xfId="3512" hidden="1" xr:uid="{D0BC5130-C255-4A41-BB3E-83B952557AFF}"/>
    <cellStyle name="20 % - Akzent1" xfId="3010" hidden="1" xr:uid="{5430284A-C1A5-4BE2-9737-574D819E5C8D}"/>
    <cellStyle name="20 % - Akzent1" xfId="5944" hidden="1" xr:uid="{C0403B0E-4C0B-4855-86A4-21B7782B4A76}"/>
    <cellStyle name="20 % - Akzent1" xfId="5014" hidden="1" xr:uid="{D3A7AA7C-2347-4652-86F2-82E971351A1D}"/>
    <cellStyle name="20 % - Akzent1" xfId="6544" hidden="1" xr:uid="{80406ADC-2C13-4D92-B4E1-FC9F4A126D64}"/>
    <cellStyle name="20 % - Akzent1" xfId="5986" hidden="1" xr:uid="{7B75C491-8BA5-4214-A7DD-9634DF13EE3E}"/>
    <cellStyle name="20 % - Akzent1" xfId="6479" hidden="1" xr:uid="{2DF0F4E6-5E3A-41F3-9FA2-3E8615DF59A1}"/>
    <cellStyle name="20 % - Akzent1" xfId="6595" hidden="1" xr:uid="{03C3DDFF-8B36-48F6-858D-84B9AC2CE15E}"/>
    <cellStyle name="20 % - Akzent1" xfId="6064" hidden="1" xr:uid="{012A4FF4-027E-4905-BCD5-3919A38AC480}"/>
    <cellStyle name="20 % - Akzent1" xfId="5829" hidden="1" xr:uid="{91BB4F5F-25A2-42E1-9180-AB480781F400}"/>
    <cellStyle name="20 % - Akzent1" xfId="3154" hidden="1" xr:uid="{A7A0B666-7462-4D0A-B644-4FEC81EFE244}"/>
    <cellStyle name="20 % - Akzent1" xfId="6105" hidden="1" xr:uid="{ADD4B12B-C9D0-411E-8F03-00B1C4419895}"/>
    <cellStyle name="20 % - Akzent1" xfId="6788" hidden="1" xr:uid="{35A405E3-DE8E-4A8D-B239-5E6D0A563EC1}"/>
    <cellStyle name="20 % - Akzent1" xfId="7069" hidden="1" xr:uid="{7048FF46-9641-44ED-88C5-BE157D52AC80}"/>
    <cellStyle name="20 % - Akzent1" xfId="6889" hidden="1" xr:uid="{1AAAE2C1-1A04-4910-927B-7F695EB58E90}"/>
    <cellStyle name="20 % - Akzent1" xfId="7150" hidden="1" xr:uid="{F94E136C-07B9-4EDD-BA7E-CBFBE74113F7}"/>
    <cellStyle name="20 % - Akzent1" xfId="7046" hidden="1" xr:uid="{7FB38AE0-C40E-40A4-8B9D-265A5FAF6B42}"/>
    <cellStyle name="20 % - Akzent1" xfId="7624" hidden="1" xr:uid="{4202CC69-AD01-4922-B95C-37C67D7C5E88}"/>
    <cellStyle name="20 % - Akzent1" xfId="7995" hidden="1" xr:uid="{33FD2A00-640B-4F15-943B-33A26A730D35}"/>
    <cellStyle name="20 % - Akzent1" xfId="8235" hidden="1" xr:uid="{B261EC75-9CB0-4DA8-A295-DEE3E09D2B51}"/>
    <cellStyle name="20 % - Akzent1" xfId="7896" hidden="1" xr:uid="{FA375DF9-5A5F-4DB3-A31D-823CF2A1A3FD}"/>
    <cellStyle name="20 % - Akzent1" xfId="8141" hidden="1" xr:uid="{32B7ED8D-BD49-4B47-AF21-1C9EA6DE03F3}"/>
    <cellStyle name="20 % - Akzent1" xfId="7390" hidden="1" xr:uid="{2CA79D46-C98A-4896-A71C-1827E13F5F16}"/>
    <cellStyle name="20 % - Akzent1" xfId="6745" hidden="1" xr:uid="{BE46B98F-55CE-4A64-8948-19EE5611623E}"/>
    <cellStyle name="20 % - Akzent1" xfId="8191" hidden="1" xr:uid="{730FDA01-345D-4560-B8D8-BF99D8D7CA86}"/>
    <cellStyle name="20 % - Akzent1" xfId="8100" hidden="1" xr:uid="{BC4F9349-021B-4F5C-AFF3-05F8881859EC}"/>
    <cellStyle name="20 % - Akzent1" xfId="7623" hidden="1" xr:uid="{1A17BC72-E09E-44A0-A4C5-47C94B9841FB}"/>
    <cellStyle name="20 % - Akzent1" xfId="7794" hidden="1" xr:uid="{A558B9AB-DDED-4CCA-9E73-81F88A094B5E}"/>
    <cellStyle name="20 % - Akzent1" xfId="8437" hidden="1" xr:uid="{DD0185EF-1F96-4882-9DC8-CB74B117A3BC}"/>
    <cellStyle name="20 % - Akzent1" xfId="8278" hidden="1" xr:uid="{54C39DCD-5D91-427A-AA8E-379A2DCDB345}"/>
    <cellStyle name="20 % - Akzent1" xfId="7948" hidden="1" xr:uid="{EB678377-9A22-47CC-821D-4B7CB7CCCB12}"/>
    <cellStyle name="20 % - Akzent1" xfId="8656" hidden="1" xr:uid="{84D21851-D65A-46D8-A7C8-E808C363C1C5}"/>
    <cellStyle name="20 % - Akzent1" xfId="7098" hidden="1" xr:uid="{AA0ABC9D-5E6B-439F-A66A-47B284B34FE0}"/>
    <cellStyle name="20 % - Akzent1" xfId="8088" hidden="1" xr:uid="{2FD62724-DCE0-43D0-950F-2F4C10F3BCC3}"/>
    <cellStyle name="20 % - Akzent1" xfId="8721" hidden="1" xr:uid="{C68ADB80-5187-40C0-A964-E20683175CA7}"/>
    <cellStyle name="20 % - Akzent1" xfId="9000" hidden="1" xr:uid="{E53252AA-55DD-4A20-8840-F3EDDEE36B83}"/>
    <cellStyle name="20 % - Akzent1" xfId="9282" hidden="1" xr:uid="{86E544E0-8B63-4B2A-AEDF-D1AE62D42CB3}"/>
    <cellStyle name="20 % - Akzent1" xfId="9103" hidden="1" xr:uid="{66F34DE4-C1FF-425A-9280-B09D5FEC776E}"/>
    <cellStyle name="20 % - Akzent1" xfId="9365" hidden="1" xr:uid="{CD02959C-01CE-4357-A6FE-CED61F317E6C}"/>
    <cellStyle name="20 % - Akzent1" xfId="9259" hidden="1" xr:uid="{0AA4DCB4-3F5B-43EE-8B61-FFAC3E52E2FD}"/>
    <cellStyle name="20 % - Akzent1" xfId="10505" hidden="1" xr:uid="{983437BD-2DC7-4FE4-9A77-043B32B2AC34}"/>
    <cellStyle name="20 % - Akzent1" xfId="9377" hidden="1" xr:uid="{761831AE-F897-4B58-A645-50DC6B33551B}"/>
    <cellStyle name="20 % - Akzent1" xfId="10073" hidden="1" xr:uid="{BF5F0A3B-1C69-4DE8-9D31-D7B868BD2A5B}"/>
    <cellStyle name="20 % - Akzent1" xfId="10325" hidden="1" xr:uid="{919D563E-32FA-4048-9E82-D92DE9E68765}"/>
    <cellStyle name="20 % - Akzent1" xfId="11065" hidden="1" xr:uid="{5B326178-8D46-49FD-AF34-361F2E60A94F}"/>
    <cellStyle name="20 % - Akzent1" xfId="10812" hidden="1" xr:uid="{9CDB06C7-9F3F-4367-86D0-2893B68D8EDE}"/>
    <cellStyle name="20 % - Akzent1" xfId="11058" hidden="1" xr:uid="{94E4CC56-9920-48C7-BC62-19A78D97B79A}"/>
    <cellStyle name="20 % - Akzent1" xfId="10319" hidden="1" xr:uid="{032810BB-F021-47B9-85A0-304F55619E69}"/>
    <cellStyle name="20 % - Akzent1" xfId="10566" hidden="1" xr:uid="{6FA4F72E-BF29-4746-A89F-085FCC002E59}"/>
    <cellStyle name="20 % - Akzent1" xfId="10450" hidden="1" xr:uid="{3E139D29-CFE4-46FF-8304-F68E66FC8912}"/>
    <cellStyle name="20 % - Akzent1" xfId="11406" hidden="1" xr:uid="{C3CDAFC2-F8F9-4893-A532-C59F8C87A486}"/>
    <cellStyle name="20 % - Akzent1" xfId="11696" hidden="1" xr:uid="{DE01DDD1-D09B-4DDA-B69D-822838EE59F0}"/>
    <cellStyle name="20 % - Akzent1" xfId="11798" hidden="1" xr:uid="{6BE3A272-5FD1-4EDF-9CA3-AA8354517F7B}"/>
    <cellStyle name="20 % - Akzent1" xfId="12765" hidden="1" xr:uid="{FECAF590-6E89-423A-8A9C-36906A2C6DC7}"/>
    <cellStyle name="20 % - Akzent1" xfId="12521" hidden="1" xr:uid="{9C224904-6D53-4590-A290-B03E6923E449}"/>
    <cellStyle name="20 % - Akzent1" xfId="11558" hidden="1" xr:uid="{4A843904-1434-45EA-8C15-D46921DAB4F0}"/>
    <cellStyle name="20 % - Akzent1" xfId="11354" hidden="1" xr:uid="{26AFBB35-4E61-4A6E-8E6B-F496CF9D64D7}"/>
    <cellStyle name="20 % - Akzent1" xfId="13925" hidden="1" xr:uid="{37606705-084E-420B-9643-35F35A0D0467}"/>
    <cellStyle name="20 % - Akzent1" xfId="14175" hidden="1" xr:uid="{A0895750-4A85-469D-972B-81BCC6A57A32}"/>
    <cellStyle name="20 % - Akzent1" xfId="14271" hidden="1" xr:uid="{7DAA5286-D5C8-44F8-B855-DB0719D1DD16}"/>
    <cellStyle name="20 % - Akzent1" xfId="14032" hidden="1" xr:uid="{061DAE2B-7A02-444F-B82A-790A0E1C8557}"/>
    <cellStyle name="20 % - Akzent1" xfId="14770" hidden="1" xr:uid="{00CD6EB9-D00F-4D6A-A1C4-AA580FDF1C34}"/>
    <cellStyle name="20 % - Akzent1" xfId="14831" hidden="1" xr:uid="{C1A7FD99-684C-430D-B4D9-99EC483BC645}"/>
    <cellStyle name="20 % - Akzent1" xfId="15129" hidden="1" xr:uid="{12232FBA-F79D-4C2D-8AD6-E68D29107E33}"/>
    <cellStyle name="20 % - Akzent1" xfId="13810" hidden="1" xr:uid="{3CB6CA4A-9FEF-4A63-8085-D9F8F0A74CAA}"/>
    <cellStyle name="20 % - Akzent1" xfId="14740" hidden="1" xr:uid="{4AE21637-4C15-4AD3-B4A8-DA6C3D4EC29A}"/>
    <cellStyle name="20 % - Akzent1" xfId="15048" hidden="1" xr:uid="{4B4F0581-E9E7-45EC-A5DB-72C27384F788}"/>
    <cellStyle name="20 % - Akzent1" xfId="15114" hidden="1" xr:uid="{15EF122C-1A47-4CCB-864B-C7B361E6D757}"/>
    <cellStyle name="20 % - Akzent1" xfId="14338" hidden="1" xr:uid="{6716AA84-34B0-4186-AE30-74DB0418BF02}"/>
    <cellStyle name="20 % - Akzent1" xfId="15420" hidden="1" xr:uid="{8C88CC9F-2C8F-4BEB-B122-892BDF216597}"/>
    <cellStyle name="20 % - Akzent1" xfId="15544" hidden="1" xr:uid="{1DCE00A7-B761-4E56-8B7D-FFD8A0A61F7D}"/>
    <cellStyle name="20 % - Akzent1" xfId="14757" hidden="1" xr:uid="{C283EAC4-B15B-486A-8644-74588A9D2F9D}"/>
    <cellStyle name="20 % - Akzent1" xfId="15921" hidden="1" xr:uid="{348C3954-4046-4A3B-AD42-F73D20033E13}"/>
    <cellStyle name="20 % - Akzent1" xfId="15737" hidden="1" xr:uid="{CF102E2C-730D-4A39-9CF9-7BE37068846E}"/>
    <cellStyle name="20 % - Akzent1" xfId="16032" hidden="1" xr:uid="{4C837CDB-73B6-4396-96FC-87F80E4EF5D0}"/>
    <cellStyle name="20 % - Akzent1" xfId="16097" hidden="1" xr:uid="{20EB7F56-2387-4D3B-A09B-F4D275A47BB5}"/>
    <cellStyle name="20 % - Akzent1" xfId="16391" hidden="1" xr:uid="{B21C92D7-592E-430C-921A-E758A8B328D5}"/>
    <cellStyle name="20 % - Akzent1" xfId="16205" hidden="1" xr:uid="{9701A089-638D-4CD1-AA2E-7DB0F4D0D207}"/>
    <cellStyle name="20 % - Akzent1" xfId="16471" hidden="1" xr:uid="{377180E7-3CBA-4846-A5D1-3F009E095050}"/>
    <cellStyle name="20 % - Akzent1" xfId="16368" hidden="1" xr:uid="{835146FC-210C-4097-AAA0-6721459244FD}"/>
    <cellStyle name="20 % - Akzent1" xfId="17654" hidden="1" xr:uid="{DFB9C302-700F-4632-B5A7-EE89E11BE43D}"/>
    <cellStyle name="20 % - Akzent1" xfId="16144" hidden="1" xr:uid="{ADF73FF1-D043-4887-ABE6-82ACA8C8DFC8}"/>
    <cellStyle name="20 % - Akzent1" xfId="17579" hidden="1" xr:uid="{27D4641F-6E46-4495-8C5E-D9CC0331A731}"/>
    <cellStyle name="20 % - Akzent1" xfId="17530" hidden="1" xr:uid="{D31EDBAF-E717-4281-A616-237FD3BE98B0}"/>
    <cellStyle name="20 % - Akzent1" xfId="17922" hidden="1" xr:uid="{BE2390E7-C1F2-48F4-94D1-E1504B51F32D}"/>
    <cellStyle name="20 % - Akzent1" xfId="17916" hidden="1" xr:uid="{6737D948-6FB9-47CD-A3A9-7C9ABB138AF3}"/>
    <cellStyle name="20 % - Akzent1" xfId="18369" hidden="1" xr:uid="{C44FBA2A-375C-4B2B-8298-C320190B9089}"/>
    <cellStyle name="20 % - Akzent1" xfId="17907" hidden="1" xr:uid="{BB3AC98F-4E51-417A-A8C1-5DEB190EA0A5}"/>
    <cellStyle name="20 % - Akzent1" xfId="17102" hidden="1" xr:uid="{86A35A44-CA31-4DF6-BC7C-A6363B9E9301}"/>
    <cellStyle name="20 % - Akzent1" xfId="18059" hidden="1" xr:uid="{8A0C5695-81AA-4148-B020-CDD14D65B7A2}"/>
    <cellStyle name="20 % - Akzent1" xfId="17892" hidden="1" xr:uid="{78FC365D-2BAF-496C-A5FF-3D510536EDBE}"/>
    <cellStyle name="20 % - Akzent1" xfId="18006" hidden="1" xr:uid="{FB6A405F-10F9-4A77-AAD0-396116EE2B88}"/>
    <cellStyle name="20 % - Akzent1" xfId="17830" hidden="1" xr:uid="{BE16FCA4-6C56-4E9A-AB99-C1FA6CDA6D14}"/>
    <cellStyle name="20 % - Akzent1" xfId="19430" hidden="1" xr:uid="{7A7C3148-C5CD-47FB-A287-4CDACE615474}"/>
    <cellStyle name="20 % - Akzent1" xfId="19725" hidden="1" xr:uid="{E7B72257-8690-49E2-8FB6-51FABFFFC212}"/>
    <cellStyle name="20 % - Akzent1" xfId="19538" hidden="1" xr:uid="{992F856F-BAAF-420E-89D4-87FF55C47445}"/>
    <cellStyle name="20 % - Akzent1" xfId="20742" hidden="1" xr:uid="{C609D457-FDDC-496D-855F-19E54EBF6B03}"/>
    <cellStyle name="20 % - Akzent1" xfId="20368" hidden="1" xr:uid="{B42364ED-404C-4258-95A1-9E7C3C3D6D53}"/>
    <cellStyle name="20 % - Akzent1" xfId="21014" hidden="1" xr:uid="{3489BE70-2481-491A-9D56-985421092BDF}"/>
    <cellStyle name="20 % - Akzent1" xfId="20440" hidden="1" xr:uid="{1FD61E86-4899-4F3E-9E1F-DFD9841FC2A1}"/>
    <cellStyle name="20 % - Akzent1" xfId="21253" hidden="1" xr:uid="{79B597AE-1793-4FEC-A33D-A6EB9AA9C663}"/>
    <cellStyle name="20 % - Akzent1" xfId="20561" hidden="1" xr:uid="{FF3FDCDD-D307-4DCE-8444-2CDC0AB06397}"/>
    <cellStyle name="20 % - Akzent1" xfId="20331" hidden="1" xr:uid="{A03C4A1F-1EBC-4640-9EC7-92196ABA3E00}"/>
    <cellStyle name="20 % - Akzent1" xfId="21186" hidden="1" xr:uid="{87652C3C-B04D-40DF-9489-54FA42919C4F}"/>
    <cellStyle name="20 % - Akzent1" xfId="21945" hidden="1" xr:uid="{1F8087F8-3E22-47BD-80DA-39E549E12A28}"/>
    <cellStyle name="20 % - Akzent1" xfId="21463" hidden="1" xr:uid="{3DDFB5B8-9098-4609-9AA5-7FBC6A24E514}"/>
    <cellStyle name="20 % - Akzent1" xfId="22237" hidden="1" xr:uid="{F168C02B-7BCE-421A-8B5C-2FE87FE4D542}"/>
    <cellStyle name="20 % - Akzent1" xfId="22359" hidden="1" xr:uid="{67199E39-DC54-4E63-B1B9-DD2D21788026}"/>
    <cellStyle name="20 % - Akzent1" xfId="22452" hidden="1" xr:uid="{D3E344E5-09C2-4A78-B448-7316A0D4BF24}"/>
    <cellStyle name="20 % - Akzent1" xfId="22612" hidden="1" xr:uid="{9952A307-4F8E-4115-AB99-1592143C58BB}"/>
    <cellStyle name="20 % - Akzent1" xfId="22168" hidden="1" xr:uid="{22F3BED8-481F-4CFE-8DA3-204E588AA755}"/>
    <cellStyle name="20 % - Akzent1" xfId="21799" hidden="1" xr:uid="{AF223D29-ADCE-43FF-B2B9-3C21D81B1687}"/>
    <cellStyle name="20 % - Akzent1" xfId="21731" hidden="1" xr:uid="{32895DAD-8B1C-4045-9B3D-D01C0FD13026}"/>
    <cellStyle name="20 % - Akzent1" xfId="22975" hidden="1" xr:uid="{FD11CCDA-F45B-43EC-B600-21011D847391}"/>
    <cellStyle name="20 % - Akzent1" xfId="23326" hidden="1" xr:uid="{30E1BD18-180F-475B-A8E6-C1E25DB25A69}"/>
    <cellStyle name="20 % - Akzent1" xfId="23448" hidden="1" xr:uid="{E1732422-43B5-4EBC-AFEE-CD664580F80E}"/>
    <cellStyle name="20 % - Akzent1" xfId="22810" hidden="1" xr:uid="{14F48D31-6114-40BE-A5EC-4FBD2BABB7F1}"/>
    <cellStyle name="20 % - Akzent1" xfId="23701" hidden="1" xr:uid="{BEB1F298-0D9A-4D3B-8F06-B0B937BB6914}"/>
    <cellStyle name="20 % - Akzent1" xfId="23384" hidden="1" xr:uid="{700BE844-3E7F-4392-A84A-A25956917EAC}"/>
    <cellStyle name="20 % - Akzent1" xfId="23580" hidden="1" xr:uid="{B6CDEABD-536C-4193-8E43-13FD56BE163B}"/>
    <cellStyle name="20 % - Akzent1" xfId="24153" hidden="1" xr:uid="{201E721B-F608-4FE5-A315-6A0E53FDFE91}"/>
    <cellStyle name="20 % - Akzent1" xfId="24414" hidden="1" xr:uid="{90CBB152-6977-4E28-A982-05122BD77599}"/>
    <cellStyle name="20 % - Akzent1" xfId="25301" hidden="1" xr:uid="{58D15408-52B2-4A39-AA86-D8C08C56BD37}"/>
    <cellStyle name="20 % - Akzent1" xfId="24113" hidden="1" xr:uid="{672AFE0D-066B-4EB9-977E-4EF03DFC21F0}"/>
    <cellStyle name="20 % - Akzent1" xfId="25390" hidden="1" xr:uid="{26585E32-1D86-48CD-A1A1-F665B1A6F461}"/>
    <cellStyle name="20 % - Akzent1" xfId="26152" hidden="1" xr:uid="{C0A7B4B9-AAE8-4E03-8443-4A771641DB33}"/>
    <cellStyle name="20 % - Akzent1" xfId="25084" hidden="1" xr:uid="{C8AE91B0-75DA-4AE0-861D-AB6B32B23DBA}"/>
    <cellStyle name="20 % - Akzent1" xfId="25189" hidden="1" xr:uid="{4D90FEE0-CB57-43AB-AF14-3BAD8EE348FD}"/>
    <cellStyle name="20 % - Akzent1" xfId="25366" hidden="1" xr:uid="{8AB71810-6150-4004-B5B6-F283DFED8BF7}"/>
    <cellStyle name="20 % - Akzent1" xfId="26370" hidden="1" xr:uid="{CFF9AC1D-DAA6-481A-A5A0-78CFAA739823}"/>
    <cellStyle name="20 % - Akzent1" xfId="26063" hidden="1" xr:uid="{D51E272E-3252-46AC-B821-BBF482BC80F3}"/>
    <cellStyle name="20 % - Akzent1" xfId="24127" hidden="1" xr:uid="{231DFE70-469C-49C4-8D72-BD5E7462324A}"/>
    <cellStyle name="20 % - Akzent1" xfId="26443" hidden="1" xr:uid="{FD76FC24-9D09-4E9B-9C1B-949EBCA18A12}"/>
    <cellStyle name="20 % - Akzent1" xfId="26406" hidden="1" xr:uid="{0E1CC277-CC9A-48EB-97FC-85EF0AB7F2EC}"/>
    <cellStyle name="20 % - Akzent1" xfId="25065" hidden="1" xr:uid="{EA36ECD7-7375-42CD-A9A5-4C17EBD01676}"/>
    <cellStyle name="20 % - Akzent1" xfId="24594" hidden="1" xr:uid="{6F6BB70A-8441-409E-905B-2790D0BFF20F}"/>
    <cellStyle name="20 % - Akzent1" xfId="27613" hidden="1" xr:uid="{519CE584-FB57-42D7-A935-6E308927F1F6}"/>
    <cellStyle name="20 % - Akzent1" xfId="27653" hidden="1" xr:uid="{6D76F650-F0CA-4559-9CE5-40D739DCD27B}"/>
    <cellStyle name="20 % - Akzent1" xfId="27609" hidden="1" xr:uid="{059DB773-82B8-4820-90F8-944CE11A1D39}"/>
    <cellStyle name="20 % - Akzent1" xfId="27854" hidden="1" xr:uid="{A525360F-D36E-45DB-AF0B-7A482B685A31}"/>
    <cellStyle name="20 % - Akzent1" xfId="27944" hidden="1" xr:uid="{0A497394-E9A8-4D0F-81CB-578C9AAEB9CF}"/>
    <cellStyle name="20 % - Akzent1" xfId="28206" hidden="1" xr:uid="{4B748670-99FB-41A2-9470-33EB94154194}"/>
    <cellStyle name="20 % - Akzent1" xfId="28296" hidden="1" xr:uid="{8794998E-31E0-4599-B777-2D108620D8B2}"/>
    <cellStyle name="20 % - Akzent1" xfId="28218" hidden="1" xr:uid="{0B404864-6899-4E41-ACE3-736E6C61BAF7}"/>
    <cellStyle name="20 % - Akzent1" xfId="29399" hidden="1" xr:uid="{895F248C-B80B-4029-8271-BCBDA724B198}"/>
    <cellStyle name="20 % - Akzent1" xfId="29508" hidden="1" xr:uid="{0631D364-5F91-4C5A-8E4E-5B4644510938}"/>
    <cellStyle name="20 % - Akzent1" xfId="29298" hidden="1" xr:uid="{11817FDA-8E4A-4D5D-BE28-16F3E0926E8B}"/>
    <cellStyle name="20 % - Akzent1" xfId="30426" hidden="1" xr:uid="{F35A4510-5D21-421C-B924-0D7E4FA79C1C}"/>
    <cellStyle name="20 % - Akzent1" xfId="30941" hidden="1" xr:uid="{6E6611BA-F217-4057-8B70-658B8BC7F1A5}"/>
    <cellStyle name="20 % - Akzent1" xfId="30967" hidden="1" xr:uid="{83752748-6731-481A-BD1D-0050705EA52B}"/>
    <cellStyle name="20 % - Akzent1 2" xfId="373" xr:uid="{F49C62F8-48F9-4014-B7E0-85FCD17B02E0}"/>
    <cellStyle name="20 % - Akzent1 3" xfId="242" xr:uid="{AF4F0FC3-D995-4C50-A4D6-5A767FDD2CD1}"/>
    <cellStyle name="20 % - Akzent2" xfId="53" hidden="1" xr:uid="{39DC5C72-D557-4819-B763-D00C7B53D0E9}"/>
    <cellStyle name="20 % - Akzent2" xfId="900" hidden="1" xr:uid="{85D3D6AF-4AC8-41A4-ABBA-C4277DB56FC7}"/>
    <cellStyle name="20 % - Akzent2" xfId="970" hidden="1" xr:uid="{5258DB7B-5FD3-4667-9C6C-76289DA0BAD0}"/>
    <cellStyle name="20 % - Akzent2" xfId="1394" hidden="1" xr:uid="{2C1AA855-D89B-4665-8062-EF2EFC1E2CC9}"/>
    <cellStyle name="20 % - Akzent2" xfId="1585" hidden="1" xr:uid="{31213AC6-C585-41AE-A20C-77A4B326340F}"/>
    <cellStyle name="20 % - Akzent2" xfId="1878" hidden="1" xr:uid="{791F9AE1-C8BB-4FDA-836B-C32C4006AAF2}"/>
    <cellStyle name="20 % - Akzent2" xfId="2137" hidden="1" xr:uid="{CDE5A949-A370-4B88-9D3F-9240C1AA743E}"/>
    <cellStyle name="20 % - Akzent2" xfId="2736" hidden="1" xr:uid="{126F4CC9-BCF9-4498-9862-768E37E3FD96}"/>
    <cellStyle name="20 % - Akzent2" xfId="3126" hidden="1" xr:uid="{55781CC2-5D24-4A31-AAE7-CA4AD116A176}"/>
    <cellStyle name="20 % - Akzent2" xfId="2973" hidden="1" xr:uid="{F53608FC-3BD7-426C-94ED-F3E507A7CF23}"/>
    <cellStyle name="20 % - Akzent2" xfId="2909" hidden="1" xr:uid="{D44E3821-B1C4-47BD-A17C-D6B7BC0E22CB}"/>
    <cellStyle name="20 % - Akzent2" xfId="2889" hidden="1" xr:uid="{25FC6897-30B8-4E56-8D5F-1EF47AB7BFD5}"/>
    <cellStyle name="20 % - Akzent2" xfId="3494" hidden="1" xr:uid="{0772F6AC-801A-4F7E-B352-BB71C382E066}"/>
    <cellStyle name="20 % - Akzent2" xfId="3265" hidden="1" xr:uid="{F49041D2-4BEF-4E31-9BE0-5C9906381E5F}"/>
    <cellStyle name="20 % - Akzent2" xfId="2728" hidden="1" xr:uid="{9ED3DD76-3623-497F-A800-C5BC30BD2084}"/>
    <cellStyle name="20 % - Akzent2" xfId="2262" hidden="1" xr:uid="{18774090-4198-4EA6-88C8-5843F08968F1}"/>
    <cellStyle name="20 % - Akzent2" xfId="3758" hidden="1" xr:uid="{820A4411-5588-40B4-B74C-1F6FE1BE4FC7}"/>
    <cellStyle name="20 % - Akzent2" xfId="3734" hidden="1" xr:uid="{ABC10DCA-47D2-426B-AA95-66010AA17214}"/>
    <cellStyle name="20 % - Akzent2" xfId="4868" hidden="1" xr:uid="{40B6B5D4-5652-4B03-BD6F-2146B61474B2}"/>
    <cellStyle name="20 % - Akzent2" xfId="4968" hidden="1" xr:uid="{95740E1F-53DD-44DA-919C-594C915C45CD}"/>
    <cellStyle name="20 % - Akzent2" xfId="5147" hidden="1" xr:uid="{A6501BC0-4355-4271-8859-E72C61C02D77}"/>
    <cellStyle name="20 % - Akzent2" xfId="5555" hidden="1" xr:uid="{790887DC-766B-49FB-B31B-7451AEE4A0A5}"/>
    <cellStyle name="20 % - Akzent2" xfId="5705" hidden="1" xr:uid="{95E28371-A122-433F-B18B-ADC98EA52E85}"/>
    <cellStyle name="20 % - Akzent2" xfId="5890" hidden="1" xr:uid="{A50557F7-714C-44C1-AA19-F211CBF8D506}"/>
    <cellStyle name="20 % - Akzent2" xfId="4973" hidden="1" xr:uid="{2155B726-7D87-4A6F-8163-91C6C32EC521}"/>
    <cellStyle name="20 % - Akzent2" xfId="5941" hidden="1" xr:uid="{1C7F6AF4-E80E-40D9-9AA9-D67381A0BCB2}"/>
    <cellStyle name="20 % - Akzent2" xfId="3814" hidden="1" xr:uid="{D10A1362-F14B-4991-B2C0-8E4DE9BD8F10}"/>
    <cellStyle name="20 % - Akzent2" xfId="6151" hidden="1" xr:uid="{6EB8C495-F1B4-45F4-80FE-555BC6E89CD9}"/>
    <cellStyle name="20 % - Akzent2" xfId="5697" hidden="1" xr:uid="{78C9EB1F-06D8-4F64-A165-15814384BF44}"/>
    <cellStyle name="20 % - Akzent2" xfId="6351" hidden="1" xr:uid="{74E619C2-71B8-448D-964A-58F93D0F8DC8}"/>
    <cellStyle name="20 % - Akzent2" xfId="5973" hidden="1" xr:uid="{A0FD10D6-4C8B-4A7E-A86E-9C48044DBD19}"/>
    <cellStyle name="20 % - Akzent2" xfId="5148" hidden="1" xr:uid="{28E358D2-ED2D-42F0-93C8-153CFABB494C}"/>
    <cellStyle name="20 % - Akzent2" xfId="6535" hidden="1" xr:uid="{D746F132-B481-4349-9C4B-7E2FB536AEF2}"/>
    <cellStyle name="20 % - Akzent2" xfId="6627" hidden="1" xr:uid="{CB7576BA-C582-48A7-96D9-6A2FF6A0BB5A}"/>
    <cellStyle name="20 % - Akzent2" xfId="6641" hidden="1" xr:uid="{3011D115-2BE0-4A65-ADFC-0B59801184EF}"/>
    <cellStyle name="20 % - Akzent2" xfId="6651" hidden="1" xr:uid="{8562170D-5E2A-4625-87BA-2A79261D0373}"/>
    <cellStyle name="20 % - Akzent2" xfId="6663" hidden="1" xr:uid="{A495E889-FCB4-4697-A985-87DDA71D215D}"/>
    <cellStyle name="20 % - Akzent2" xfId="6791" hidden="1" xr:uid="{F0B7ABE2-6F97-4189-AB63-66D4FB08FA16}"/>
    <cellStyle name="20 % - Akzent2" xfId="7067" hidden="1" xr:uid="{ABA48F6E-0860-4643-B02D-600A0D534E24}"/>
    <cellStyle name="20 % - Akzent2" xfId="7628" hidden="1" xr:uid="{7FDA4D0F-9D2A-47C6-9F7D-D735D34F5C59}"/>
    <cellStyle name="20 % - Akzent2" xfId="7658" hidden="1" xr:uid="{E1E728FC-1478-45FB-B958-D2D9AF87A450}"/>
    <cellStyle name="20 % - Akzent2" xfId="7949" hidden="1" xr:uid="{3155257B-BF3C-45CD-8DD4-8CF1D6737BE3}"/>
    <cellStyle name="20 % - Akzent2" xfId="8113" hidden="1" xr:uid="{F40EDA03-0F24-4D79-A1E8-79AD60E5D3E3}"/>
    <cellStyle name="20 % - Akzent2" xfId="8317" hidden="1" xr:uid="{1D8288E4-EBAA-4A58-A7B4-B47C48107736}"/>
    <cellStyle name="20 % - Akzent2" xfId="7812" hidden="1" xr:uid="{689870E1-6A68-4B2D-98FD-A99C751CC986}"/>
    <cellStyle name="20 % - Akzent2" xfId="7946" hidden="1" xr:uid="{5A28F5A2-4825-4C02-A4AA-B62D323CE6C3}"/>
    <cellStyle name="20 % - Akzent2" xfId="7835" hidden="1" xr:uid="{D3486CB5-1B63-4906-98D3-F8827E9B0348}"/>
    <cellStyle name="20 % - Akzent2" xfId="7859" hidden="1" xr:uid="{7556AEAD-C0F5-4A96-B2EB-2687597FD3E7}"/>
    <cellStyle name="20 % - Akzent2" xfId="8245" hidden="1" xr:uid="{5DFB29F8-70DE-4E9D-B69E-D48D5E923C85}"/>
    <cellStyle name="20 % - Akzent2" xfId="6822" hidden="1" xr:uid="{25E5DE9E-A3C4-4FF8-866C-DD718E13A754}"/>
    <cellStyle name="20 % - Akzent2" xfId="8121" hidden="1" xr:uid="{027CBEF7-C67A-4EA5-9F52-B8BF0989FB3E}"/>
    <cellStyle name="20 % - Akzent2" xfId="7931" hidden="1" xr:uid="{AE1DFA02-647A-4E42-AB37-C68991523A3C}"/>
    <cellStyle name="20 % - Akzent2" xfId="8391" hidden="1" xr:uid="{1F02873E-F462-40C7-84A3-621910754DDF}"/>
    <cellStyle name="20 % - Akzent2" xfId="8325" hidden="1" xr:uid="{28D64119-C911-419E-A9A1-FE73B43F0B67}"/>
    <cellStyle name="20 % - Akzent2" xfId="8481" hidden="1" xr:uid="{660FF25C-FA50-474E-BD5F-FF1F29B1A431}"/>
    <cellStyle name="20 % - Akzent2" xfId="7754" hidden="1" xr:uid="{A8E2F95F-7486-487D-8092-6F49BDD2E14E}"/>
    <cellStyle name="20 % - Akzent2" xfId="6787" hidden="1" xr:uid="{9D167158-0A5D-4ACE-ACF6-E18D7D541198}"/>
    <cellStyle name="20 % - Akzent2" xfId="7769" hidden="1" xr:uid="{978F4A0F-260F-4FFF-8B0B-4A16EC402199}"/>
    <cellStyle name="20 % - Akzent2" xfId="8403" hidden="1" xr:uid="{32C684A0-51F9-4259-A188-7A641F02E344}"/>
    <cellStyle name="20 % - Akzent2" xfId="8571" hidden="1" xr:uid="{AA9ED39E-A530-419F-B854-2FE8B5D46892}"/>
    <cellStyle name="20 % - Akzent2" xfId="9004" hidden="1" xr:uid="{5807A150-77D5-4FD0-A2A2-9037386408C3}"/>
    <cellStyle name="20 % - Akzent2" xfId="9280" hidden="1" xr:uid="{6807931A-6650-4788-9E8A-D28E299DFE23}"/>
    <cellStyle name="20 % - Akzent2" xfId="9838" hidden="1" xr:uid="{BED9F3E4-ABD2-450D-AB68-F6490BEA5698}"/>
    <cellStyle name="20 % - Akzent2" xfId="9869" hidden="1" xr:uid="{E5ADAD55-DF55-468C-8C02-CE96784BFF46}"/>
    <cellStyle name="20 % - Akzent2" xfId="9886" hidden="1" xr:uid="{F4C1F956-DAEB-4877-A991-C970619ACC59}"/>
    <cellStyle name="20 % - Akzent2" xfId="9256" hidden="1" xr:uid="{368FC2A7-9E24-409D-9536-FE4F357C3D5C}"/>
    <cellStyle name="20 % - Akzent2" xfId="10882" hidden="1" xr:uid="{5DD8555D-6CF0-403D-A250-2E217CDA4C1B}"/>
    <cellStyle name="20 % - Akzent2" xfId="10892" hidden="1" xr:uid="{82232495-8BB2-4EB9-A22E-F00BE528F611}"/>
    <cellStyle name="20 % - Akzent2" xfId="10089" hidden="1" xr:uid="{E3A574FE-95AF-47B0-A32B-A3149F4429CB}"/>
    <cellStyle name="20 % - Akzent2" xfId="11170" hidden="1" xr:uid="{4B9AD731-0DC9-41EA-9110-6F057577A7E2}"/>
    <cellStyle name="20 % - Akzent2" xfId="10780" hidden="1" xr:uid="{314F13A5-1726-4087-97CF-6931A827D61E}"/>
    <cellStyle name="20 % - Akzent2" xfId="11055" hidden="1" xr:uid="{C9B4D95E-AE7A-4916-976D-09DB9723B59A}"/>
    <cellStyle name="20 % - Akzent2" xfId="10398" hidden="1" xr:uid="{0D064C35-7B32-4431-8165-56A370864E6A}"/>
    <cellStyle name="20 % - Akzent2" xfId="11212" hidden="1" xr:uid="{DE94DFA7-AF6C-493D-9D86-CD03803F31C5}"/>
    <cellStyle name="20 % - Akzent2" xfId="9258" hidden="1" xr:uid="{EE3BABAF-2149-47DE-B76B-F55865FDECC5}"/>
    <cellStyle name="20 % - Akzent2" xfId="11410" hidden="1" xr:uid="{0E367D8F-372B-4C50-9C2E-78858EAFCA99}"/>
    <cellStyle name="20 % - Akzent2" xfId="11694" hidden="1" xr:uid="{3F552579-0CB4-40A0-B5A5-F453FECF78FF}"/>
    <cellStyle name="20 % - Akzent2" xfId="12255" hidden="1" xr:uid="{AFDECB40-B477-433B-B0CB-B49FAA097657}"/>
    <cellStyle name="20 % - Akzent2" xfId="11495" hidden="1" xr:uid="{3D017B2B-55C1-4542-8033-E6279CD180C7}"/>
    <cellStyle name="20 % - Akzent2" xfId="12267" hidden="1" xr:uid="{7B2F5AB0-5854-4F9C-A4B0-562115D91C8C}"/>
    <cellStyle name="20 % - Akzent2" xfId="11724" hidden="1" xr:uid="{8D9806CB-4614-44D6-8EF9-0A0D4EDD7DCF}"/>
    <cellStyle name="20 % - Akzent2" xfId="13957" hidden="1" xr:uid="{6E73FB6A-0557-467B-9B85-58683E16B792}"/>
    <cellStyle name="20 % - Akzent2" xfId="13807" hidden="1" xr:uid="{30A6D6EF-9F6B-4B8E-8FEA-BFADA9EB60AA}"/>
    <cellStyle name="20 % - Akzent2" xfId="14436" hidden="1" xr:uid="{6463CBB8-D386-4EA1-B26A-28FD70457595}"/>
    <cellStyle name="20 % - Akzent2" xfId="14170" hidden="1" xr:uid="{3CA643D6-837D-4883-BA69-2D1F56BCB12D}"/>
    <cellStyle name="20 % - Akzent2" xfId="14162" hidden="1" xr:uid="{BDCF76F2-0918-4C45-8E15-1DE798E08C2A}"/>
    <cellStyle name="20 % - Akzent2" xfId="14214" hidden="1" xr:uid="{2C39E633-A1DC-465D-9BF1-38B46F5F788F}"/>
    <cellStyle name="20 % - Akzent2" xfId="14672" hidden="1" xr:uid="{B2FA0079-386F-48B0-A809-870BCB298982}"/>
    <cellStyle name="20 % - Akzent2" xfId="14971" hidden="1" xr:uid="{BE034AE8-57C7-4AFD-95FF-1E07FB3C8712}"/>
    <cellStyle name="20 % - Akzent2" xfId="14186" hidden="1" xr:uid="{DFF22D0C-F637-4DFF-8116-D6AAEE74FBFA}"/>
    <cellStyle name="20 % - Akzent2" xfId="14517" hidden="1" xr:uid="{0EF5CE03-1D4D-4994-94DC-105C6B955A82}"/>
    <cellStyle name="20 % - Akzent2" xfId="12332" hidden="1" xr:uid="{B43611E1-85A7-426C-ACEC-7FCB780B385F}"/>
    <cellStyle name="20 % - Akzent2" xfId="14941" hidden="1" xr:uid="{2BA247E2-1767-48C3-952B-F5385AAE2FAC}"/>
    <cellStyle name="20 % - Akzent2" xfId="15529" hidden="1" xr:uid="{114FD9D5-3D94-474C-899E-07132230C14E}"/>
    <cellStyle name="20 % - Akzent2" xfId="14827" hidden="1" xr:uid="{BA97046B-422E-42CA-B3A0-A69A4DD77E0E}"/>
    <cellStyle name="20 % - Akzent2" xfId="15127" hidden="1" xr:uid="{F5DC9E84-011F-4304-AB54-413545F29DB7}"/>
    <cellStyle name="20 % - Akzent2" xfId="14917" hidden="1" xr:uid="{9001D5F4-DCDA-4CDD-8761-A349A4A6D979}"/>
    <cellStyle name="20 % - Akzent2" xfId="15754" hidden="1" xr:uid="{96EEB4EF-3BF8-40A7-90D6-70E41B330E6A}"/>
    <cellStyle name="20 % - Akzent2" xfId="15828" hidden="1" xr:uid="{D91037B2-CA36-4E9D-A66D-B9EB2E61F5E4}"/>
    <cellStyle name="20 % - Akzent2" xfId="15691" hidden="1" xr:uid="{4DEDF318-F1A2-431B-AC82-B2B98A67359B}"/>
    <cellStyle name="20 % - Akzent2" xfId="16101" hidden="1" xr:uid="{F5EC6C5A-2CEF-4370-87D6-FF8DCEC6F3DC}"/>
    <cellStyle name="20 % - Akzent2" xfId="16389" hidden="1" xr:uid="{51267E0A-F635-4731-B43E-E42242BF972A}"/>
    <cellStyle name="20 % - Akzent2" xfId="16953" hidden="1" xr:uid="{CED624B7-7345-4568-96D5-81F2EA84BFD0}"/>
    <cellStyle name="20 % - Akzent2" xfId="16984" hidden="1" xr:uid="{0325B303-C21C-401F-9E7E-5B91C7F8A7B3}"/>
    <cellStyle name="20 % - Akzent2" xfId="17283" hidden="1" xr:uid="{B31D94ED-A35D-4A34-8F1B-EB3D4DA3DB06}"/>
    <cellStyle name="20 % - Akzent2" xfId="16366" hidden="1" xr:uid="{B5DE9E45-EDF4-4719-AFFA-38419F670AB7}"/>
    <cellStyle name="20 % - Akzent2" xfId="16555" hidden="1" xr:uid="{980AB5A5-AE75-4103-B6AC-69103AA8AC58}"/>
    <cellStyle name="20 % - Akzent2" xfId="18194" hidden="1" xr:uid="{CBDF61C2-79A2-405F-B549-F50BE9BB0780}"/>
    <cellStyle name="20 % - Akzent2" xfId="17921" hidden="1" xr:uid="{60534E41-9767-4D22-A3FA-A7064E2D680C}"/>
    <cellStyle name="20 % - Akzent2" xfId="18070" hidden="1" xr:uid="{45060E2B-B752-4D8D-BB9C-6444D21FAD4A}"/>
    <cellStyle name="20 % - Akzent2" xfId="18046" hidden="1" xr:uid="{36D9BF91-7987-46F0-8CA0-740283C8D32D}"/>
    <cellStyle name="20 % - Akzent2" xfId="17941" hidden="1" xr:uid="{407A3CB8-F7F6-4376-BF28-6256E220A83E}"/>
    <cellStyle name="20 % - Akzent2" xfId="18292" hidden="1" xr:uid="{D7FE24F1-0241-4942-9024-CAFA4B7BA310}"/>
    <cellStyle name="20 % - Akzent2" xfId="19042" hidden="1" xr:uid="{849A54A1-8240-42CE-9A74-F84DCD041B87}"/>
    <cellStyle name="20 % - Akzent2" xfId="18817" hidden="1" xr:uid="{DEF3AEB4-BFAB-4D07-B11F-395EED3592DE}"/>
    <cellStyle name="20 % - Akzent2" xfId="18988" hidden="1" xr:uid="{4F2380F8-09A8-4BFF-9204-1B997FB8C965}"/>
    <cellStyle name="20 % - Akzent2" xfId="19145" hidden="1" xr:uid="{E17F03BD-5FDD-411F-81E9-4B77C094EF96}"/>
    <cellStyle name="20 % - Akzent2" xfId="19267" hidden="1" xr:uid="{EA049BB3-AC76-484A-AC5A-6B9E0BDE739A}"/>
    <cellStyle name="20 % - Akzent2" xfId="19434" hidden="1" xr:uid="{47F5852D-793B-4610-99AB-1344E05C906C}"/>
    <cellStyle name="20 % - Akzent2" xfId="19723" hidden="1" xr:uid="{AE29E81C-B251-4871-B89E-DCFD9C74E4CD}"/>
    <cellStyle name="20 % - Akzent2" xfId="20298" hidden="1" xr:uid="{A2BC7265-0D2E-4A4B-9CC5-BE3A85195BCE}"/>
    <cellStyle name="20 % - Akzent2" xfId="19664" hidden="1" xr:uid="{D87F74A8-EAD5-4AB2-84D3-F85DF112424A}"/>
    <cellStyle name="20 % - Akzent2" xfId="20327" hidden="1" xr:uid="{ACE24574-AA1F-4CAD-AD74-32871FBA013F}"/>
    <cellStyle name="20 % - Akzent2" xfId="19704" hidden="1" xr:uid="{B5040986-7896-41A8-BBEC-9BE7E9ED5D90}"/>
    <cellStyle name="20 % - Akzent2" xfId="21276" hidden="1" xr:uid="{D45C2796-BD85-4A20-A338-D795C25530F0}"/>
    <cellStyle name="20 % - Akzent2" xfId="21291" hidden="1" xr:uid="{2A385ED9-3FF7-44BD-B61A-E84DA9444036}"/>
    <cellStyle name="20 % - Akzent2" xfId="20585" hidden="1" xr:uid="{FE88A26D-28F8-48A0-87FD-CDAF589C43AE}"/>
    <cellStyle name="20 % - Akzent2" xfId="21002" hidden="1" xr:uid="{4C588DF7-4689-4590-A06F-9D73079D91F0}"/>
    <cellStyle name="20 % - Akzent2" xfId="21226" hidden="1" xr:uid="{EBA8D740-8066-467A-93D3-ACEF951CC1D2}"/>
    <cellStyle name="20 % - Akzent2" xfId="21572" hidden="1" xr:uid="{5F55EA4C-DD00-4663-8C9A-2917886FDA2B}"/>
    <cellStyle name="20 % - Akzent2" xfId="21555" hidden="1" xr:uid="{621F8715-7BAE-4A25-BB1F-7BCCBE511AE1}"/>
    <cellStyle name="20 % - Akzent2" xfId="22394" hidden="1" xr:uid="{4C44E7E6-986A-422F-AD2B-07A7E8044C90}"/>
    <cellStyle name="20 % - Akzent2" xfId="20335" hidden="1" xr:uid="{897AB9E8-EFC0-4A98-8DDB-8300BDED6040}"/>
    <cellStyle name="20 % - Akzent2" xfId="22931" hidden="1" xr:uid="{894E77FA-0ED4-470A-AE89-0FE664CBECD6}"/>
    <cellStyle name="20 % - Akzent2" xfId="21507" hidden="1" xr:uid="{602FE1BF-C34E-4D2C-A0A1-3F3B28A597EE}"/>
    <cellStyle name="20 % - Akzent2" xfId="22928" hidden="1" xr:uid="{FBF72E36-1C9A-44BF-8122-10BEB2367704}"/>
    <cellStyle name="20 % - Akzent2" xfId="23319" hidden="1" xr:uid="{B60A9554-5360-4576-AB83-3797EF029DE9}"/>
    <cellStyle name="20 % - Akzent2" xfId="23090" hidden="1" xr:uid="{1B300368-9C37-44AC-9C7D-EB52F2C04D33}"/>
    <cellStyle name="20 % - Akzent2" xfId="23338" hidden="1" xr:uid="{DD3FD981-6E2A-4E6E-A796-C97BB0CB02AD}"/>
    <cellStyle name="20 % - Akzent2" xfId="23457" hidden="1" xr:uid="{59025ADB-3991-4B49-B9C1-CFECE4594C8F}"/>
    <cellStyle name="20 % - Akzent2" xfId="23465" hidden="1" xr:uid="{9F0C082E-8999-4BC3-B40C-0F36F4F2F6EC}"/>
    <cellStyle name="20 % - Akzent2" xfId="23563" hidden="1" xr:uid="{B460557C-AD64-4BE1-854F-D9F0B2DD191D}"/>
    <cellStyle name="20 % - Akzent2" xfId="23046" hidden="1" xr:uid="{4C5FB436-8285-41DB-A10E-2E2DDE3DB250}"/>
    <cellStyle name="20 % - Akzent2" xfId="23546" hidden="1" xr:uid="{78279D09-6521-4BBD-AD1E-B0E109E45E1A}"/>
    <cellStyle name="20 % - Akzent2" xfId="24094" hidden="1" xr:uid="{BAD62BA4-0D3F-4E93-8D36-01439F2010BB}"/>
    <cellStyle name="20 % - Akzent2" xfId="24156" hidden="1" xr:uid="{6269D520-859B-4EF0-98E7-1F1AF81CA80A}"/>
    <cellStyle name="20 % - Akzent2" xfId="24520" hidden="1" xr:uid="{9B90C609-8B76-4685-AD96-321212B826A3}"/>
    <cellStyle name="20 % - Akzent2" xfId="24496" hidden="1" xr:uid="{82BA50DB-855B-412F-8CD6-97C259C0898B}"/>
    <cellStyle name="20 % - Akzent2" xfId="25123" hidden="1" xr:uid="{AB66ED7E-B096-4842-859D-04A4BAB1FCC6}"/>
    <cellStyle name="20 % - Akzent2" xfId="25289" hidden="1" xr:uid="{42ADFCD6-5B9C-4D90-8841-A1421DE31354}"/>
    <cellStyle name="20 % - Akzent2" xfId="25335" hidden="1" xr:uid="{A866E46F-CC8B-4BAA-99D7-D41F10594823}"/>
    <cellStyle name="20 % - Akzent2" xfId="25198" hidden="1" xr:uid="{40BE7735-EFBB-4536-874E-33EBB3474F64}"/>
    <cellStyle name="20 % - Akzent2" xfId="26101" hidden="1" xr:uid="{278E42DE-BF5A-44BB-973C-A7ED665FBEEA}"/>
    <cellStyle name="20 % - Akzent2" xfId="26271" hidden="1" xr:uid="{409CE69B-5009-46CD-A1D8-E99DC6EF52B7}"/>
    <cellStyle name="20 % - Akzent2" xfId="26576" hidden="1" xr:uid="{219219A8-7B88-495A-BAAA-181CAEA29960}"/>
    <cellStyle name="20 % - Akzent2" xfId="26410" hidden="1" xr:uid="{4E067660-E911-4BF8-9116-075CED14FB08}"/>
    <cellStyle name="20 % - Akzent2" xfId="25961" hidden="1" xr:uid="{B9888E27-D245-49D7-89F0-DB5C51A51BC4}"/>
    <cellStyle name="20 % - Akzent2" xfId="24510" hidden="1" xr:uid="{FE0291FF-AE18-4F74-A7FF-C9F859618581}"/>
    <cellStyle name="20 % - Akzent2" xfId="26155" hidden="1" xr:uid="{4BC39424-20B5-459F-9C43-16B3A2020F89}"/>
    <cellStyle name="20 % - Akzent2" xfId="25971" hidden="1" xr:uid="{6D96CC59-DC8A-42D5-9AC3-F3E8B0DFB9B1}"/>
    <cellStyle name="20 % - Akzent2" xfId="26070" hidden="1" xr:uid="{248A42A3-CECC-463A-80E4-5583F85A40E1}"/>
    <cellStyle name="20 % - Akzent2" xfId="26991" hidden="1" xr:uid="{A09C3C64-D49D-4B86-B0CC-A31DD80BC9ED}"/>
    <cellStyle name="20 % - Akzent2" xfId="27885" hidden="1" xr:uid="{FA755AA3-9854-466B-835A-E39B1B875FE7}"/>
    <cellStyle name="20 % - Akzent2" xfId="27853" hidden="1" xr:uid="{96D2F2DE-EE2A-49C1-AA37-D56244DA5249}"/>
    <cellStyle name="20 % - Akzent2" xfId="27870" hidden="1" xr:uid="{D86BAD0F-5364-480D-A8B2-F2823C360BC2}"/>
    <cellStyle name="20 % - Akzent2" xfId="27948" hidden="1" xr:uid="{62BEA7A0-8283-48AE-B5C0-64A2B7F71917}"/>
    <cellStyle name="20 % - Akzent2" xfId="28205" hidden="1" xr:uid="{9D2FE586-2F7F-4762-9C85-BC83AF93843E}"/>
    <cellStyle name="20 % - Akzent2" xfId="28742" hidden="1" xr:uid="{A1B931B4-44A0-478F-B47C-EC3E0672C9D2}"/>
    <cellStyle name="20 % - Akzent2" xfId="28275" hidden="1" xr:uid="{97C4B306-C848-429C-A4F7-52CE43F2664A}"/>
    <cellStyle name="20 % - Akzent2" xfId="28776" hidden="1" xr:uid="{24282F0B-A7E5-4733-B5EA-57A8495D3C5B}"/>
    <cellStyle name="20 % - Akzent2" xfId="29202" hidden="1" xr:uid="{A144977B-B9EA-40E6-A84F-3E6423931950}"/>
    <cellStyle name="20 % - Akzent2" xfId="30012" hidden="1" xr:uid="{FC1448E1-6F2B-4788-A1EC-F126EC9313D6}"/>
    <cellStyle name="20 % - Akzent2" xfId="29443" hidden="1" xr:uid="{E9A041DA-7CB6-41DC-966E-C354283F5B26}"/>
    <cellStyle name="20 % - Akzent2" xfId="28327" hidden="1" xr:uid="{D77075B2-DA03-4B3F-B2FA-5DC44E8951C4}"/>
    <cellStyle name="20 % - Akzent2" xfId="30861" hidden="1" xr:uid="{DD49515C-89DF-4090-9617-2AE18499BCC8}"/>
    <cellStyle name="20 % - Akzent2 2" xfId="374" xr:uid="{D0A7CE44-B584-433D-9B5F-14CAB15EB167}"/>
    <cellStyle name="20 % - Akzent2 3" xfId="243" xr:uid="{72BCC5F1-7136-42FE-B124-F0ACE54CD89C}"/>
    <cellStyle name="20 % - Akzent3" xfId="56" hidden="1" xr:uid="{C27A76FA-7E9C-4E10-A5AF-08C219EFA868}"/>
    <cellStyle name="20 % - Akzent3" xfId="903" hidden="1" xr:uid="{D551EB9B-1586-4B61-BA40-1EC9D8A92158}"/>
    <cellStyle name="20 % - Akzent3" xfId="965" hidden="1" xr:uid="{D508CE07-7ACF-4FC3-89D4-6AC0B205677C}"/>
    <cellStyle name="20 % - Akzent3" xfId="1397" hidden="1" xr:uid="{24C08171-01EB-44D5-BF70-8B5C082C8FCB}"/>
    <cellStyle name="20 % - Akzent3" xfId="1650" hidden="1" xr:uid="{7FC266BF-9BDF-4ECC-B8D5-3BA78D5BE69F}"/>
    <cellStyle name="20 % - Akzent3" xfId="1882" hidden="1" xr:uid="{3191DF58-BCA7-44A4-B7E4-1E0E82E803FA}"/>
    <cellStyle name="20 % - Akzent3" xfId="2249" hidden="1" xr:uid="{A0AB7DD6-93C0-4673-92CA-E5FEBB7E9F6D}"/>
    <cellStyle name="20 % - Akzent3" xfId="3030" hidden="1" xr:uid="{1C595C3E-2056-47D5-AC67-044A62D3752C}"/>
    <cellStyle name="20 % - Akzent3" xfId="2079" hidden="1" xr:uid="{25A1AB21-BA1A-4A38-829F-F402BDE6D47A}"/>
    <cellStyle name="20 % - Akzent3" xfId="2879" hidden="1" xr:uid="{47FB3436-2A87-45F4-8EA7-08E151B4209A}"/>
    <cellStyle name="20 % - Akzent3" xfId="3510" hidden="1" xr:uid="{0CFF15E4-91FE-4672-A835-545BAF17C923}"/>
    <cellStyle name="20 % - Akzent3" xfId="3098" hidden="1" xr:uid="{94F58D08-2943-4987-B9A5-99D32CFF2EC0}"/>
    <cellStyle name="20 % - Akzent3" xfId="3032" hidden="1" xr:uid="{5D728896-5FD0-4453-8956-E88C1BBCB103}"/>
    <cellStyle name="20 % - Akzent3" xfId="3189" hidden="1" xr:uid="{9DA7A86D-D226-48A9-88AE-7A57FCF28DD4}"/>
    <cellStyle name="20 % - Akzent3" xfId="2324" hidden="1" xr:uid="{FD9C9834-479C-4D91-B5BB-EDAF1575055E}"/>
    <cellStyle name="20 % - Akzent3" xfId="3605" hidden="1" xr:uid="{B60CD363-C92E-48D5-8C15-2234B267FC4F}"/>
    <cellStyle name="20 % - Akzent3" xfId="3822" hidden="1" xr:uid="{EB1CEA86-2FC2-4696-A774-A68E8EB6A6FB}"/>
    <cellStyle name="20 % - Akzent3" xfId="4260" hidden="1" xr:uid="{11025AEF-16B1-4247-85F0-1CB613BD3ABF}"/>
    <cellStyle name="20 % - Akzent3" xfId="4771" hidden="1" xr:uid="{3223C37F-8E21-4C13-A8F0-9B52CE4AC8DC}"/>
    <cellStyle name="20 % - Akzent3" xfId="2158" hidden="1" xr:uid="{5B6651AF-4E0C-4816-AE93-FA95BCDD2043}"/>
    <cellStyle name="20 % - Akzent3" xfId="5149" hidden="1" xr:uid="{2CE5060C-4496-4EE5-8C9D-EAD721B962B4}"/>
    <cellStyle name="20 % - Akzent3" xfId="5726" hidden="1" xr:uid="{F3566920-BA32-462C-9064-5A522FAEB847}"/>
    <cellStyle name="20 % - Akzent3" xfId="5792" hidden="1" xr:uid="{46B19848-2EE6-4A27-997E-92450DB6DCAE}"/>
    <cellStyle name="20 % - Akzent3" xfId="5785" hidden="1" xr:uid="{C1648C99-F24E-43F6-A6F2-9FBD6F2BC796}"/>
    <cellStyle name="20 % - Akzent3" xfId="5912" hidden="1" xr:uid="{B00CAB26-38D4-4350-98C9-CDE539E856E7}"/>
    <cellStyle name="20 % - Akzent3" xfId="5707" hidden="1" xr:uid="{4E958BCB-ABB5-4789-B740-9A7F063C105A}"/>
    <cellStyle name="20 % - Akzent3" xfId="6173" hidden="1" xr:uid="{DE14FAC5-BD97-4ABD-8361-8D69B19E93F6}"/>
    <cellStyle name="20 % - Akzent3" xfId="6228" hidden="1" xr:uid="{2E880998-BCEE-424E-B8A7-6D8241A9623F}"/>
    <cellStyle name="20 % - Akzent3" xfId="6230" hidden="1" xr:uid="{46C63954-8B37-4FCD-BA06-E518C010C7D9}"/>
    <cellStyle name="20 % - Akzent3" xfId="6078" hidden="1" xr:uid="{D26A772D-2074-4CCB-8064-E7F7BC9E10AE}"/>
    <cellStyle name="20 % - Akzent3" xfId="6439" hidden="1" xr:uid="{D083372A-7257-4F69-9BDE-CF5AB686C53E}"/>
    <cellStyle name="20 % - Akzent3" xfId="6574" hidden="1" xr:uid="{54928460-BD0E-4312-955D-42FEFDF8C269}"/>
    <cellStyle name="20 % - Akzent3" xfId="5845" hidden="1" xr:uid="{2FB157CF-1151-4A35-8DC6-936F462483B5}"/>
    <cellStyle name="20 % - Akzent3" xfId="6336" hidden="1" xr:uid="{3305272E-F00E-4CC7-BB34-8321910D8179}"/>
    <cellStyle name="20 % - Akzent3" xfId="5721" hidden="1" xr:uid="{08A67AEC-1CE9-443F-BE93-9AA85175C3EA}"/>
    <cellStyle name="20 % - Akzent3" xfId="6415" hidden="1" xr:uid="{07185490-E8DA-487E-BAC6-B0F1FC80B42C}"/>
    <cellStyle name="20 % - Akzent3" xfId="6271" hidden="1" xr:uid="{A8F4657F-C26B-42A7-8FC7-2D788F5AEB63}"/>
    <cellStyle name="20 % - Akzent3" xfId="6794" hidden="1" xr:uid="{CC2F00C4-C1AC-40C6-AB40-249AD7A6D76E}"/>
    <cellStyle name="20 % - Akzent3" xfId="7041" hidden="1" xr:uid="{D4C0C9A5-390E-4F22-B119-4BAFB59A1BE0}"/>
    <cellStyle name="20 % - Akzent3" xfId="7909" hidden="1" xr:uid="{D915458A-D7D3-4EAA-93B7-11D7A99E162A}"/>
    <cellStyle name="20 % - Akzent3" xfId="6894" hidden="1" xr:uid="{CD40AB63-84E1-49CD-BEFD-73AC750DE3BE}"/>
    <cellStyle name="20 % - Akzent3" xfId="8294" hidden="1" xr:uid="{3E97578E-F596-41B3-9BE3-755AC28F5815}"/>
    <cellStyle name="20 % - Akzent3" xfId="8140" hidden="1" xr:uid="{24E42DCE-72AE-409A-A857-F74085974688}"/>
    <cellStyle name="20 % - Akzent3" xfId="7997" hidden="1" xr:uid="{A6FECD2A-3EDD-4DA1-B88E-3EC251B0992A}"/>
    <cellStyle name="20 % - Akzent3" xfId="7739" hidden="1" xr:uid="{71308886-C7A4-4B95-9599-9CE0303DC68A}"/>
    <cellStyle name="20 % - Akzent3" xfId="8366" hidden="1" xr:uid="{2B699F7D-DD0B-429C-8178-4AA14001CD56}"/>
    <cellStyle name="20 % - Akzent3" xfId="6849" hidden="1" xr:uid="{14198D70-8A5B-4047-8CBC-1E2DA42CF410}"/>
    <cellStyle name="20 % - Akzent3" xfId="7799" hidden="1" xr:uid="{47E4B1D8-1641-4B4B-98DC-E066AD210A10}"/>
    <cellStyle name="20 % - Akzent3" xfId="7746" hidden="1" xr:uid="{FBDC64CF-4DBB-44FC-A3B4-0DFF955A54C4}"/>
    <cellStyle name="20 % - Akzent3" xfId="7866" hidden="1" xr:uid="{F17D6F26-8B8B-4EA7-8735-F0E1BCA0C5A9}"/>
    <cellStyle name="20 % - Akzent3" xfId="7775" hidden="1" xr:uid="{F8E006F0-3450-4005-8E6F-F52EBD01832E}"/>
    <cellStyle name="20 % - Akzent3" xfId="8385" hidden="1" xr:uid="{F9BCC647-62E2-4401-8AEB-FD53B625C61E}"/>
    <cellStyle name="20 % - Akzent3" xfId="7705" hidden="1" xr:uid="{F876AAA7-4D93-4C57-95C7-E394A01A0D25}"/>
    <cellStyle name="20 % - Akzent3" xfId="8307" hidden="1" xr:uid="{C43137A7-3F88-44D9-90CE-FB267B4AB8D0}"/>
    <cellStyle name="20 % - Akzent3" xfId="7804" hidden="1" xr:uid="{F6631F1A-D72A-4360-9A13-A065C1B38338}"/>
    <cellStyle name="20 % - Akzent3" xfId="8482" hidden="1" xr:uid="{702B2575-1A30-49A2-9AD9-A609D77A4844}"/>
    <cellStyle name="20 % - Akzent3" xfId="8822" hidden="1" xr:uid="{0358C937-14CB-4804-8E2C-6979F0BFA25C}"/>
    <cellStyle name="20 % - Akzent3" xfId="8093" hidden="1" xr:uid="{652F935C-1B6F-46D9-9B9C-852E996E7412}"/>
    <cellStyle name="20 % - Akzent3" xfId="8813" hidden="1" xr:uid="{D71E2800-384C-4026-A8C3-03C7BD6D7EB1}"/>
    <cellStyle name="20 % - Akzent3" xfId="8920" hidden="1" xr:uid="{6E31ABE0-78BF-4B01-8DE5-EF4BD1A8DB82}"/>
    <cellStyle name="20 % - Akzent3" xfId="9008" hidden="1" xr:uid="{E6CA80DE-ED4A-4843-9833-AF4C9A6B79DF}"/>
    <cellStyle name="20 % - Akzent3" xfId="9254" hidden="1" xr:uid="{C78C7BA9-5311-4E0C-85C9-00A2F82386DC}"/>
    <cellStyle name="20 % - Akzent3" xfId="10122" hidden="1" xr:uid="{62F68414-C756-49A8-80D3-C9E37448B6C7}"/>
    <cellStyle name="20 % - Akzent3" xfId="9108" hidden="1" xr:uid="{3576EC2E-92CC-4456-8F9A-3CBE9F6EAC10}"/>
    <cellStyle name="20 % - Akzent3" xfId="10533" hidden="1" xr:uid="{CE32D03D-3487-4CFC-839D-B8B21767CB69}"/>
    <cellStyle name="20 % - Akzent3" xfId="10309" hidden="1" xr:uid="{B6356EA4-9720-4ED8-A670-2357A0644C3E}"/>
    <cellStyle name="20 % - Akzent3" xfId="10588" hidden="1" xr:uid="{DC9A9695-7431-4E82-A20A-1AF21C7A030E}"/>
    <cellStyle name="20 % - Akzent3" xfId="10596" hidden="1" xr:uid="{E82876E7-D848-4520-B516-7105BCCBA254}"/>
    <cellStyle name="20 % - Akzent3" xfId="10829" hidden="1" xr:uid="{4415E735-3B9C-405B-8556-22A93FFBF680}"/>
    <cellStyle name="20 % - Akzent3" xfId="10763" hidden="1" xr:uid="{1AE6902E-DAC5-4A7C-896C-841DF5473D40}"/>
    <cellStyle name="20 % - Akzent3" xfId="11253" hidden="1" xr:uid="{62BD662E-D3F0-487E-B5A1-B22A091B2880}"/>
    <cellStyle name="20 % - Akzent3" xfId="10968" hidden="1" xr:uid="{867A87AE-884C-4A43-87F3-CE3743B12F3E}"/>
    <cellStyle name="20 % - Akzent3" xfId="10460" hidden="1" xr:uid="{A5B93A8B-FE26-4E49-813A-F3A06FD86C9F}"/>
    <cellStyle name="20 % - Akzent3" xfId="11219" hidden="1" xr:uid="{8FDD18E0-3744-45F6-AC05-232A2232653E}"/>
    <cellStyle name="20 % - Akzent3" xfId="11082" hidden="1" xr:uid="{B05E8D31-667A-4AC7-BE51-D4D271193446}"/>
    <cellStyle name="20 % - Akzent3" xfId="11414" hidden="1" xr:uid="{E471E529-80C5-4C49-88E7-D99B898E4AE6}"/>
    <cellStyle name="20 % - Akzent3" xfId="11668" hidden="1" xr:uid="{B9E2EADA-5688-4D35-B46A-25E73C868ED7}"/>
    <cellStyle name="20 % - Akzent3" xfId="12314" hidden="1" xr:uid="{B23BAEE5-691C-4FD2-BD1C-C27B5E644924}"/>
    <cellStyle name="20 % - Akzent3" xfId="12764" hidden="1" xr:uid="{AF693BBC-D5C8-4F88-8272-B400CBBACD00}"/>
    <cellStyle name="20 % - Akzent3" xfId="11706" hidden="1" xr:uid="{BB98B0DE-3E8F-4CC0-B3F9-53478F8B4F49}"/>
    <cellStyle name="20 % - Akzent3" xfId="13864" hidden="1" xr:uid="{5031E16E-FA5A-49C9-8228-C4AE380B61A5}"/>
    <cellStyle name="20 % - Akzent3" xfId="11578" hidden="1" xr:uid="{B5630324-6FB7-466F-B468-743DD4900DA4}"/>
    <cellStyle name="20 % - Akzent3" xfId="13714" hidden="1" xr:uid="{4DB32AD9-BB1D-4466-8C31-17175B90D4A3}"/>
    <cellStyle name="20 % - Akzent3" xfId="12316" hidden="1" xr:uid="{A10D76EC-3500-49B1-9AC1-D293893B2627}"/>
    <cellStyle name="20 % - Akzent3" xfId="14183" hidden="1" xr:uid="{DCC94BC8-489F-46ED-B9B8-A692F1239127}"/>
    <cellStyle name="20 % - Akzent3" xfId="14686" hidden="1" xr:uid="{E8EBDDBF-0082-4473-A0DC-33DAD5E8E957}"/>
    <cellStyle name="20 % - Akzent3" xfId="14467" hidden="1" xr:uid="{0F59F184-3B1A-44EF-96CC-5FB2ACE35CC8}"/>
    <cellStyle name="20 % - Akzent3" xfId="15103" hidden="1" xr:uid="{6F6A6CBA-C362-45FD-82B8-B86EC2D7C7B3}"/>
    <cellStyle name="20 % - Akzent3" xfId="12720" hidden="1" xr:uid="{1154E79D-A68B-4AFC-8FA2-693EB4D7D24E}"/>
    <cellStyle name="20 % - Akzent3" xfId="14464" hidden="1" xr:uid="{4605678D-FD56-4B30-92FD-95D42422E1EB}"/>
    <cellStyle name="20 % - Akzent3" xfId="14549" hidden="1" xr:uid="{27CED997-F786-4E19-935E-68C338293CE8}"/>
    <cellStyle name="20 % - Akzent3" xfId="14085" hidden="1" xr:uid="{18ED8121-3547-46BE-A094-3068B2047D15}"/>
    <cellStyle name="20 % - Akzent3" xfId="15549" hidden="1" xr:uid="{76431944-FC4A-4498-80BE-38D0C36DA3C6}"/>
    <cellStyle name="20 % - Akzent3" xfId="15599" hidden="1" xr:uid="{7A461819-CDCD-4909-A41E-A9B6966EF64C}"/>
    <cellStyle name="20 % - Akzent3" xfId="15387" hidden="1" xr:uid="{887C61BB-FAF1-49F0-88F6-26B4D188B72C}"/>
    <cellStyle name="20 % - Akzent3" xfId="15173" hidden="1" xr:uid="{B482B833-479C-415B-B48C-32969693C084}"/>
    <cellStyle name="20 % - Akzent3" xfId="14546" hidden="1" xr:uid="{DB1E4E62-4B45-4A41-B960-7BE30D6E46F6}"/>
    <cellStyle name="20 % - Akzent3" xfId="15131" hidden="1" xr:uid="{7FA55A3B-9C94-445F-8274-E086E5073C4A}"/>
    <cellStyle name="20 % - Akzent3" xfId="15916" hidden="1" xr:uid="{8BA78021-4641-413E-BF9E-DDAC9D3CFB0B}"/>
    <cellStyle name="20 % - Akzent3" xfId="15893" hidden="1" xr:uid="{4DBED2FA-3CAC-4349-9424-0A0A12A5A6EE}"/>
    <cellStyle name="20 % - Akzent3" xfId="16105" hidden="1" xr:uid="{D2791AD6-14F5-413B-9457-A5FC7A0D0F96}"/>
    <cellStyle name="20 % - Akzent3" xfId="16364" hidden="1" xr:uid="{7255356B-3ECE-491B-89AC-8E59BF02553B}"/>
    <cellStyle name="20 % - Akzent3" xfId="17241" hidden="1" xr:uid="{45761BBB-05DA-4C41-B66D-3933EF270521}"/>
    <cellStyle name="20 % - Akzent3" xfId="16210" hidden="1" xr:uid="{BD062F7E-E499-437C-9988-351F9A0BBFF4}"/>
    <cellStyle name="20 % - Akzent3" xfId="17685" hidden="1" xr:uid="{3B787D25-70B4-4E9C-9746-0C237C9122AB}"/>
    <cellStyle name="20 % - Akzent3" xfId="17434" hidden="1" xr:uid="{9627D391-29EC-4343-B616-C75F951BC679}"/>
    <cellStyle name="20 % - Akzent3" xfId="18103" hidden="1" xr:uid="{C9C87587-0320-4F7B-8C32-F34DD8B46581}"/>
    <cellStyle name="20 % - Akzent3" xfId="17510" hidden="1" xr:uid="{42A19A4B-9B9B-4FDD-B78F-1F46B07C1332}"/>
    <cellStyle name="20 % - Akzent3" xfId="18000" hidden="1" xr:uid="{200B9C92-EE00-4D13-B4FF-A53B502C9958}"/>
    <cellStyle name="20 % - Akzent3" xfId="18188" hidden="1" xr:uid="{9C114B35-DB06-479B-989B-29B92C9B227B}"/>
    <cellStyle name="20 % - Akzent3" xfId="18310" hidden="1" xr:uid="{4FA97A66-BCCF-49C7-BAD1-D5A3A41D5F1A}"/>
    <cellStyle name="20 % - Akzent3" xfId="18368" hidden="1" xr:uid="{277BFF72-6C0C-4650-98D4-D60C3C8B2628}"/>
    <cellStyle name="20 % - Akzent3" xfId="18959" hidden="1" xr:uid="{507800CF-F146-48AC-BE59-6E0B31825F47}"/>
    <cellStyle name="20 % - Akzent3" xfId="17440" hidden="1" xr:uid="{3DCE4EB2-C41B-44E2-BA14-7361D4C2EE0D}"/>
    <cellStyle name="20 % - Akzent3" xfId="18879" hidden="1" xr:uid="{60CB7DCA-8D2A-4B70-B263-18A9E44F2C6E}"/>
    <cellStyle name="20 % - Akzent3" xfId="18337" hidden="1" xr:uid="{96798F2F-58FA-4646-BF4B-8B61E1499F51}"/>
    <cellStyle name="20 % - Akzent3" xfId="19275" hidden="1" xr:uid="{3752BC4D-E83F-4B5A-80BE-3D303586C93A}"/>
    <cellStyle name="20 % - Akzent3" xfId="18937" hidden="1" xr:uid="{C32973B1-2B6F-475D-AAF3-454A02FBAE46}"/>
    <cellStyle name="20 % - Akzent3" xfId="19438" hidden="1" xr:uid="{0CA1131D-238B-416B-871F-B1BC7DBCCCE3}"/>
    <cellStyle name="20 % - Akzent3" xfId="19697" hidden="1" xr:uid="{E5304F5C-3925-42BC-AEEC-A0969805BF8A}"/>
    <cellStyle name="20 % - Akzent3" xfId="20591" hidden="1" xr:uid="{5570FC1A-A8EF-4475-A48A-B6AD293608EE}"/>
    <cellStyle name="20 % - Akzent3" xfId="20278" hidden="1" xr:uid="{39B2974A-FAF7-4D86-811B-8B55F03CA843}"/>
    <cellStyle name="20 % - Akzent3" xfId="21046" hidden="1" xr:uid="{24EF10F6-16C7-41FC-A486-CD7E11D7448A}"/>
    <cellStyle name="20 % - Akzent3" xfId="20788" hidden="1" xr:uid="{9F0E90A4-CF9A-448B-B79D-D0124CDD6061}"/>
    <cellStyle name="20 % - Akzent3" xfId="21478" hidden="1" xr:uid="{DCE7D05D-98A9-4EE3-A1F8-04E2C8624B33}"/>
    <cellStyle name="20 % - Akzent3" xfId="20829" hidden="1" xr:uid="{9E7F7849-1E59-4328-9B5D-417C0002E6E6}"/>
    <cellStyle name="20 % - Akzent3" xfId="20802" hidden="1" xr:uid="{A198298A-33EA-4136-A11A-6EE90DE42B54}"/>
    <cellStyle name="20 % - Akzent3" xfId="21632" hidden="1" xr:uid="{8F567E97-609A-41C6-A5E9-0A71F377093E}"/>
    <cellStyle name="20 % - Akzent3" xfId="21977" hidden="1" xr:uid="{5B0DD305-9D41-48A6-8877-F55921680563}"/>
    <cellStyle name="20 % - Akzent3" xfId="21719" hidden="1" xr:uid="{EC4295F4-4B2F-4230-9EA8-14086844268C}"/>
    <cellStyle name="20 % - Akzent3" xfId="22408" hidden="1" xr:uid="{8D33056F-865E-41D8-A878-5D1BC0C9B4BA}"/>
    <cellStyle name="20 % - Akzent3" xfId="21728" hidden="1" xr:uid="{11E537DA-C307-4B85-B383-3F37E7C4E4B8}"/>
    <cellStyle name="20 % - Akzent3" xfId="22847" hidden="1" xr:uid="{FD049818-2E9A-4E67-9BF4-F70E934BAFD2}"/>
    <cellStyle name="20 % - Akzent3" xfId="21737" hidden="1" xr:uid="{73272210-A0E2-4572-B61A-83066ECDE957}"/>
    <cellStyle name="20 % - Akzent3" xfId="23004" hidden="1" xr:uid="{B6D4CBA3-DB3B-437D-8A85-DB1296B5D173}"/>
    <cellStyle name="20 % - Akzent3" xfId="23247" hidden="1" xr:uid="{D5FBD916-7CF9-4138-8CA4-2FAA451E72B3}"/>
    <cellStyle name="20 % - Akzent3" xfId="22758" hidden="1" xr:uid="{F7C421C9-AB8D-4829-B079-712A1705D993}"/>
    <cellStyle name="20 % - Akzent3" xfId="23155" hidden="1" xr:uid="{792DEC7C-CAF3-4025-BE0F-E010D8152A51}"/>
    <cellStyle name="20 % - Akzent3" xfId="23085" hidden="1" xr:uid="{9627FC83-F69D-4E5C-B6AE-2B589856B531}"/>
    <cellStyle name="20 % - Akzent3" xfId="23565" hidden="1" xr:uid="{4487837E-6458-4A77-B9AC-B7A0F4A15CE2}"/>
    <cellStyle name="20 % - Akzent3" xfId="22766" hidden="1" xr:uid="{E34E505B-E025-46F6-A9A0-5E12F828EA91}"/>
    <cellStyle name="20 % - Akzent3" xfId="23656" hidden="1" xr:uid="{816529D7-D0C0-4F51-B152-6E4C8DF75393}"/>
    <cellStyle name="20 % - Akzent3" xfId="23700" hidden="1" xr:uid="{49F3D721-B7B9-4504-AF52-D69114515E52}"/>
    <cellStyle name="20 % - Akzent3" xfId="24088" hidden="1" xr:uid="{F9B0A20C-A189-4B55-9153-FA4649E51950}"/>
    <cellStyle name="20 % - Akzent3" xfId="23532" hidden="1" xr:uid="{3D2014DA-CF47-462F-8B3D-F82C605F41B6}"/>
    <cellStyle name="20 % - Akzent3" xfId="24160" hidden="1" xr:uid="{43603302-25F6-49FD-AA5F-EFE101B11372}"/>
    <cellStyle name="20 % - Akzent3" xfId="24585" hidden="1" xr:uid="{16755DC6-79AD-4E2F-83C1-77DF4A8AF313}"/>
    <cellStyle name="20 % - Akzent3" xfId="25012" hidden="1" xr:uid="{CC704760-A102-4FFA-8D6F-EA7A32465F76}"/>
    <cellStyle name="20 % - Akzent3" xfId="25287" hidden="1" xr:uid="{27C8F083-4922-4771-BFEE-54BFCA1C3117}"/>
    <cellStyle name="20 % - Akzent3" xfId="25124" hidden="1" xr:uid="{DD27ADBE-50AC-434C-87C7-0F4AFFBC85C1}"/>
    <cellStyle name="20 % - Akzent3" xfId="25429" hidden="1" xr:uid="{1A7984D5-2A48-4BB2-8440-619D94BF2CE0}"/>
    <cellStyle name="20 % - Akzent3" xfId="25979" hidden="1" xr:uid="{6D4B9356-5018-4A09-A91E-BB64718F54F3}"/>
    <cellStyle name="20 % - Akzent3" xfId="24194" hidden="1" xr:uid="{A2EEEDC5-72A0-4C94-8470-B558833D616C}"/>
    <cellStyle name="20 % - Akzent3" xfId="26491" hidden="1" xr:uid="{92773734-63CF-4E24-A534-8A2406A4AC74}"/>
    <cellStyle name="20 % - Akzent3" xfId="24580" hidden="1" xr:uid="{A31CBE39-5FD5-44CD-8C88-A7D6CADD5D19}"/>
    <cellStyle name="20 % - Akzent3" xfId="26260" hidden="1" xr:uid="{C51DFCBC-3C80-49E1-9CD3-83BA1863B016}"/>
    <cellStyle name="20 % - Akzent3" xfId="26597" hidden="1" xr:uid="{F2D860A9-CB71-41CC-9657-E9250AD3973C}"/>
    <cellStyle name="20 % - Akzent3" xfId="26077" hidden="1" xr:uid="{C0569D54-21CD-4204-A0D4-1DB40E18A15B}"/>
    <cellStyle name="20 % - Akzent3" xfId="24498" hidden="1" xr:uid="{9C723BDF-EF4D-47AB-8DC6-3B53461F575B}"/>
    <cellStyle name="20 % - Akzent3" xfId="27739" hidden="1" xr:uid="{33DB4221-F9BE-4B5F-894B-4FD726CCD113}"/>
    <cellStyle name="20 % - Akzent3" xfId="27716" hidden="1" xr:uid="{0DE38FCF-71D9-4F86-B1BC-1B9B5B88243E}"/>
    <cellStyle name="20 % - Akzent3" xfId="27873" hidden="1" xr:uid="{D2793DCF-B717-463B-A6CA-1CFC34718B94}"/>
    <cellStyle name="20 % - Akzent3" xfId="27611" hidden="1" xr:uid="{44428596-4DBF-43D9-8680-8FE5983226E6}"/>
    <cellStyle name="20 % - Akzent3" xfId="27861" hidden="1" xr:uid="{3C1ED79B-33AF-4A2B-87B2-470A9FE2B025}"/>
    <cellStyle name="20 % - Akzent3" xfId="27883" hidden="1" xr:uid="{D7AF86C0-E7AC-46C7-BE2D-547353D4619A}"/>
    <cellStyle name="20 % - Akzent3" xfId="27952" hidden="1" xr:uid="{E31041DD-2B58-428D-A402-9FC4B242967B}"/>
    <cellStyle name="20 % - Akzent3" xfId="28184" hidden="1" xr:uid="{F4B966D5-5B40-4998-B79A-F84149607EEB}"/>
    <cellStyle name="20 % - Akzent3" xfId="28797" hidden="1" xr:uid="{DC83EB59-136E-4E00-A9B1-4B5AD88AE90B}"/>
    <cellStyle name="20 % - Akzent3" xfId="29424" hidden="1" xr:uid="{5BC42465-64A5-4C81-9CF5-51C71A6A1CC1}"/>
    <cellStyle name="20 % - Akzent3" xfId="29209" hidden="1" xr:uid="{E5F089E4-5643-4391-A5BC-A1872CD801A7}"/>
    <cellStyle name="20 % - Akzent3" xfId="29592" hidden="1" xr:uid="{AEF6BB58-965B-4E45-B50B-0204454826C0}"/>
    <cellStyle name="20 % - Akzent3" xfId="29266" hidden="1" xr:uid="{F0935C7C-440D-48BC-9D70-D73E788105BE}"/>
    <cellStyle name="20 % - Akzent3" xfId="30425" hidden="1" xr:uid="{70EA625F-0F85-45DF-AA6E-BF41EE0F902A}"/>
    <cellStyle name="20 % - Akzent3" xfId="30004" hidden="1" xr:uid="{DDE725F6-E257-431D-AABF-A19274093B59}"/>
    <cellStyle name="20 % - Akzent3" xfId="30933" hidden="1" xr:uid="{F57E5426-AB7B-44DC-83F2-0DF27679D7C1}"/>
    <cellStyle name="20 % - Akzent3 2" xfId="375" xr:uid="{8BA6554F-8CFD-4164-A288-9998545F1E67}"/>
    <cellStyle name="20 % - Akzent3 3" xfId="244" xr:uid="{7AAAB643-86B0-4984-BB8C-A24913301F6C}"/>
    <cellStyle name="20 % - Akzent4" xfId="59" hidden="1" xr:uid="{A89BFD5D-55EA-43BF-9A8C-6B404439BE69}"/>
    <cellStyle name="20 % - Akzent4" xfId="906" hidden="1" xr:uid="{5C751A74-5F92-4AD4-B1C3-ACD6CAE5CFB5}"/>
    <cellStyle name="20 % - Akzent4" xfId="981" hidden="1" xr:uid="{92C276FE-9F83-4AFB-A132-7F734CE2A588}"/>
    <cellStyle name="20 % - Akzent4" xfId="1400" hidden="1" xr:uid="{D7A7CE3E-98EB-4B9B-826E-B7F576CE5792}"/>
    <cellStyle name="20 % - Akzent4" xfId="1670" hidden="1" xr:uid="{849B187B-ADBC-41E7-A7E5-4C33B7E1C31A}"/>
    <cellStyle name="20 % - Akzent4" xfId="1886" hidden="1" xr:uid="{9DD71FAE-8F65-451D-B846-CF743E2C976F}"/>
    <cellStyle name="20 % - Akzent4" xfId="2317" hidden="1" xr:uid="{DC178AFC-E9C6-49E3-AD93-C2CEF0473B84}"/>
    <cellStyle name="20 % - Akzent4" xfId="1943" hidden="1" xr:uid="{2A14BA09-B8F5-496A-A577-021A1AC68769}"/>
    <cellStyle name="20 % - Akzent4" xfId="2748" hidden="1" xr:uid="{26F6CA55-5A19-4BA1-A81B-9834DE1954A4}"/>
    <cellStyle name="20 % - Akzent4" xfId="2309" hidden="1" xr:uid="{34AAB5B6-141B-4ED9-8205-C2AF09E155F4}"/>
    <cellStyle name="20 % - Akzent4" xfId="3180" hidden="1" xr:uid="{2726E5B4-5BA7-4275-AD41-4F1D6AA743FB}"/>
    <cellStyle name="20 % - Akzent4" xfId="3482" hidden="1" xr:uid="{9A3448E0-C1C6-4C25-BF25-D1342DD345C3}"/>
    <cellStyle name="20 % - Akzent4" xfId="2726" hidden="1" xr:uid="{A4BE47BD-2077-466D-B953-37E005F17380}"/>
    <cellStyle name="20 % - Akzent4" xfId="3524" hidden="1" xr:uid="{4562AF96-1A9D-4654-B7F1-FE2CC5E113CA}"/>
    <cellStyle name="20 % - Akzent4" xfId="3591" hidden="1" xr:uid="{CC4A800F-7683-4256-AF2B-FD2B5D53279C}"/>
    <cellStyle name="20 % - Akzent4" xfId="3115" hidden="1" xr:uid="{F18F558B-50B4-4E27-B240-42AA961443CF}"/>
    <cellStyle name="20 % - Akzent4" xfId="2043" hidden="1" xr:uid="{0B877C56-1A94-49E3-A0D2-28B88A39F960}"/>
    <cellStyle name="20 % - Akzent4" xfId="3262" hidden="1" xr:uid="{AC53AF7C-72FA-46CF-94F0-419D2FA6525E}"/>
    <cellStyle name="20 % - Akzent4" xfId="4836" hidden="1" xr:uid="{091A9D0F-E03F-49C4-A192-D660E0C417F9}"/>
    <cellStyle name="20 % - Akzent4" xfId="4775" hidden="1" xr:uid="{F250B5BB-4D42-426A-8377-9C6D2A380004}"/>
    <cellStyle name="20 % - Akzent4" xfId="5138" hidden="1" xr:uid="{443AF74E-1B71-4070-8404-BEC54D46C9C5}"/>
    <cellStyle name="20 % - Akzent4" xfId="5766" hidden="1" xr:uid="{79F5A948-8E78-4DA2-84F1-C4BD954EE96B}"/>
    <cellStyle name="20 % - Akzent4" xfId="5883" hidden="1" xr:uid="{6ECBFA2D-85C9-4AC6-80AA-1D054441DAD2}"/>
    <cellStyle name="20 % - Akzent4" xfId="5129" hidden="1" xr:uid="{15935F27-0502-48BB-9B3B-C58D6E3946DC}"/>
    <cellStyle name="20 % - Akzent4" xfId="4907" hidden="1" xr:uid="{D6405686-CB5A-4539-9A71-6A2228B9095B}"/>
    <cellStyle name="20 % - Akzent4" xfId="5822" hidden="1" xr:uid="{FA85B141-5444-4B5C-97DC-86F9397E5FDA}"/>
    <cellStyle name="20 % - Akzent4" xfId="6206" hidden="1" xr:uid="{6ABD19C6-B908-4DD7-AE54-C083B8DBEF2A}"/>
    <cellStyle name="20 % - Akzent4" xfId="6296" hidden="1" xr:uid="{41ECAEA9-DB62-4D4F-B7BA-B454E83FFC1D}"/>
    <cellStyle name="20 % - Akzent4" xfId="6231" hidden="1" xr:uid="{1254B1FC-20D1-4361-A6BE-0664409592A0}"/>
    <cellStyle name="20 % - Akzent4" xfId="6493" hidden="1" xr:uid="{6704A149-3EB6-4E35-A6DA-4A9C5CBFD6F9}"/>
    <cellStyle name="20 % - Akzent4" xfId="6473" hidden="1" xr:uid="{D6BE5607-8D7F-43D1-8336-494F8EE1E952}"/>
    <cellStyle name="20 % - Akzent4" xfId="6560" hidden="1" xr:uid="{E66EEEB3-90B8-44E9-ACD7-6309298BA68A}"/>
    <cellStyle name="20 % - Akzent4" xfId="6334" hidden="1" xr:uid="{D6ACE53D-AF93-4C5E-B6BC-3335640693A0}"/>
    <cellStyle name="20 % - Akzent4" xfId="6182" hidden="1" xr:uid="{8716C89F-09DF-459A-90D6-8734DD2BD600}"/>
    <cellStyle name="20 % - Akzent4" xfId="2127" hidden="1" xr:uid="{20ED18E0-D279-4B1B-8AA2-BABAC86C89CC}"/>
    <cellStyle name="20 % - Akzent4" xfId="5590" hidden="1" xr:uid="{FD9858C6-48E9-4D1B-88C4-018B0DCE236F}"/>
    <cellStyle name="20 % - Akzent4" xfId="6193" hidden="1" xr:uid="{4F6E2FD8-7552-49FF-8A03-FEF40637E025}"/>
    <cellStyle name="20 % - Akzent4" xfId="6798" hidden="1" xr:uid="{6620F68B-8C43-402D-9DAC-4CA4569CBACB}"/>
    <cellStyle name="20 % - Akzent4" xfId="7152" hidden="1" xr:uid="{DAF28EF7-C3A3-45FD-9C73-AA9057F95B01}"/>
    <cellStyle name="20 % - Akzent4" xfId="7134" hidden="1" xr:uid="{FD461012-C641-43EB-BB41-6A000C828E0E}"/>
    <cellStyle name="20 % - Akzent4" xfId="7834" hidden="1" xr:uid="{0F219D1E-7CA1-4AC7-B352-0FC5F098F474}"/>
    <cellStyle name="20 % - Akzent4" xfId="6758" hidden="1" xr:uid="{59458187-D716-4203-9630-178B753399BD}"/>
    <cellStyle name="20 % - Akzent4" xfId="8242" hidden="1" xr:uid="{D6F05F9F-E8CA-4B74-A0AC-4017577D1D81}"/>
    <cellStyle name="20 % - Akzent4" xfId="7612" hidden="1" xr:uid="{2150D635-2385-4CC7-858C-D1D010D847A3}"/>
    <cellStyle name="20 % - Akzent4" xfId="7684" hidden="1" xr:uid="{6BF97484-5774-45C6-9511-75C2426D6097}"/>
    <cellStyle name="20 % - Akzent4" xfId="8339" hidden="1" xr:uid="{210B3595-3DE1-4754-87A2-CF61C47E3F69}"/>
    <cellStyle name="20 % - Akzent4" xfId="8360" hidden="1" xr:uid="{BB9CBB58-F531-485E-AD6F-603742C0E867}"/>
    <cellStyle name="20 % - Akzent4" xfId="8319" hidden="1" xr:uid="{15549A2F-B00D-4DDF-BFCE-C9F3C4EA01D1}"/>
    <cellStyle name="20 % - Akzent4" xfId="8362" hidden="1" xr:uid="{E1F77F99-9CB3-4459-9E3D-6BDD8A33F74F}"/>
    <cellStyle name="20 % - Akzent4" xfId="8402" hidden="1" xr:uid="{CF8D9D7C-2619-4563-BB17-7CF42871B661}"/>
    <cellStyle name="20 % - Akzent4" xfId="8395" hidden="1" xr:uid="{365774AC-57A5-4B41-AD81-0C992EF19A32}"/>
    <cellStyle name="20 % - Akzent4" xfId="8446" hidden="1" xr:uid="{FF03CA56-B3B7-4F92-B525-3D96BF09009E}"/>
    <cellStyle name="20 % - Akzent4" xfId="8466" hidden="1" xr:uid="{7B4EEDE3-07AE-4D63-88CB-82DCF898C53D}"/>
    <cellStyle name="20 % - Akzent4" xfId="8484" hidden="1" xr:uid="{DC36257E-81AE-4299-880C-C8FCF01BDDB6}"/>
    <cellStyle name="20 % - Akzent4" xfId="8279" hidden="1" xr:uid="{F0E09FE6-A315-4FE6-8528-0E96BA7B4199}"/>
    <cellStyle name="20 % - Akzent4" xfId="8270" hidden="1" xr:uid="{C93E66E4-0A1E-49D4-ADF8-627D06CD8430}"/>
    <cellStyle name="20 % - Akzent4" xfId="8165" hidden="1" xr:uid="{B315B228-AD3C-4994-9EE8-502C5810D789}"/>
    <cellStyle name="20 % - Akzent4" xfId="8686" hidden="1" xr:uid="{BEB58EF7-056C-48D0-9021-5A5792F0BA23}"/>
    <cellStyle name="20 % - Akzent4" xfId="8801" hidden="1" xr:uid="{215275A2-AC60-46D1-8768-FCAA5BAFC134}"/>
    <cellStyle name="20 % - Akzent4" xfId="8417" hidden="1" xr:uid="{1ECA29B4-1594-44DA-BFC0-0BF1E9FB73CA}"/>
    <cellStyle name="20 % - Akzent4" xfId="9012" hidden="1" xr:uid="{304EBBA0-D7F7-4689-B2B2-D76483E37D9B}"/>
    <cellStyle name="20 % - Akzent4" xfId="9367" hidden="1" xr:uid="{AD94372A-295B-4C10-AB8B-9F30DDCBF700}"/>
    <cellStyle name="20 % - Akzent4" xfId="8968" hidden="1" xr:uid="{2B4A1CB4-6C49-48EF-9EAD-0DE4F88ECC60}"/>
    <cellStyle name="20 % - Akzent4" xfId="10046" hidden="1" xr:uid="{FDBE7C8D-C070-455E-A9FE-BF72520448DC}"/>
    <cellStyle name="20 % - Akzent4" xfId="10110" hidden="1" xr:uid="{F9D469DB-6231-4AEB-87A5-A22608C3E4B9}"/>
    <cellStyle name="20 % - Akzent4" xfId="9957" hidden="1" xr:uid="{9731CA96-7522-4D5E-88C9-178A1C11F356}"/>
    <cellStyle name="20 % - Akzent4" xfId="10220" hidden="1" xr:uid="{E2F3992D-ED4D-418E-98DA-B4E2DEC8EEA0}"/>
    <cellStyle name="20 % - Akzent4" xfId="10551" hidden="1" xr:uid="{435E1CEB-36B3-451A-8A66-C615891FBFCB}"/>
    <cellStyle name="20 % - Akzent4" xfId="10873" hidden="1" xr:uid="{A8B80AEF-2236-4281-AD5B-1CBC8ADCF4A9}"/>
    <cellStyle name="20 % - Akzent4" xfId="11214" hidden="1" xr:uid="{6097D9FC-4485-4D15-8DDD-580D9FB7A7C4}"/>
    <cellStyle name="20 % - Akzent4" xfId="10945" hidden="1" xr:uid="{DCD2BF5F-A406-43D9-B925-52D1B2BC9CE9}"/>
    <cellStyle name="20 % - Akzent4" xfId="11240" hidden="1" xr:uid="{F8EC2812-88E3-4D57-8D72-F0461FC9A885}"/>
    <cellStyle name="20 % - Akzent4" xfId="11111" hidden="1" xr:uid="{C866E9C0-791C-49EC-9B0B-D4677AF5F8DF}"/>
    <cellStyle name="20 % - Akzent4" xfId="10710" hidden="1" xr:uid="{6AB043A9-E6A8-4834-9A45-DD958BA7D248}"/>
    <cellStyle name="20 % - Akzent4" xfId="10770" hidden="1" xr:uid="{A4DA43CB-E63F-48D8-8073-6D6658CFA202}"/>
    <cellStyle name="20 % - Akzent4" xfId="11418" hidden="1" xr:uid="{71CD6B13-3C50-407F-A49E-105E684CC7E1}"/>
    <cellStyle name="20 % - Akzent4" xfId="11780" hidden="1" xr:uid="{72F80734-866B-440D-A892-E61D84F51F90}"/>
    <cellStyle name="20 % - Akzent4" xfId="12328" hidden="1" xr:uid="{9139A9BD-B9A9-4F4B-AD82-EB0603A34EC4}"/>
    <cellStyle name="20 % - Akzent4" xfId="11395" hidden="1" xr:uid="{74617672-78E9-4BB8-AEE2-8280A46ADF70}"/>
    <cellStyle name="20 % - Akzent4" xfId="13200" hidden="1" xr:uid="{FD77C855-891D-4A1E-8A2E-8872944A21B5}"/>
    <cellStyle name="20 % - Akzent4" xfId="11801" hidden="1" xr:uid="{29589DAB-2E79-4BA9-8298-B77650C770F6}"/>
    <cellStyle name="20 % - Akzent4" xfId="11572" hidden="1" xr:uid="{9E13EC4B-BD56-4E9E-9901-80FCE3713007}"/>
    <cellStyle name="20 % - Akzent4" xfId="11450" hidden="1" xr:uid="{D5F9E9FF-C031-464D-B4BF-B6BB59DE6589}"/>
    <cellStyle name="20 % - Akzent4" xfId="14360" hidden="1" xr:uid="{3025F664-7EB2-4504-A539-EB73AF2FBD5C}"/>
    <cellStyle name="20 % - Akzent4" xfId="13961" hidden="1" xr:uid="{D6FFBA70-F803-475B-94D5-CC69A2F59597}"/>
    <cellStyle name="20 % - Akzent4" xfId="14730" hidden="1" xr:uid="{0E9CCF2F-FC6D-45B5-836E-BAE0568926CB}"/>
    <cellStyle name="20 % - Akzent4" xfId="11383" hidden="1" xr:uid="{AA1AD52D-5EEB-445C-B59C-AD6C4CBA0203}"/>
    <cellStyle name="20 % - Akzent4" xfId="15145" hidden="1" xr:uid="{3AD7E4CC-08CC-4ECA-99FF-5CF57A5C770F}"/>
    <cellStyle name="20 % - Akzent4" xfId="15334" hidden="1" xr:uid="{431FEC09-F4CF-445B-8602-DB4198DA5189}"/>
    <cellStyle name="20 % - Akzent4" xfId="15152" hidden="1" xr:uid="{99C93C88-909F-4EFE-BD9D-9A28D11F1299}"/>
    <cellStyle name="20 % - Akzent4" xfId="11712" hidden="1" xr:uid="{4AF884C3-7283-4216-A2EB-034E667FBBC6}"/>
    <cellStyle name="20 % - Akzent4" xfId="15261" hidden="1" xr:uid="{2A943CA6-93AC-4960-9E65-77C1859D9CEE}"/>
    <cellStyle name="20 % - Akzent4" xfId="15580" hidden="1" xr:uid="{22FFBE69-03D9-4ED6-ACAE-55E3B3B3B405}"/>
    <cellStyle name="20 % - Akzent4" xfId="15670" hidden="1" xr:uid="{6549C789-6109-42A2-855A-DF8672F4927A}"/>
    <cellStyle name="20 % - Akzent4" xfId="15562" hidden="1" xr:uid="{30A3AB05-8990-4353-A563-4BB15077CA12}"/>
    <cellStyle name="20 % - Akzent4" xfId="13806" hidden="1" xr:uid="{FF0D9057-C47A-4044-B87D-C29EE8354955}"/>
    <cellStyle name="20 % - Akzent4" xfId="15668" hidden="1" xr:uid="{6EE1F6CC-3A3A-437C-B2F6-9B0043E76852}"/>
    <cellStyle name="20 % - Akzent4" xfId="15867" hidden="1" xr:uid="{88DD846B-EC68-4CB0-963F-5B6708C49C0A}"/>
    <cellStyle name="20 % - Akzent4" xfId="15339" hidden="1" xr:uid="{B25A910E-A45E-48C8-BB3D-B022DF848F16}"/>
    <cellStyle name="20 % - Akzent4" xfId="16026" hidden="1" xr:uid="{1C49DD73-0503-4B57-A217-CB130713698D}"/>
    <cellStyle name="20 % - Akzent4" xfId="16109" hidden="1" xr:uid="{96166B77-DB9C-4950-B51E-D78905B0520F}"/>
    <cellStyle name="20 % - Akzent4" xfId="16473" hidden="1" xr:uid="{3A98DD6C-E796-41F1-B74D-E1F531E9766A}"/>
    <cellStyle name="20 % - Akzent4" xfId="16456" hidden="1" xr:uid="{DC294F6F-0CA4-4376-8AC6-0B94B8B9540F}"/>
    <cellStyle name="20 % - Akzent4" xfId="17164" hidden="1" xr:uid="{D85EE8D7-6B84-4261-89F8-6CDF15AF8450}"/>
    <cellStyle name="20 % - Akzent4" xfId="16067" hidden="1" xr:uid="{F647B891-BBD9-4924-B92C-F4E2E8ED935D}"/>
    <cellStyle name="20 % - Akzent4" xfId="17070" hidden="1" xr:uid="{A3577A07-0D39-4039-9104-0609177EA896}"/>
    <cellStyle name="20 % - Akzent4" xfId="17624" hidden="1" xr:uid="{241DD152-C983-4D02-95AA-DA7F7E3FC4D8}"/>
    <cellStyle name="20 % - Akzent4" xfId="16497" hidden="1" xr:uid="{87A4DAD4-D6A2-4E0B-BCB4-C17B28BB9EBD}"/>
    <cellStyle name="20 % - Akzent4" xfId="17784" hidden="1" xr:uid="{95F1DD13-FF08-49D8-9919-A1FD2BE0BAEC}"/>
    <cellStyle name="20 % - Akzent4" xfId="17671" hidden="1" xr:uid="{9F5A1355-5F52-4813-B690-138856ACE7C3}"/>
    <cellStyle name="20 % - Akzent4" xfId="16270" hidden="1" xr:uid="{A46E7636-E95A-4C41-BA27-B44EDEE054F6}"/>
    <cellStyle name="20 % - Akzent4" xfId="17179" hidden="1" xr:uid="{F48B4CAA-EDA7-4C73-B61E-3807051D7BF7}"/>
    <cellStyle name="20 % - Akzent4" xfId="17123" hidden="1" xr:uid="{776E46EA-27DF-416C-818F-4A4664D73B05}"/>
    <cellStyle name="20 % - Akzent4" xfId="17072" hidden="1" xr:uid="{8FAEC1F5-38C3-4CD7-8830-05AF436A8CE3}"/>
    <cellStyle name="20 % - Akzent4" xfId="18270" hidden="1" xr:uid="{2691CD1F-664C-4065-8A8C-DB06ABBF4C39}"/>
    <cellStyle name="20 % - Akzent4" xfId="18997" hidden="1" xr:uid="{531E8D6C-7ABD-499E-AD01-9BBDFA253300}"/>
    <cellStyle name="20 % - Akzent4" xfId="18071" hidden="1" xr:uid="{433315C7-5627-4153-AA94-E1B2E4176A0F}"/>
    <cellStyle name="20 % - Akzent4" xfId="19149" hidden="1" xr:uid="{33454183-2FD6-4463-A5FF-D2F49A5B4F15}"/>
    <cellStyle name="20 % - Akzent4" xfId="19442" hidden="1" xr:uid="{7E5CF0AD-2C09-46E9-A32A-A4E2C4FC5DD8}"/>
    <cellStyle name="20 % - Akzent4" xfId="19809" hidden="1" xr:uid="{4E20F53D-ABA3-4780-833B-CC79DFB15EBC}"/>
    <cellStyle name="20 % - Akzent4" xfId="19790" hidden="1" xr:uid="{8C4DE5CA-0866-4396-A512-B2BDC5AE35E0}"/>
    <cellStyle name="20 % - Akzent4" xfId="19891" hidden="1" xr:uid="{AE173A78-6C6C-47E9-9528-759A9E1440B6}"/>
    <cellStyle name="20 % - Akzent4" xfId="20489" hidden="1" xr:uid="{00F9B377-B129-4CAB-A8AB-493CFE00460F}"/>
    <cellStyle name="20 % - Akzent4" xfId="19832" hidden="1" xr:uid="{0D5A261F-B66C-4A78-BF4A-734E0FE1A520}"/>
    <cellStyle name="20 % - Akzent4" xfId="20967" hidden="1" xr:uid="{D33E0B57-6083-4B23-B81F-135654B9DA6D}"/>
    <cellStyle name="20 % - Akzent4" xfId="21144" hidden="1" xr:uid="{59B2603F-A09C-4174-85BA-BA049E1794AF}"/>
    <cellStyle name="20 % - Akzent4" xfId="21554" hidden="1" xr:uid="{C455A28B-1A11-41D3-A88A-60930B5573E9}"/>
    <cellStyle name="20 % - Akzent4" xfId="21069" hidden="1" xr:uid="{8E84330A-D5A3-4FC8-89B8-34D590E3C7ED}"/>
    <cellStyle name="20 % - Akzent4" xfId="20839" hidden="1" xr:uid="{A7C279E3-CCA7-41B1-A0C9-28E0B2236B3F}"/>
    <cellStyle name="20 % - Akzent4" xfId="21422" hidden="1" xr:uid="{A4298D32-0AB7-4C75-9D4F-5957C5F57B34}"/>
    <cellStyle name="20 % - Akzent4" xfId="22040" hidden="1" xr:uid="{DDC26660-9990-4EAE-86AE-56D95833519D}"/>
    <cellStyle name="20 % - Akzent4" xfId="22023" hidden="1" xr:uid="{9596C24D-2F76-43C3-9FB6-A287F86B6BCE}"/>
    <cellStyle name="20 % - Akzent4" xfId="22440" hidden="1" xr:uid="{698F9025-D083-4ADA-B566-1551BB94D4A9}"/>
    <cellStyle name="20 % - Akzent4" xfId="22592" hidden="1" xr:uid="{540F66E9-05C4-4AA1-AF9E-82F9B48ED2A7}"/>
    <cellStyle name="20 % - Akzent4" xfId="22952" hidden="1" xr:uid="{E9F35000-535F-45EC-9FB5-66489682400A}"/>
    <cellStyle name="20 % - Akzent4" xfId="22776" hidden="1" xr:uid="{CBFD63E9-40DA-4396-9C44-A1ECC19FF3E4}"/>
    <cellStyle name="20 % - Akzent4" xfId="21586" hidden="1" xr:uid="{D852977F-BD17-4CBD-97B3-71262E281805}"/>
    <cellStyle name="20 % - Akzent4" xfId="22936" hidden="1" xr:uid="{F6F0C898-7AA7-40E3-ABE9-F0D6B82544BE}"/>
    <cellStyle name="20 % - Akzent4" xfId="23313" hidden="1" xr:uid="{D77587BA-48BE-4A5C-ADE1-4E9F5CB5C48E}"/>
    <cellStyle name="20 % - Akzent4" xfId="22909" hidden="1" xr:uid="{3E24EF78-94A1-456D-9DD4-B6AEFEB7ADB9}"/>
    <cellStyle name="20 % - Akzent4" xfId="22444" hidden="1" xr:uid="{7B2C28FA-3EAC-46A7-9C1C-78C42709FFD9}"/>
    <cellStyle name="20 % - Akzent4" xfId="23576" hidden="1" xr:uid="{17394CB3-A78E-44D6-A300-CA379E58D1D4}"/>
    <cellStyle name="20 % - Akzent4" xfId="19703" hidden="1" xr:uid="{9F5086AC-052A-4F1C-9EC2-CFF989B61802}"/>
    <cellStyle name="20 % - Akzent4" xfId="22964" hidden="1" xr:uid="{64289D25-FC0F-4080-9949-F60602239BD5}"/>
    <cellStyle name="20 % - Akzent4" xfId="23286" hidden="1" xr:uid="{B8B6D86C-A483-4849-90C1-6D34ED3B55B6}"/>
    <cellStyle name="20 % - Akzent4" xfId="24164" hidden="1" xr:uid="{5AAEC4CD-8D22-4BFD-8D71-09BC305728F8}"/>
    <cellStyle name="20 % - Akzent4" xfId="24583" hidden="1" xr:uid="{74C899A3-A5A3-4B8B-ADE4-615CF825C91E}"/>
    <cellStyle name="20 % - Akzent4" xfId="25210" hidden="1" xr:uid="{ADAE4907-7149-4EB5-BBDD-9904B5CD2064}"/>
    <cellStyle name="20 % - Akzent4" xfId="24993" hidden="1" xr:uid="{42555436-80CE-487C-A403-EA1DE9D0CEE5}"/>
    <cellStyle name="20 % - Akzent4" xfId="25395" hidden="1" xr:uid="{56AC6557-70E7-4966-83C5-4BF19CB5CCE7}"/>
    <cellStyle name="20 % - Akzent4" xfId="26069" hidden="1" xr:uid="{024CAA3E-2FC2-49FD-891C-6A39DA8B42C3}"/>
    <cellStyle name="20 % - Akzent4" xfId="26038" hidden="1" xr:uid="{E833BB24-150F-47F8-BAA5-C0A76E4A5471}"/>
    <cellStyle name="20 % - Akzent4" xfId="26006" hidden="1" xr:uid="{9E843BFF-A39D-46EB-8A5D-277AC540D76D}"/>
    <cellStyle name="20 % - Akzent4" xfId="26527" hidden="1" xr:uid="{134BFF61-34CA-491C-9DD7-52B2D3B16CF5}"/>
    <cellStyle name="20 % - Akzent4" xfId="25515" hidden="1" xr:uid="{AAEA937B-FDAC-41EC-BF4A-CE3BF2DC9F0E}"/>
    <cellStyle name="20 % - Akzent4" xfId="26100" hidden="1" xr:uid="{2731E8A2-E2BA-407A-ACED-A9AFF0763C4B}"/>
    <cellStyle name="20 % - Akzent4" xfId="24261" hidden="1" xr:uid="{A63572C7-BB97-4902-BE57-3BE118E23B47}"/>
    <cellStyle name="20 % - Akzent4" xfId="26802" hidden="1" xr:uid="{CE4E92F1-51A0-4C69-AFD0-8A2C658F337E}"/>
    <cellStyle name="20 % - Akzent4" xfId="26596" hidden="1" xr:uid="{F143ADEE-4959-4324-98B7-1E88650133ED}"/>
    <cellStyle name="20 % - Akzent4" xfId="25936" hidden="1" xr:uid="{7C8D9266-6CD2-4125-B32B-35D97E220533}"/>
    <cellStyle name="20 % - Akzent4" xfId="27827" hidden="1" xr:uid="{E0ABC41B-F278-439B-9D7A-2ADFF8A83E9D}"/>
    <cellStyle name="20 % - Akzent4" xfId="26708" hidden="1" xr:uid="{CC42E3B8-E6D3-41CD-ABE8-A250A9175900}"/>
    <cellStyle name="20 % - Akzent4" xfId="27824" hidden="1" xr:uid="{E4DA4568-1B42-4BB8-BA04-9C53CE59FBF8}"/>
    <cellStyle name="20 % - Akzent4" xfId="27794" hidden="1" xr:uid="{0AB99F41-B695-4D29-B70C-12AF74BA83B2}"/>
    <cellStyle name="20 % - Akzent4" xfId="27669" hidden="1" xr:uid="{6D141EFB-8622-4A58-89F6-B1DB6FB976A2}"/>
    <cellStyle name="20 % - Akzent4" xfId="27956" hidden="1" xr:uid="{E6F0B86E-D9EB-45C1-B8C5-AD476F8ACD52}"/>
    <cellStyle name="20 % - Akzent4" xfId="28282" hidden="1" xr:uid="{D25AAA68-8B88-4A75-9D76-486F08CB121B}"/>
    <cellStyle name="20 % - Akzent4" xfId="28810" hidden="1" xr:uid="{D8137819-BE34-4ACE-82AE-CF36E59BAAAD}"/>
    <cellStyle name="20 % - Akzent4" xfId="28012" hidden="1" xr:uid="{5241D46F-3C90-4F84-BA32-ACF92902B4C8}"/>
    <cellStyle name="20 % - Akzent4" xfId="28215" hidden="1" xr:uid="{0F764CEB-2954-4E31-82D0-9C85BA924285}"/>
    <cellStyle name="20 % - Akzent4" xfId="29602" hidden="1" xr:uid="{08C73F28-474D-4207-8978-163730056EFF}"/>
    <cellStyle name="20 % - Akzent4" xfId="30011" hidden="1" xr:uid="{B4D39100-65AB-48AC-88C6-14FC93979122}"/>
    <cellStyle name="20 % - Akzent4" xfId="28217" hidden="1" xr:uid="{9BB062BD-4718-47FE-8D22-519629C36457}"/>
    <cellStyle name="20 % - Akzent4" xfId="30888" hidden="1" xr:uid="{7743AEA8-4F74-426E-B589-BED5E2D5D0A2}"/>
    <cellStyle name="20 % - Akzent4" xfId="29241" hidden="1" xr:uid="{353240B8-517B-4B48-8BCF-B5CDFA0D0E14}"/>
    <cellStyle name="20 % - Akzent4 2" xfId="376" xr:uid="{736169A7-F9F5-4D56-B800-29FDC2F8A4F5}"/>
    <cellStyle name="20 % - Akzent4 3" xfId="245" xr:uid="{CFDBA1EE-01B8-49EC-9542-2DACD8A3FBF3}"/>
    <cellStyle name="20 % - Akzent5" xfId="62" hidden="1" xr:uid="{BAF91388-AED1-454A-9281-509DD4251F2D}"/>
    <cellStyle name="20 % - Akzent5" xfId="909" hidden="1" xr:uid="{8C8B9AE8-1980-4AE1-A86D-2917FC8C24B9}"/>
    <cellStyle name="20 % - Akzent5" xfId="988" hidden="1" xr:uid="{3E5490D8-496B-473C-B535-9C671E63ACC8}"/>
    <cellStyle name="20 % - Akzent5" xfId="1403" hidden="1" xr:uid="{4EA89299-1FEE-4A54-8CCE-CCDEDD870803}"/>
    <cellStyle name="20 % - Akzent5" xfId="1616" hidden="1" xr:uid="{4B058411-B134-489E-95B0-37BBCEF4A77B}"/>
    <cellStyle name="20 % - Akzent5" xfId="1890" hidden="1" xr:uid="{D37F5143-A3B6-4389-9E31-590B7EC7949A}"/>
    <cellStyle name="20 % - Akzent5" xfId="2315" hidden="1" xr:uid="{70CFE1E8-19D6-443A-8D29-5BD5E60DC1CD}"/>
    <cellStyle name="20 % - Akzent5" xfId="2735" hidden="1" xr:uid="{3ED0AAD0-C330-4E16-A065-07B1EACF4093}"/>
    <cellStyle name="20 % - Akzent5" xfId="2840" hidden="1" xr:uid="{F02D0E4F-F056-4504-8C8E-3DE3BD201FC4}"/>
    <cellStyle name="20 % - Akzent5" xfId="2026" hidden="1" xr:uid="{7E3927D2-792C-4766-825F-94EAC57E0B7E}"/>
    <cellStyle name="20 % - Akzent5" xfId="2229" hidden="1" xr:uid="{3E2A23FA-B02E-45D0-8989-85242375CECC}"/>
    <cellStyle name="20 % - Akzent5" xfId="3308" hidden="1" xr:uid="{3689E394-9F4C-4DF8-81F0-7BBFC6B849C1}"/>
    <cellStyle name="20 % - Akzent5" xfId="2962" hidden="1" xr:uid="{85AA6636-0F7A-4CA1-8A74-00908D747D5B}"/>
    <cellStyle name="20 % - Akzent5" xfId="3366" hidden="1" xr:uid="{00488530-62AC-497F-8096-5E2F5F2BAE07}"/>
    <cellStyle name="20 % - Akzent5" xfId="2944" hidden="1" xr:uid="{603A733C-C29C-4A66-8B4D-6ED1F9C6CE00}"/>
    <cellStyle name="20 % - Akzent5" xfId="3639" hidden="1" xr:uid="{3FFAFF4E-5482-4AE2-8F18-F3E9DF028F9E}"/>
    <cellStyle name="20 % - Akzent5" xfId="3119" hidden="1" xr:uid="{94ECD778-7B75-4B74-B84E-4595452A587B}"/>
    <cellStyle name="20 % - Akzent5" xfId="3339" hidden="1" xr:uid="{8E022940-54EF-4344-91BF-CFA264568F68}"/>
    <cellStyle name="20 % - Akzent5" xfId="4862" hidden="1" xr:uid="{D4966FBA-BC60-40DF-92B1-525502907B49}"/>
    <cellStyle name="20 % - Akzent5" xfId="2198" hidden="1" xr:uid="{28491F53-3015-409A-BBCF-3B9F693AB3FE}"/>
    <cellStyle name="20 % - Akzent5" xfId="4848" hidden="1" xr:uid="{3E073968-31B0-4BCD-907D-731E90CBC57B}"/>
    <cellStyle name="20 % - Akzent5" xfId="5665" hidden="1" xr:uid="{6F128F60-0A1A-4246-AE99-C4F92B06D3C7}"/>
    <cellStyle name="20 % - Akzent5" xfId="5639" hidden="1" xr:uid="{66BF0EBE-5485-4143-8180-EB76F8093F8E}"/>
    <cellStyle name="20 % - Akzent5" xfId="5844" hidden="1" xr:uid="{222707AF-2837-4E54-A3C5-D426E300456E}"/>
    <cellStyle name="20 % - Akzent5" xfId="5126" hidden="1" xr:uid="{028A10C9-4500-4EC8-9BFF-BDC47D3006CF}"/>
    <cellStyle name="20 % - Akzent5" xfId="5609" hidden="1" xr:uid="{910A7480-F553-41CE-8BB2-30D6441A032C}"/>
    <cellStyle name="20 % - Akzent5" xfId="6108" hidden="1" xr:uid="{AEF28BF2-FE99-44E4-A1D9-B5435B2EE05E}"/>
    <cellStyle name="20 % - Akzent5" xfId="6085" hidden="1" xr:uid="{4AE2A05F-2C7C-40FE-BD74-CA5A05C3204A}"/>
    <cellStyle name="20 % - Akzent5" xfId="6123" hidden="1" xr:uid="{8AD34DA9-7D41-4310-A2F7-65EFA18BECCD}"/>
    <cellStyle name="20 % - Akzent5" xfId="6516" hidden="1" xr:uid="{0000E6D6-61A1-40C9-8334-6A413513F886}"/>
    <cellStyle name="20 % - Akzent5" xfId="6591" hidden="1" xr:uid="{733D857A-281D-4A4E-BE19-51F695D49A43}"/>
    <cellStyle name="20 % - Akzent5" xfId="2045" hidden="1" xr:uid="{718E28CB-40CF-4180-AED6-519136425044}"/>
    <cellStyle name="20 % - Akzent5" xfId="6569" hidden="1" xr:uid="{56A11D23-9C45-45DF-8BED-E75186402685}"/>
    <cellStyle name="20 % - Akzent5" xfId="6235" hidden="1" xr:uid="{3603D835-1A83-4B3A-8162-22BD558B88C5}"/>
    <cellStyle name="20 % - Akzent5" xfId="5101" hidden="1" xr:uid="{C99FC93F-32B7-415B-858F-D8A5CF6B867A}"/>
    <cellStyle name="20 % - Akzent5" xfId="6481" hidden="1" xr:uid="{4F779806-3B5B-44C8-896F-3E2D8D1E499F}"/>
    <cellStyle name="20 % - Akzent5" xfId="6226" hidden="1" xr:uid="{203B290C-9426-43A5-BDAC-13AB538A50C7}"/>
    <cellStyle name="20 % - Akzent5" xfId="6802" hidden="1" xr:uid="{8018BC94-C906-4EAF-8BCF-E3B479ED22F7}"/>
    <cellStyle name="20 % - Akzent5" xfId="7218" hidden="1" xr:uid="{48BB7E4D-1C62-4A9C-84F4-60FE8FB60418}"/>
    <cellStyle name="20 % - Akzent5" xfId="7627" hidden="1" xr:uid="{14A599AE-8DBA-4823-ABA9-0A057FA0C963}"/>
    <cellStyle name="20 % - Akzent5" xfId="7614" hidden="1" xr:uid="{D896B72D-59F5-40B7-BF52-716840846300}"/>
    <cellStyle name="20 % - Akzent5" xfId="7674" hidden="1" xr:uid="{B394E8D8-8577-4D08-95A8-EA3D91562A12}"/>
    <cellStyle name="20 % - Akzent5" xfId="8112" hidden="1" xr:uid="{BD4FA6D1-8810-4B51-8B10-05321EDF6CCB}"/>
    <cellStyle name="20 % - Akzent5" xfId="8138" hidden="1" xr:uid="{FB894B0F-2332-4807-AC72-F770141BE1CC}"/>
    <cellStyle name="20 % - Akzent5" xfId="8052" hidden="1" xr:uid="{8A3FE6E3-8C6C-4827-A265-5E8E9367848F}"/>
    <cellStyle name="20 % - Akzent5" xfId="7759" hidden="1" xr:uid="{6535BD94-BF5D-46D2-911B-A813E5AEB554}"/>
    <cellStyle name="20 % - Akzent5" xfId="8129" hidden="1" xr:uid="{C45CD7CA-8B67-436E-81C8-ECD69E375B75}"/>
    <cellStyle name="20 % - Akzent5" xfId="6741" hidden="1" xr:uid="{F3A44BBF-D9AE-4342-B1F7-BCB2C5D19D3E}"/>
    <cellStyle name="20 % - Akzent5" xfId="8306" hidden="1" xr:uid="{484CBFD3-7130-4D03-BA50-FD465521B9C9}"/>
    <cellStyle name="20 % - Akzent5" xfId="8196" hidden="1" xr:uid="{06954492-7084-465D-A6BE-0DB90B30FB45}"/>
    <cellStyle name="20 % - Akzent5" xfId="8198" hidden="1" xr:uid="{45889DAE-4715-4A89-8A7F-9C9C198390E5}"/>
    <cellStyle name="20 % - Akzent5" xfId="7902" hidden="1" xr:uid="{D1519825-716A-452C-B77D-04BCE79ED38C}"/>
    <cellStyle name="20 % - Akzent5" xfId="8080" hidden="1" xr:uid="{B35BD800-1948-4E3A-A6F1-81BB673B87B2}"/>
    <cellStyle name="20 % - Akzent5" xfId="7858" hidden="1" xr:uid="{228F0D29-7BBA-4F8C-92F5-3EAB17D32BE1}"/>
    <cellStyle name="20 % - Akzent5" xfId="8086" hidden="1" xr:uid="{38D62A04-6CFB-4B61-A1FB-7CDE59FD754F}"/>
    <cellStyle name="20 % - Akzent5" xfId="8608" hidden="1" xr:uid="{C0F53E98-54D7-4447-9C4C-DA8C25F703E9}"/>
    <cellStyle name="20 % - Akzent5" xfId="8407" hidden="1" xr:uid="{3387C87B-ED3D-4CCF-B718-20A56C53F1E8}"/>
    <cellStyle name="20 % - Akzent5" xfId="8766" hidden="1" xr:uid="{43B2D8F9-7970-4359-A7BE-FABC62694D09}"/>
    <cellStyle name="20 % - Akzent5" xfId="8818" hidden="1" xr:uid="{6ED97189-7CA8-4C08-B472-C55CC0CBF2AE}"/>
    <cellStyle name="20 % - Akzent5" xfId="8251" hidden="1" xr:uid="{37E26516-7752-422A-8B72-25EBA3D1AC35}"/>
    <cellStyle name="20 % - Akzent5" xfId="9016" hidden="1" xr:uid="{4858AB26-5A81-4738-BEB0-1A0187074864}"/>
    <cellStyle name="20 % - Akzent5" xfId="9431" hidden="1" xr:uid="{96514FC3-4492-4DFB-A7D4-8B38262B4EFD}"/>
    <cellStyle name="20 % - Akzent5" xfId="9837" hidden="1" xr:uid="{C448FE0E-A53B-4576-93F1-FE06F9383D0F}"/>
    <cellStyle name="20 % - Akzent5" xfId="9827" hidden="1" xr:uid="{B93E4479-51FB-4DF4-B3CC-58369DCF3E82}"/>
    <cellStyle name="20 % - Akzent5" xfId="9959" hidden="1" xr:uid="{7CEE2549-A138-474F-80F6-D1AC25505800}"/>
    <cellStyle name="20 % - Akzent5" xfId="10466" hidden="1" xr:uid="{795BD490-B215-4C75-B9F8-A817F3494467}"/>
    <cellStyle name="20 % - Akzent5" xfId="10817" hidden="1" xr:uid="{1984AE85-E249-4F59-A6BC-84BD6457CC5E}"/>
    <cellStyle name="20 % - Akzent5" xfId="10872" hidden="1" xr:uid="{B8595FA4-06E9-4356-8671-CA90C7489ED0}"/>
    <cellStyle name="20 % - Akzent5" xfId="10784" hidden="1" xr:uid="{E12098BF-E0F2-473B-8A25-B39E991459C5}"/>
    <cellStyle name="20 % - Akzent5" xfId="11256" hidden="1" xr:uid="{4591BF67-8451-49E3-80AE-EFB62546DC55}"/>
    <cellStyle name="20 % - Akzent5" xfId="11191" hidden="1" xr:uid="{2B2517F3-7C0A-4880-975B-6E5B2EDB1471}"/>
    <cellStyle name="20 % - Akzent5" xfId="11224" hidden="1" xr:uid="{C748B77B-C7D7-41EA-91EE-EB19F3D1F2B7}"/>
    <cellStyle name="20 % - Akzent5" xfId="10367" hidden="1" xr:uid="{5009576A-1ECF-404C-A472-1BECEF8AF8C3}"/>
    <cellStyle name="20 % - Akzent5" xfId="10530" hidden="1" xr:uid="{F4843A23-23D6-4B50-BE76-DBCC0F818B60}"/>
    <cellStyle name="20 % - Akzent5" xfId="11147" hidden="1" xr:uid="{288F01CF-B5E0-432C-9A87-9AFCDD54EDAF}"/>
    <cellStyle name="20 % - Akzent5" xfId="11422" hidden="1" xr:uid="{16D4E621-4842-42F9-A87A-9C1C3AEDADE3}"/>
    <cellStyle name="20 % - Akzent5" xfId="11848" hidden="1" xr:uid="{DCE08963-1D88-450F-8ADA-D3D8D2FA9014}"/>
    <cellStyle name="20 % - Akzent5" xfId="12324" hidden="1" xr:uid="{D7F9C4E9-8851-490D-92AF-38CFD3AE479A}"/>
    <cellStyle name="20 % - Akzent5" xfId="11508" hidden="1" xr:uid="{B0B7C5B8-CE07-4733-A232-4249A109EF44}"/>
    <cellStyle name="20 % - Akzent5" xfId="13198" hidden="1" xr:uid="{B358E7DC-693B-437B-A785-FF34931D79D0}"/>
    <cellStyle name="20 % - Akzent5" xfId="11720" hidden="1" xr:uid="{2D58A8F9-8DF5-4741-AE8F-7F3024D3698D}"/>
    <cellStyle name="20 % - Akzent5" xfId="13674" hidden="1" xr:uid="{C1A254D9-0596-402E-9F29-8C83F3C1E192}"/>
    <cellStyle name="20 % - Akzent5" xfId="11377" hidden="1" xr:uid="{C33C858C-5E8D-4E33-BA33-122AB2D3923B}"/>
    <cellStyle name="20 % - Akzent5" xfId="14389" hidden="1" xr:uid="{B2298915-215F-41E0-B03F-F60023843570}"/>
    <cellStyle name="20 % - Akzent5" xfId="11721" hidden="1" xr:uid="{473FB8F1-FC63-4202-AD34-A1BC25A78C64}"/>
    <cellStyle name="20 % - Akzent5" xfId="14610" hidden="1" xr:uid="{74F9376E-8B25-4C1A-A858-78565A645085}"/>
    <cellStyle name="20 % - Akzent5" xfId="14864" hidden="1" xr:uid="{954933F0-C72F-4905-9A1B-540CD84F7879}"/>
    <cellStyle name="20 % - Akzent5" xfId="15032" hidden="1" xr:uid="{51D9A15C-612F-4FD2-83C4-E92673E266D9}"/>
    <cellStyle name="20 % - Akzent5" xfId="14830" hidden="1" xr:uid="{C95D3BD6-E82D-47EA-9F50-C010E14723CC}"/>
    <cellStyle name="20 % - Akzent5" xfId="14220" hidden="1" xr:uid="{049F12EA-2904-4260-ACF9-09C3DF69DF13}"/>
    <cellStyle name="20 % - Akzent5" xfId="15083" hidden="1" xr:uid="{EACE96B8-2FC4-46EB-A60C-ACB5760B535B}"/>
    <cellStyle name="20 % - Akzent5" xfId="15094" hidden="1" xr:uid="{39D01AF7-D9A6-407B-B75C-5AAAB8FA06D5}"/>
    <cellStyle name="20 % - Akzent5" xfId="15488" hidden="1" xr:uid="{E1205453-A3F3-49C6-BE0F-CDA0FE767832}"/>
    <cellStyle name="20 % - Akzent5" xfId="15461" hidden="1" xr:uid="{4FA3AF04-DA9B-4A0E-92E0-771B7CE21D60}"/>
    <cellStyle name="20 % - Akzent5" xfId="15095" hidden="1" xr:uid="{956B901E-B56B-4CBF-857A-279956355B40}"/>
    <cellStyle name="20 % - Akzent5" xfId="14820" hidden="1" xr:uid="{AECA6882-4130-4980-AD56-3CA3B76B08B4}"/>
    <cellStyle name="20 % - Akzent5" xfId="14843" hidden="1" xr:uid="{E681C60A-A3B9-43C4-889C-B9CB972B83D3}"/>
    <cellStyle name="20 % - Akzent5" xfId="15895" hidden="1" xr:uid="{2C95E59A-57EF-4326-99AB-93286808C77A}"/>
    <cellStyle name="20 % - Akzent5" xfId="15470" hidden="1" xr:uid="{62231381-E28A-4166-B4A6-B6A0350F6AAA}"/>
    <cellStyle name="20 % - Akzent5" xfId="16029" hidden="1" xr:uid="{D73D1DB0-04D7-4464-8A91-3A6E2477C3D5}"/>
    <cellStyle name="20 % - Akzent5" xfId="16113" hidden="1" xr:uid="{166FF286-4567-4B5D-B5E4-2F839FB2953F}"/>
    <cellStyle name="20 % - Akzent5" xfId="16540" hidden="1" xr:uid="{D91D8942-E369-4960-8C81-9F15FE977EC2}"/>
    <cellStyle name="20 % - Akzent5" xfId="16952" hidden="1" xr:uid="{460C9C75-57E9-42B4-A026-EB02E3C5DA41}"/>
    <cellStyle name="20 % - Akzent5" xfId="16939" hidden="1" xr:uid="{7D5F21C9-EBE9-4DD0-B79B-A56B903CB2F0}"/>
    <cellStyle name="20 % - Akzent5" xfId="17001" hidden="1" xr:uid="{D756819B-987E-48D4-AF70-9145DD2B186E}"/>
    <cellStyle name="20 % - Akzent5" xfId="17609" hidden="1" xr:uid="{11CF8B2C-F904-45C2-A953-1881FAC04864}"/>
    <cellStyle name="20 % - Akzent5" xfId="16044" hidden="1" xr:uid="{8DDD7058-AF9B-49DB-B281-1F8D63578D13}"/>
    <cellStyle name="20 % - Akzent5" xfId="17930" hidden="1" xr:uid="{3E869EB5-4767-4B04-8233-1789E33813E9}"/>
    <cellStyle name="20 % - Akzent5" xfId="18150" hidden="1" xr:uid="{3A1AF571-FE9E-4AE0-9EDD-24825B6EEFA7}"/>
    <cellStyle name="20 % - Akzent5" xfId="17441" hidden="1" xr:uid="{1559B4C9-70E5-4D8E-9611-75E8369C0BA9}"/>
    <cellStyle name="20 % - Akzent5" xfId="17992" hidden="1" xr:uid="{193D34AE-F827-4E25-A57E-9CB5977E3EE2}"/>
    <cellStyle name="20 % - Akzent5" xfId="17883" hidden="1" xr:uid="{258F5F2F-657C-437D-95D9-BFC50982F9DB}"/>
    <cellStyle name="20 % - Akzent5" xfId="17938" hidden="1" xr:uid="{2B8096C5-9FE1-40B4-BBCF-55786FF4634D}"/>
    <cellStyle name="20 % - Akzent5" xfId="18824" hidden="1" xr:uid="{FE4DD465-7162-450C-827F-054F180C3ED5}"/>
    <cellStyle name="20 % - Akzent5" xfId="19000" hidden="1" xr:uid="{0C90FF2F-C227-4713-BA13-0611A07195D6}"/>
    <cellStyle name="20 % - Akzent5" xfId="19105" hidden="1" xr:uid="{FE4905C7-D1D8-4AE0-83DF-78BE9F6A83B9}"/>
    <cellStyle name="20 % - Akzent5" xfId="19144" hidden="1" xr:uid="{7B8570AE-06CE-47B9-8802-B8FBC998C872}"/>
    <cellStyle name="20 % - Akzent5" xfId="18139" hidden="1" xr:uid="{44AC7057-C18C-4117-BC7D-F1308135344A}"/>
    <cellStyle name="20 % - Akzent5" xfId="19446" hidden="1" xr:uid="{3098BC25-4CA2-4618-8D8E-A1727DFC2A98}"/>
    <cellStyle name="20 % - Akzent5" xfId="19877" hidden="1" xr:uid="{011A0F65-3729-47CE-AC96-0A89FC4E026F}"/>
    <cellStyle name="20 % - Akzent5" xfId="20297" hidden="1" xr:uid="{2231066D-B0E4-45E8-8B98-C5242740525F}"/>
    <cellStyle name="20 % - Akzent5" xfId="20536" hidden="1" xr:uid="{F9844637-60AC-469B-ADBA-CD8460A0ABC8}"/>
    <cellStyle name="20 % - Akzent5" xfId="20485" hidden="1" xr:uid="{7E06CFC0-6AB1-4576-846A-763DE6B05CDA}"/>
    <cellStyle name="20 % - Akzent5" xfId="20969" hidden="1" xr:uid="{628B5593-E7A0-4C78-9964-0BB763DD504A}"/>
    <cellStyle name="20 % - Akzent5" xfId="21560" hidden="1" xr:uid="{66139D09-9931-40B8-819B-4AD7FE293049}"/>
    <cellStyle name="20 % - Akzent5" xfId="21504" hidden="1" xr:uid="{D35B6582-F0E6-4828-9B86-F19FDB0C45AE}"/>
    <cellStyle name="20 % - Akzent5" xfId="21403" hidden="1" xr:uid="{34AE8719-6F73-43EB-9972-7909B72271DF}"/>
    <cellStyle name="20 % - Akzent5" xfId="21440" hidden="1" xr:uid="{44FC3AF8-0B21-46A2-8B25-DC7F3BB33C17}"/>
    <cellStyle name="20 % - Akzent5" xfId="21262" hidden="1" xr:uid="{F2003FE1-9299-4FA4-9DF3-66CCDDE5C1B4}"/>
    <cellStyle name="20 % - Akzent5" xfId="21900" hidden="1" xr:uid="{4774579F-6933-438B-BAB3-D36C3D6E2843}"/>
    <cellStyle name="20 % - Akzent5" xfId="21477" hidden="1" xr:uid="{2FD30AF1-AFB8-483F-B105-D72C4B85818D}"/>
    <cellStyle name="20 % - Akzent5" xfId="22540" hidden="1" xr:uid="{AB5F4541-9B00-4A9E-ACDC-FBBA48B36EF1}"/>
    <cellStyle name="20 % - Akzent5" xfId="21013" hidden="1" xr:uid="{7D19B5CD-7ECC-42B1-8A66-01D9595F6C05}"/>
    <cellStyle name="20 % - Akzent5" xfId="22675" hidden="1" xr:uid="{F7AAE21C-23B8-44A0-A9A2-1211F58BC752}"/>
    <cellStyle name="20 % - Akzent5" xfId="22900" hidden="1" xr:uid="{D1A63781-ADAD-49A5-8764-2B503E04B4EB}"/>
    <cellStyle name="20 % - Akzent5" xfId="22856" hidden="1" xr:uid="{5F8B9B05-D75A-4C67-951E-01B125306A5B}"/>
    <cellStyle name="20 % - Akzent5" xfId="23096" hidden="1" xr:uid="{C479E798-14CB-4216-9A5B-BE50FD61677A}"/>
    <cellStyle name="20 % - Akzent5" xfId="23282" hidden="1" xr:uid="{0208B7F0-D878-4AEB-B08E-CF8953E491F8}"/>
    <cellStyle name="20 % - Akzent5" xfId="23356" hidden="1" xr:uid="{508E35FB-C300-42B7-90BD-3924A451A185}"/>
    <cellStyle name="20 % - Akzent5" xfId="23618" hidden="1" xr:uid="{588FAED2-1F3E-405A-B934-1979422A47FE}"/>
    <cellStyle name="20 % - Akzent5" xfId="23585" hidden="1" xr:uid="{36FE14E5-4DA6-4451-B810-67FC1130D003}"/>
    <cellStyle name="20 % - Akzent5" xfId="23622" hidden="1" xr:uid="{FD4ACEDC-3B16-4943-824F-C21A712B0EA1}"/>
    <cellStyle name="20 % - Akzent5" xfId="22866" hidden="1" xr:uid="{03742880-F43D-4965-BBD8-FF7616790E71}"/>
    <cellStyle name="20 % - Akzent5" xfId="23507" hidden="1" xr:uid="{09F62BBD-8823-4980-966A-2A21E64EF046}"/>
    <cellStyle name="20 % - Akzent5" xfId="24079" hidden="1" xr:uid="{350D6D2C-E7F0-42D5-B754-8CB0CDBA7423}"/>
    <cellStyle name="20 % - Akzent5" xfId="24168" hidden="1" xr:uid="{3463C185-FF07-49CE-93EF-2D7FCDC7C849}"/>
    <cellStyle name="20 % - Akzent5" xfId="24436" hidden="1" xr:uid="{4E108F76-9C2D-45A6-A898-F188E093F63D}"/>
    <cellStyle name="20 % - Akzent5" xfId="25254" hidden="1" xr:uid="{7784BD06-ACEC-465C-AFF1-47AD71B0070D}"/>
    <cellStyle name="20 % - Akzent5" xfId="24159" hidden="1" xr:uid="{83F8AE35-F710-4049-A9F5-594E259916C1}"/>
    <cellStyle name="20 % - Akzent5" xfId="25509" hidden="1" xr:uid="{328CABCE-B343-452C-A610-C8D4D67DF433}"/>
    <cellStyle name="20 % - Akzent5" xfId="26107" hidden="1" xr:uid="{A88626BD-CFED-4C0E-A265-CEDF498FCDB4}"/>
    <cellStyle name="20 % - Akzent5" xfId="26224" hidden="1" xr:uid="{DEFF03A2-BA29-46AE-A69D-95F71A24CD9B}"/>
    <cellStyle name="20 % - Akzent5" xfId="25422" hidden="1" xr:uid="{CD415B7F-131C-4387-B014-7B60BC81A73B}"/>
    <cellStyle name="20 % - Akzent5" xfId="26425" hidden="1" xr:uid="{B2E48C03-8432-4A09-AB63-66443EBBB4A6}"/>
    <cellStyle name="20 % - Akzent5" xfId="26550" hidden="1" xr:uid="{573F6D0D-566A-4A2C-BA83-0FF0A7E54A3A}"/>
    <cellStyle name="20 % - Akzent5" xfId="26598" hidden="1" xr:uid="{85DBD380-EC6B-453E-A1BC-03B279C7AA45}"/>
    <cellStyle name="20 % - Akzent5" xfId="26575" hidden="1" xr:uid="{B325043B-DB8B-44F2-89FA-36C42E72BE8A}"/>
    <cellStyle name="20 % - Akzent5" xfId="26801" hidden="1" xr:uid="{F800C5DB-3635-4AB8-9DF5-A93BD1E022E1}"/>
    <cellStyle name="20 % - Akzent5" xfId="26651" hidden="1" xr:uid="{6A468099-8089-47E5-B6B3-E0E814F5F480}"/>
    <cellStyle name="20 % - Akzent5" xfId="26066" hidden="1" xr:uid="{0E6DD765-540F-409A-BEA4-ED148E21CE70}"/>
    <cellStyle name="20 % - Akzent5" xfId="27767" hidden="1" xr:uid="{8BA5FDBE-0251-42C3-99B8-67D79CACAAD9}"/>
    <cellStyle name="20 % - Akzent5" xfId="26784" hidden="1" xr:uid="{667A6AA2-7EC5-4E97-BB50-5FB4AB94D1DC}"/>
    <cellStyle name="20 % - Akzent5" xfId="27856" hidden="1" xr:uid="{AAECFCE9-11D5-44E8-9B2B-6C87D9DA74CE}"/>
    <cellStyle name="20 % - Akzent5" xfId="27879" hidden="1" xr:uid="{7388D88B-7CB0-4EF3-8A63-A72CFBC30BF0}"/>
    <cellStyle name="20 % - Akzent5" xfId="26059" hidden="1" xr:uid="{873C41CF-DD44-4F2D-8BD5-CDD1144DDFB6}"/>
    <cellStyle name="20 % - Akzent5" xfId="27960" hidden="1" xr:uid="{FBAE160C-5D43-4AC4-863F-CB1C8691A1D2}"/>
    <cellStyle name="20 % - Akzent5" xfId="28337" hidden="1" xr:uid="{04CB5A26-A80D-423A-B961-C0FA3BFCF7EA}"/>
    <cellStyle name="20 % - Akzent5" xfId="28807" hidden="1" xr:uid="{82E49FDD-F246-4510-BCFB-C792FEDF9288}"/>
    <cellStyle name="20 % - Akzent5" xfId="28326" hidden="1" xr:uid="{91D33329-5665-4E56-A7AE-8D2AF8B978CD}"/>
    <cellStyle name="20 % - Akzent5" xfId="29365" hidden="1" xr:uid="{CD907469-323F-4FA5-8F6C-268A1CDA2F00}"/>
    <cellStyle name="20 % - Akzent5" xfId="29598" hidden="1" xr:uid="{C54A5CED-54F9-477F-992D-2193F7F659F7}"/>
    <cellStyle name="20 % - Akzent5" xfId="29297" hidden="1" xr:uid="{E4B616D2-1A15-409E-844F-72EAD3D6633A}"/>
    <cellStyle name="20 % - Akzent5" xfId="29329" hidden="1" xr:uid="{4366520F-ACB3-4378-840F-4031159A79B0}"/>
    <cellStyle name="20 % - Akzent5" xfId="30913" hidden="1" xr:uid="{5BE34D89-71F0-4834-B86C-16032D30865B}"/>
    <cellStyle name="20 % - Akzent5" xfId="30991" hidden="1" xr:uid="{22ED008B-9D14-48E0-8993-863907BA2EDC}"/>
    <cellStyle name="20 % - Akzent5 2" xfId="377" xr:uid="{FE988F92-8B2C-48C0-AA2B-E3D42B954A3C}"/>
    <cellStyle name="20 % - Akzent5 3" xfId="246" xr:uid="{9D6EF741-6748-47A1-8CD4-69B83540045C}"/>
    <cellStyle name="20 % - Akzent6" xfId="65" hidden="1" xr:uid="{9C0E854E-32DF-4B95-96FB-9BDDB5BF02A7}"/>
    <cellStyle name="20 % - Akzent6" xfId="912" hidden="1" xr:uid="{DB317E85-BE48-4BA7-BD0A-D21D0E129D90}"/>
    <cellStyle name="20 % - Akzent6" xfId="987" hidden="1" xr:uid="{CBC7FD8A-87FF-4A60-9AC1-31C60BCF29B4}"/>
    <cellStyle name="20 % - Akzent6" xfId="1406" hidden="1" xr:uid="{6F2E4FAA-A4AC-473D-BE45-50BD11447781}"/>
    <cellStyle name="20 % - Akzent6" xfId="1626" hidden="1" xr:uid="{643A797F-8900-46EA-BDF3-6A943271829E}"/>
    <cellStyle name="20 % - Akzent6" xfId="1894" hidden="1" xr:uid="{A30C03ED-6F1C-4C52-92CD-575134BAB74D}"/>
    <cellStyle name="20 % - Akzent6" xfId="2161" hidden="1" xr:uid="{F22565FE-998B-43B4-BD76-DE19F64C7F01}"/>
    <cellStyle name="20 % - Akzent6" xfId="2938" hidden="1" xr:uid="{50E7C037-14A8-44F9-BEE8-F508B10AB86D}"/>
    <cellStyle name="20 % - Akzent6" xfId="2903" hidden="1" xr:uid="{D288E4E1-7108-4DD3-95C5-50FD13DA3A66}"/>
    <cellStyle name="20 % - Akzent6" xfId="2833" hidden="1" xr:uid="{9E8115A6-FB07-4A20-AA88-47A018BFB05B}"/>
    <cellStyle name="20 % - Akzent6" xfId="3420" hidden="1" xr:uid="{A0A2E647-AB03-4713-8251-10AE756F07E3}"/>
    <cellStyle name="20 % - Akzent6" xfId="3557" hidden="1" xr:uid="{1E694AB2-E701-4E46-8733-28B8FF7447EE}"/>
    <cellStyle name="20 % - Akzent6" xfId="3296" hidden="1" xr:uid="{D8FF96E5-2D22-4349-A546-C585BF9DFF5B}"/>
    <cellStyle name="20 % - Akzent6" xfId="2238" hidden="1" xr:uid="{B2E9EEF9-1E63-4114-9E6C-E6F40896F11C}"/>
    <cellStyle name="20 % - Akzent6" xfId="3017" hidden="1" xr:uid="{F6C8AC4D-DF61-4F47-A4E5-C5CBFF3EAC35}"/>
    <cellStyle name="20 % - Akzent6" xfId="3744" hidden="1" xr:uid="{44B70485-8620-4495-88B7-96422208C161}"/>
    <cellStyle name="20 % - Akzent6" xfId="3608" hidden="1" xr:uid="{F16B5A52-FAF0-4214-AE43-0F8F0D0D6B02}"/>
    <cellStyle name="20 % - Akzent6" xfId="2960" hidden="1" xr:uid="{E6F3AD6D-3980-4B5F-9512-14A9A20A8F91}"/>
    <cellStyle name="20 % - Akzent6" xfId="4804" hidden="1" xr:uid="{BD4D84A3-7CF4-402E-95AF-BF32F3056CA9}"/>
    <cellStyle name="20 % - Akzent6" xfId="3495" hidden="1" xr:uid="{319E3011-DEC0-415C-9D6B-FDF1071A5EFC}"/>
    <cellStyle name="20 % - Akzent6" xfId="2908" hidden="1" xr:uid="{B0F7162B-154E-470A-8238-64EBF65A9BCF}"/>
    <cellStyle name="20 % - Akzent6" xfId="5688" hidden="1" xr:uid="{290C2219-185F-4CA9-92AB-A7A4DD2F90E0}"/>
    <cellStyle name="20 % - Akzent6" xfId="5701" hidden="1" xr:uid="{8747DD71-540E-4177-B30B-86DAADCD72CB}"/>
    <cellStyle name="20 % - Akzent6" xfId="5772" hidden="1" xr:uid="{34F07E34-A113-4395-B14A-F31DAB95BE30}"/>
    <cellStyle name="20 % - Akzent6" xfId="5720" hidden="1" xr:uid="{4C329E76-D99B-40E3-8502-98E670E2E55A}"/>
    <cellStyle name="20 % - Akzent6" xfId="4214" hidden="1" xr:uid="{A72E2461-D92D-441F-BE26-95EB92C09C34}"/>
    <cellStyle name="20 % - Akzent6" xfId="6133" hidden="1" xr:uid="{21ED3EF0-DA54-4666-93AA-142AEE0F1776}"/>
    <cellStyle name="20 % - Akzent6" xfId="6148" hidden="1" xr:uid="{CB80AEA7-9284-45C2-BF0F-FD57C8EFDACC}"/>
    <cellStyle name="20 % - Akzent6" xfId="6169" hidden="1" xr:uid="{4EF4CEFB-63C0-4DFB-9AC0-46FBB55CB1E1}"/>
    <cellStyle name="20 % - Akzent6" xfId="6448" hidden="1" xr:uid="{CF6373F3-C67A-4299-953C-2FA2B6A9B159}"/>
    <cellStyle name="20 % - Akzent6" xfId="6525" hidden="1" xr:uid="{7F5B1B78-DB30-4A59-85E7-817A541010A2}"/>
    <cellStyle name="20 % - Akzent6" xfId="6350" hidden="1" xr:uid="{8B78C134-1091-4A6B-AD50-0A2AD472B3E3}"/>
    <cellStyle name="20 % - Akzent6" xfId="6352" hidden="1" xr:uid="{8BE9BC7D-49B9-4AF6-BDF1-D6B4C41E6E88}"/>
    <cellStyle name="20 % - Akzent6" xfId="6409" hidden="1" xr:uid="{569581CA-D726-4DDD-AB07-EAB55401AD9F}"/>
    <cellStyle name="20 % - Akzent6" xfId="6500" hidden="1" xr:uid="{CFA86CFD-FA82-421C-8C8F-52A043057432}"/>
    <cellStyle name="20 % - Akzent6" xfId="6572" hidden="1" xr:uid="{0343F3B8-D86E-42E9-B7CC-F9F8DC43E521}"/>
    <cellStyle name="20 % - Akzent6" xfId="5809" hidden="1" xr:uid="{BB25092B-C6E9-4D73-A57D-5F0466917D78}"/>
    <cellStyle name="20 % - Akzent6" xfId="6806" hidden="1" xr:uid="{35E2B70B-3303-49F2-BDB5-4E762BCBB3C9}"/>
    <cellStyle name="20 % - Akzent6" xfId="7216" hidden="1" xr:uid="{0F3EF017-464F-424A-B417-1022429BA1E7}"/>
    <cellStyle name="20 % - Akzent6" xfId="7819" hidden="1" xr:uid="{EA656861-C641-41F6-8F60-EA73AD8D090B}"/>
    <cellStyle name="20 % - Akzent6" xfId="7630" hidden="1" xr:uid="{8211AA73-3B53-4747-8E20-4BABE96614FB}"/>
    <cellStyle name="20 % - Akzent6" xfId="8218" hidden="1" xr:uid="{E267FB87-B30C-4A62-AC5B-17C1FCBB9798}"/>
    <cellStyle name="20 % - Akzent6" xfId="8017" hidden="1" xr:uid="{52F02931-11F5-45AC-AA06-756427A451CD}"/>
    <cellStyle name="20 % - Akzent6" xfId="6919" hidden="1" xr:uid="{F91FF1A3-5224-4FF6-BEFA-1953263A7722}"/>
    <cellStyle name="20 % - Akzent6" xfId="7615" hidden="1" xr:uid="{393531B7-2708-4035-B983-D3B55F346A22}"/>
    <cellStyle name="20 % - Akzent6" xfId="6908" hidden="1" xr:uid="{315BA727-895C-4FA8-A78A-5AAC19D15C37}"/>
    <cellStyle name="20 % - Akzent6" xfId="8305" hidden="1" xr:uid="{71D6493F-340A-4EA9-9374-29DEB715B947}"/>
    <cellStyle name="20 % - Akzent6" xfId="7622" hidden="1" xr:uid="{433A7ECB-B1D0-40B6-9F3A-B8C3A783C049}"/>
    <cellStyle name="20 % - Akzent6" xfId="7796" hidden="1" xr:uid="{92131499-7DA8-4A65-B4BD-99F16AC62BD6}"/>
    <cellStyle name="20 % - Akzent6" xfId="7156" hidden="1" xr:uid="{3E16A9C9-2531-471A-B38B-59D4E6B9A867}"/>
    <cellStyle name="20 % - Akzent6" xfId="6831" hidden="1" xr:uid="{AE490786-CB3A-4584-A08A-42967C5DD828}"/>
    <cellStyle name="20 % - Akzent6" xfId="7124" hidden="1" xr:uid="{639E3861-002C-4739-A6C4-180548142474}"/>
    <cellStyle name="20 % - Akzent6" xfId="7089" hidden="1" xr:uid="{12B58951-5E5E-49C8-BD03-5A329CA9059B}"/>
    <cellStyle name="20 % - Akzent6" xfId="7894" hidden="1" xr:uid="{AEB867CC-B89B-4ABF-A6A1-39992CFB6F40}"/>
    <cellStyle name="20 % - Akzent6" xfId="7701" hidden="1" xr:uid="{6124B15D-314E-4829-928B-0ABA8B462A72}"/>
    <cellStyle name="20 % - Akzent6" xfId="6953" hidden="1" xr:uid="{F73CD533-99BE-4ADE-883C-F6D0A71EA7C8}"/>
    <cellStyle name="20 % - Akzent6" xfId="8779" hidden="1" xr:uid="{A0084931-6215-4D44-83F0-37D10A4F34E1}"/>
    <cellStyle name="20 % - Akzent6" xfId="8812" hidden="1" xr:uid="{8745409F-9173-446E-8F0C-F6F6678A5C0A}"/>
    <cellStyle name="20 % - Akzent6" xfId="8867" hidden="1" xr:uid="{E57069CA-78B9-43DE-813C-47725FB314E5}"/>
    <cellStyle name="20 % - Akzent6" xfId="7973" hidden="1" xr:uid="{1CC611F9-4915-442A-968A-A31D78937F95}"/>
    <cellStyle name="20 % - Akzent6" xfId="9020" hidden="1" xr:uid="{58ACF011-A672-47CB-B71E-3EA0EA99E326}"/>
    <cellStyle name="20 % - Akzent6" xfId="9429" hidden="1" xr:uid="{38154590-52B6-45CB-81D1-1AADA51A6AF2}"/>
    <cellStyle name="20 % - Akzent6" xfId="10032" hidden="1" xr:uid="{F76EDE4C-002A-45EA-BDC7-157EC3561788}"/>
    <cellStyle name="20 % - Akzent6" xfId="9841" hidden="1" xr:uid="{F7E13B75-ACA5-4D94-9C32-C15B48BA409A}"/>
    <cellStyle name="20 % - Akzent6" xfId="10452" hidden="1" xr:uid="{12528008-112B-4CE6-B7F3-E4504A7F15AF}"/>
    <cellStyle name="20 % - Akzent6" xfId="9156" hidden="1" xr:uid="{CA4B0496-D2EF-4731-BB39-A877D17ED36E}"/>
    <cellStyle name="20 % - Akzent6" xfId="10851" hidden="1" xr:uid="{5DFBFF2F-F240-4DCD-A51F-3BFAC600D831}"/>
    <cellStyle name="20 % - Akzent6" xfId="10819" hidden="1" xr:uid="{02E640DF-ECDE-434B-894E-4183BBC4BC43}"/>
    <cellStyle name="20 % - Akzent6" xfId="10847" hidden="1" xr:uid="{935C58E1-78E9-4C86-9CA2-6CC6DBF42D9D}"/>
    <cellStyle name="20 % - Akzent6" xfId="8988" hidden="1" xr:uid="{0D928AF4-D134-4A13-9E64-72FA306EE930}"/>
    <cellStyle name="20 % - Akzent6" xfId="10564" hidden="1" xr:uid="{6AC3C10D-D83A-40AE-8C78-F48BA8E16214}"/>
    <cellStyle name="20 % - Akzent6" xfId="11246" hidden="1" xr:uid="{CCCCC012-0E83-42F1-98BF-7CD5375A16F2}"/>
    <cellStyle name="20 % - Akzent6" xfId="10334" hidden="1" xr:uid="{913F8725-7B89-48EF-AAD5-8365934337BC}"/>
    <cellStyle name="20 % - Akzent6" xfId="10976" hidden="1" xr:uid="{7389C8BD-054F-47A3-AD8F-24CBF2DA2FD1}"/>
    <cellStyle name="20 % - Akzent6" xfId="10507" hidden="1" xr:uid="{F93714B5-4B90-4612-8298-43902806526C}"/>
    <cellStyle name="20 % - Akzent6" xfId="11425" hidden="1" xr:uid="{C1414332-F221-4DD8-92C1-23E37094E8DB}"/>
    <cellStyle name="20 % - Akzent6" xfId="11846" hidden="1" xr:uid="{E88F4DB3-1AD2-412E-B675-8349B013A0C3}"/>
    <cellStyle name="20 % - Akzent6" xfId="12326" hidden="1" xr:uid="{C99A7388-F19E-4F74-826E-847C3D7D72B2}"/>
    <cellStyle name="20 % - Akzent6" xfId="11788" hidden="1" xr:uid="{DA3C52EE-BE32-4782-AB12-4E2DDB3D2435}"/>
    <cellStyle name="20 % - Akzent6" xfId="12302" hidden="1" xr:uid="{7625AFCB-8EFF-4EE3-A85D-4A620EE2444D}"/>
    <cellStyle name="20 % - Akzent6" xfId="13771" hidden="1" xr:uid="{02D9D627-0AC2-41D3-AFCB-20DACA0AE4D5}"/>
    <cellStyle name="20 % - Akzent6" xfId="13738" hidden="1" xr:uid="{1C33D131-F94A-484A-8974-FDF57BCF8A41}"/>
    <cellStyle name="20 % - Akzent6" xfId="13667" hidden="1" xr:uid="{3143C6B0-436B-495E-88D9-142E0839CCC6}"/>
    <cellStyle name="20 % - Akzent6" xfId="14359" hidden="1" xr:uid="{C69A0EAD-2CF3-4C49-ACBB-CFC7AA344380}"/>
    <cellStyle name="20 % - Akzent6" xfId="13848" hidden="1" xr:uid="{03A29398-C146-4619-89E2-BFBBBD5A3C76}"/>
    <cellStyle name="20 % - Akzent6" xfId="14640" hidden="1" xr:uid="{30D4B727-2CFD-4DAB-99AC-B793CF73BF6D}"/>
    <cellStyle name="20 % - Akzent6" xfId="14104" hidden="1" xr:uid="{13442106-9C1A-4368-B8C1-C9F82D28A334}"/>
    <cellStyle name="20 % - Akzent6" xfId="15060" hidden="1" xr:uid="{1F3DE76E-65A6-4A3D-A47A-9F08362424B8}"/>
    <cellStyle name="20 % - Akzent6" xfId="13800" hidden="1" xr:uid="{4D20BE25-5F16-4087-A7D9-8BC9CAFC43D0}"/>
    <cellStyle name="20 % - Akzent6" xfId="13205" hidden="1" xr:uid="{8ED69111-73B9-42C4-A79B-BA5F34703930}"/>
    <cellStyle name="20 % - Akzent6" xfId="13976" hidden="1" xr:uid="{7717662F-E57A-428E-AA3B-8A22D684F118}"/>
    <cellStyle name="20 % - Akzent6" xfId="14915" hidden="1" xr:uid="{43623469-4239-4ECD-9EF5-67C442A5E8A7}"/>
    <cellStyle name="20 % - Akzent6" xfId="15509" hidden="1" xr:uid="{5002A2E2-C912-4CF7-8A83-6B7FD1DB84A4}"/>
    <cellStyle name="20 % - Akzent6" xfId="15524" hidden="1" xr:uid="{E9516EB1-89ED-43E9-8408-D94F6C458CDF}"/>
    <cellStyle name="20 % - Akzent6" xfId="13832" hidden="1" xr:uid="{6483347D-8402-415A-AE8A-60DD2D8F049F}"/>
    <cellStyle name="20 % - Akzent6" xfId="15362" hidden="1" xr:uid="{1214974B-7478-47E4-914C-68EA4908689D}"/>
    <cellStyle name="20 % - Akzent6" xfId="15421" hidden="1" xr:uid="{BDF94513-C545-44A7-A2AD-365A73C9800C}"/>
    <cellStyle name="20 % - Akzent6" xfId="15831" hidden="1" xr:uid="{8D6F639A-492B-49CB-B535-015062FD582E}"/>
    <cellStyle name="20 % - Akzent6" xfId="15989" hidden="1" xr:uid="{55E7482E-623E-4BE6-829A-27D83716A6F6}"/>
    <cellStyle name="20 % - Akzent6" xfId="16024" hidden="1" xr:uid="{E87658C2-B9D6-4A8C-A062-CB76DCF9C940}"/>
    <cellStyle name="20 % - Akzent6" xfId="16117" hidden="1" xr:uid="{0AD84828-E946-49E1-9C51-CE7B068F8C8B}"/>
    <cellStyle name="20 % - Akzent6" xfId="16538" hidden="1" xr:uid="{06C9F732-E262-4575-888A-496C6ECB57D7}"/>
    <cellStyle name="20 % - Akzent6" xfId="17149" hidden="1" xr:uid="{11C36865-6C94-49BA-BDF9-63B466D08B39}"/>
    <cellStyle name="20 % - Akzent6" xfId="16956" hidden="1" xr:uid="{F16CAE80-8EB0-4F01-8052-4D166629B4F6}"/>
    <cellStyle name="20 % - Akzent6" xfId="17595" hidden="1" xr:uid="{E2BC6293-F6F4-46DA-908B-9D1A75329532}"/>
    <cellStyle name="20 % - Akzent6" xfId="16157" hidden="1" xr:uid="{DAF7ED46-1E76-444C-812A-A0194FFD058E}"/>
    <cellStyle name="20 % - Akzent6" xfId="18019" hidden="1" xr:uid="{6421BFAB-7B68-4750-ACEE-D0D5CA8623F3}"/>
    <cellStyle name="20 % - Akzent6" xfId="17990" hidden="1" xr:uid="{22253DA3-A0DE-4186-A81E-D39FAE51F08B}"/>
    <cellStyle name="20 % - Akzent6" xfId="18131" hidden="1" xr:uid="{8CD08DB8-6ABF-4660-8416-60D8C96B0882}"/>
    <cellStyle name="20 % - Akzent6" xfId="17336" hidden="1" xr:uid="{C7ED779E-BB35-4F9C-AB6A-FABCF4B63F97}"/>
    <cellStyle name="20 % - Akzent6" xfId="17075" hidden="1" xr:uid="{15A32525-4FB7-44C8-960C-1B158C86EF0C}"/>
    <cellStyle name="20 % - Akzent6" xfId="17358" hidden="1" xr:uid="{3EC8FDE1-A52F-40C8-A83C-A4720B1DF516}"/>
    <cellStyle name="20 % - Akzent6" xfId="18896" hidden="1" xr:uid="{C5F48B63-8DFF-48B6-9F60-D931ED410A6C}"/>
    <cellStyle name="20 % - Akzent6" xfId="18869" hidden="1" xr:uid="{2D82089E-21AE-4C9A-860C-CE4D18933CEE}"/>
    <cellStyle name="20 % - Akzent6" xfId="18985" hidden="1" xr:uid="{D4A0F389-F43D-4CCC-B1BF-7DAD8987FA34}"/>
    <cellStyle name="20 % - Akzent6" xfId="18968" hidden="1" xr:uid="{A3BC5B98-A272-41A0-A796-7506EC0CC4CC}"/>
    <cellStyle name="20 % - Akzent6" xfId="19238" hidden="1" xr:uid="{DB1F9579-03A2-4928-A942-FD100EDCF350}"/>
    <cellStyle name="20 % - Akzent6" xfId="19239" hidden="1" xr:uid="{CCE64596-859B-4E50-ACB7-8CDCE38E9CDE}"/>
    <cellStyle name="20 % - Akzent6" xfId="19450" hidden="1" xr:uid="{1F6B8B07-D626-4A05-A303-53A5AB3ECB90}"/>
    <cellStyle name="20 % - Akzent6" xfId="19875" hidden="1" xr:uid="{56DF2E64-515C-4A4F-AB1B-FB1D69CEAEA7}"/>
    <cellStyle name="20 % - Akzent6" xfId="20501" hidden="1" xr:uid="{8D7EC019-584F-4020-A2F2-B2F092FEC04A}"/>
    <cellStyle name="20 % - Akzent6" xfId="19792" hidden="1" xr:uid="{A7532804-6EAB-49A5-9978-FD340ECEE773}"/>
    <cellStyle name="20 % - Akzent6" xfId="20956" hidden="1" xr:uid="{3A9A7E4F-A819-411F-AAFF-CCAC0A28123D}"/>
    <cellStyle name="20 % - Akzent6" xfId="20418" hidden="1" xr:uid="{F9678441-9E03-4D58-84F5-44BE51BC166B}"/>
    <cellStyle name="20 % - Akzent6" xfId="21627" hidden="1" xr:uid="{2DE328C7-D98B-4823-8DFB-7D749351B400}"/>
    <cellStyle name="20 % - Akzent6" xfId="20942" hidden="1" xr:uid="{C487CBD3-BA07-44E8-A2A4-7B1A5F5E3E91}"/>
    <cellStyle name="20 % - Akzent6" xfId="21088" hidden="1" xr:uid="{AE8D7C90-817C-444E-BB72-C71212D754A5}"/>
    <cellStyle name="20 % - Akzent6" xfId="21603" hidden="1" xr:uid="{F1C810F4-6A80-4486-B125-AC27E7B5E227}"/>
    <cellStyle name="20 % - Akzent6" xfId="21885" hidden="1" xr:uid="{C760355D-8B85-440A-8538-16847B5CF1B7}"/>
    <cellStyle name="20 % - Akzent6" xfId="21649" hidden="1" xr:uid="{558555D9-196F-4EC6-BB55-E6A3E63D66CA}"/>
    <cellStyle name="20 % - Akzent6" xfId="22321" hidden="1" xr:uid="{226350A5-4197-4577-AA04-20E2659C78CE}"/>
    <cellStyle name="20 % - Akzent6" xfId="22084" hidden="1" xr:uid="{28878644-FB40-4AA0-B0D1-B8B1E0DCDAEA}"/>
    <cellStyle name="20 % - Akzent6" xfId="22764" hidden="1" xr:uid="{137FFB11-636C-4D5C-B68E-FA4C476AB90A}"/>
    <cellStyle name="20 % - Akzent6" xfId="22733" hidden="1" xr:uid="{6C2796CC-F4BE-4969-8176-8AF98D384989}"/>
    <cellStyle name="20 % - Akzent6" xfId="22502" hidden="1" xr:uid="{EE8E2ABA-CF61-4DF8-BAA1-9E45B0E5401F}"/>
    <cellStyle name="20 % - Akzent6" xfId="23172" hidden="1" xr:uid="{79C5FBF4-9878-4BE2-9D8C-36751E400E5E}"/>
    <cellStyle name="20 % - Akzent6" xfId="23145" hidden="1" xr:uid="{1F4E4E20-C575-44F4-B1CC-31B95D005E54}"/>
    <cellStyle name="20 % - Akzent6" xfId="23271" hidden="1" xr:uid="{CE39B517-37C6-4E7A-B94A-AB4371C11349}"/>
    <cellStyle name="20 % - Akzent6" xfId="22998" hidden="1" xr:uid="{E130C07D-69EB-4487-8431-25C9625D362C}"/>
    <cellStyle name="20 % - Akzent6" xfId="23649" hidden="1" xr:uid="{63440B00-7C05-4530-88F0-0371A03D7BBF}"/>
    <cellStyle name="20 % - Akzent6" xfId="20984" hidden="1" xr:uid="{C28F556B-2401-4B54-BF9C-5A69EF98902D}"/>
    <cellStyle name="20 % - Akzent6" xfId="23654" hidden="1" xr:uid="{2DD7D9C2-7BE4-49FD-A0F2-C6DDAA1461FF}"/>
    <cellStyle name="20 % - Akzent6" xfId="20559" hidden="1" xr:uid="{05402DC0-65A0-482F-8FCC-396AFC79AC1B}"/>
    <cellStyle name="20 % - Akzent6" xfId="24082" hidden="1" xr:uid="{78082C69-CD23-41C0-9093-551671679836}"/>
    <cellStyle name="20 % - Akzent6" xfId="24081" hidden="1" xr:uid="{B7F7046C-F3C1-44C7-8ACA-B2A1B06193CF}"/>
    <cellStyle name="20 % - Akzent6" xfId="24171" hidden="1" xr:uid="{736F8123-BD73-40C5-9FD8-1D9E11BC5012}"/>
    <cellStyle name="20 % - Akzent6" xfId="24128" hidden="1" xr:uid="{8AED1208-E7EC-4329-8A92-FA885AAAC504}"/>
    <cellStyle name="20 % - Akzent6" xfId="25134" hidden="1" xr:uid="{DFECD38D-B58D-45E0-AE77-8CC78C7755D6}"/>
    <cellStyle name="20 % - Akzent6" xfId="25428" hidden="1" xr:uid="{B1311F11-CD7A-408F-AA74-A2F820C3EED9}"/>
    <cellStyle name="20 % - Akzent6" xfId="25275" hidden="1" xr:uid="{9496E3D5-43BD-4EB2-B1AD-350C2598D226}"/>
    <cellStyle name="20 % - Akzent6" xfId="25997" hidden="1" xr:uid="{CBB98F8D-DEFE-4BD9-929D-6E71FF5F8724}"/>
    <cellStyle name="20 % - Akzent6" xfId="26125" hidden="1" xr:uid="{E8B4C493-8D6E-48C5-9455-F88DB579399E}"/>
    <cellStyle name="20 % - Akzent6" xfId="26295" hidden="1" xr:uid="{08CBA5D0-2EB7-4E9E-B99F-F45657C8C2AD}"/>
    <cellStyle name="20 % - Akzent6" xfId="26448" hidden="1" xr:uid="{22CB048F-63EF-4956-A58D-82670B919495}"/>
    <cellStyle name="20 % - Akzent6" xfId="26495" hidden="1" xr:uid="{107DF55A-FEED-4B92-B1B1-F6062196BDBF}"/>
    <cellStyle name="20 % - Akzent6" xfId="26424" hidden="1" xr:uid="{0332BF96-4268-4A43-9198-2BC2BC1C1AE3}"/>
    <cellStyle name="20 % - Akzent6" xfId="26465" hidden="1" xr:uid="{EDA7DBE7-361C-430E-929E-0A8F0F8F47B0}"/>
    <cellStyle name="20 % - Akzent6" xfId="26587" hidden="1" xr:uid="{1AF6C02E-500D-4B6A-AEB3-108AEBB6EFD4}"/>
    <cellStyle name="20 % - Akzent6" xfId="27219" hidden="1" xr:uid="{BB0B95C7-EF16-4721-81CF-89032DCE48F3}"/>
    <cellStyle name="20 % - Akzent6" xfId="27680" hidden="1" xr:uid="{6D1A3CBD-7AAF-4F01-9DD6-B84F10CC556D}"/>
    <cellStyle name="20 % - Akzent6" xfId="27815" hidden="1" xr:uid="{FAD2673E-1246-4AFC-8031-54488836DAB6}"/>
    <cellStyle name="20 % - Akzent6" xfId="27863" hidden="1" xr:uid="{739947DF-DF40-4FE3-863F-B8B63F78EC62}"/>
    <cellStyle name="20 % - Akzent6" xfId="27860" hidden="1" xr:uid="{E7245439-B66A-458A-A8FE-C90D0AF891F5}"/>
    <cellStyle name="20 % - Akzent6" xfId="27877" hidden="1" xr:uid="{85A7E5A6-12E7-4824-B64F-6F0417E2F53F}"/>
    <cellStyle name="20 % - Akzent6" xfId="27225" hidden="1" xr:uid="{C4441FEF-1829-4ED7-B358-E79EBDC61C4C}"/>
    <cellStyle name="20 % - Akzent6" xfId="27964" hidden="1" xr:uid="{1751BE74-B029-4879-AD6D-17E78AC81265}"/>
    <cellStyle name="20 % - Akzent6" xfId="28336" hidden="1" xr:uid="{7E88F180-D38A-4F78-AEF7-95B031FFCE54}"/>
    <cellStyle name="20 % - Akzent6" xfId="28808" hidden="1" xr:uid="{3ADB008D-7117-40EE-9D95-46B2E9A19FD6}"/>
    <cellStyle name="20 % - Akzent6" xfId="29351" hidden="1" xr:uid="{27E6D2D8-5744-47AD-B884-739D3E6B8F87}"/>
    <cellStyle name="20 % - Akzent6" xfId="28123" hidden="1" xr:uid="{5296B7CC-5685-4BD6-9B4B-672061F801BD}"/>
    <cellStyle name="20 % - Akzent6" xfId="29600" hidden="1" xr:uid="{50F3B08C-0BA7-4341-8F96-18143B65353A}"/>
    <cellStyle name="20 % - Akzent6" xfId="28347" hidden="1" xr:uid="{880A8ED1-2536-4025-B5D6-0D07600AE7CC}"/>
    <cellStyle name="20 % - Akzent6" xfId="30198" hidden="1" xr:uid="{73776D95-C4A6-4D6F-9E27-055E592D8E75}"/>
    <cellStyle name="20 % - Akzent6" xfId="30848" hidden="1" xr:uid="{3CAE0948-C355-4790-929E-91EA6E24A91E}"/>
    <cellStyle name="20 % - Akzent6" xfId="28192" hidden="1" xr:uid="{B6F4F460-43E7-4B32-959A-CCC77C67D372}"/>
    <cellStyle name="20 % - Akzent6 2" xfId="378" xr:uid="{5850BF70-A2EC-4AB5-95C4-B74DA708EC03}"/>
    <cellStyle name="20 % - Akzent6 3" xfId="247" xr:uid="{A69A9D41-3CEC-4757-885B-E7827CF64CE4}"/>
    <cellStyle name="20% - Accent1 2" xfId="79" xr:uid="{4193717C-FFEC-4794-B249-323D150DEAAA}"/>
    <cellStyle name="20% - Accent1 3" xfId="199" xr:uid="{C9BAA905-758C-402F-815B-FCB0EA621BD3}"/>
    <cellStyle name="20% - Accent2 2" xfId="80" xr:uid="{3367C226-7B3A-4974-8F7E-518C6BCCFE09}"/>
    <cellStyle name="20% - Accent2 3" xfId="200" xr:uid="{36A78BAE-F5B7-4734-83A0-73A323ED0297}"/>
    <cellStyle name="20% - Accent3 2" xfId="81" xr:uid="{4751DC7A-BC27-43A2-A539-96B6D33685C7}"/>
    <cellStyle name="20% - Accent3 3" xfId="201" xr:uid="{0673E65C-C905-4031-8715-EFAEEB4105D7}"/>
    <cellStyle name="20% - Accent4 2" xfId="82" xr:uid="{1E7667DA-48AB-4E15-9321-A6A4761322F5}"/>
    <cellStyle name="20% - Accent4 3" xfId="202" xr:uid="{3E488966-8BE0-4181-8362-093FE6F82FB4}"/>
    <cellStyle name="20% - Accent5 2" xfId="83" xr:uid="{BE21D9F4-8FCB-43B7-94B9-5249D0C6B312}"/>
    <cellStyle name="20% - Accent5 3" xfId="203" xr:uid="{DC1A1614-93E3-4297-94ED-87DE3966017A}"/>
    <cellStyle name="20% - Accent6 2" xfId="84" xr:uid="{D96070ED-B653-4242-A32D-79B8B2727994}"/>
    <cellStyle name="20% - Accent6 3" xfId="204" xr:uid="{E843DBC9-5725-4D85-957B-433B18F3384A}"/>
    <cellStyle name="2x indented GHG Textfiels" xfId="9" xr:uid="{F7089D7B-3400-4E54-98E4-547CC2BEF91B}"/>
    <cellStyle name="2x indented GHG Textfiels 2" xfId="85" xr:uid="{CCF6551B-D6A7-4865-B7D6-4B5D864DFEC0}"/>
    <cellStyle name="2x indented GHG Textfiels 2 2" xfId="86" xr:uid="{73E2564E-CF61-409B-8CE5-AFEB2E3DE202}"/>
    <cellStyle name="2x indented GHG Textfiels 3" xfId="87" xr:uid="{F1C25705-7861-488C-92E9-B89B38F602C0}"/>
    <cellStyle name="2x indented GHG Textfiels 3 2" xfId="400" xr:uid="{C1F5881A-58D9-4F1B-BD47-1B7547073139}"/>
    <cellStyle name="2x indented GHG Textfiels 3 2 2" xfId="530" xr:uid="{D8876BF9-2D4D-4834-9234-5BDB78A13398}"/>
    <cellStyle name="2x indented GHG Textfiels 3 2 2 10" xfId="4905" xr:uid="{768429E1-809E-428B-A7CA-B2BC5264242A}"/>
    <cellStyle name="2x indented GHG Textfiels 3 2 2 11" xfId="5178" xr:uid="{5674B5FA-E48F-4149-B834-263F6907C633}"/>
    <cellStyle name="2x indented GHG Textfiels 3 2 2 12" xfId="4919" xr:uid="{5FA34038-AF08-478C-8A05-87D2E7CB21AF}"/>
    <cellStyle name="2x indented GHG Textfiels 3 2 2 13" xfId="6332" xr:uid="{CD188BD3-2D71-4F80-93FC-B0D4C730CEFA}"/>
    <cellStyle name="2x indented GHG Textfiels 3 2 2 14" xfId="6443" xr:uid="{850EA140-7BC2-4E2C-8C7A-4ED6E8D1A085}"/>
    <cellStyle name="2x indented GHG Textfiels 3 2 2 15" xfId="7250" xr:uid="{4A7CD1C7-FC63-4670-AF82-7D66C068C64D}"/>
    <cellStyle name="2x indented GHG Textfiels 3 2 2 16" xfId="7839" xr:uid="{62842630-CB9C-4EEE-B496-5F2B4A624C46}"/>
    <cellStyle name="2x indented GHG Textfiels 3 2 2 17" xfId="7686" xr:uid="{54D10889-AD31-4638-8F02-DB35F6CEEBE0}"/>
    <cellStyle name="2x indented GHG Textfiels 3 2 2 18" xfId="7875" xr:uid="{2351C8E1-DF9D-4A16-B9E3-6D400C876091}"/>
    <cellStyle name="2x indented GHG Textfiels 3 2 2 19" xfId="9464" xr:uid="{72EEFBE8-EC2D-486E-9B57-CEE4DD711127}"/>
    <cellStyle name="2x indented GHG Textfiels 3 2 2 2" xfId="745" xr:uid="{04BDF264-ACC0-49B0-96B5-52A5AA632BE7}"/>
    <cellStyle name="2x indented GHG Textfiels 3 2 2 2 10" xfId="5393" xr:uid="{0E619B84-0258-471E-81A6-6C0A3D7D6A77}"/>
    <cellStyle name="2x indented GHG Textfiels 3 2 2 2 11" xfId="3272" xr:uid="{816CACEC-D624-4204-8DFD-E3123F568C3E}"/>
    <cellStyle name="2x indented GHG Textfiels 3 2 2 2 12" xfId="6316" xr:uid="{A444C82B-9C42-4D6A-895A-7E5DC05203EC}"/>
    <cellStyle name="2x indented GHG Textfiels 3 2 2 2 13" xfId="6346" xr:uid="{413EF819-FE6C-4BF0-80AF-E2114DC467BD}"/>
    <cellStyle name="2x indented GHG Textfiels 3 2 2 2 14" xfId="7465" xr:uid="{AE76F034-E03F-41E3-B1CA-0495F938FA19}"/>
    <cellStyle name="2x indented GHG Textfiels 3 2 2 2 15" xfId="7193" xr:uid="{A2EF56D2-FF27-4504-BD67-E5F6BF22C5CB}"/>
    <cellStyle name="2x indented GHG Textfiels 3 2 2 2 16" xfId="7149" xr:uid="{1C38DBD5-F0FD-41C0-84D2-C8841F2E0038}"/>
    <cellStyle name="2x indented GHG Textfiels 3 2 2 2 17" xfId="8713" xr:uid="{CDFBB120-81E5-4E44-B9FB-A03D1BE2485B}"/>
    <cellStyle name="2x indented GHG Textfiels 3 2 2 2 18" xfId="9679" xr:uid="{EB827221-E097-4084-A4FE-6144B3805308}"/>
    <cellStyle name="2x indented GHG Textfiels 3 2 2 2 19" xfId="9406" xr:uid="{818F7DFE-D978-4934-B384-5A621D66CC59}"/>
    <cellStyle name="2x indented GHG Textfiels 3 2 2 2 2" xfId="1219" xr:uid="{AFBCC0A0-C51E-4E7C-86C3-CA5214DFC989}"/>
    <cellStyle name="2x indented GHG Textfiels 3 2 2 2 20" xfId="9914" xr:uid="{E133C78B-9506-4BFC-B3C7-F8E6AC3A8ACB}"/>
    <cellStyle name="2x indented GHG Textfiels 3 2 2 2 21" xfId="10646" xr:uid="{060BFF85-1B73-488B-A683-C635ABEBB63F}"/>
    <cellStyle name="2x indented GHG Textfiels 3 2 2 2 22" xfId="11054" xr:uid="{59D85CC7-E04D-4D7E-883E-2B0B55CA0329}"/>
    <cellStyle name="2x indented GHG Textfiels 3 2 2 2 23" xfId="12098" xr:uid="{0CC69A71-4407-4FF4-A411-A71ACC199C02}"/>
    <cellStyle name="2x indented GHG Textfiels 3 2 2 2 24" xfId="12571" xr:uid="{996F3583-9ED9-4560-8569-CB878F1A7C51}"/>
    <cellStyle name="2x indented GHG Textfiels 3 2 2 2 25" xfId="13005" xr:uid="{1107BBB5-4C49-4A01-B845-C337CA8C1EFC}"/>
    <cellStyle name="2x indented GHG Textfiels 3 2 2 2 26" xfId="13442" xr:uid="{5D79BA41-6A06-47ED-964B-CCA7FA6B6AB7}"/>
    <cellStyle name="2x indented GHG Textfiels 3 2 2 2 27" xfId="11824" xr:uid="{7850D400-40C7-4102-A03D-2864F9ECC3E7}"/>
    <cellStyle name="2x indented GHG Textfiels 3 2 2 2 28" xfId="11790" xr:uid="{61C98993-CCA0-4F39-871F-B541A3D86AA6}"/>
    <cellStyle name="2x indented GHG Textfiels 3 2 2 2 29" xfId="13392" xr:uid="{78886C00-518C-4C44-A219-D6200BE01511}"/>
    <cellStyle name="2x indented GHG Textfiels 3 2 2 2 3" xfId="1434" xr:uid="{646DDDA3-F706-4F6D-A9E3-BFC07DDE008C}"/>
    <cellStyle name="2x indented GHG Textfiels 3 2 2 2 30" xfId="15030" xr:uid="{B53E8F4B-9762-4214-9C58-B1AC52D64026}"/>
    <cellStyle name="2x indented GHG Textfiels 3 2 2 2 31" xfId="15368" xr:uid="{F7AB9582-B14E-4FFC-A68E-B6AFA8FEBBBC}"/>
    <cellStyle name="2x indented GHG Textfiels 3 2 2 2 32" xfId="15714" xr:uid="{B7449844-BA3A-4792-8AE0-2F99D4BC08C6}"/>
    <cellStyle name="2x indented GHG Textfiels 3 2 2 2 33" xfId="16790" xr:uid="{8F3DA545-9072-49E1-A051-48DAC4023AC5}"/>
    <cellStyle name="2x indented GHG Textfiels 3 2 2 2 34" xfId="16515" xr:uid="{6EB2116D-A33A-44C1-B6B8-056760CA7D37}"/>
    <cellStyle name="2x indented GHG Textfiels 3 2 2 2 35" xfId="17027" xr:uid="{BE0FE6AC-BAD1-4A92-97DF-5B9FF079D90D}"/>
    <cellStyle name="2x indented GHG Textfiels 3 2 2 2 36" xfId="16986" xr:uid="{8C101223-6816-40F3-B149-B34534385179}"/>
    <cellStyle name="2x indented GHG Textfiels 3 2 2 2 37" xfId="18608" xr:uid="{6B157A06-E4FF-4A8C-B3ED-C3E64A897ABB}"/>
    <cellStyle name="2x indented GHG Textfiels 3 2 2 2 38" xfId="18794" xr:uid="{176ED35B-27EC-4BB8-872B-B4FEA12990F7}"/>
    <cellStyle name="2x indented GHG Textfiels 3 2 2 2 39" xfId="16293" xr:uid="{08B526F1-8FF7-4F6D-A88C-C26682368DC5}"/>
    <cellStyle name="2x indented GHG Textfiels 3 2 2 2 4" xfId="2567" xr:uid="{96A874E8-F3CE-4048-BAF4-372F4E0B065C}"/>
    <cellStyle name="2x indented GHG Textfiels 3 2 2 2 40" xfId="20127" xr:uid="{9D6CD23A-B0A2-4A71-8248-3316CEBCC29D}"/>
    <cellStyle name="2x indented GHG Textfiels 3 2 2 2 41" xfId="19851" xr:uid="{5EF2770C-557D-4B98-8CA2-8A69331677FE}"/>
    <cellStyle name="2x indented GHG Textfiels 3 2 2 2 42" xfId="20518" xr:uid="{FA4C21B8-2FF9-4266-945D-DB71F84A3E2E}"/>
    <cellStyle name="2x indented GHG Textfiels 3 2 2 2 43" xfId="21258" xr:uid="{5579572A-0F6D-434A-8AF4-14B6216EA62A}"/>
    <cellStyle name="2x indented GHG Textfiels 3 2 2 2 44" xfId="20857" xr:uid="{9294A271-8D5D-42CE-89DE-AED4B1D7D9AF}"/>
    <cellStyle name="2x indented GHG Textfiels 3 2 2 2 45" xfId="21068" xr:uid="{6FF6AF64-24A7-4FFC-903C-D5F024551C89}"/>
    <cellStyle name="2x indented GHG Textfiels 3 2 2 2 46" xfId="22334" xr:uid="{45EF7F09-651B-467D-BFA7-8BA42E17B24D}"/>
    <cellStyle name="2x indented GHG Textfiels 3 2 2 2 47" xfId="23066" xr:uid="{0B3A0C92-0C95-42B7-982B-2025D229681B}"/>
    <cellStyle name="2x indented GHG Textfiels 3 2 2 2 48" xfId="23635" xr:uid="{EB6B2216-272D-4935-A05D-FF08B5959A82}"/>
    <cellStyle name="2x indented GHG Textfiels 3 2 2 2 49" xfId="23927" xr:uid="{329B6D2E-4D5B-4B8F-ADE4-A1FDC69F7BBE}"/>
    <cellStyle name="2x indented GHG Textfiels 3 2 2 2 5" xfId="1984" xr:uid="{06D9439A-F6EE-4768-B298-1323059E82D9}"/>
    <cellStyle name="2x indented GHG Textfiels 3 2 2 2 50" xfId="24835" xr:uid="{8563DA94-0DEA-470B-863B-EB8C61B661C5}"/>
    <cellStyle name="2x indented GHG Textfiels 3 2 2 2 51" xfId="24552" xr:uid="{44C47E97-423F-4542-833B-16136F452C76}"/>
    <cellStyle name="2x indented GHG Textfiels 3 2 2 2 52" xfId="25751" xr:uid="{79A86BED-E175-4452-8F46-48C1ED492CC7}"/>
    <cellStyle name="2x indented GHG Textfiels 3 2 2 2 53" xfId="24318" xr:uid="{FDA52B80-2196-42CD-A822-F969B36B8316}"/>
    <cellStyle name="2x indented GHG Textfiels 3 2 2 2 54" xfId="26593" xr:uid="{22A66E5E-16AF-464B-B63C-18067A48C43A}"/>
    <cellStyle name="2x indented GHG Textfiels 3 2 2 2 55" xfId="27039" xr:uid="{8C535A71-7582-4D11-A297-D2115B348327}"/>
    <cellStyle name="2x indented GHG Textfiels 3 2 2 2 56" xfId="27458" xr:uid="{562CEDD6-0C7B-4BEB-81C6-7CF353781365}"/>
    <cellStyle name="2x indented GHG Textfiels 3 2 2 2 57" xfId="26348" xr:uid="{1E5E0BED-D6EC-4D9A-820E-6B104C1CC3A2}"/>
    <cellStyle name="2x indented GHG Textfiels 3 2 2 2 58" xfId="28585" xr:uid="{9C2F783B-ADA0-46F8-9C07-92E158C02318}"/>
    <cellStyle name="2x indented GHG Textfiels 3 2 2 2 59" xfId="29052" xr:uid="{1EE7C055-F724-40AF-8F6A-6D7578C45597}"/>
    <cellStyle name="2x indented GHG Textfiels 3 2 2 2 6" xfId="3361" xr:uid="{6F6A582A-2735-4E0B-BBC7-69D758DEDC84}"/>
    <cellStyle name="2x indented GHG Textfiels 3 2 2 2 60" xfId="28784" xr:uid="{2B858F80-326F-4C83-ADE6-07CC12DB8CA1}"/>
    <cellStyle name="2x indented GHG Textfiels 3 2 2 2 61" xfId="29841" xr:uid="{40447C05-82FD-48EC-9196-72E323F19B01}"/>
    <cellStyle name="2x indented GHG Textfiels 3 2 2 2 62" xfId="30247" xr:uid="{369A8193-00C2-43B1-9C8D-C180E5A0E1BA}"/>
    <cellStyle name="2x indented GHG Textfiels 3 2 2 2 63" xfId="30664" xr:uid="{DA4AA68E-0D94-4480-9DAA-69B6E05D634E}"/>
    <cellStyle name="2x indented GHG Textfiels 3 2 2 2 64" xfId="29989" xr:uid="{D49B37CE-EDC1-4D89-A933-F09E14C229A7}"/>
    <cellStyle name="2x indented GHG Textfiels 3 2 2 2 65" xfId="31280" xr:uid="{6C6CFE19-7635-48D1-A1B4-95F419F01580}"/>
    <cellStyle name="2x indented GHG Textfiels 3 2 2 2 7" xfId="4063" xr:uid="{4690F0F7-A58B-4BDB-99EA-C27CC37EE8CA}"/>
    <cellStyle name="2x indented GHG Textfiels 3 2 2 2 8" xfId="4500" xr:uid="{F585C6A6-73B3-4028-B28F-8BC8D95E8C6B}"/>
    <cellStyle name="2x indented GHG Textfiels 3 2 2 2 9" xfId="2995" xr:uid="{E7F79009-0885-4159-B2C0-6E193FFBFD97}"/>
    <cellStyle name="2x indented GHG Textfiels 3 2 2 20" xfId="10051" xr:uid="{04583B95-CB91-4DC0-9527-56F65C68E595}"/>
    <cellStyle name="2x indented GHG Textfiels 3 2 2 21" xfId="10471" xr:uid="{DB4FB35E-7693-4DFD-8A62-442DB5A57E8B}"/>
    <cellStyle name="2x indented GHG Textfiels 3 2 2 22" xfId="10975" xr:uid="{ABB7DDFF-21C8-4715-8DB4-DC4223521E21}"/>
    <cellStyle name="2x indented GHG Textfiels 3 2 2 23" xfId="10743" xr:uid="{BD53A43C-B24A-41A8-8291-46818249F6FB}"/>
    <cellStyle name="2x indented GHG Textfiels 3 2 2 24" xfId="11883" xr:uid="{8F1B398D-101F-46DC-B795-04CF1D3BC92E}"/>
    <cellStyle name="2x indented GHG Textfiels 3 2 2 25" xfId="12356" xr:uid="{C429C9AA-5C42-4F8F-9961-9ED2A22CA583}"/>
    <cellStyle name="2x indented GHG Textfiels 3 2 2 26" xfId="12790" xr:uid="{7BCC632F-0ED9-425E-AA84-9245974A307B}"/>
    <cellStyle name="2x indented GHG Textfiels 3 2 2 27" xfId="13227" xr:uid="{91292DA8-01AD-4D8A-97C1-55A305F9D06D}"/>
    <cellStyle name="2x indented GHG Textfiels 3 2 2 28" xfId="13946" xr:uid="{38F325D2-1865-4EDC-B258-4CF4E0E969CA}"/>
    <cellStyle name="2x indented GHG Textfiels 3 2 2 29" xfId="14116" xr:uid="{9DBBF6A1-99E4-479C-959E-2A74AC26C6B3}"/>
    <cellStyle name="2x indented GHG Textfiels 3 2 2 3" xfId="1013" xr:uid="{5875B3B2-D470-469F-A45B-074D534063F7}"/>
    <cellStyle name="2x indented GHG Textfiels 3 2 2 30" xfId="14593" xr:uid="{D6EF98BB-220D-4C21-B7BB-72ED821E22ED}"/>
    <cellStyle name="2x indented GHG Textfiels 3 2 2 31" xfId="14806" xr:uid="{14B90343-E087-44E9-A14C-693FBDB6EDCD}"/>
    <cellStyle name="2x indented GHG Textfiels 3 2 2 32" xfId="15471" xr:uid="{B834D765-4197-462F-8813-58AD4BDA7AFD}"/>
    <cellStyle name="2x indented GHG Textfiels 3 2 2 33" xfId="15881" xr:uid="{52864783-C1A8-4E8D-8EA5-C7355144CFEA}"/>
    <cellStyle name="2x indented GHG Textfiels 3 2 2 34" xfId="16575" xr:uid="{68DA7862-A6D1-4CC0-A496-9B9EA0F0E7DF}"/>
    <cellStyle name="2x indented GHG Textfiels 3 2 2 35" xfId="17169" xr:uid="{5BC4BF3E-B869-408C-A742-6C8357BDBDB6}"/>
    <cellStyle name="2x indented GHG Textfiels 3 2 2 36" xfId="17614" xr:uid="{53153037-3780-46EC-85B2-4E7B0EC85581}"/>
    <cellStyle name="2x indented GHG Textfiels 3 2 2 37" xfId="16411" xr:uid="{82298AC3-6B3A-40C6-BBED-A0560CE7A55C}"/>
    <cellStyle name="2x indented GHG Textfiels 3 2 2 38" xfId="18393" xr:uid="{E749B8C5-9210-4881-B7F2-6C9E11AE3A43}"/>
    <cellStyle name="2x indented GHG Textfiels 3 2 2 39" xfId="17578" xr:uid="{D258B36E-2C33-46A7-8FDF-FEFACC41B5E8}"/>
    <cellStyle name="2x indented GHG Textfiels 3 2 2 4" xfId="1660" xr:uid="{436315F3-75CC-4577-9116-E04845517F8A}"/>
    <cellStyle name="2x indented GHG Textfiels 3 2 2 40" xfId="19240" xr:uid="{44256B67-6FDD-41A4-A627-333845E81250}"/>
    <cellStyle name="2x indented GHG Textfiels 3 2 2 41" xfId="19912" xr:uid="{7CA5C860-2437-439C-801B-CA1E33455DEE}"/>
    <cellStyle name="2x indented GHG Textfiels 3 2 2 42" xfId="20521" xr:uid="{5347F695-9288-4FAA-BC36-5C020C3C09CD}"/>
    <cellStyle name="2x indented GHG Textfiels 3 2 2 43" xfId="20974" xr:uid="{68E24A1A-1FB1-4044-BD74-2C4660E9685F}"/>
    <cellStyle name="2x indented GHG Textfiels 3 2 2 44" xfId="21050" xr:uid="{7D20BF35-6438-421E-8B73-B867F473112C}"/>
    <cellStyle name="2x indented GHG Textfiels 3 2 2 45" xfId="21905" xr:uid="{6C12D41D-3AAE-49EA-8BF6-25D665CBA524}"/>
    <cellStyle name="2x indented GHG Textfiels 3 2 2 46" xfId="22339" xr:uid="{F6617481-5406-470F-903C-C95765E674C8}"/>
    <cellStyle name="2x indented GHG Textfiels 3 2 2 47" xfId="22920" xr:uid="{C5D09541-0CFF-4CC1-ACFF-70BA8E465B74}"/>
    <cellStyle name="2x indented GHG Textfiels 3 2 2 48" xfId="21379" xr:uid="{97DD4E68-3637-46FA-91CD-03D45BAE9404}"/>
    <cellStyle name="2x indented GHG Textfiels 3 2 2 49" xfId="23528" xr:uid="{7BC4F42A-5521-43B7-9880-BB26816E097E}"/>
    <cellStyle name="2x indented GHG Textfiels 3 2 2 5" xfId="2352" xr:uid="{FD061628-F954-40EF-BAB0-75A1A177DBEF}"/>
    <cellStyle name="2x indented GHG Textfiels 3 2 2 50" xfId="23721" xr:uid="{CB3B2CFF-5CDF-4CAB-973B-8B0B4E1240F5}"/>
    <cellStyle name="2x indented GHG Textfiels 3 2 2 51" xfId="24620" xr:uid="{C3EDFA23-C387-44B3-8D14-71A6A704D987}"/>
    <cellStyle name="2x indented GHG Textfiels 3 2 2 52" xfId="25230" xr:uid="{13F34DDB-3F45-41F6-9777-BC66D4FE00BC}"/>
    <cellStyle name="2x indented GHG Textfiels 3 2 2 53" xfId="25538" xr:uid="{3BB4953C-3DAE-40C8-B8CC-E52E5D54619A}"/>
    <cellStyle name="2x indented GHG Textfiels 3 2 2 54" xfId="26226" xr:uid="{B017DF86-C2CC-4A83-94C5-42D59BA1BC44}"/>
    <cellStyle name="2x indented GHG Textfiels 3 2 2 55" xfId="25944" xr:uid="{5698F68D-8CCA-47A4-95F1-BD5297664C50}"/>
    <cellStyle name="2x indented GHG Textfiels 3 2 2 56" xfId="26828" xr:uid="{2250F9A7-2783-4A12-BD41-4079FDF58F47}"/>
    <cellStyle name="2x indented GHG Textfiels 3 2 2 57" xfId="27247" xr:uid="{7775A8A0-0905-46CB-85AE-43A1E49B1D0E}"/>
    <cellStyle name="2x indented GHG Textfiels 3 2 2 58" xfId="27754" xr:uid="{27E00CF0-86F2-4992-B734-B0A1071EF757}"/>
    <cellStyle name="2x indented GHG Textfiels 3 2 2 59" xfId="28370" xr:uid="{5FA621CB-167D-4109-8B3A-3BB0D40CA43E}"/>
    <cellStyle name="2x indented GHG Textfiels 3 2 2 6" xfId="3114" xr:uid="{E9CC071E-4A46-4419-BA73-B1667419CFC0}"/>
    <cellStyle name="2x indented GHG Textfiels 3 2 2 60" xfId="28838" xr:uid="{7DCD7DEB-E7D1-457F-86B4-93F671849B7C}"/>
    <cellStyle name="2x indented GHG Textfiels 3 2 2 61" xfId="29369" xr:uid="{0C35F649-28F0-4F2F-942A-21E372F19F15}"/>
    <cellStyle name="2x indented GHG Textfiels 3 2 2 62" xfId="29628" xr:uid="{C27B4F12-522B-4B36-A50D-0E54FBFD151D}"/>
    <cellStyle name="2x indented GHG Textfiels 3 2 2 63" xfId="30036" xr:uid="{EB85FD37-5F6D-460A-B4DD-D4F1422A0A0B}"/>
    <cellStyle name="2x indented GHG Textfiels 3 2 2 64" xfId="30450" xr:uid="{74DBD34B-5D3F-42A7-B2C3-8FAD26C05812}"/>
    <cellStyle name="2x indented GHG Textfiels 3 2 2 65" xfId="30989" xr:uid="{735A7CE7-1188-4470-A46E-A01F25CD778F}"/>
    <cellStyle name="2x indented GHG Textfiels 3 2 2 66" xfId="31074" xr:uid="{5D6C148A-2F22-4D05-BD16-DFD9585C5BFD}"/>
    <cellStyle name="2x indented GHG Textfiels 3 2 2 7" xfId="3293" xr:uid="{C8F13DE8-7BFC-4342-928C-A547C81BDF8E}"/>
    <cellStyle name="2x indented GHG Textfiels 3 2 2 8" xfId="3848" xr:uid="{86DC81DB-7F97-45A3-8AEC-CC355C39A93D}"/>
    <cellStyle name="2x indented GHG Textfiels 3 2 2 9" xfId="4286" xr:uid="{2B7AE233-FABB-4C66-A45D-AB398A283414}"/>
    <cellStyle name="2x indented GHG Textfiels 3 2 3" xfId="708" xr:uid="{701C347E-6889-48D3-B21D-28CBDD86F52B}"/>
    <cellStyle name="2x indented GHG Textfiels 3 2 3 10" xfId="5356" xr:uid="{07037DEE-4468-464B-A0F7-7C147EA73BDE}"/>
    <cellStyle name="2x indented GHG Textfiels 3 2 3 11" xfId="2055" xr:uid="{A64ECEB6-0BD7-4669-890E-73A86E532D19}"/>
    <cellStyle name="2x indented GHG Textfiels 3 2 3 12" xfId="6286" xr:uid="{E4D78378-8616-4E44-8326-0B7269FEA037}"/>
    <cellStyle name="2x indented GHG Textfiels 3 2 3 13" xfId="6456" xr:uid="{A7F85992-A4F7-470F-A022-4E7DBBB0F309}"/>
    <cellStyle name="2x indented GHG Textfiels 3 2 3 14" xfId="7428" xr:uid="{91533197-D26A-4C49-B1E1-6AEA3BB0118F}"/>
    <cellStyle name="2x indented GHG Textfiels 3 2 3 15" xfId="7209" xr:uid="{E72D8843-8E2A-454F-B9C6-841102323953}"/>
    <cellStyle name="2x indented GHG Textfiels 3 2 3 16" xfId="8426" xr:uid="{D6F911C1-F9EB-473F-AC66-B2840F4BBC23}"/>
    <cellStyle name="2x indented GHG Textfiels 3 2 3 17" xfId="8275" xr:uid="{D2F16A18-5A15-4384-90ED-DEDC6D266A5D}"/>
    <cellStyle name="2x indented GHG Textfiels 3 2 3 18" xfId="9642" xr:uid="{BA5C20EE-7E7B-4C7C-B9FF-09ADE4DC011F}"/>
    <cellStyle name="2x indented GHG Textfiels 3 2 3 19" xfId="9423" xr:uid="{821D3A82-041D-4498-9E28-24DB02EFB6AA}"/>
    <cellStyle name="2x indented GHG Textfiels 3 2 3 2" xfId="1182" xr:uid="{02AD6ADA-C412-4F31-B66D-62EE26B7A28E}"/>
    <cellStyle name="2x indented GHG Textfiels 3 2 3 20" xfId="10175" xr:uid="{623EF209-1211-45F1-8C14-3B3F27645511}"/>
    <cellStyle name="2x indented GHG Textfiels 3 2 3 21" xfId="10912" xr:uid="{0A6D4F7A-E78E-4D94-B670-DED1FE53EB6F}"/>
    <cellStyle name="2x indented GHG Textfiels 3 2 3 22" xfId="10938" xr:uid="{8CA1904E-7F5B-4842-99CC-C2E49325F6D9}"/>
    <cellStyle name="2x indented GHG Textfiels 3 2 3 23" xfId="12061" xr:uid="{A54CA93E-77B6-4663-86A0-5778BE384CFD}"/>
    <cellStyle name="2x indented GHG Textfiels 3 2 3 24" xfId="12534" xr:uid="{8BE23C49-4838-47CA-85BF-596CA06D0208}"/>
    <cellStyle name="2x indented GHG Textfiels 3 2 3 25" xfId="12968" xr:uid="{48C2D4EC-8F58-407E-9688-8676824FA325}"/>
    <cellStyle name="2x indented GHG Textfiels 3 2 3 26" xfId="13405" xr:uid="{076584AF-8FA5-4006-8E6A-106FEE829DFD}"/>
    <cellStyle name="2x indented GHG Textfiels 3 2 3 27" xfId="13936" xr:uid="{B17BF812-0103-4A81-9CCC-0903B729A943}"/>
    <cellStyle name="2x indented GHG Textfiels 3 2 3 28" xfId="14261" xr:uid="{66597B96-7778-433C-97E6-CBE0B6A0CE5A}"/>
    <cellStyle name="2x indented GHG Textfiels 3 2 3 29" xfId="12739" xr:uid="{674AEF9D-F84A-4BDB-893E-CECCBBA19F18}"/>
    <cellStyle name="2x indented GHG Textfiels 3 2 3 3" xfId="1472" xr:uid="{93E584BA-BD6F-4A25-B5AF-125E4C1F9D53}"/>
    <cellStyle name="2x indented GHG Textfiels 3 2 3 30" xfId="14838" xr:uid="{301548AC-6874-40EB-84A4-B061DBBE44E6}"/>
    <cellStyle name="2x indented GHG Textfiels 3 2 3 31" xfId="14177" xr:uid="{2B78D8B3-9A36-45C7-8775-E9D53CC83ECF}"/>
    <cellStyle name="2x indented GHG Textfiels 3 2 3 32" xfId="15074" xr:uid="{6C53C014-FF9A-4C7F-A173-A54C5549F078}"/>
    <cellStyle name="2x indented GHG Textfiels 3 2 3 33" xfId="16753" xr:uid="{C3E9A4DA-2730-4F38-B6D9-4C8CBA7FB118}"/>
    <cellStyle name="2x indented GHG Textfiels 3 2 3 34" xfId="16532" xr:uid="{9C53D182-9AEC-4033-91CA-7CF9CA70DCD3}"/>
    <cellStyle name="2x indented GHG Textfiels 3 2 3 35" xfId="17296" xr:uid="{B22974CF-BC72-41B4-A3F0-8D82112E11C1}"/>
    <cellStyle name="2x indented GHG Textfiels 3 2 3 36" xfId="18104" xr:uid="{C8B25AFB-9FE6-488B-B110-75D2FF782337}"/>
    <cellStyle name="2x indented GHG Textfiels 3 2 3 37" xfId="18571" xr:uid="{FC48E087-E9F2-49D4-8B83-0F8596DF19E1}"/>
    <cellStyle name="2x indented GHG Textfiels 3 2 3 38" xfId="18353" xr:uid="{84282FDB-D1AA-4AE1-A7C0-121591E4F840}"/>
    <cellStyle name="2x indented GHG Textfiels 3 2 3 39" xfId="19308" xr:uid="{CB2F690D-BF1C-47CF-976A-7B1BBD9365A9}"/>
    <cellStyle name="2x indented GHG Textfiels 3 2 3 4" xfId="2530" xr:uid="{C328E282-9333-4227-8767-507CBE91CE17}"/>
    <cellStyle name="2x indented GHG Textfiels 3 2 3 40" xfId="20090" xr:uid="{2B7D184E-98DC-4D32-971C-083A64996A44}"/>
    <cellStyle name="2x indented GHG Textfiels 3 2 3 41" xfId="19868" xr:uid="{9A8B9CEA-FF50-4332-A7D5-BD1B34C7F0F2}"/>
    <cellStyle name="2x indented GHG Textfiels 3 2 3 42" xfId="19762" xr:uid="{20C5BBFA-4209-4041-B84A-9DA184F5463A}"/>
    <cellStyle name="2x indented GHG Textfiels 3 2 3 43" xfId="20973" xr:uid="{A4594782-9BD4-429D-B9CD-DEE4443A9B3E}"/>
    <cellStyle name="2x indented GHG Textfiels 3 2 3 44" xfId="21691" xr:uid="{0E3BEA2A-1690-4E4E-892D-3330EB27C474}"/>
    <cellStyle name="2x indented GHG Textfiels 3 2 3 45" xfId="22130" xr:uid="{FB6F58A9-D129-45BE-8199-58B156AEB388}"/>
    <cellStyle name="2x indented GHG Textfiels 3 2 3 46" xfId="22911" xr:uid="{023FCD06-56EB-4FB3-93E0-EF7F40791DF6}"/>
    <cellStyle name="2x indented GHG Textfiels 3 2 3 47" xfId="22082" xr:uid="{E39DD038-3586-4513-B487-6A5EFC036ED2}"/>
    <cellStyle name="2x indented GHG Textfiels 3 2 3 48" xfId="23481" xr:uid="{917BE6F4-13EE-4CC5-A2C8-0293202A26C2}"/>
    <cellStyle name="2x indented GHG Textfiels 3 2 3 49" xfId="23890" xr:uid="{D9A367E4-9E33-4046-B0FF-E0F3FB249247}"/>
    <cellStyle name="2x indented GHG Textfiels 3 2 3 5" xfId="3104" xr:uid="{06B95D56-B814-433B-BCE2-45F549AD55C1}"/>
    <cellStyle name="2x indented GHG Textfiels 3 2 3 50" xfId="24798" xr:uid="{37A8DE65-A460-4AD5-AE15-3D0EC2DE83BB}"/>
    <cellStyle name="2x indented GHG Textfiels 3 2 3 51" xfId="24432" xr:uid="{0E1871C2-66BC-4130-8F4F-A4FA0F9E6960}"/>
    <cellStyle name="2x indented GHG Textfiels 3 2 3 52" xfId="25714" xr:uid="{E819620A-95AA-402E-A085-0B2933CAFDF4}"/>
    <cellStyle name="2x indented GHG Textfiels 3 2 3 53" xfId="26199" xr:uid="{14FFBD1A-1AE0-4AB0-A86A-D743AC676C31}"/>
    <cellStyle name="2x indented GHG Textfiels 3 2 3 54" xfId="26723" xr:uid="{AE08B6F4-F287-41BA-82EF-C380921E46FF}"/>
    <cellStyle name="2x indented GHG Textfiels 3 2 3 55" xfId="27002" xr:uid="{B86F26D6-FC5F-48AD-B702-C4863C4DC621}"/>
    <cellStyle name="2x indented GHG Textfiels 3 2 3 56" xfId="27421" xr:uid="{84528676-66AD-49AC-B100-ED906F926133}"/>
    <cellStyle name="2x indented GHG Textfiels 3 2 3 57" xfId="27726" xr:uid="{5233CB97-F2ED-4365-BD6B-B7054BEAC712}"/>
    <cellStyle name="2x indented GHG Textfiels 3 2 3 58" xfId="28548" xr:uid="{0D39E470-839B-4571-9601-B2E7895E2C17}"/>
    <cellStyle name="2x indented GHG Textfiels 3 2 3 59" xfId="29015" xr:uid="{D93B9574-CE06-4601-AB1D-C120745200C0}"/>
    <cellStyle name="2x indented GHG Textfiels 3 2 3 6" xfId="3071" xr:uid="{C6EDA51B-4FAC-4301-A199-EF6865ED92B4}"/>
    <cellStyle name="2x indented GHG Textfiels 3 2 3 60" xfId="27994" xr:uid="{DD8D9110-19BF-40EB-ABC5-8F1D2047594A}"/>
    <cellStyle name="2x indented GHG Textfiels 3 2 3 61" xfId="29804" xr:uid="{C2F07175-754D-4F4A-B840-861F77B29B83}"/>
    <cellStyle name="2x indented GHG Textfiels 3 2 3 62" xfId="30210" xr:uid="{88B40D9D-1B15-4603-8D88-8725C1D0A3B1}"/>
    <cellStyle name="2x indented GHG Textfiels 3 2 3 63" xfId="30627" xr:uid="{5E5C987E-9E34-4F78-9D11-8F64B3D08D8B}"/>
    <cellStyle name="2x indented GHG Textfiels 3 2 3 64" xfId="30925" xr:uid="{20E0CD72-105D-4BB0-9CCA-99D53D130F3A}"/>
    <cellStyle name="2x indented GHG Textfiels 3 2 3 65" xfId="31243" xr:uid="{C13D5A7D-DB27-4D37-ADCD-DEDA714760F0}"/>
    <cellStyle name="2x indented GHG Textfiels 3 2 3 7" xfId="4026" xr:uid="{52900C8F-3613-4C08-994D-E59D4083337A}"/>
    <cellStyle name="2x indented GHG Textfiels 3 2 3 8" xfId="4463" xr:uid="{1D4A7ECF-4A29-40E6-95E9-662C82CF6E42}"/>
    <cellStyle name="2x indented GHG Textfiels 3 2 3 9" xfId="5048" xr:uid="{14F75BE7-7F65-466F-9919-661E5A135B3D}"/>
    <cellStyle name="2x indented GHG Textfiels 3 3" xfId="348" xr:uid="{69BB0C6B-D3B0-4FB0-B883-650C5371FDB3}"/>
    <cellStyle name="2x indented GHG Textfiels 3 3 10" xfId="3716" xr:uid="{46961871-7DED-4AC6-904D-15CE5460A0F9}"/>
    <cellStyle name="2x indented GHG Textfiels 3 3 11" xfId="3431" xr:uid="{CE31FDE3-1304-4174-A2C5-7A0D78BBF91B}"/>
    <cellStyle name="2x indented GHG Textfiels 3 3 12" xfId="4970" xr:uid="{7775E796-A89D-4DB8-8ACD-720432834D52}"/>
    <cellStyle name="2x indented GHG Textfiels 3 3 13" xfId="4450" xr:uid="{C636ADF0-42D9-4F73-A307-57B8643AA09F}"/>
    <cellStyle name="2x indented GHG Textfiels 3 3 14" xfId="3662" xr:uid="{6473E5A0-5C8B-4DCA-99E1-F43D79D4EBB8}"/>
    <cellStyle name="2x indented GHG Textfiels 3 3 15" xfId="5767" xr:uid="{A46E8C80-3EFC-421D-9B67-04167E92B175}"/>
    <cellStyle name="2x indented GHG Textfiels 3 3 16" xfId="6509" xr:uid="{AE524C53-45B3-41A5-8D3E-0DB8D1E12CFA}"/>
    <cellStyle name="2x indented GHG Textfiels 3 3 17" xfId="7076" xr:uid="{CB81CA91-1B02-480E-8252-E121F0F484E7}"/>
    <cellStyle name="2x indented GHG Textfiels 3 3 18" xfId="7976" xr:uid="{79F928DE-6F85-46C3-B839-4CE2C62472BC}"/>
    <cellStyle name="2x indented GHG Textfiels 3 3 19" xfId="6740" xr:uid="{66CB0916-1141-4A95-8EA4-3773A263EB38}"/>
    <cellStyle name="2x indented GHG Textfiels 3 3 2" xfId="635" xr:uid="{AF4E6AB3-3048-4EB7-AEF9-B5F81380EC44}"/>
    <cellStyle name="2x indented GHG Textfiels 3 3 2 10" xfId="3363" xr:uid="{14E6EA77-1090-40A6-9C3C-ADD8880A45A6}"/>
    <cellStyle name="2x indented GHG Textfiels 3 3 2 11" xfId="5283" xr:uid="{1C180293-0E46-4E43-B0AF-E106B9AE7F35}"/>
    <cellStyle name="2x indented GHG Textfiels 3 3 2 12" xfId="5019" xr:uid="{B961ABC6-1980-4E06-A997-00975D1BF3D3}"/>
    <cellStyle name="2x indented GHG Textfiels 3 3 2 13" xfId="6176" xr:uid="{7E6FF5A5-EDE9-4D1E-AAEF-C9ADE040FD2D}"/>
    <cellStyle name="2x indented GHG Textfiels 3 3 2 14" xfId="6113" xr:uid="{ECC6F638-CA7C-4275-8AF0-A34E75E6F044}"/>
    <cellStyle name="2x indented GHG Textfiels 3 3 2 15" xfId="7355" xr:uid="{973EBC27-7F1B-4CE4-8798-EA54442F082F}"/>
    <cellStyle name="2x indented GHG Textfiels 3 3 2 16" xfId="6976" xr:uid="{7DB0C34C-F53E-4530-8C00-E39A58CB4604}"/>
    <cellStyle name="2x indented GHG Textfiels 3 3 2 17" xfId="8652" xr:uid="{2DD25E8D-C832-40A2-981B-3077A3F33003}"/>
    <cellStyle name="2x indented GHG Textfiels 3 3 2 18" xfId="8762" xr:uid="{FC26883B-B816-4A7A-AE3A-247EA94A3732}"/>
    <cellStyle name="2x indented GHG Textfiels 3 3 2 19" xfId="9569" xr:uid="{F130F1D4-8BD6-42E2-BFD3-69AF0A1EC6A2}"/>
    <cellStyle name="2x indented GHG Textfiels 3 3 2 2" xfId="850" xr:uid="{F87089C7-60FC-403E-A939-C56BA2BC3A95}"/>
    <cellStyle name="2x indented GHG Textfiels 3 3 2 2 10" xfId="5498" xr:uid="{05C750D1-03E6-48D4-9641-0BE3417F08EC}"/>
    <cellStyle name="2x indented GHG Textfiels 3 3 2 2 11" xfId="5733" xr:uid="{3A1CC8C5-855D-4F2C-AF98-CE5AB071E498}"/>
    <cellStyle name="2x indented GHG Textfiels 3 3 2 2 12" xfId="6047" xr:uid="{02B0D26E-5D9B-4C13-A07E-9EEE17FBB2A8}"/>
    <cellStyle name="2x indented GHG Textfiels 3 3 2 2 13" xfId="6504" xr:uid="{E1A3BC1D-CC28-4E0E-AEBF-FD72CE70E125}"/>
    <cellStyle name="2x indented GHG Textfiels 3 3 2 2 14" xfId="7570" xr:uid="{D6265B8B-A987-4E21-8829-607385333DD1}"/>
    <cellStyle name="2x indented GHG Textfiels 3 3 2 2 15" xfId="7144" xr:uid="{5B153EC6-3D25-450D-A13D-261E5C2BE536}"/>
    <cellStyle name="2x indented GHG Textfiels 3 3 2 2 16" xfId="8520" xr:uid="{EB6BD827-5484-4876-9ED3-D485EE9F1AF4}"/>
    <cellStyle name="2x indented GHG Textfiels 3 3 2 2 17" xfId="8792" xr:uid="{98E77616-3890-4BD0-9095-B006818D39D8}"/>
    <cellStyle name="2x indented GHG Textfiels 3 3 2 2 18" xfId="9784" xr:uid="{EE6C7410-80BF-4579-AF9F-BE97384FDC5B}"/>
    <cellStyle name="2x indented GHG Textfiels 3 3 2 2 19" xfId="9359" xr:uid="{D342A65D-843A-4AAC-A77D-C7F383F06551}"/>
    <cellStyle name="2x indented GHG Textfiels 3 3 2 2 2" xfId="1324" xr:uid="{A8751235-AB7F-40C4-AA7D-43284C17EBFC}"/>
    <cellStyle name="2x indented GHG Textfiels 3 3 2 2 20" xfId="9931" xr:uid="{A7FC4C46-14A9-4057-8BE2-85D6BFB949BE}"/>
    <cellStyle name="2x indented GHG Textfiels 3 3 2 2 21" xfId="10622" xr:uid="{E752D557-46A5-436D-94DA-36753D419F87}"/>
    <cellStyle name="2x indented GHG Textfiels 3 3 2 2 22" xfId="10378" xr:uid="{6F01A493-7FDF-4563-B621-AE8EDEC8154B}"/>
    <cellStyle name="2x indented GHG Textfiels 3 3 2 2 23" xfId="12203" xr:uid="{F8333940-353F-4636-9C0D-EF3C49900D56}"/>
    <cellStyle name="2x indented GHG Textfiels 3 3 2 2 24" xfId="12676" xr:uid="{1132ABCA-1709-4980-8434-A5926C723510}"/>
    <cellStyle name="2x indented GHG Textfiels 3 3 2 2 25" xfId="13110" xr:uid="{D617C5BD-7F31-4204-9612-CF86BA23DDF5}"/>
    <cellStyle name="2x indented GHG Textfiels 3 3 2 2 26" xfId="13547" xr:uid="{D9670325-CFE6-4967-93FC-02471F0C9654}"/>
    <cellStyle name="2x indented GHG Textfiels 3 3 2 2 27" xfId="13401" xr:uid="{53ED7056-BE88-4934-8756-383EDBC202C1}"/>
    <cellStyle name="2x indented GHG Textfiels 3 3 2 2 28" xfId="13938" xr:uid="{A2E36660-EE49-4188-A384-BD2EBA9808F5}"/>
    <cellStyle name="2x indented GHG Textfiels 3 3 2 2 29" xfId="14193" xr:uid="{59A59872-0FF9-4E04-8A46-577B6540677A}"/>
    <cellStyle name="2x indented GHG Textfiels 3 3 2 2 3" xfId="1773" xr:uid="{FB1E4E39-9D8A-4561-8ADD-877C85142DAB}"/>
    <cellStyle name="2x indented GHG Textfiels 3 3 2 2 30" xfId="13958" xr:uid="{A855880C-0FB8-4AC5-B528-C7F4257AD13A}"/>
    <cellStyle name="2x indented GHG Textfiels 3 3 2 2 31" xfId="15748" xr:uid="{6781C5A8-2639-4B0C-BBED-688364C14406}"/>
    <cellStyle name="2x indented GHG Textfiels 3 3 2 2 32" xfId="15610" xr:uid="{F449EB06-6DEC-4141-9D3B-73E3B55C19F7}"/>
    <cellStyle name="2x indented GHG Textfiels 3 3 2 2 33" xfId="16895" xr:uid="{9E112744-CBBC-4A16-9412-F0DB647F751C}"/>
    <cellStyle name="2x indented GHG Textfiels 3 3 2 2 34" xfId="16466" xr:uid="{3D3EC564-4B2B-4995-A4A2-5DB08464A980}"/>
    <cellStyle name="2x indented GHG Textfiels 3 3 2 2 35" xfId="17045" xr:uid="{FAD3E8C2-C667-4463-98F2-02A7794CD03C}"/>
    <cellStyle name="2x indented GHG Textfiels 3 3 2 2 36" xfId="17447" xr:uid="{285CF404-6A50-43B2-8E2C-1A0EC4C8FE84}"/>
    <cellStyle name="2x indented GHG Textfiels 3 3 2 2 37" xfId="18713" xr:uid="{6338B2B1-40C9-4200-A58A-97B9A462EB3D}"/>
    <cellStyle name="2x indented GHG Textfiels 3 3 2 2 38" xfId="17427" xr:uid="{C38D43D4-6F7E-4BC9-9DCB-D789EA91D1B5}"/>
    <cellStyle name="2x indented GHG Textfiels 3 3 2 2 39" xfId="18850" xr:uid="{1CCA091C-6323-4E41-9B1D-86D356E5BB2B}"/>
    <cellStyle name="2x indented GHG Textfiels 3 3 2 2 4" xfId="2672" xr:uid="{A1078773-3012-4C98-B1A1-DE57022E8201}"/>
    <cellStyle name="2x indented GHG Textfiels 3 3 2 2 40" xfId="20232" xr:uid="{710CF30B-3A78-4155-A968-D3A8362224EB}"/>
    <cellStyle name="2x indented GHG Textfiels 3 3 2 2 41" xfId="19802" xr:uid="{C67DCA08-27E1-4277-99A9-20700B0181BA}"/>
    <cellStyle name="2x indented GHG Textfiels 3 3 2 2 42" xfId="20498" xr:uid="{1A87BFAC-9647-4A58-8F62-EACAE81D5538}"/>
    <cellStyle name="2x indented GHG Textfiels 3 3 2 2 43" xfId="21597" xr:uid="{2C98D549-443B-4729-AB47-F3643A8935A5}"/>
    <cellStyle name="2x indented GHG Textfiels 3 3 2 2 44" xfId="20783" xr:uid="{41D9095D-ED44-4C32-99FF-02DE3A5D6571}"/>
    <cellStyle name="2x indented GHG Textfiels 3 3 2 2 45" xfId="21969" xr:uid="{27EDB740-BB41-473E-9DD6-B2FD09395BDE}"/>
    <cellStyle name="2x indented GHG Textfiels 3 3 2 2 46" xfId="22081" xr:uid="{56352BE7-2CCE-4F24-A740-84CE7D29AF60}"/>
    <cellStyle name="2x indented GHG Textfiels 3 3 2 2 47" xfId="22649" xr:uid="{8655F11F-3683-4DFA-9545-2F67B20247C1}"/>
    <cellStyle name="2x indented GHG Textfiels 3 3 2 2 48" xfId="23442" xr:uid="{F5B804FF-37AE-44CF-8E66-5518EAF68C95}"/>
    <cellStyle name="2x indented GHG Textfiels 3 3 2 2 49" xfId="24032" xr:uid="{2E136F4C-231B-4B43-B6A5-19D5314DB9B7}"/>
    <cellStyle name="2x indented GHG Textfiels 3 3 2 2 5" xfId="2025" xr:uid="{D7DC9651-8E1A-4FA2-874C-27A9DA2CE74A}"/>
    <cellStyle name="2x indented GHG Textfiels 3 3 2 2 50" xfId="24940" xr:uid="{8FC7ABA8-9A7B-4FCE-A4CE-06AA3C8D8300}"/>
    <cellStyle name="2x indented GHG Textfiels 3 3 2 2 51" xfId="24106" xr:uid="{E418A7C2-52FD-44C1-A4E7-7EACDA6A2D75}"/>
    <cellStyle name="2x indented GHG Textfiels 3 3 2 2 52" xfId="25856" xr:uid="{EA9D5B63-BDE2-424F-8051-BC084960B67E}"/>
    <cellStyle name="2x indented GHG Textfiels 3 3 2 2 53" xfId="25930" xr:uid="{6CBEC142-A498-426D-B4FC-1535CCF1EEF1}"/>
    <cellStyle name="2x indented GHG Textfiels 3 3 2 2 54" xfId="26467" xr:uid="{B11C0368-4AE9-4DB6-9EF4-61BDBF12BE35}"/>
    <cellStyle name="2x indented GHG Textfiels 3 3 2 2 55" xfId="27144" xr:uid="{5B40EB38-2A3B-467C-9ECD-35C28A8C754D}"/>
    <cellStyle name="2x indented GHG Textfiels 3 3 2 2 56" xfId="27563" xr:uid="{1E92E20E-F6D2-4A40-B6A3-E1699B7FBF33}"/>
    <cellStyle name="2x indented GHG Textfiels 3 3 2 2 57" xfId="25977" xr:uid="{47B997D7-D721-49E6-9CA5-25AF05A1EB59}"/>
    <cellStyle name="2x indented GHG Textfiels 3 3 2 2 58" xfId="28690" xr:uid="{16D12BE7-B36A-4BB3-9CD1-EAF849434B46}"/>
    <cellStyle name="2x indented GHG Textfiels 3 3 2 2 59" xfId="29157" xr:uid="{4A2EF300-5584-4487-81A1-81A05A27C3AD}"/>
    <cellStyle name="2x indented GHG Textfiels 3 3 2 2 6" xfId="2263" xr:uid="{F4456848-14E5-43B0-A280-BA30446F3FDB}"/>
    <cellStyle name="2x indented GHG Textfiels 3 3 2 2 60" xfId="28755" xr:uid="{4EBA0EF8-3610-44AB-BADF-4185FA8A6B4E}"/>
    <cellStyle name="2x indented GHG Textfiels 3 3 2 2 61" xfId="29946" xr:uid="{6CBB49EC-03AA-4621-8CA8-3081B894383B}"/>
    <cellStyle name="2x indented GHG Textfiels 3 3 2 2 62" xfId="30352" xr:uid="{B80ACC18-85FE-49E9-BA93-6999B51D9CC2}"/>
    <cellStyle name="2x indented GHG Textfiels 3 3 2 2 63" xfId="30769" xr:uid="{B9B592D4-6D08-4586-AC8E-FE9C2091E47E}"/>
    <cellStyle name="2x indented GHG Textfiels 3 3 2 2 64" xfId="29991" xr:uid="{EAA1D78B-6A85-4C30-AB52-C86BB31F6F17}"/>
    <cellStyle name="2x indented GHG Textfiels 3 3 2 2 65" xfId="31385" xr:uid="{599032A6-BC93-46EC-8772-9C58E9E205DA}"/>
    <cellStyle name="2x indented GHG Textfiels 3 3 2 2 7" xfId="4168" xr:uid="{F00E6444-4106-4310-8D88-8A310CD5562A}"/>
    <cellStyle name="2x indented GHG Textfiels 3 3 2 2 8" xfId="4605" xr:uid="{D635462C-91EB-4780-BD19-A69BFAA0E2D8}"/>
    <cellStyle name="2x indented GHG Textfiels 3 3 2 2 9" xfId="2931" xr:uid="{10A1AF22-A8A5-47C7-80E8-59ABF4E64AE1}"/>
    <cellStyle name="2x indented GHG Textfiels 3 3 2 20" xfId="9317" xr:uid="{F5144F81-8EE2-4029-8DE5-CBD517475C49}"/>
    <cellStyle name="2x indented GHG Textfiels 3 3 2 21" xfId="9165" xr:uid="{A3F8A77E-B719-4408-89CB-31EF84CE5E86}"/>
    <cellStyle name="2x indented GHG Textfiels 3 3 2 22" xfId="10867" xr:uid="{90CE4A82-42AC-47EA-81BB-AE9AF6C099C0}"/>
    <cellStyle name="2x indented GHG Textfiels 3 3 2 23" xfId="11118" xr:uid="{C26CC97C-F409-41BA-BF59-D44821EB8414}"/>
    <cellStyle name="2x indented GHG Textfiels 3 3 2 24" xfId="11988" xr:uid="{F5378A8E-EBCB-4A25-8EE8-B47BF01471F4}"/>
    <cellStyle name="2x indented GHG Textfiels 3 3 2 25" xfId="12461" xr:uid="{741EA4C5-5726-4D51-A7A8-F6328EB3589D}"/>
    <cellStyle name="2x indented GHG Textfiels 3 3 2 26" xfId="12895" xr:uid="{CA73DC1B-9AB6-48C5-841C-A326EC8E9B7C}"/>
    <cellStyle name="2x indented GHG Textfiels 3 3 2 27" xfId="13332" xr:uid="{992E8178-AEE8-44F4-8CC5-409341C83B5B}"/>
    <cellStyle name="2x indented GHG Textfiels 3 3 2 28" xfId="13670" xr:uid="{9A95E35F-9A9E-4741-AB15-91CB084FE660}"/>
    <cellStyle name="2x indented GHG Textfiels 3 3 2 29" xfId="13153" xr:uid="{9009A53D-EDF0-4D14-854E-B2E0989B7435}"/>
    <cellStyle name="2x indented GHG Textfiels 3 3 2 3" xfId="1118" xr:uid="{00EA6642-7FA3-4B26-B99D-8D1D2CC98DAB}"/>
    <cellStyle name="2x indented GHG Textfiels 3 3 2 30" xfId="14710" xr:uid="{A12EFB32-EC86-44C8-8662-CE9F12444D28}"/>
    <cellStyle name="2x indented GHG Textfiels 3 3 2 31" xfId="15092" xr:uid="{E3EDEC1B-131E-44BD-B4E3-F0372750AFB9}"/>
    <cellStyle name="2x indented GHG Textfiels 3 3 2 32" xfId="15624" xr:uid="{A527C3D6-046B-4603-85DB-3D0F6D68D4DA}"/>
    <cellStyle name="2x indented GHG Textfiels 3 3 2 33" xfId="14667" xr:uid="{2C333808-602D-483A-A030-E4F91CD2465A}"/>
    <cellStyle name="2x indented GHG Textfiels 3 3 2 34" xfId="16680" xr:uid="{8B033B58-6E52-468F-94DF-8580C78DD3B6}"/>
    <cellStyle name="2x indented GHG Textfiels 3 3 2 35" xfId="16296" xr:uid="{0AEB8334-39E7-4D6C-92D1-A4077FF8B07C}"/>
    <cellStyle name="2x indented GHG Textfiels 3 3 2 36" xfId="17308" xr:uid="{DC8428FA-6B50-4EFF-97C5-A4C7486F7D09}"/>
    <cellStyle name="2x indented GHG Textfiels 3 3 2 37" xfId="18026" xr:uid="{6AA1F315-B2DE-4B4C-8BBD-DD0D97AEDB25}"/>
    <cellStyle name="2x indented GHG Textfiels 3 3 2 38" xfId="18498" xr:uid="{42D0E121-D6B6-4F04-BFBD-F41FEE946E17}"/>
    <cellStyle name="2x indented GHG Textfiels 3 3 2 39" xfId="18827" xr:uid="{EFE07F46-A7D3-414C-9087-6373D45B53A4}"/>
    <cellStyle name="2x indented GHG Textfiels 3 3 2 4" xfId="1745" xr:uid="{20052DA6-32FF-4430-AD19-873C30C48E27}"/>
    <cellStyle name="2x indented GHG Textfiels 3 3 2 40" xfId="18274" xr:uid="{E4DA7C7E-E6D0-4581-A0B1-87008907741E}"/>
    <cellStyle name="2x indented GHG Textfiels 3 3 2 41" xfId="20017" xr:uid="{D52D3D70-91F3-4536-92AA-0513950A3806}"/>
    <cellStyle name="2x indented GHG Textfiels 3 3 2 42" xfId="19626" xr:uid="{7882F42A-E553-4274-A641-ABA1403CB0EC}"/>
    <cellStyle name="2x indented GHG Textfiels 3 3 2 43" xfId="20322" xr:uid="{4D60B109-3294-496B-8A77-8B92375495FF}"/>
    <cellStyle name="2x indented GHG Textfiels 3 3 2 44" xfId="21539" xr:uid="{29AF47B7-1B43-4612-B0CE-7496D0708463}"/>
    <cellStyle name="2x indented GHG Textfiels 3 3 2 45" xfId="21320" xr:uid="{05CBDC0B-D3D1-4373-89CF-DBF7D6239731}"/>
    <cellStyle name="2x indented GHG Textfiels 3 3 2 46" xfId="21538" xr:uid="{BDC0BF16-FF90-4679-8E86-144AE3C4C298}"/>
    <cellStyle name="2x indented GHG Textfiels 3 3 2 47" xfId="22670" xr:uid="{3ED6F0F1-0B52-4C12-B820-055DFDF7FBEB}"/>
    <cellStyle name="2x indented GHG Textfiels 3 3 2 48" xfId="23099" xr:uid="{AD3C4401-71B8-4B04-AE97-6B71F834E608}"/>
    <cellStyle name="2x indented GHG Textfiels 3 3 2 49" xfId="23608" xr:uid="{D3F23F3A-5E1E-48BE-855D-BE8B0CC4BF2E}"/>
    <cellStyle name="2x indented GHG Textfiels 3 3 2 5" xfId="2457" xr:uid="{43DF861B-9B76-4666-BCDD-8AFC91156720}"/>
    <cellStyle name="2x indented GHG Textfiels 3 3 2 50" xfId="23826" xr:uid="{3862FC6F-2BBB-45C6-B377-A00EB0FA8700}"/>
    <cellStyle name="2x indented GHG Textfiels 3 3 2 51" xfId="24725" xr:uid="{98F3E305-0620-4BCE-823D-03C0A8C1BAE0}"/>
    <cellStyle name="2x indented GHG Textfiels 3 3 2 52" xfId="24987" xr:uid="{792BB416-E500-4BE9-BFD6-557ED9A1AD97}"/>
    <cellStyle name="2x indented GHG Textfiels 3 3 2 53" xfId="25643" xr:uid="{A30E6149-EF6F-42C3-A596-2CB1AEAFAC41}"/>
    <cellStyle name="2x indented GHG Textfiels 3 3 2 54" xfId="25974" xr:uid="{77678CFB-48D2-42E5-8CA6-AC6B5C7696F7}"/>
    <cellStyle name="2x indented GHG Textfiels 3 3 2 55" xfId="26652" xr:uid="{9ED35562-DF8A-4D0F-ACE8-A1DBD19CA699}"/>
    <cellStyle name="2x indented GHG Textfiels 3 3 2 56" xfId="26933" xr:uid="{0F730353-C625-4CB4-AD96-D9729EE30AFB}"/>
    <cellStyle name="2x indented GHG Textfiels 3 3 2 57" xfId="27352" xr:uid="{EFB872C2-2C95-4585-9A95-9C1713E33E4B}"/>
    <cellStyle name="2x indented GHG Textfiels 3 3 2 58" xfId="27758" xr:uid="{2F90D605-B538-4128-8C52-9BA6AAC886A9}"/>
    <cellStyle name="2x indented GHG Textfiels 3 3 2 59" xfId="28475" xr:uid="{41FC847A-1676-4A58-8729-429D5A849BF1}"/>
    <cellStyle name="2x indented GHG Textfiels 3 3 2 6" xfId="2836" xr:uid="{65B5FE89-79CC-458E-B68D-918ACE37B199}"/>
    <cellStyle name="2x indented GHG Textfiels 3 3 2 60" xfId="28943" xr:uid="{842EA4B8-7243-4FA7-9CB4-860C4E6F3D60}"/>
    <cellStyle name="2x indented GHG Textfiels 3 3 2 61" xfId="28077" xr:uid="{F603E8DF-7192-47C3-8CC1-ED4EBA748A98}"/>
    <cellStyle name="2x indented GHG Textfiels 3 3 2 62" xfId="29733" xr:uid="{ED8AA3DC-4453-4C53-ACF7-57A5EB5D366A}"/>
    <cellStyle name="2x indented GHG Textfiels 3 3 2 63" xfId="30141" xr:uid="{221E9144-CADD-409E-9D1A-DE8A2BA413CE}"/>
    <cellStyle name="2x indented GHG Textfiels 3 3 2 64" xfId="30555" xr:uid="{DC39CD7C-8E19-4FC1-AD1D-5736A15DD172}"/>
    <cellStyle name="2x indented GHG Textfiels 3 3 2 65" xfId="30932" xr:uid="{4AD2C636-2474-4E2F-A36B-2CD48DE35567}"/>
    <cellStyle name="2x indented GHG Textfiels 3 3 2 66" xfId="31179" xr:uid="{F810247D-F35F-4368-8FEA-D683F0485036}"/>
    <cellStyle name="2x indented GHG Textfiels 3 3 2 7" xfId="3754" xr:uid="{B5E8EC2E-8EE1-4B99-A948-B987C0E39466}"/>
    <cellStyle name="2x indented GHG Textfiels 3 3 2 8" xfId="3953" xr:uid="{5FA9E6F5-AF78-4800-90E3-6FE11A752727}"/>
    <cellStyle name="2x indented GHG Textfiels 3 3 2 9" xfId="4391" xr:uid="{9B76633D-40AF-4AB9-B7E2-124C8BBAFF6F}"/>
    <cellStyle name="2x indented GHG Textfiels 3 3 20" xfId="8300" xr:uid="{2F33EF67-36DA-431A-AAEE-6D50518919EA}"/>
    <cellStyle name="2x indented GHG Textfiels 3 3 21" xfId="9289" xr:uid="{45011D35-5642-42D4-A255-CAEEB7130045}"/>
    <cellStyle name="2x indented GHG Textfiels 3 3 22" xfId="10192" xr:uid="{E4AC5667-B879-487E-9D81-4310CB664E10}"/>
    <cellStyle name="2x indented GHG Textfiels 3 3 23" xfId="10597" xr:uid="{247862BB-CE1B-4778-BA69-46FD327A9E5B}"/>
    <cellStyle name="2x indented GHG Textfiels 3 3 24" xfId="10470" xr:uid="{17CD9CC3-A12F-466B-8506-C0DF4DFE4C24}"/>
    <cellStyle name="2x indented GHG Textfiels 3 3 25" xfId="10838" xr:uid="{BCBFE763-0351-4159-B94E-7152F045A7C9}"/>
    <cellStyle name="2x indented GHG Textfiels 3 3 26" xfId="11703" xr:uid="{12B73A57-D40F-4EEA-8D5A-B7E485385053}"/>
    <cellStyle name="2x indented GHG Textfiels 3 3 27" xfId="11743" xr:uid="{ECD0CD62-2974-431C-81EA-7BFD23DCE3A1}"/>
    <cellStyle name="2x indented GHG Textfiels 3 3 28" xfId="11372" xr:uid="{F11499F5-E571-493B-8CDC-9F3A4FE877F6}"/>
    <cellStyle name="2x indented GHG Textfiels 3 3 29" xfId="12303" xr:uid="{2E0ED66C-D3C2-4A4B-BDBD-45066A1BF1B8}"/>
    <cellStyle name="2x indented GHG Textfiels 3 3 3" xfId="637" xr:uid="{B882AD9F-4B0E-4D2C-9A9A-5583AF43EDE2}"/>
    <cellStyle name="2x indented GHG Textfiels 3 3 3 10" xfId="3726" xr:uid="{8E582A2D-EA37-46BD-AA2C-6E12ADC3B3D0}"/>
    <cellStyle name="2x indented GHG Textfiels 3 3 3 11" xfId="5285" xr:uid="{22BF4D87-37F9-4189-BB3C-F42AAFDEB83E}"/>
    <cellStyle name="2x indented GHG Textfiels 3 3 3 12" xfId="5605" xr:uid="{479D8223-2837-464F-922B-1CC6383D741D}"/>
    <cellStyle name="2x indented GHG Textfiels 3 3 3 13" xfId="5053" xr:uid="{FCA31E74-5E66-4C88-AE6F-BF97888541A6}"/>
    <cellStyle name="2x indented GHG Textfiels 3 3 3 14" xfId="6131" xr:uid="{53623914-1ED9-4E9F-9C3A-7B1897F0D77F}"/>
    <cellStyle name="2x indented GHG Textfiels 3 3 3 15" xfId="7357" xr:uid="{AEABE2E8-ED75-4D26-9B78-EA84E806520E}"/>
    <cellStyle name="2x indented GHG Textfiels 3 3 3 16" xfId="7844" xr:uid="{847C4F44-9293-4E39-AFEF-3AE2BACAFF0B}"/>
    <cellStyle name="2x indented GHG Textfiels 3 3 3 17" xfId="8523" xr:uid="{43BD7DE1-2DF8-4C59-BC30-CE10BF242E50}"/>
    <cellStyle name="2x indented GHG Textfiels 3 3 3 18" xfId="8389" xr:uid="{98ADB2F5-BCE6-4C4D-B445-0612D3A539C3}"/>
    <cellStyle name="2x indented GHG Textfiels 3 3 3 19" xfId="9571" xr:uid="{CB62A95E-3100-4AC3-AAC4-66ED1B1EB644}"/>
    <cellStyle name="2x indented GHG Textfiels 3 3 3 2" xfId="852" xr:uid="{979DDFEA-D618-4817-8F1C-6DE0B5D1DAC3}"/>
    <cellStyle name="2x indented GHG Textfiels 3 3 3 2 10" xfId="5500" xr:uid="{189D98D8-E2E9-4E67-A4A0-37021A2213F2}"/>
    <cellStyle name="2x indented GHG Textfiels 3 3 3 2 11" xfId="5095" xr:uid="{5D2E8655-4A76-4FB6-AF26-4C88C16C0003}"/>
    <cellStyle name="2x indented GHG Textfiels 3 3 3 2 12" xfId="5755" xr:uid="{7E03CD50-F320-45BF-BACB-4478B92E1988}"/>
    <cellStyle name="2x indented GHG Textfiels 3 3 3 2 13" xfId="6229" xr:uid="{D2E2054C-E9F9-41AB-A312-652E8D664121}"/>
    <cellStyle name="2x indented GHG Textfiels 3 3 3 2 14" xfId="7572" xr:uid="{5C60200F-822D-4817-B757-934760B972A5}"/>
    <cellStyle name="2x indented GHG Textfiels 3 3 3 2 15" xfId="6754" xr:uid="{8742F07C-4FEE-4989-BA4D-2ADFECD4A353}"/>
    <cellStyle name="2x indented GHG Textfiels 3 3 3 2 16" xfId="7142" xr:uid="{D2FE7FBF-1E71-445D-AC13-9BB194E4D5C8}"/>
    <cellStyle name="2x indented GHG Textfiels 3 3 3 2 17" xfId="8901" xr:uid="{9CFE1DD6-1453-4B88-A49A-5CA0D95B1C3C}"/>
    <cellStyle name="2x indented GHG Textfiels 3 3 3 2 18" xfId="9786" xr:uid="{2116EBD1-FC45-4A04-89BA-61C46769A840}"/>
    <cellStyle name="2x indented GHG Textfiels 3 3 3 2 19" xfId="8966" xr:uid="{C432BCB7-A9E6-4038-948C-09B12850D403}"/>
    <cellStyle name="2x indented GHG Textfiels 3 3 3 2 2" xfId="1326" xr:uid="{3AC65A83-D817-4E70-8F7E-0ABEC31C1BE8}"/>
    <cellStyle name="2x indented GHG Textfiels 3 3 3 2 20" xfId="10025" xr:uid="{6C221A12-6071-4154-A9B0-BF528B34F0F7}"/>
    <cellStyle name="2x indented GHG Textfiels 3 3 3 2 21" xfId="10703" xr:uid="{BAF69C9A-FBE9-4A06-9EF6-FFDD92B58162}"/>
    <cellStyle name="2x indented GHG Textfiels 3 3 3 2 22" xfId="11217" xr:uid="{ABDF9AB8-E5C4-4894-821B-63A5D4DB1F11}"/>
    <cellStyle name="2x indented GHG Textfiels 3 3 3 2 23" xfId="12205" xr:uid="{DF32B41B-6E54-486F-91F0-DAA5F67E3F3C}"/>
    <cellStyle name="2x indented GHG Textfiels 3 3 3 2 24" xfId="12678" xr:uid="{0D4D693B-CE61-4B0C-AFE7-D526D9EA1579}"/>
    <cellStyle name="2x indented GHG Textfiels 3 3 3 2 25" xfId="13112" xr:uid="{F20490AB-D83F-4175-96E7-9A653087C50B}"/>
    <cellStyle name="2x indented GHG Textfiels 3 3 3 2 26" xfId="13549" xr:uid="{374B462B-74DD-4C61-995A-F5B263FE2B87}"/>
    <cellStyle name="2x indented GHG Textfiels 3 3 3 2 27" xfId="13619" xr:uid="{77CC8B8D-BAD8-4042-98F3-CB00FAC7FCCA}"/>
    <cellStyle name="2x indented GHG Textfiels 3 3 3 2 28" xfId="12273" xr:uid="{FE9362B8-E2E3-445B-9374-74CA36C52E8C}"/>
    <cellStyle name="2x indented GHG Textfiels 3 3 3 2 29" xfId="11841" xr:uid="{098B4458-EF7D-44E7-B419-12D036AB87DC}"/>
    <cellStyle name="2x indented GHG Textfiels 3 3 3 2 3" xfId="1775" xr:uid="{45A58CE4-67DA-43FB-8117-4C2804D70100}"/>
    <cellStyle name="2x indented GHG Textfiels 3 3 3 2 30" xfId="14084" xr:uid="{1AF15F61-6AB5-4B43-A1EB-481A1D6019F7}"/>
    <cellStyle name="2x indented GHG Textfiels 3 3 3 2 31" xfId="14768" xr:uid="{7247558D-29CD-4A40-AAD1-B2948B5F5D4E}"/>
    <cellStyle name="2x indented GHG Textfiels 3 3 3 2 32" xfId="15756" xr:uid="{0AFCABB2-DE7C-4F17-AD3C-2025E987B15F}"/>
    <cellStyle name="2x indented GHG Textfiels 3 3 3 2 33" xfId="16897" xr:uid="{DB228C4F-8E0D-45D2-8907-240CEB0F3032}"/>
    <cellStyle name="2x indented GHG Textfiels 3 3 3 2 34" xfId="16063" xr:uid="{A281FA42-18C7-4180-A800-1FD99643B902}"/>
    <cellStyle name="2x indented GHG Textfiels 3 3 3 2 35" xfId="17142" xr:uid="{E20405F0-2A56-40B9-B3F9-63A4CC245EA3}"/>
    <cellStyle name="2x indented GHG Textfiels 3 3 3 2 36" xfId="18067" xr:uid="{69219657-F4DA-484D-A594-D582470E2039}"/>
    <cellStyle name="2x indented GHG Textfiels 3 3 3 2 37" xfId="18715" xr:uid="{DFDC0933-2E49-4778-920A-D96E80D72C97}"/>
    <cellStyle name="2x indented GHG Textfiels 3 3 3 2 38" xfId="18874" xr:uid="{9F7001D8-B641-4254-A4AD-9B98DF553AD4}"/>
    <cellStyle name="2x indented GHG Textfiels 3 3 3 2 39" xfId="19175" xr:uid="{84C2E51D-8D36-4864-89B8-A5F686E76CCC}"/>
    <cellStyle name="2x indented GHG Textfiels 3 3 3 2 4" xfId="2674" xr:uid="{2E1B68A2-71FF-4EC2-8A86-0ADD8B1AE018}"/>
    <cellStyle name="2x indented GHG Textfiels 3 3 3 2 40" xfId="20234" xr:uid="{1CDE2391-9D01-45C4-883B-B4CCCE0D9AC1}"/>
    <cellStyle name="2x indented GHG Textfiels 3 3 3 2 41" xfId="19396" xr:uid="{EE1CFA4C-AD20-4ACB-85B4-6BF08E158B10}"/>
    <cellStyle name="2x indented GHG Textfiels 3 3 3 2 42" xfId="20324" xr:uid="{CC558561-E7CC-4C68-9C50-23B19749AFCA}"/>
    <cellStyle name="2x indented GHG Textfiels 3 3 3 2 43" xfId="21332" xr:uid="{5367A473-F963-4B01-BB63-84781333282F}"/>
    <cellStyle name="2x indented GHG Textfiels 3 3 3 2 44" xfId="21546" xr:uid="{0DFBFDC7-19ED-4D1C-AED5-B7397D9A1D99}"/>
    <cellStyle name="2x indented GHG Textfiels 3 3 3 2 45" xfId="21493" xr:uid="{91A93C5A-D3E8-496F-B6B3-4107FDE96DF0}"/>
    <cellStyle name="2x indented GHG Textfiels 3 3 3 2 46" xfId="22628" xr:uid="{C216CED0-A91B-4A03-BE28-C30FDB9987AD}"/>
    <cellStyle name="2x indented GHG Textfiels 3 3 3 2 47" xfId="23151" xr:uid="{469985C1-995A-4B2D-AE8B-6715C0DE9747}"/>
    <cellStyle name="2x indented GHG Textfiels 3 3 3 2 48" xfId="23189" xr:uid="{AF3D1F7E-FFB4-4126-AEE5-021E631F2BDB}"/>
    <cellStyle name="2x indented GHG Textfiels 3 3 3 2 49" xfId="24034" xr:uid="{CF6D9079-D60F-4347-8024-10CBBC5741D1}"/>
    <cellStyle name="2x indented GHG Textfiels 3 3 3 2 5" xfId="2786" xr:uid="{F8E04711-F765-44C5-8A86-202687C88D1F}"/>
    <cellStyle name="2x indented GHG Textfiels 3 3 3 2 50" xfId="24942" xr:uid="{20147870-2043-434F-B296-3A494890C17F}"/>
    <cellStyle name="2x indented GHG Textfiels 3 3 3 2 51" xfId="24248" xr:uid="{3CF54FD2-3509-44A2-B37D-FD6758584B79}"/>
    <cellStyle name="2x indented GHG Textfiels 3 3 3 2 52" xfId="25858" xr:uid="{B45579AF-D48E-4834-BFD1-A5102ECE4DF1}"/>
    <cellStyle name="2x indented GHG Textfiels 3 3 3 2 53" xfId="25129" xr:uid="{E7BFA57B-97EE-49F4-B4A2-A77FC1F0043D}"/>
    <cellStyle name="2x indented GHG Textfiels 3 3 3 2 54" xfId="26382" xr:uid="{B0D50F25-34B0-4926-B4B5-DD2E24124655}"/>
    <cellStyle name="2x indented GHG Textfiels 3 3 3 2 55" xfId="27146" xr:uid="{DA35BD52-C512-476D-9087-9416D79853DF}"/>
    <cellStyle name="2x indented GHG Textfiels 3 3 3 2 56" xfId="27565" xr:uid="{5B0D65F9-FFFC-42F0-A5C1-7F736AC853DA}"/>
    <cellStyle name="2x indented GHG Textfiels 3 3 3 2 57" xfId="26496" xr:uid="{6AF28A52-5B75-4033-8CDE-CA4195F378AE}"/>
    <cellStyle name="2x indented GHG Textfiels 3 3 3 2 58" xfId="28692" xr:uid="{6434A962-1C5A-47B2-847A-00B064995132}"/>
    <cellStyle name="2x indented GHG Textfiels 3 3 3 2 59" xfId="29159" xr:uid="{3A5ED6D0-3466-44C7-A6E5-C8D5D1D54BAE}"/>
    <cellStyle name="2x indented GHG Textfiels 3 3 3 2 6" xfId="3321" xr:uid="{A47908A4-DD9B-404C-98A8-2521CFFABB6C}"/>
    <cellStyle name="2x indented GHG Textfiels 3 3 3 2 60" xfId="28818" xr:uid="{9E57E5F3-FDEB-410B-948B-3039070BAFEE}"/>
    <cellStyle name="2x indented GHG Textfiels 3 3 3 2 61" xfId="29948" xr:uid="{ABD0A129-9667-4AB2-AE67-D66EDA141A4C}"/>
    <cellStyle name="2x indented GHG Textfiels 3 3 3 2 62" xfId="30354" xr:uid="{C570296D-A1EE-4EAC-BEE4-6DFD0873C9CE}"/>
    <cellStyle name="2x indented GHG Textfiels 3 3 3 2 63" xfId="30771" xr:uid="{5C73B0BE-7914-4D0A-8317-97A705B454D3}"/>
    <cellStyle name="2x indented GHG Textfiels 3 3 3 2 64" xfId="29232" xr:uid="{4C0DC6B2-8427-40B8-BD93-E4A032CABA24}"/>
    <cellStyle name="2x indented GHG Textfiels 3 3 3 2 65" xfId="31387" xr:uid="{A1E5259B-B141-41BF-BF59-77A9F565992C}"/>
    <cellStyle name="2x indented GHG Textfiels 3 3 3 2 7" xfId="4170" xr:uid="{6CAF643A-11ED-470D-A22E-131FC216E936}"/>
    <cellStyle name="2x indented GHG Textfiels 3 3 3 2 8" xfId="4607" xr:uid="{6B51AEA5-94B9-4A2C-A336-C7969F8615D9}"/>
    <cellStyle name="2x indented GHG Textfiels 3 3 3 2 9" xfId="3176" xr:uid="{170E17C3-30F3-4B3A-A0CB-9CD44D6168A3}"/>
    <cellStyle name="2x indented GHG Textfiels 3 3 3 20" xfId="10056" xr:uid="{E9987135-9AA0-4C0D-B139-DB9F04267C16}"/>
    <cellStyle name="2x indented GHG Textfiels 3 3 3 21" xfId="10476" xr:uid="{E05FFC4E-64F5-40ED-BDCA-E34842B06D84}"/>
    <cellStyle name="2x indented GHG Textfiels 3 3 3 22" xfId="10878" xr:uid="{52C339DC-9EAD-436B-9584-025DAB28275E}"/>
    <cellStyle name="2x indented GHG Textfiels 3 3 3 23" xfId="9948" xr:uid="{6A769384-D87A-470D-A8B5-B72738670312}"/>
    <cellStyle name="2x indented GHG Textfiels 3 3 3 24" xfId="11990" xr:uid="{A8B2C793-4955-432C-87C4-3D662010B241}"/>
    <cellStyle name="2x indented GHG Textfiels 3 3 3 25" xfId="12463" xr:uid="{93C1FD1C-9B52-4A1D-893D-5DFE72FB520B}"/>
    <cellStyle name="2x indented GHG Textfiels 3 3 3 26" xfId="12897" xr:uid="{51090FC1-CBA0-432E-92BE-B33F86AAA14A}"/>
    <cellStyle name="2x indented GHG Textfiels 3 3 3 27" xfId="13334" xr:uid="{18E80909-A975-4172-8D75-C82C71811AD2}"/>
    <cellStyle name="2x indented GHG Textfiels 3 3 3 28" xfId="13776" xr:uid="{0D1716D7-6641-4D68-B40A-49D350E40003}"/>
    <cellStyle name="2x indented GHG Textfiels 3 3 3 29" xfId="13163" xr:uid="{B93E8BB1-F19F-4DB3-9E3F-85189FA2432B}"/>
    <cellStyle name="2x indented GHG Textfiels 3 3 3 3" xfId="1120" xr:uid="{3B4631F1-1885-4A3A-88BE-47052D74B0A4}"/>
    <cellStyle name="2x indented GHG Textfiels 3 3 3 30" xfId="14696" xr:uid="{A8ED6247-CE0B-45AC-BE50-CB79EAA6D931}"/>
    <cellStyle name="2x indented GHG Textfiels 3 3 3 31" xfId="14106" xr:uid="{511B4870-C8F9-4EC8-8F05-996A65B645E9}"/>
    <cellStyle name="2x indented GHG Textfiels 3 3 3 32" xfId="15329" xr:uid="{45B6DE5B-805A-4A17-BEF9-2A7FDD499735}"/>
    <cellStyle name="2x indented GHG Textfiels 3 3 3 33" xfId="15886" xr:uid="{AD60B72B-4282-41F8-99C8-32E375181494}"/>
    <cellStyle name="2x indented GHG Textfiels 3 3 3 34" xfId="16682" xr:uid="{C0660C65-9C07-4783-B407-B11A33D5D724}"/>
    <cellStyle name="2x indented GHG Textfiels 3 3 3 35" xfId="17174" xr:uid="{7C74A658-8A4B-4DC9-8568-F491F00C2C4E}"/>
    <cellStyle name="2x indented GHG Textfiels 3 3 3 36" xfId="17619" xr:uid="{5D2AF9A4-7C94-4724-AF40-C5DAAD0960C9}"/>
    <cellStyle name="2x indented GHG Textfiels 3 3 3 37" xfId="18202" xr:uid="{C24EFA20-2957-4BCF-9A34-5ED358680DFF}"/>
    <cellStyle name="2x indented GHG Textfiels 3 3 3 38" xfId="18500" xr:uid="{6979BD1C-381E-458E-B9B0-5EF22EE216D2}"/>
    <cellStyle name="2x indented GHG Textfiels 3 3 3 39" xfId="18250" xr:uid="{F8465FE2-4523-4C6A-89D7-9AC46181D0B3}"/>
    <cellStyle name="2x indented GHG Textfiels 3 3 3 4" xfId="1576" xr:uid="{5F35E4F0-4B86-4E87-AA07-5BE247D234B6}"/>
    <cellStyle name="2x indented GHG Textfiels 3 3 3 40" xfId="19181" xr:uid="{970ED8F6-D08A-4AB1-9D41-B03D7050BEDC}"/>
    <cellStyle name="2x indented GHG Textfiels 3 3 3 41" xfId="20019" xr:uid="{53941AFA-E202-406C-86BE-8833B3E0A8D4}"/>
    <cellStyle name="2x indented GHG Textfiels 3 3 3 42" xfId="20526" xr:uid="{69C28E8F-B7F4-499E-A722-52E3A459ADA1}"/>
    <cellStyle name="2x indented GHG Textfiels 3 3 3 43" xfId="20979" xr:uid="{0786A740-59F2-4A53-A772-1F54FCC11B5D}"/>
    <cellStyle name="2x indented GHG Textfiels 3 3 3 44" xfId="21176" xr:uid="{C0AB2D72-4A98-4234-9412-27DBEC5D30F4}"/>
    <cellStyle name="2x indented GHG Textfiels 3 3 3 45" xfId="21910" xr:uid="{CEFC1B4E-3630-4CE2-B8BC-8497619B1539}"/>
    <cellStyle name="2x indented GHG Textfiels 3 3 3 46" xfId="22344" xr:uid="{9F7DA8EB-A3C0-4162-BF41-8E2358A9EC9C}"/>
    <cellStyle name="2x indented GHG Textfiels 3 3 3 47" xfId="22769" xr:uid="{9320E197-0341-4B81-A8B9-FBD39DA76CD0}"/>
    <cellStyle name="2x indented GHG Textfiels 3 3 3 48" xfId="21064" xr:uid="{8EDF1EBC-CA0F-423F-8ADE-08250EA4969B}"/>
    <cellStyle name="2x indented GHG Textfiels 3 3 3 49" xfId="23456" xr:uid="{B799D3C2-FEE5-4521-9182-8056F99C7444}"/>
    <cellStyle name="2x indented GHG Textfiels 3 3 3 5" xfId="2459" xr:uid="{8B7D15E5-BA70-4138-9BFA-EEE81E9B233B}"/>
    <cellStyle name="2x indented GHG Textfiels 3 3 3 50" xfId="23828" xr:uid="{0AA6BA22-6830-4FDB-9AF4-EB54CAB05400}"/>
    <cellStyle name="2x indented GHG Textfiels 3 3 3 51" xfId="24727" xr:uid="{DA446C72-29C1-4334-84ED-85F4674B9C87}"/>
    <cellStyle name="2x indented GHG Textfiels 3 3 3 52" xfId="25235" xr:uid="{7C580688-238B-4001-BC7F-6E293FA99C27}"/>
    <cellStyle name="2x indented GHG Textfiels 3 3 3 53" xfId="25645" xr:uid="{D18E12E4-3964-4C73-9FED-2DFA7DB6BA4B}"/>
    <cellStyle name="2x indented GHG Textfiels 3 3 3 54" xfId="26074" xr:uid="{64A11366-5A7F-4242-A852-347BFC78F781}"/>
    <cellStyle name="2x indented GHG Textfiels 3 3 3 55" xfId="26344" xr:uid="{284EEA52-4C1F-4DB5-A43F-0BEAAE199600}"/>
    <cellStyle name="2x indented GHG Textfiels 3 3 3 56" xfId="26935" xr:uid="{00F3EEDB-FDFB-4B1B-8C83-C1FBBC92FC57}"/>
    <cellStyle name="2x indented GHG Textfiels 3 3 3 57" xfId="27354" xr:uid="{1815F5AF-8471-41E8-9532-BB47794FB4E0}"/>
    <cellStyle name="2x indented GHG Textfiels 3 3 3 58" xfId="27783" xr:uid="{55387439-A34B-4C9F-9F81-BFFDA909F645}"/>
    <cellStyle name="2x indented GHG Textfiels 3 3 3 59" xfId="28477" xr:uid="{90BBAFA0-B842-491C-AEB5-0D18C578097D}"/>
    <cellStyle name="2x indented GHG Textfiels 3 3 3 6" xfId="2943" xr:uid="{ABD20A8B-F7B8-4ADA-94C2-C03E60EF23E9}"/>
    <cellStyle name="2x indented GHG Textfiels 3 3 3 60" xfId="28945" xr:uid="{F7412A83-8B50-4B78-8D51-53FD48347FEA}"/>
    <cellStyle name="2x indented GHG Textfiels 3 3 3 61" xfId="29374" xr:uid="{CF69B49A-3A74-468B-BF03-0F0562D6958B}"/>
    <cellStyle name="2x indented GHG Textfiels 3 3 3 62" xfId="29735" xr:uid="{803B461F-2D56-4855-B2E1-1475640E06FA}"/>
    <cellStyle name="2x indented GHG Textfiels 3 3 3 63" xfId="30143" xr:uid="{62A73116-30A2-4701-BF9F-C798ECA8D533}"/>
    <cellStyle name="2x indented GHG Textfiels 3 3 3 64" xfId="30557" xr:uid="{59221562-0101-4FEC-826D-5C909F1DD366}"/>
    <cellStyle name="2x indented GHG Textfiels 3 3 3 65" xfId="30891" xr:uid="{92D74FC5-9474-4EA2-BEA6-78ABC23983F8}"/>
    <cellStyle name="2x indented GHG Textfiels 3 3 3 66" xfId="31181" xr:uid="{BF08475A-1006-4002-9338-12EF6EC750D4}"/>
    <cellStyle name="2x indented GHG Textfiels 3 3 3 7" xfId="3086" xr:uid="{9A42D46D-233D-450C-8377-CC5F29E0A810}"/>
    <cellStyle name="2x indented GHG Textfiels 3 3 3 8" xfId="3955" xr:uid="{48593823-AB90-4C6D-83A5-193E4F6EE0D6}"/>
    <cellStyle name="2x indented GHG Textfiels 3 3 3 9" xfId="4393" xr:uid="{E2325432-E61B-4DB1-9A5B-0F888EE194C8}"/>
    <cellStyle name="2x indented GHG Textfiels 3 3 30" xfId="11535" xr:uid="{458AF167-A856-46B2-9BE4-8BDF4E9818F6}"/>
    <cellStyle name="2x indented GHG Textfiels 3 3 31" xfId="14185" xr:uid="{BA39511F-81EC-4F46-AE86-3E8DA6A068C7}"/>
    <cellStyle name="2x indented GHG Textfiels 3 3 32" xfId="11742" xr:uid="{F802A24F-5AAC-4791-ADF8-A279C6950CC2}"/>
    <cellStyle name="2x indented GHG Textfiels 3 3 33" xfId="14251" xr:uid="{46C2C7F6-25ED-45F4-A776-63F3B41E1D65}"/>
    <cellStyle name="2x indented GHG Textfiels 3 3 34" xfId="14357" xr:uid="{475AB399-5DF7-4060-B375-378CA4E70D94}"/>
    <cellStyle name="2x indented GHG Textfiels 3 3 35" xfId="15956" xr:uid="{D3D1FF1C-0503-41D0-B26F-A07D12B3C052}"/>
    <cellStyle name="2x indented GHG Textfiels 3 3 36" xfId="16397" xr:uid="{83BDB56E-55E0-4F69-9EFF-8C1DDBB70202}"/>
    <cellStyle name="2x indented GHG Textfiels 3 3 37" xfId="17313" xr:uid="{CD4A1E42-9724-47AD-939B-3F899502DB22}"/>
    <cellStyle name="2x indented GHG Textfiels 3 3 38" xfId="17756" xr:uid="{261BB441-DD17-4F52-8542-200962ABF1AE}"/>
    <cellStyle name="2x indented GHG Textfiels 3 3 39" xfId="18195" xr:uid="{68E51A6B-12DC-483C-9492-A68B69132759}"/>
    <cellStyle name="2x indented GHG Textfiels 3 3 4" xfId="533" xr:uid="{EA5FAD9A-31EB-4955-9C1F-AC47E7F333B7}"/>
    <cellStyle name="2x indented GHG Textfiels 3 3 4 10" xfId="4826" xr:uid="{DDEC0E65-FD8B-4876-B76C-4F0E32147AF9}"/>
    <cellStyle name="2x indented GHG Textfiels 3 3 4 11" xfId="5181" xr:uid="{ABBAA4A2-0F0D-4570-8E22-75E1DDA26457}"/>
    <cellStyle name="2x indented GHG Textfiels 3 3 4 12" xfId="5798" xr:uid="{508E21A8-15DF-4365-A1CE-00EF4D4D5C4F}"/>
    <cellStyle name="2x indented GHG Textfiels 3 3 4 13" xfId="6154" xr:uid="{F7A74837-7062-4D07-AC75-245381169101}"/>
    <cellStyle name="2x indented GHG Textfiels 3 3 4 14" xfId="6392" xr:uid="{A0F4062C-76FE-44D8-AA5F-9414D662A8F8}"/>
    <cellStyle name="2x indented GHG Textfiels 3 3 4 15" xfId="7253" xr:uid="{E3B1630A-8BDE-486C-B3AC-09323B206600}"/>
    <cellStyle name="2x indented GHG Textfiels 3 3 4 16" xfId="7872" xr:uid="{51B82A1B-00B1-4794-9E9F-9316C55BD49D}"/>
    <cellStyle name="2x indented GHG Textfiels 3 3 4 17" xfId="8045" xr:uid="{DC5D1D7A-8BA2-4305-8BF1-498693372C7C}"/>
    <cellStyle name="2x indented GHG Textfiels 3 3 4 18" xfId="8124" xr:uid="{996C4889-90A5-41FB-9BD0-662238A074E6}"/>
    <cellStyle name="2x indented GHG Textfiels 3 3 4 19" xfId="9467" xr:uid="{D01EB2BF-A274-43F9-94E7-C17A0A211184}"/>
    <cellStyle name="2x indented GHG Textfiels 3 3 4 2" xfId="748" xr:uid="{F4E1E718-131E-44F2-8B84-A54C06AE7149}"/>
    <cellStyle name="2x indented GHG Textfiels 3 3 4 2 10" xfId="5396" xr:uid="{58A39709-E593-42B5-AF21-6C05F92FD145}"/>
    <cellStyle name="2x indented GHG Textfiels 3 3 4 2 11" xfId="4658" xr:uid="{3CBFC223-A2F6-472B-AEBD-7CBA425FE894}"/>
    <cellStyle name="2x indented GHG Textfiels 3 3 4 2 12" xfId="3828" xr:uid="{C5D44712-A439-4D4A-AD48-115114113794}"/>
    <cellStyle name="2x indented GHG Textfiels 3 3 4 2 13" xfId="6057" xr:uid="{10E2D24A-2C7F-459C-918B-A7F203C6B90D}"/>
    <cellStyle name="2x indented GHG Textfiels 3 3 4 2 14" xfId="7468" xr:uid="{B2F6A459-5EE5-409F-8F10-6DCAB32FA972}"/>
    <cellStyle name="2x indented GHG Textfiels 3 3 4 2 15" xfId="7021" xr:uid="{DB6D61A5-CF71-486C-8DC1-37839F3D2FA0}"/>
    <cellStyle name="2x indented GHG Textfiels 3 3 4 2 16" xfId="8174" xr:uid="{461CEB42-9B70-456C-9227-47B1A21C3004}"/>
    <cellStyle name="2x indented GHG Textfiels 3 3 4 2 17" xfId="8855" xr:uid="{D7F87220-3535-43ED-A539-522D6134B130}"/>
    <cellStyle name="2x indented GHG Textfiels 3 3 4 2 18" xfId="9682" xr:uid="{11DA4195-A679-4240-A48F-743F8E58CACF}"/>
    <cellStyle name="2x indented GHG Textfiels 3 3 4 2 19" xfId="9235" xr:uid="{44A8C2DD-414C-4C4C-9A9C-7879091E933E}"/>
    <cellStyle name="2x indented GHG Textfiels 3 3 4 2 2" xfId="1222" xr:uid="{E310CF6B-655F-4DA4-8E8F-F499A598836A}"/>
    <cellStyle name="2x indented GHG Textfiels 3 3 4 2 20" xfId="10065" xr:uid="{6C59E9C3-6196-40A0-A53E-A0863D3FA1B2}"/>
    <cellStyle name="2x indented GHG Textfiels 3 3 4 2 21" xfId="10645" xr:uid="{F8088F4E-E975-43F3-A6B5-07D2A1564A44}"/>
    <cellStyle name="2x indented GHG Textfiels 3 3 4 2 22" xfId="11060" xr:uid="{B4C050DD-4190-46E2-978C-1AFA6C191946}"/>
    <cellStyle name="2x indented GHG Textfiels 3 3 4 2 23" xfId="12101" xr:uid="{A3E69F0E-4778-4BCE-B301-0CC5B0036A20}"/>
    <cellStyle name="2x indented GHG Textfiels 3 3 4 2 24" xfId="12574" xr:uid="{979872B1-FFF9-437B-9E1F-E0F9E9AB23CE}"/>
    <cellStyle name="2x indented GHG Textfiels 3 3 4 2 25" xfId="13008" xr:uid="{AD60777F-B996-4669-AC8B-AC233F736AB6}"/>
    <cellStyle name="2x indented GHG Textfiels 3 3 4 2 26" xfId="13445" xr:uid="{1669533C-9939-441B-A02B-8BC6CE0D1B8B}"/>
    <cellStyle name="2x indented GHG Textfiels 3 3 4 2 27" xfId="11800" xr:uid="{E0D06202-0056-4146-8AB6-D3B24DF2DD7F}"/>
    <cellStyle name="2x indented GHG Textfiels 3 3 4 2 28" xfId="13856" xr:uid="{6ABB81DA-7E53-4962-968F-DFE1EC8595A1}"/>
    <cellStyle name="2x indented GHG Textfiels 3 3 4 2 29" xfId="12280" xr:uid="{D0BEEDFA-31BD-4355-837A-BEB2D5013A5D}"/>
    <cellStyle name="2x indented GHG Textfiels 3 3 4 2 3" xfId="1515" xr:uid="{49DE6E74-2734-4DCC-BAD7-7F6226E80AC5}"/>
    <cellStyle name="2x indented GHG Textfiels 3 3 4 2 30" xfId="12732" xr:uid="{23FF5133-491E-4FF7-A041-386810C15508}"/>
    <cellStyle name="2x indented GHG Textfiels 3 3 4 2 31" xfId="15468" xr:uid="{26A92B82-EAAC-4771-9265-300D1BC33700}"/>
    <cellStyle name="2x indented GHG Textfiels 3 3 4 2 32" xfId="14353" xr:uid="{9BF9A9A5-E895-4235-9770-BC44944425BC}"/>
    <cellStyle name="2x indented GHG Textfiels 3 3 4 2 33" xfId="16793" xr:uid="{02D50A8D-4796-48D8-9F95-9661BB39A31F}"/>
    <cellStyle name="2x indented GHG Textfiels 3 3 4 2 34" xfId="16343" xr:uid="{E7541D84-6ADE-4C10-9C2F-CC49424DE678}"/>
    <cellStyle name="2x indented GHG Textfiels 3 3 4 2 35" xfId="17182" xr:uid="{B7E6CC9C-1046-4E62-970C-9A1DB2FBCA85}"/>
    <cellStyle name="2x indented GHG Textfiels 3 3 4 2 36" xfId="17642" xr:uid="{1066C435-B31F-4C95-9DD3-B8EF278BEB01}"/>
    <cellStyle name="2x indented GHG Textfiels 3 3 4 2 37" xfId="18611" xr:uid="{744D7614-A220-4B22-B6E1-E043B3AA438B}"/>
    <cellStyle name="2x indented GHG Textfiels 3 3 4 2 38" xfId="19016" xr:uid="{A03FD3E9-E288-4B84-A954-29F424E2D25D}"/>
    <cellStyle name="2x indented GHG Textfiels 3 3 4 2 39" xfId="18944" xr:uid="{438F5376-4CFC-4914-A9D7-7A0CFFB7AA11}"/>
    <cellStyle name="2x indented GHG Textfiels 3 3 4 2 4" xfId="2570" xr:uid="{3C925E64-D5DB-447C-8332-3DDBDB7D7A52}"/>
    <cellStyle name="2x indented GHG Textfiels 3 3 4 2 40" xfId="20130" xr:uid="{7DDF359F-70A1-488B-897E-C71FF91665C4}"/>
    <cellStyle name="2x indented GHG Textfiels 3 3 4 2 41" xfId="19676" xr:uid="{2DD72911-5AE3-47C3-89D3-FA9CE1968EA3}"/>
    <cellStyle name="2x indented GHG Textfiels 3 3 4 2 42" xfId="19403" xr:uid="{C656E904-A621-4AE4-9275-A54F20236D14}"/>
    <cellStyle name="2x indented GHG Textfiels 3 3 4 2 43" xfId="21438" xr:uid="{0B99084A-2F2B-4954-98BE-46D531E7A340}"/>
    <cellStyle name="2x indented GHG Textfiels 3 3 4 2 44" xfId="20296" xr:uid="{860A11B2-40B3-41F0-A557-8B460AC04B33}"/>
    <cellStyle name="2x indented GHG Textfiels 3 3 4 2 45" xfId="21460" xr:uid="{0AC4EF60-9BF9-43D2-9748-20AB1520C559}"/>
    <cellStyle name="2x indented GHG Textfiels 3 3 4 2 46" xfId="22012" xr:uid="{A551D9A5-B2F7-455D-8AEA-312A106D87AF}"/>
    <cellStyle name="2x indented GHG Textfiels 3 3 4 2 47" xfId="23295" xr:uid="{978E633E-36B1-4118-A320-AD6BE5B5A790}"/>
    <cellStyle name="2x indented GHG Textfiels 3 3 4 2 48" xfId="22609" xr:uid="{4820DE8F-70AE-40A7-803C-5A970AF93594}"/>
    <cellStyle name="2x indented GHG Textfiels 3 3 4 2 49" xfId="23930" xr:uid="{DC5624AE-56E1-40F2-8339-176D0882ED58}"/>
    <cellStyle name="2x indented GHG Textfiels 3 3 4 2 5" xfId="2033" xr:uid="{061246CB-9929-403D-A205-B390DEAC5A83}"/>
    <cellStyle name="2x indented GHG Textfiels 3 3 4 2 50" xfId="24838" xr:uid="{A0419D83-029D-41C8-B256-DFF6DAD549A3}"/>
    <cellStyle name="2x indented GHG Textfiels 3 3 4 2 51" xfId="24425" xr:uid="{876E1A23-A40C-4DED-BD3C-A231D81DE27A}"/>
    <cellStyle name="2x indented GHG Textfiels 3 3 4 2 52" xfId="25754" xr:uid="{AAFD4BD2-0D43-4843-BEF5-8BD64E4E6E11}"/>
    <cellStyle name="2x indented GHG Textfiels 3 3 4 2 53" xfId="25518" xr:uid="{372CBE16-09A5-4FA6-93A8-98A880305A1E}"/>
    <cellStyle name="2x indented GHG Textfiels 3 3 4 2 54" xfId="26688" xr:uid="{CFD21D0C-B776-4AF1-B6A9-8C3ADD4AE50F}"/>
    <cellStyle name="2x indented GHG Textfiels 3 3 4 2 55" xfId="27042" xr:uid="{E509CE45-4CC7-4077-ACBF-86956D1F5C6C}"/>
    <cellStyle name="2x indented GHG Textfiels 3 3 4 2 56" xfId="27461" xr:uid="{2F39EAED-D3E0-4FBB-93E2-F4D7D726348C}"/>
    <cellStyle name="2x indented GHG Textfiels 3 3 4 2 57" xfId="27198" xr:uid="{B80D29BD-F4BA-48B6-8693-1F8B76B2B3B2}"/>
    <cellStyle name="2x indented GHG Textfiels 3 3 4 2 58" xfId="28588" xr:uid="{78136D91-B369-4E3B-91FE-495F003EF29F}"/>
    <cellStyle name="2x indented GHG Textfiels 3 3 4 2 59" xfId="29055" xr:uid="{A41D0F4A-66A1-4058-8C2B-EB5773EC0289}"/>
    <cellStyle name="2x indented GHG Textfiels 3 3 4 2 6" xfId="3498" xr:uid="{CB9216A2-FCA1-4CDE-9496-422BD63DF97A}"/>
    <cellStyle name="2x indented GHG Textfiels 3 3 4 2 60" xfId="28786" xr:uid="{67D5EC27-7C61-43FD-9717-E42493BDEC57}"/>
    <cellStyle name="2x indented GHG Textfiels 3 3 4 2 61" xfId="29844" xr:uid="{C79F6563-C718-44A2-9758-6CB95A6B611C}"/>
    <cellStyle name="2x indented GHG Textfiels 3 3 4 2 62" xfId="30250" xr:uid="{B1DE0F1E-5DE0-40E4-89B3-9B946A9B2C36}"/>
    <cellStyle name="2x indented GHG Textfiels 3 3 4 2 63" xfId="30667" xr:uid="{C83A018E-3A74-46EC-B554-ED4A4C6BF877}"/>
    <cellStyle name="2x indented GHG Textfiels 3 3 4 2 64" xfId="29418" xr:uid="{9E0B9B8F-F910-44BD-B488-E6ECDFD1FD26}"/>
    <cellStyle name="2x indented GHG Textfiels 3 3 4 2 65" xfId="31283" xr:uid="{645AC805-EDCC-4581-86C4-D3DA9C0F74D3}"/>
    <cellStyle name="2x indented GHG Textfiels 3 3 4 2 7" xfId="4066" xr:uid="{92DD2877-E25E-4EE9-B016-1CA71BC2D936}"/>
    <cellStyle name="2x indented GHG Textfiels 3 3 4 2 8" xfId="4503" xr:uid="{C98DFB9F-6217-49C5-849B-43C160D31064}"/>
    <cellStyle name="2x indented GHG Textfiels 3 3 4 2 9" xfId="2855" xr:uid="{0EF9D1D3-EDC9-4F36-9F11-A8A18B746606}"/>
    <cellStyle name="2x indented GHG Textfiels 3 3 4 20" xfId="10086" xr:uid="{D1986280-2245-4972-BB8D-0CCAFDE57ED9}"/>
    <cellStyle name="2x indented GHG Textfiels 3 3 4 21" xfId="10501" xr:uid="{95C2E5DD-52A6-4C00-A51F-6AEED8FAB35A}"/>
    <cellStyle name="2x indented GHG Textfiels 3 3 4 22" xfId="10943" xr:uid="{2F4ED273-9722-4472-B6E6-A9DCEED41544}"/>
    <cellStyle name="2x indented GHG Textfiels 3 3 4 23" xfId="10449" xr:uid="{5776575E-6E19-499B-B9B9-CCDBF71EA476}"/>
    <cellStyle name="2x indented GHG Textfiels 3 3 4 24" xfId="11886" xr:uid="{8984838B-DFCA-4FFD-938E-1F6DE122085D}"/>
    <cellStyle name="2x indented GHG Textfiels 3 3 4 25" xfId="12359" xr:uid="{9BF53670-FBD0-4C03-9CEA-35C4BB2963FD}"/>
    <cellStyle name="2x indented GHG Textfiels 3 3 4 26" xfId="12793" xr:uid="{CB0839C7-B83E-4097-A092-6E09E2E4A04E}"/>
    <cellStyle name="2x indented GHG Textfiels 3 3 4 27" xfId="13230" xr:uid="{161A8C1B-ADEF-4C8E-9F96-723568242641}"/>
    <cellStyle name="2x indented GHG Textfiels 3 3 4 28" xfId="13945" xr:uid="{1E9B9878-6600-4A14-9DF8-3D04BF276084}"/>
    <cellStyle name="2x indented GHG Textfiels 3 3 4 29" xfId="13187" xr:uid="{73357C9B-2164-4461-84B1-103244C80D82}"/>
    <cellStyle name="2x indented GHG Textfiels 3 3 4 3" xfId="1016" xr:uid="{C063B459-1749-4B08-A9A5-228C539BFC71}"/>
    <cellStyle name="2x indented GHG Textfiels 3 3 4 30" xfId="14606" xr:uid="{774BA1E0-6396-47CF-A255-5E92E3216344}"/>
    <cellStyle name="2x indented GHG Textfiels 3 3 4 31" xfId="15253" xr:uid="{2E8BD615-1990-4EC9-9F86-880FF97503A5}"/>
    <cellStyle name="2x indented GHG Textfiels 3 3 4 32" xfId="15671" xr:uid="{9506F6FA-D23F-4639-9938-CC577EC9C004}"/>
    <cellStyle name="2x indented GHG Textfiels 3 3 4 33" xfId="15901" xr:uid="{45B92A77-40B6-45F7-A1F3-77D46316EE98}"/>
    <cellStyle name="2x indented GHG Textfiels 3 3 4 34" xfId="16578" xr:uid="{B91F416B-3BD5-4329-930F-09F801AA2F9C}"/>
    <cellStyle name="2x indented GHG Textfiels 3 3 4 35" xfId="17204" xr:uid="{A12246AD-1AE4-4CBC-BDD9-733CD5F18A43}"/>
    <cellStyle name="2x indented GHG Textfiels 3 3 4 36" xfId="17650" xr:uid="{87AD1A52-CBC1-4BE1-8D5E-3DD4BE0633FC}"/>
    <cellStyle name="2x indented GHG Textfiels 3 3 4 37" xfId="17431" xr:uid="{60834A2B-266E-4D3C-8CB5-6CB87C27A2D8}"/>
    <cellStyle name="2x indented GHG Textfiels 3 3 4 38" xfId="18396" xr:uid="{5CBE871A-E1B1-4738-83B3-C147018FC510}"/>
    <cellStyle name="2x indented GHG Textfiels 3 3 4 39" xfId="18098" xr:uid="{F38F3BB5-E4CC-4A58-A8EB-4FF5656B0DCF}"/>
    <cellStyle name="2x indented GHG Textfiels 3 3 4 4" xfId="1677" xr:uid="{0A87A948-29CE-499B-B305-400215ABFE32}"/>
    <cellStyle name="2x indented GHG Textfiels 3 3 4 40" xfId="19221" xr:uid="{4EDBC7DC-2935-4461-96AE-2DEA89D41278}"/>
    <cellStyle name="2x indented GHG Textfiels 3 3 4 41" xfId="19915" xr:uid="{D102173F-CFB5-40FA-A127-7E33440CE6F9}"/>
    <cellStyle name="2x indented GHG Textfiels 3 3 4 42" xfId="20557" xr:uid="{D107FCD2-4B3A-4C5A-854E-5D5846EE00A3}"/>
    <cellStyle name="2x indented GHG Textfiels 3 3 4 43" xfId="21010" xr:uid="{CF55404D-8F6D-4329-841C-D0109A44994C}"/>
    <cellStyle name="2x indented GHG Textfiels 3 3 4 44" xfId="19642" xr:uid="{CB116CE5-AF55-451E-BD16-466A9FEB6883}"/>
    <cellStyle name="2x indented GHG Textfiels 3 3 4 45" xfId="21941" xr:uid="{9750EF05-957A-4B8D-811F-FBC483A7E5EA}"/>
    <cellStyle name="2x indented GHG Textfiels 3 3 4 46" xfId="22373" xr:uid="{A5A9564B-1230-408E-B876-F1AB755D8940}"/>
    <cellStyle name="2x indented GHG Textfiels 3 3 4 47" xfId="22919" xr:uid="{484ED363-9857-4C9A-A634-94CDF01F3F52}"/>
    <cellStyle name="2x indented GHG Textfiels 3 3 4 48" xfId="22634" xr:uid="{FF486903-C82F-465D-B73E-A05F9D29D2E1}"/>
    <cellStyle name="2x indented GHG Textfiels 3 3 4 49" xfId="23504" xr:uid="{CC3BCFA2-B838-49AA-89F2-6563AB3D4AF2}"/>
    <cellStyle name="2x indented GHG Textfiels 3 3 4 5" xfId="2355" xr:uid="{C4F4F0D2-BEEB-43EF-9059-CB161743257B}"/>
    <cellStyle name="2x indented GHG Textfiels 3 3 4 50" xfId="23724" xr:uid="{22636296-B82F-4BA6-B43E-55BECEC27E88}"/>
    <cellStyle name="2x indented GHG Textfiels 3 3 4 51" xfId="24623" xr:uid="{CB962465-5A36-49EF-B900-43698DC1A39C}"/>
    <cellStyle name="2x indented GHG Textfiels 3 3 4 52" xfId="25265" xr:uid="{E37BFD98-8D5E-4831-8494-6D270FE2C4EB}"/>
    <cellStyle name="2x indented GHG Textfiels 3 3 4 53" xfId="25541" xr:uid="{3861969C-40D0-4DEB-A849-B564E9568D5B}"/>
    <cellStyle name="2x indented GHG Textfiels 3 3 4 54" xfId="26225" xr:uid="{8316B7F7-CA8A-4022-9CF9-6F03CEF51C2D}"/>
    <cellStyle name="2x indented GHG Textfiels 3 3 4 55" xfId="26247" xr:uid="{0105493A-F4CD-4497-A814-8BDEDA316580}"/>
    <cellStyle name="2x indented GHG Textfiels 3 3 4 56" xfId="26831" xr:uid="{DE4FD2B5-421E-4A0C-84D9-ED50053731DC}"/>
    <cellStyle name="2x indented GHG Textfiels 3 3 4 57" xfId="27250" xr:uid="{261B2767-2EC5-4141-90E5-6E7E1539A277}"/>
    <cellStyle name="2x indented GHG Textfiels 3 3 4 58" xfId="25951" xr:uid="{FDD29D1C-220F-4DDD-B705-37A7303FB6D4}"/>
    <cellStyle name="2x indented GHG Textfiels 3 3 4 59" xfId="28373" xr:uid="{447975E0-23C1-43A6-9C03-2471357FCBA2}"/>
    <cellStyle name="2x indented GHG Textfiels 3 3 4 6" xfId="3113" xr:uid="{992F6BB8-993F-4EFE-9295-1BA7009942D8}"/>
    <cellStyle name="2x indented GHG Textfiels 3 3 4 60" xfId="28841" xr:uid="{9061D3CF-9EAB-4D73-86E3-098BB65BD6A7}"/>
    <cellStyle name="2x indented GHG Textfiels 3 3 4 61" xfId="29396" xr:uid="{023D4933-18EB-4E0E-A144-D1FE7FFD8EDA}"/>
    <cellStyle name="2x indented GHG Textfiels 3 3 4 62" xfId="29631" xr:uid="{B8AF6655-DD70-4CE1-A4F0-A9F117831ABE}"/>
    <cellStyle name="2x indented GHG Textfiels 3 3 4 63" xfId="30039" xr:uid="{680AFFAB-BBCC-48A5-802A-CAD25B1B5BAB}"/>
    <cellStyle name="2x indented GHG Textfiels 3 3 4 64" xfId="30453" xr:uid="{07FE9C15-A41D-4828-8379-8A00CDAAC219}"/>
    <cellStyle name="2x indented GHG Textfiels 3 3 4 65" xfId="30923" xr:uid="{E218C5FF-9DBD-409E-86A7-B574DC5F2E65}"/>
    <cellStyle name="2x indented GHG Textfiels 3 3 4 66" xfId="31077" xr:uid="{46052387-E853-4C66-A206-3A12B67509EB}"/>
    <cellStyle name="2x indented GHG Textfiels 3 3 4 7" xfId="3389" xr:uid="{3A821969-05CA-48BB-84E6-5ED3669012CE}"/>
    <cellStyle name="2x indented GHG Textfiels 3 3 4 8" xfId="3851" xr:uid="{EADA87CB-EDC5-4CA5-B7BD-1E61FAE63CBE}"/>
    <cellStyle name="2x indented GHG Textfiels 3 3 4 9" xfId="4289" xr:uid="{16DDC1AD-3F3F-4BCB-9E4A-0CFF85A5E884}"/>
    <cellStyle name="2x indented GHG Textfiels 3 3 40" xfId="18008" xr:uid="{8FE1EA53-D771-4855-A76C-5F5B3D25BA7B}"/>
    <cellStyle name="2x indented GHG Textfiels 3 3 41" xfId="17832" xr:uid="{E1F0F211-6A52-448D-BEAC-DB106432ED0E}"/>
    <cellStyle name="2x indented GHG Textfiels 3 3 42" xfId="18955" xr:uid="{BF87EDF6-9656-4CC7-93D7-77672CABC8CA}"/>
    <cellStyle name="2x indented GHG Textfiels 3 3 43" xfId="19732" xr:uid="{61189DC5-AF39-471E-A6DE-B43DC2539123}"/>
    <cellStyle name="2x indented GHG Textfiels 3 3 44" xfId="20664" xr:uid="{C4BBA50C-6E5F-4154-8BDB-EE7EAD954473}"/>
    <cellStyle name="2x indented GHG Textfiels 3 3 45" xfId="21120" xr:uid="{0F911034-B1D0-44A4-BCDA-EB8577C126B7}"/>
    <cellStyle name="2x indented GHG Textfiels 3 3 46" xfId="21237" xr:uid="{A93647EA-A5AE-4114-8316-AA823FBEE0DF}"/>
    <cellStyle name="2x indented GHG Textfiels 3 3 47" xfId="22052" xr:uid="{18E76E4E-BD38-4F39-A737-F208075DA504}"/>
    <cellStyle name="2x indented GHG Textfiels 3 3 48" xfId="22480" xr:uid="{C335F467-10A4-412D-92F9-E61511C9869E}"/>
    <cellStyle name="2x indented GHG Textfiels 3 3 49" xfId="22221" xr:uid="{5ECC1A24-B45E-4578-B955-D6C3C8CB48A9}"/>
    <cellStyle name="2x indented GHG Textfiels 3 3 5" xfId="973" xr:uid="{9D812214-4BCF-4261-9DAA-8A1151378911}"/>
    <cellStyle name="2x indented GHG Textfiels 3 3 50" xfId="21732" xr:uid="{7280BB9A-10C6-41C0-8F8D-F6F3AFAE2707}"/>
    <cellStyle name="2x indented GHG Textfiels 3 3 51" xfId="23038" xr:uid="{ED148218-F95C-4775-8DA2-C73F63A40FEC}"/>
    <cellStyle name="2x indented GHG Textfiels 3 3 52" xfId="22724" xr:uid="{6A28C691-0E07-4B93-8297-11B6DB46F233}"/>
    <cellStyle name="2x indented GHG Textfiels 3 3 53" xfId="24447" xr:uid="{1B4432A1-4CB7-483B-B2B3-C49F2644E653}"/>
    <cellStyle name="2x indented GHG Textfiels 3 3 54" xfId="25367" xr:uid="{E4AA8302-FC79-45BC-BB89-AF4BC8BBA9BC}"/>
    <cellStyle name="2x indented GHG Textfiels 3 3 55" xfId="25137" xr:uid="{B48C3FFC-8E98-4506-B00C-12B23A71060A}"/>
    <cellStyle name="2x indented GHG Textfiels 3 3 56" xfId="24515" xr:uid="{29CA6A93-75A8-4BCA-9AE0-64C6D5078D33}"/>
    <cellStyle name="2x indented GHG Textfiels 3 3 57" xfId="25938" xr:uid="{9C261F7B-E3C1-4352-9129-E179A2601B7D}"/>
    <cellStyle name="2x indented GHG Textfiels 3 3 58" xfId="24281" xr:uid="{E2B7515B-AA2B-4F28-8434-4CF497899476}"/>
    <cellStyle name="2x indented GHG Textfiels 3 3 59" xfId="26404" xr:uid="{A8FFB93F-CB8D-49DE-AFEF-EB6A06373A67}"/>
    <cellStyle name="2x indented GHG Textfiels 3 3 6" xfId="1668" xr:uid="{131AC1A8-8956-474A-9BEA-7AA4BA0FA8A7}"/>
    <cellStyle name="2x indented GHG Textfiels 3 3 60" xfId="27814" xr:uid="{CE84F254-0DA8-4358-956F-2E6C0BC62143}"/>
    <cellStyle name="2x indented GHG Textfiels 3 3 61" xfId="28213" xr:uid="{D11D762F-1A80-48C4-9CFB-A605B0848A4D}"/>
    <cellStyle name="2x indented GHG Textfiels 3 3 62" xfId="28245" xr:uid="{8025CE17-79E9-47BC-96CC-5EBBF78E5B64}"/>
    <cellStyle name="2x indented GHG Textfiels 3 3 63" xfId="29490" xr:uid="{950EBB72-E7DC-4025-BAF9-2F4B7E2B36AB}"/>
    <cellStyle name="2x indented GHG Textfiels 3 3 64" xfId="28173" xr:uid="{37EB9961-4D84-4687-AF50-95D0B3903E32}"/>
    <cellStyle name="2x indented GHG Textfiels 3 3 65" xfId="28091" xr:uid="{2E9DFE77-CCF4-4F9B-A71A-43C84B0A230B}"/>
    <cellStyle name="2x indented GHG Textfiels 3 3 66" xfId="28288" xr:uid="{D463AD5F-02D8-4C2E-9838-6A4715F73F77}"/>
    <cellStyle name="2x indented GHG Textfiels 3 3 67" xfId="29223" xr:uid="{6F900D15-8BB5-4CD2-BA7E-6307A6F42134}"/>
    <cellStyle name="2x indented GHG Textfiels 3 3 68" xfId="30816" xr:uid="{B6132A78-4BA7-44B3-A1EB-D7441871C7C2}"/>
    <cellStyle name="2x indented GHG Textfiels 3 3 7" xfId="2171" xr:uid="{1C295813-4A88-4C9C-AC68-F5BA023123E5}"/>
    <cellStyle name="2x indented GHG Textfiels 3 3 8" xfId="2056" xr:uid="{B2A89F51-3B18-4488-80A2-F0D81015E796}"/>
    <cellStyle name="2x indented GHG Textfiels 3 3 9" xfId="3477" xr:uid="{5D3470A3-CBEE-440F-B5AD-787C6D76B3BD}"/>
    <cellStyle name="40 % - Akzent1" xfId="51" hidden="1" xr:uid="{1116FDB7-DEC2-4E6A-95A9-2E1321CB8E91}"/>
    <cellStyle name="40 % - Akzent1" xfId="898" hidden="1" xr:uid="{54931308-1325-490A-B3FC-CA135017E7D0}"/>
    <cellStyle name="40 % - Akzent1" xfId="963" hidden="1" xr:uid="{A8D4DD3E-F870-4E99-866B-9DEEC184A63A}"/>
    <cellStyle name="40 % - Akzent1" xfId="1392" hidden="1" xr:uid="{361C22AB-C54F-41B2-9DA2-F2E621107C08}"/>
    <cellStyle name="40 % - Akzent1" xfId="1688" hidden="1" xr:uid="{F9B9668A-2038-4FE3-B3EF-22555C631042}"/>
    <cellStyle name="40 % - Akzent1" xfId="1875" hidden="1" xr:uid="{2DBE3C90-59B0-4F95-B3D9-3A6584DC02E1}"/>
    <cellStyle name="40 % - Akzent1" xfId="2321" hidden="1" xr:uid="{A7D0ABA6-5332-455D-8FF2-FBD9DD17B5A8}"/>
    <cellStyle name="40 % - Akzent1" xfId="2012" hidden="1" xr:uid="{56E0DDA4-CEE2-412C-822A-D54B112AEDB0}"/>
    <cellStyle name="40 % - Akzent1" xfId="2520" hidden="1" xr:uid="{1F391F6E-6558-4E22-84E7-B966C1057707}"/>
    <cellStyle name="40 % - Akzent1" xfId="1922" hidden="1" xr:uid="{1F04EA8F-C1F8-4897-BA27-A18D9C0B9284}"/>
    <cellStyle name="40 % - Akzent1" xfId="1844" hidden="1" xr:uid="{92DA85E2-5E25-4E86-9E6F-B7DA5F0CCCA5}"/>
    <cellStyle name="40 % - Akzent1" xfId="3613" hidden="1" xr:uid="{34A1371C-C491-4693-A1E1-6BBE67BC086B}"/>
    <cellStyle name="40 % - Akzent1" xfId="2766" hidden="1" xr:uid="{74490DD9-02E1-4EE4-8589-238C50895BE1}"/>
    <cellStyle name="40 % - Akzent1" xfId="3602" hidden="1" xr:uid="{A2F04C6A-9DC9-4145-A890-89CA71AFFF68}"/>
    <cellStyle name="40 % - Akzent1" xfId="3699" hidden="1" xr:uid="{B0F123C5-1244-44CF-AED6-E19E9C19FEDE}"/>
    <cellStyle name="40 % - Akzent1" xfId="2747" hidden="1" xr:uid="{6DAB6AC2-0548-4464-813D-056084996D08}"/>
    <cellStyle name="40 % - Akzent1" xfId="3059" hidden="1" xr:uid="{DE8D4318-7101-4BFC-880E-B12B962362BA}"/>
    <cellStyle name="40 % - Akzent1" xfId="3722" hidden="1" xr:uid="{AA1C4C28-993D-4600-8C56-5DDACAF24DA4}"/>
    <cellStyle name="40 % - Akzent1" xfId="4759" hidden="1" xr:uid="{AC20C325-7B62-409E-8080-865FB3DAB372}"/>
    <cellStyle name="40 % - Akzent1" xfId="4766" hidden="1" xr:uid="{940AD656-C0CB-4571-BAE3-32908C9737D7}"/>
    <cellStyle name="40 % - Akzent1" xfId="5152" hidden="1" xr:uid="{74251FE7-99E2-480A-B5C4-5731F984CF2D}"/>
    <cellStyle name="40 % - Akzent1" xfId="5799" hidden="1" xr:uid="{DEB51F85-D9E0-491A-B5C5-A7CB60AD968D}"/>
    <cellStyle name="40 % - Akzent1" xfId="5753" hidden="1" xr:uid="{8FC94A32-BFB4-4CA9-83BA-3052491CAA33}"/>
    <cellStyle name="40 % - Akzent1" xfId="5633" hidden="1" xr:uid="{166C8D64-D500-4B51-9BB5-5CD77A3C7E00}"/>
    <cellStyle name="40 % - Akzent1" xfId="5756" hidden="1" xr:uid="{4FD3DF33-E4D8-4E74-B8BA-174BD4224502}"/>
    <cellStyle name="40 % - Akzent1" xfId="5597" hidden="1" xr:uid="{85F399DF-C4E5-430C-9734-D1A287761315}"/>
    <cellStyle name="40 % - Akzent1" xfId="6233" hidden="1" xr:uid="{1E60616A-71E0-4782-B33F-555C60554B5C}"/>
    <cellStyle name="40 % - Akzent1" xfId="6192" hidden="1" xr:uid="{9D7C79B2-E460-4021-809F-CD0A60C3A0C2}"/>
    <cellStyle name="40 % - Akzent1" xfId="4944" hidden="1" xr:uid="{0B0A3FB5-05AC-40FF-9FFD-325B5B946C3A}"/>
    <cellStyle name="40 % - Akzent1" xfId="6423" hidden="1" xr:uid="{2B854957-C445-4CE9-B768-DADFD0160144}"/>
    <cellStyle name="40 % - Akzent1" xfId="6436" hidden="1" xr:uid="{B979D1D4-2C20-44B2-BCF1-994075B7317A}"/>
    <cellStyle name="40 % - Akzent1" xfId="6559" hidden="1" xr:uid="{4A6F5031-F453-4DCC-AD07-6DC7C8853276}"/>
    <cellStyle name="40 % - Akzent1" xfId="5965" hidden="1" xr:uid="{6EFBFC4E-D3AE-48E9-96D8-092B574D121B}"/>
    <cellStyle name="40 % - Akzent1" xfId="6398" hidden="1" xr:uid="{13823322-7281-4761-88E9-DB71A75472BA}"/>
    <cellStyle name="40 % - Akzent1" xfId="6305" hidden="1" xr:uid="{C17835C1-A249-4C62-A12A-ED9C64073DF9}"/>
    <cellStyle name="40 % - Akzent1" xfId="6550" hidden="1" xr:uid="{6B441A4A-0941-4AF2-8D12-D31B642EDCEC}"/>
    <cellStyle name="40 % - Akzent1" xfId="6265" hidden="1" xr:uid="{2BC5D047-1FC5-431D-A4F1-188F1BBE9D4F}"/>
    <cellStyle name="40 % - Akzent1" xfId="6789" hidden="1" xr:uid="{D55B3005-BB58-4DA0-9FB9-77814F13B9BF}"/>
    <cellStyle name="40 % - Akzent1" xfId="7038" hidden="1" xr:uid="{0FDEF820-AC35-4498-85EE-0314348BDC12}"/>
    <cellStyle name="40 % - Akzent1" xfId="6920" hidden="1" xr:uid="{F6DFEE12-2E54-496E-9284-9AE785637B9A}"/>
    <cellStyle name="40 % - Akzent1" xfId="7929" hidden="1" xr:uid="{9C0D3A9C-4216-4688-9875-18C8B1417780}"/>
    <cellStyle name="40 % - Akzent1" xfId="7656" hidden="1" xr:uid="{6ACD3BD0-18D8-481E-BB98-716475BDA317}"/>
    <cellStyle name="40 % - Akzent1" xfId="7213" hidden="1" xr:uid="{A4AB700C-14B5-425A-A426-8D8DBB9EE1F8}"/>
    <cellStyle name="40 % - Akzent1" xfId="6935" hidden="1" xr:uid="{FEBA7B11-D0C9-4DB8-8A95-1E88BE2BCBF2}"/>
    <cellStyle name="40 % - Akzent1" xfId="6947" hidden="1" xr:uid="{8283993B-0544-4F53-BA59-3EF396E096FB}"/>
    <cellStyle name="40 % - Akzent1" xfId="8436" hidden="1" xr:uid="{E6C641F0-C9A2-47D8-82C8-B730CEDBFF18}"/>
    <cellStyle name="40 % - Akzent1" xfId="8416" hidden="1" xr:uid="{BC7DE36F-7F28-47BA-BC85-0CADCACEDB4B}"/>
    <cellStyle name="40 % - Akzent1" xfId="7665" hidden="1" xr:uid="{5ABB8FD8-5A21-452A-B3F7-39B5E5BCF546}"/>
    <cellStyle name="40 % - Akzent1" xfId="6913" hidden="1" xr:uid="{026F03D9-7F35-4839-878F-9663F8E1AF49}"/>
    <cellStyle name="40 % - Akzent1" xfId="7613" hidden="1" xr:uid="{F75EBB9C-68C9-4D1B-8FDF-FEB1AE4D0BB0}"/>
    <cellStyle name="40 % - Akzent1" xfId="6973" hidden="1" xr:uid="{E6B8C221-3C89-4BC6-8960-BF9AE6760BEE}"/>
    <cellStyle name="40 % - Akzent1" xfId="7926" hidden="1" xr:uid="{CE0AF9BA-9FAF-4A97-9394-2265D1C86EC5}"/>
    <cellStyle name="40 % - Akzent1" xfId="8338" hidden="1" xr:uid="{0C03F229-8231-49A4-BCA6-20F661624578}"/>
    <cellStyle name="40 % - Akzent1" xfId="8211" hidden="1" xr:uid="{B94C38C5-01E3-44F0-832F-0D3D1DA52A7C}"/>
    <cellStyle name="40 % - Akzent1" xfId="8606" hidden="1" xr:uid="{32524747-4C90-4104-96C5-FAA99DA21186}"/>
    <cellStyle name="40 % - Akzent1" xfId="8487" hidden="1" xr:uid="{92082975-18DF-43FA-BFC2-B2D37BBC7C88}"/>
    <cellStyle name="40 % - Akzent1" xfId="8540" hidden="1" xr:uid="{AC593E4B-EEC5-40F6-AA5E-0F101A559E6A}"/>
    <cellStyle name="40 % - Akzent1" xfId="7671" hidden="1" xr:uid="{D5C6BD37-324F-484C-8F56-6DA2BDDCBEC9}"/>
    <cellStyle name="40 % - Akzent1" xfId="8693" hidden="1" xr:uid="{B31B16D2-9D6A-4A0A-8A40-96421B033DB9}"/>
    <cellStyle name="40 % - Akzent1" xfId="8786" hidden="1" xr:uid="{1813D4C7-C53E-4C27-AA52-7F301B4FB1BD}"/>
    <cellStyle name="40 % - Akzent1" xfId="9001" hidden="1" xr:uid="{ECBE77F3-B62D-416C-BB9F-9E2A656D38C9}"/>
    <cellStyle name="40 % - Akzent1" xfId="9251" hidden="1" xr:uid="{5F2CF973-9526-4081-9C4E-F1E1348767A6}"/>
    <cellStyle name="40 % - Akzent1" xfId="9133" hidden="1" xr:uid="{B560C2C9-8CDF-4939-B0DA-434342152518}"/>
    <cellStyle name="40 % - Akzent1" xfId="10142" hidden="1" xr:uid="{71F9BC6E-F2BD-4249-B8DE-260A9F75DACB}"/>
    <cellStyle name="40 % - Akzent1" xfId="9867" hidden="1" xr:uid="{04551633-BCA0-4FE7-970D-C6A97A010870}"/>
    <cellStyle name="40 % - Akzent1" xfId="8962" hidden="1" xr:uid="{AA95552E-EE55-4CD8-BF5C-1FBF744EA4F0}"/>
    <cellStyle name="40 % - Akzent1" xfId="10219" hidden="1" xr:uid="{3905AA75-6E11-4526-B3CD-7B5068DAED7A}"/>
    <cellStyle name="40 % - Akzent1" xfId="9893" hidden="1" xr:uid="{5A6AB2DE-BC68-48C8-8B4D-52DB909C3F63}"/>
    <cellStyle name="40 % - Akzent1" xfId="10712" hidden="1" xr:uid="{44260691-7940-416F-A1A0-8FAC8B4F177A}"/>
    <cellStyle name="40 % - Akzent1" xfId="11235" hidden="1" xr:uid="{585DED07-6631-4811-AC12-586BC39E582C}"/>
    <cellStyle name="40 % - Akzent1" xfId="11142" hidden="1" xr:uid="{EA0E9409-52C7-4848-931A-2A2DCCCD9C3A}"/>
    <cellStyle name="40 % - Akzent1" xfId="11279" hidden="1" xr:uid="{5EC8B113-77D3-42F3-B7F2-634C163AC947}"/>
    <cellStyle name="40 % - Akzent1" xfId="10617" hidden="1" xr:uid="{897E0741-CFE9-4011-B1D3-06205109750A}"/>
    <cellStyle name="40 % - Akzent1" xfId="10746" hidden="1" xr:uid="{3425492B-3DD3-42B1-B63F-13AFDB97EA7A}"/>
    <cellStyle name="40 % - Akzent1" xfId="11186" hidden="1" xr:uid="{956AABDA-F382-458A-A1D9-87752FBBB467}"/>
    <cellStyle name="40 % - Akzent1" xfId="11407" hidden="1" xr:uid="{49C80C98-25C9-4AF9-8E4B-4CC6BF24B3DD}"/>
    <cellStyle name="40 % - Akzent1" xfId="11665" hidden="1" xr:uid="{C441F3A0-0B0B-44C9-BF2C-78D88260921C}"/>
    <cellStyle name="40 % - Akzent1" xfId="11671" hidden="1" xr:uid="{624F1909-409A-4EEA-9E87-EDEACB8FA735}"/>
    <cellStyle name="40 % - Akzent1" xfId="11457" hidden="1" xr:uid="{9BC89BB5-2AAB-4616-ACC4-5941AC955EE6}"/>
    <cellStyle name="40 % - Akzent1" xfId="13202" hidden="1" xr:uid="{E03EE7A0-5820-443D-AEE2-A3B26B9F3502}"/>
    <cellStyle name="40 % - Akzent1" xfId="11670" hidden="1" xr:uid="{1F598777-FED4-4EC2-91C8-68AD28E93EE4}"/>
    <cellStyle name="40 % - Akzent1" xfId="11856" hidden="1" xr:uid="{88C4E8D0-841A-46EB-98B2-F1A5B74D0A07}"/>
    <cellStyle name="40 % - Akzent1" xfId="11526" hidden="1" xr:uid="{6703EDBE-F629-4D2A-A054-68628E1BED0F}"/>
    <cellStyle name="40 % - Akzent1" xfId="12287" hidden="1" xr:uid="{3E750BFF-4643-4538-8C57-451B81C6E7A3}"/>
    <cellStyle name="40 % - Akzent1" xfId="14335" hidden="1" xr:uid="{2E43DC08-5B9C-4EA1-8420-7ABB6C0E047F}"/>
    <cellStyle name="40 % - Akzent1" xfId="14760" hidden="1" xr:uid="{5D92DBE6-97A9-422A-B60A-E63A6805473A}"/>
    <cellStyle name="40 % - Akzent1" xfId="14521" hidden="1" xr:uid="{18E8C3AF-6327-413F-9C8D-DCDBF50FEF06}"/>
    <cellStyle name="40 % - Akzent1" xfId="15181" hidden="1" xr:uid="{3A5C44D7-5250-4443-B6B6-3B7B6ED03EA8}"/>
    <cellStyle name="40 % - Akzent1" xfId="15162" hidden="1" xr:uid="{824A4FF2-12F4-4F29-B5E6-08105B6BB9BD}"/>
    <cellStyle name="40 % - Akzent1" xfId="14902" hidden="1" xr:uid="{BA81E35B-7777-4F6B-BBF0-9792F72D7195}"/>
    <cellStyle name="40 % - Akzent1" xfId="14699" hidden="1" xr:uid="{2A78C635-2102-4269-B800-6F2D45090C69}"/>
    <cellStyle name="40 % - Akzent1" xfId="11773" hidden="1" xr:uid="{ACF3B952-D2FB-40AC-B16A-3ADB34248A19}"/>
    <cellStyle name="40 % - Akzent1" xfId="15604" hidden="1" xr:uid="{2BAEB0D0-DB3D-424D-9B1B-92F0B1C280AB}"/>
    <cellStyle name="40 % - Akzent1" xfId="15568" hidden="1" xr:uid="{3554ED6A-6807-4143-9435-F6963A9756EF}"/>
    <cellStyle name="40 % - Akzent1" xfId="15534" hidden="1" xr:uid="{7557D6BA-DB12-4E58-8EFA-0F368FA56811}"/>
    <cellStyle name="40 % - Akzent1" xfId="15533" hidden="1" xr:uid="{DF601C9E-5446-4461-A7B1-7C45957E388F}"/>
    <cellStyle name="40 % - Akzent1" xfId="15499" hidden="1" xr:uid="{591FD7AF-3188-4551-B459-F1894A86C1F4}"/>
    <cellStyle name="40 % - Akzent1" xfId="15809" hidden="1" xr:uid="{F191BFCA-BF40-4412-B207-EDE8BBC8038B}"/>
    <cellStyle name="40 % - Akzent1" xfId="15521" hidden="1" xr:uid="{81D15DA6-7201-428B-96DE-93E18FE68EE7}"/>
    <cellStyle name="40 % - Akzent1" xfId="16023" hidden="1" xr:uid="{A476F01D-23FE-42C1-8FC6-8D3BA0720D56}"/>
    <cellStyle name="40 % - Akzent1" xfId="16098" hidden="1" xr:uid="{F08F219D-EF67-452D-94FB-24134612DD54}"/>
    <cellStyle name="40 % - Akzent1" xfId="16361" hidden="1" xr:uid="{335FBA10-ED9E-4BA9-B96B-3E15954FE649}"/>
    <cellStyle name="40 % - Akzent1" xfId="16237" hidden="1" xr:uid="{BB093AAC-0AE6-4861-B345-5ADC5CAFF2BA}"/>
    <cellStyle name="40 % - Akzent1" xfId="17262" hidden="1" xr:uid="{D63A4D90-FFAE-45EE-8C10-9206616D28B5}"/>
    <cellStyle name="40 % - Akzent1" xfId="16982" hidden="1" xr:uid="{BD252254-6C25-44EE-8AFF-6EB72C3AD073}"/>
    <cellStyle name="40 % - Akzent1" xfId="16062" hidden="1" xr:uid="{D84E7776-BD61-4406-A4F7-02B2E484861C}"/>
    <cellStyle name="40 % - Akzent1" xfId="17432" hidden="1" xr:uid="{F773A585-352B-4F8B-8DC1-F9205A0B5EEC}"/>
    <cellStyle name="40 % - Akzent1" xfId="17389" hidden="1" xr:uid="{F632EB7F-65F8-491F-821B-160B8D753DBA}"/>
    <cellStyle name="40 % - Akzent1" xfId="17859" hidden="1" xr:uid="{28843697-CF97-45A2-96FD-814BA24AA512}"/>
    <cellStyle name="40 % - Akzent1" xfId="16238" hidden="1" xr:uid="{0696E3A0-905A-4ED2-9A6F-933FE30C886D}"/>
    <cellStyle name="40 % - Akzent1" xfId="16070" hidden="1" xr:uid="{E61E243B-DAB4-4A80-AD70-BBE606EBBD24}"/>
    <cellStyle name="40 % - Akzent1" xfId="18024" hidden="1" xr:uid="{90BB7905-B557-4FB0-B96C-439795F5AE4E}"/>
    <cellStyle name="40 % - Akzent1" xfId="16291" hidden="1" xr:uid="{A18133E6-91DB-446C-A780-ECE67E1D3702}"/>
    <cellStyle name="40 % - Akzent1" xfId="17926" hidden="1" xr:uid="{5F19C4DD-6A34-4B30-8CED-99113C23603B}"/>
    <cellStyle name="40 % - Akzent1" xfId="18767" hidden="1" xr:uid="{9FB4EAC4-073C-443F-BFA9-10ADC6285521}"/>
    <cellStyle name="40 % - Akzent1" xfId="18812" hidden="1" xr:uid="{0EA56F94-CD72-430E-B87A-7F015A813CF8}"/>
    <cellStyle name="40 % - Akzent1" xfId="17835" hidden="1" xr:uid="{7A29A365-947A-4C11-9D3A-BAF880E275B2}"/>
    <cellStyle name="40 % - Akzent1" xfId="19044" hidden="1" xr:uid="{D52BC425-EDFB-4DB7-B600-09BA0CF49F18}"/>
    <cellStyle name="40 % - Akzent1" xfId="19431" hidden="1" xr:uid="{B73B6ACB-3431-42D5-B598-D1817B2ED02D}"/>
    <cellStyle name="40 % - Akzent1" xfId="19694" hidden="1" xr:uid="{34096D2E-D828-4E96-8576-39D5144DA299}"/>
    <cellStyle name="40 % - Akzent1" xfId="19570" hidden="1" xr:uid="{6E0664C6-908B-4CA5-97B0-725547C5DB6B}"/>
    <cellStyle name="40 % - Akzent1" xfId="20579" hidden="1" xr:uid="{E8CD29EA-D02E-40A1-9A84-345D32B0979F}"/>
    <cellStyle name="40 % - Akzent1" xfId="20359" hidden="1" xr:uid="{C0C1D80B-9258-478E-B33F-3E37CB803199}"/>
    <cellStyle name="40 % - Akzent1" xfId="19700" hidden="1" xr:uid="{90931597-8C0C-4383-8C96-C2437CB304F4}"/>
    <cellStyle name="40 % - Akzent1" xfId="21602" hidden="1" xr:uid="{1D85C3B1-4409-45F9-A41B-C3FBBC638A0A}"/>
    <cellStyle name="40 % - Akzent1" xfId="19558" hidden="1" xr:uid="{DD40ABBA-4747-4573-A00D-A00FB1C6D339}"/>
    <cellStyle name="40 % - Akzent1" xfId="19734" hidden="1" xr:uid="{9E86B2FF-A6A5-423E-B9F1-E0320CF6C021}"/>
    <cellStyle name="40 % - Akzent1" xfId="20375" hidden="1" xr:uid="{D585C7F0-7561-4E40-8251-14FF4355FA28}"/>
    <cellStyle name="40 % - Akzent1" xfId="20383" hidden="1" xr:uid="{AD166E23-6391-4892-9D8F-548ACAD3B91F}"/>
    <cellStyle name="40 % - Akzent1" xfId="20873" hidden="1" xr:uid="{AFA08F44-67BA-4A39-B807-9CF811091F69}"/>
    <cellStyle name="40 % - Akzent1" xfId="21498" hidden="1" xr:uid="{6EC2E7C1-D334-4B92-A9BE-9C388B00BB31}"/>
    <cellStyle name="40 % - Akzent1" xfId="22158" hidden="1" xr:uid="{8A6B0C12-FB49-423F-BA3D-70ADE27853C4}"/>
    <cellStyle name="40 % - Akzent1" xfId="21341" hidden="1" xr:uid="{0E56DC3D-A9CD-435B-A885-8FA45B619408}"/>
    <cellStyle name="40 % - Akzent1" xfId="22396" hidden="1" xr:uid="{613A3DDF-C48D-4F8E-AB02-EF3C1BA84B36}"/>
    <cellStyle name="40 % - Akzent1" xfId="22683" hidden="1" xr:uid="{D0818063-222A-4E4C-9B9E-42B3926D3EC1}"/>
    <cellStyle name="40 % - Akzent1" xfId="21659" hidden="1" xr:uid="{69F8EAE8-8E3A-4498-8FA9-FF37A5888A6A}"/>
    <cellStyle name="40 % - Akzent1" xfId="20428" hidden="1" xr:uid="{DD9BCA9C-32A5-41D8-8992-12A620904011}"/>
    <cellStyle name="40 % - Akzent1" xfId="23035" hidden="1" xr:uid="{8E46FC50-5F4D-40E3-AA87-07E16A6EBA88}"/>
    <cellStyle name="40 % - Akzent1" xfId="22762" hidden="1" xr:uid="{36D9A998-3C8D-4460-BED6-F7E35E1E50E5}"/>
    <cellStyle name="40 % - Akzent1" xfId="23639" hidden="1" xr:uid="{A0293406-EE6C-4E65-8F6E-E8101BE78AEF}"/>
    <cellStyle name="40 % - Akzent1" xfId="22761" hidden="1" xr:uid="{12C7352B-CABC-413D-8C0E-DD4ED4170A22}"/>
    <cellStyle name="40 % - Akzent1" xfId="23274" hidden="1" xr:uid="{64841463-2A11-4053-8D1A-F18B172A0A07}"/>
    <cellStyle name="40 % - Akzent1" xfId="23447" hidden="1" xr:uid="{CA6D5419-DD03-4F69-BCD2-E31753A5743F}"/>
    <cellStyle name="40 % - Akzent1" xfId="23453" hidden="1" xr:uid="{0A330873-A893-4A22-8300-A6AB5680622D}"/>
    <cellStyle name="40 % - Akzent1" xfId="23375" hidden="1" xr:uid="{5592D8FD-57F5-422E-8DA0-0EFD9B50A85C}"/>
    <cellStyle name="40 % - Akzent1" xfId="24154" hidden="1" xr:uid="{B370A41B-E3CF-462C-8610-4411FA8DDC39}"/>
    <cellStyle name="40 % - Akzent1" xfId="24398" hidden="1" xr:uid="{0486EA70-2AC9-41DD-8F2C-49738C2D26CF}"/>
    <cellStyle name="40 % - Akzent1" xfId="25093" hidden="1" xr:uid="{DBDF062D-5FB4-4207-B516-8E560C5A305B}"/>
    <cellStyle name="40 % - Akzent1" xfId="24547" hidden="1" xr:uid="{0EA39892-680C-4D2E-8D4E-49E736DB448F}"/>
    <cellStyle name="40 % - Akzent1" xfId="25397" hidden="1" xr:uid="{636C5D3A-2CDB-406E-9A9A-229B301246BA}"/>
    <cellStyle name="40 % - Akzent1" xfId="25958" hidden="1" xr:uid="{88C31CC6-D2BA-4E12-8746-F3B777D8EC70}"/>
    <cellStyle name="40 % - Akzent1" xfId="25973" hidden="1" xr:uid="{953BDADD-532E-4A46-B6A7-6BCDF6A0D170}"/>
    <cellStyle name="40 % - Akzent1" xfId="26015" hidden="1" xr:uid="{B60C0229-9B3C-42CE-ABF7-69AD3848EAF1}"/>
    <cellStyle name="40 % - Akzent1" xfId="26554" hidden="1" xr:uid="{EAE4B24C-EE68-4E3C-AE77-888103C6CD03}"/>
    <cellStyle name="40 % - Akzent1" xfId="26450" hidden="1" xr:uid="{109D9A3F-182F-470A-BBFB-B648E74EA261}"/>
    <cellStyle name="40 % - Akzent1" xfId="25038" hidden="1" xr:uid="{69555C6D-0B85-488C-8BBF-96B28BC55FA7}"/>
    <cellStyle name="40 % - Akzent1" xfId="24416" hidden="1" xr:uid="{EED981D5-631B-4EBF-B5D4-0FC1936C2D72}"/>
    <cellStyle name="40 % - Akzent1" xfId="26804" hidden="1" xr:uid="{7783CC20-1109-4E86-B379-EB94B035E1F1}"/>
    <cellStyle name="40 % - Akzent1" xfId="25013" hidden="1" xr:uid="{D3CDBA2A-4AA8-4B7B-A37C-985B4017E101}"/>
    <cellStyle name="40 % - Akzent1" xfId="26714" hidden="1" xr:uid="{8E9D6B47-F4D8-41FA-8B26-4507D2FF49E8}"/>
    <cellStyle name="40 % - Akzent1" xfId="26479" hidden="1" xr:uid="{8E716090-BDE7-4BE0-9B90-98A26FBCE644}"/>
    <cellStyle name="40 % - Akzent1" xfId="26456" hidden="1" xr:uid="{BD776127-68C9-4F5D-AECC-9685AAC4E3B3}"/>
    <cellStyle name="40 % - Akzent1" xfId="27186" hidden="1" xr:uid="{D206F28D-784A-487E-ACDE-BDEF1B4D80BA}"/>
    <cellStyle name="40 % - Akzent1" xfId="27844" hidden="1" xr:uid="{0629DA0C-C849-4F0E-8A48-E6B5F39A426A}"/>
    <cellStyle name="40 % - Akzent1" xfId="27733" hidden="1" xr:uid="{0854FF14-D449-4D0D-A0A4-F91FD5E2FCFC}"/>
    <cellStyle name="40 % - Akzent1" xfId="27945" hidden="1" xr:uid="{49E54158-3EE8-4E5B-A41A-DA187C6FB67F}"/>
    <cellStyle name="40 % - Akzent1" xfId="28181" hidden="1" xr:uid="{C8B0146D-2EEC-4275-B3DD-1F50A3B7C524}"/>
    <cellStyle name="40 % - Akzent1" xfId="28187" hidden="1" xr:uid="{00DCEE6B-1DE7-479A-9F14-5C6E2ADB83C7}"/>
    <cellStyle name="40 % - Akzent1" xfId="27970" hidden="1" xr:uid="{75FFCC59-95D0-4E9A-A46A-3771BBD16719}"/>
    <cellStyle name="40 % - Akzent1" xfId="27897" hidden="1" xr:uid="{AF069FEA-F435-47D8-82B8-B82B22F11692}"/>
    <cellStyle name="40 % - Akzent1" xfId="29304" hidden="1" xr:uid="{EB7554F8-ADBF-4501-B5C5-16A0EF1772DB}"/>
    <cellStyle name="40 % - Akzent1" xfId="28325" hidden="1" xr:uid="{A7CE8BA5-75B5-4E4B-B3AD-EADAC9187FFD}"/>
    <cellStyle name="40 % - Akzent1" xfId="28292" hidden="1" xr:uid="{6368493C-8D94-42A2-A554-D06C8DCB42B3}"/>
    <cellStyle name="40 % - Akzent1" xfId="30824" hidden="1" xr:uid="{F09FF887-2ADF-420A-A983-32484C7E097B}"/>
    <cellStyle name="40 % - Akzent1" xfId="30952" hidden="1" xr:uid="{FD2D05B8-9567-4C91-AE4A-BBF5FB1CBAB0}"/>
    <cellStyle name="40 % - Akzent1 2" xfId="379" xr:uid="{8F1AB9A1-CC89-4947-A758-850A6CBB969C}"/>
    <cellStyle name="40 % - Akzent1 3" xfId="248" xr:uid="{A9FBB85D-0636-4B79-860B-785CBBFFCB1A}"/>
    <cellStyle name="40 % - Akzent2" xfId="54" hidden="1" xr:uid="{BB7658DE-5FC8-44DA-8DD0-864E1D7978A5}"/>
    <cellStyle name="40 % - Akzent2" xfId="901" hidden="1" xr:uid="{F0FC1111-89A4-48D5-A1FC-958CFF3809F7}"/>
    <cellStyle name="40 % - Akzent2" xfId="991" hidden="1" xr:uid="{CCCAB30D-7BBE-4D58-B7E2-B1543F40DA0C}"/>
    <cellStyle name="40 % - Akzent2" xfId="1395" hidden="1" xr:uid="{B46837C1-5C12-462E-B760-0D59F3DEF737}"/>
    <cellStyle name="40 % - Akzent2" xfId="1470" hidden="1" xr:uid="{82CD9350-D756-4AB8-98AE-47A0F10199C6}"/>
    <cellStyle name="40 % - Akzent2" xfId="1879" hidden="1" xr:uid="{22CBEB6D-E4F8-4331-88B2-FE4B45E1372F}"/>
    <cellStyle name="40 % - Akzent2" xfId="2119" hidden="1" xr:uid="{FD06347C-D413-4839-9D85-996597256E79}"/>
    <cellStyle name="40 % - Akzent2" xfId="1851" hidden="1" xr:uid="{F8D20EC6-FF66-449F-A30D-8478BD18F094}"/>
    <cellStyle name="40 % - Akzent2" xfId="2800" hidden="1" xr:uid="{9B6E592E-6A8B-4C56-8D15-9F8460A13EB9}"/>
    <cellStyle name="40 % - Akzent2" xfId="2254" hidden="1" xr:uid="{DD91FE9F-5818-41E7-B8CF-24450414A512}"/>
    <cellStyle name="40 % - Akzent2" xfId="2034" hidden="1" xr:uid="{AC827DA5-F62F-4FE0-996E-FA1C4959BDA9}"/>
    <cellStyle name="40 % - Akzent2" xfId="3586" hidden="1" xr:uid="{CA47C0A5-2F1A-446A-BBB4-B2A479693ED7}"/>
    <cellStyle name="40 % - Akzent2" xfId="3455" hidden="1" xr:uid="{9DC50A31-C44B-4214-BEF4-81F76447DE48}"/>
    <cellStyle name="40 % - Akzent2" xfId="3252" hidden="1" xr:uid="{AEA5004A-D0CA-423F-B753-29BDE1AD33FA}"/>
    <cellStyle name="40 % - Akzent2" xfId="3664" hidden="1" xr:uid="{F79B3883-25D9-4625-AFC3-32043CB50E02}"/>
    <cellStyle name="40 % - Akzent2" xfId="3188" hidden="1" xr:uid="{8C318B50-2FA3-44C4-A6F2-15F1F2BC8541}"/>
    <cellStyle name="40 % - Akzent2" xfId="2166" hidden="1" xr:uid="{F5BD2B77-588D-4D30-A31C-EE9132F20727}"/>
    <cellStyle name="40 % - Akzent2" xfId="2830" hidden="1" xr:uid="{375DA708-9CE5-474E-A5D7-F96A0C3E0B78}"/>
    <cellStyle name="40 % - Akzent2" xfId="5021" hidden="1" xr:uid="{9A4965C8-E967-4C42-A677-60C25FE7FB27}"/>
    <cellStyle name="40 % - Akzent2" xfId="3051" hidden="1" xr:uid="{55EF0B17-89E4-4D0B-8096-EA1E0D129001}"/>
    <cellStyle name="40 % - Akzent2" xfId="5150" hidden="1" xr:uid="{B3595F8E-B542-4BB9-B63C-F9EEB12D20C9}"/>
    <cellStyle name="40 % - Akzent2" xfId="4220" hidden="1" xr:uid="{0F4D85AF-694C-4EA0-81C9-5193A260BAE4}"/>
    <cellStyle name="40 % - Akzent2" xfId="5604" hidden="1" xr:uid="{CABF694D-B114-4F89-A967-A207C51B4F29}"/>
    <cellStyle name="40 % - Akzent2" xfId="5675" hidden="1" xr:uid="{B25A9B43-573C-4B0E-B8C9-A17DF1ACD0C5}"/>
    <cellStyle name="40 % - Akzent2" xfId="5773" hidden="1" xr:uid="{C0B7225B-9C63-45D3-84C5-715C734F8F06}"/>
    <cellStyle name="40 % - Akzent2" xfId="2279" hidden="1" xr:uid="{36B9C703-90CC-49B7-A058-45BBAFC956B9}"/>
    <cellStyle name="40 % - Akzent2" xfId="5923" hidden="1" xr:uid="{3A67118B-1D0D-4A4D-BE05-748CBB8DFF56}"/>
    <cellStyle name="40 % - Akzent2" xfId="6053" hidden="1" xr:uid="{8F33A821-F44D-424E-8B59-36F612CE6915}"/>
    <cellStyle name="40 % - Akzent2" xfId="6199" hidden="1" xr:uid="{6B48299E-4C7B-4F19-B5E9-C268696E36E5}"/>
    <cellStyle name="40 % - Akzent2" xfId="6537" hidden="1" xr:uid="{A39D1BA0-5E09-42FB-B7E7-A320DFB1040D}"/>
    <cellStyle name="40 % - Akzent2" xfId="6506" hidden="1" xr:uid="{28A67EA3-0E4E-461A-A874-3FE59DA07DA9}"/>
    <cellStyle name="40 % - Akzent2" xfId="6428" hidden="1" xr:uid="{7004A3D1-D1D2-4E36-88D2-291B2AD5DF1A}"/>
    <cellStyle name="40 % - Akzent2" xfId="6510" hidden="1" xr:uid="{9BE607A8-2AD4-4B5F-BBCD-7F14BE850868}"/>
    <cellStyle name="40 % - Akzent2" xfId="6114" hidden="1" xr:uid="{3488554D-705A-4CBF-AEB8-9E7B9471FB72}"/>
    <cellStyle name="40 % - Akzent2" xfId="6486" hidden="1" xr:uid="{8DF5BC76-405A-40D4-8B79-57CB0F3FC26C}"/>
    <cellStyle name="40 % - Akzent2" xfId="6466" hidden="1" xr:uid="{4ABCD465-2B3E-4728-BE4B-78C449FEE986}"/>
    <cellStyle name="40 % - Akzent2" xfId="6251" hidden="1" xr:uid="{1848640F-F63E-474D-A01F-E72B3685AEB9}"/>
    <cellStyle name="40 % - Akzent2" xfId="6792" hidden="1" xr:uid="{588C2083-01AE-46C4-9CCC-246870BD39AF}"/>
    <cellStyle name="40 % - Akzent2" xfId="7221" hidden="1" xr:uid="{1B6B4AF4-AE95-4F66-8A38-2E4FE858F864}"/>
    <cellStyle name="40 % - Akzent2" xfId="6929" hidden="1" xr:uid="{4F67582E-4151-4457-AB3F-540FC682B3DD}"/>
    <cellStyle name="40 % - Akzent2" xfId="7073" hidden="1" xr:uid="{3FA5456F-48FB-413E-A4B6-7C3AD3EFF107}"/>
    <cellStyle name="40 % - Akzent2" xfId="7168" hidden="1" xr:uid="{D425DD4E-BECC-44F8-96D7-9E9AC0EDCD5B}"/>
    <cellStyle name="40 % - Akzent2" xfId="7838" hidden="1" xr:uid="{58FB7592-618F-4C8A-89E6-1C70A4543571}"/>
    <cellStyle name="40 % - Akzent2" xfId="8404" hidden="1" xr:uid="{C1ECDAE1-EC89-48CA-B710-DCB530DA559D}"/>
    <cellStyle name="40 % - Akzent2" xfId="7735" hidden="1" xr:uid="{06237197-4C9F-4D25-89CC-36B447E0C175}"/>
    <cellStyle name="40 % - Akzent2" xfId="7967" hidden="1" xr:uid="{E284E17F-F1EC-45A6-8B32-302CAF23297D}"/>
    <cellStyle name="40 % - Akzent2" xfId="7689" hidden="1" xr:uid="{F1032B0C-80B2-43FC-ADFD-4E62D219A3D7}"/>
    <cellStyle name="40 % - Akzent2" xfId="8108" hidden="1" xr:uid="{739252A6-4814-49FB-879D-E508D1D60AFF}"/>
    <cellStyle name="40 % - Akzent2" xfId="8163" hidden="1" xr:uid="{789980B8-28C7-4601-BBA3-A884B06B4D50}"/>
    <cellStyle name="40 % - Akzent2" xfId="6781" hidden="1" xr:uid="{BE01D230-6CF3-43CB-9180-5B5BC65F01D9}"/>
    <cellStyle name="40 % - Akzent2" xfId="8320" hidden="1" xr:uid="{0DBE6AB7-1DFF-4FB2-A493-D50C845FE361}"/>
    <cellStyle name="40 % - Akzent2" xfId="8363" hidden="1" xr:uid="{47F71D4E-3D9C-4143-98E7-7DA937D550B0}"/>
    <cellStyle name="40 % - Akzent2" xfId="8443" hidden="1" xr:uid="{FB33F0DC-AB82-4AD1-A96F-9637B7A254A3}"/>
    <cellStyle name="40 % - Akzent2" xfId="8462" hidden="1" xr:uid="{EE953C52-2345-4FF2-B7DA-6526716F4A94}"/>
    <cellStyle name="40 % - Akzent2" xfId="7736" hidden="1" xr:uid="{55E2636C-1E2A-4F73-B84D-322E5DBD9E59}"/>
    <cellStyle name="40 % - Akzent2" xfId="8461" hidden="1" xr:uid="{0A695A19-9011-4656-8AA1-F271DF41AF76}"/>
    <cellStyle name="40 % - Akzent2" xfId="7045" hidden="1" xr:uid="{B7381C13-096C-4F93-9AB3-2BAF894F677B}"/>
    <cellStyle name="40 % - Akzent2" xfId="8711" hidden="1" xr:uid="{9E97EE3F-55DE-4E3B-9ED9-BE71FB642B05}"/>
    <cellStyle name="40 % - Akzent2" xfId="8223" hidden="1" xr:uid="{0FEF85B1-3E32-465B-BBE1-CA219B11E194}"/>
    <cellStyle name="40 % - Akzent2" xfId="8658" hidden="1" xr:uid="{85E615B6-FC86-4F07-8FB2-4887C8357D32}"/>
    <cellStyle name="40 % - Akzent2" xfId="9005" hidden="1" xr:uid="{60DA2458-3535-4DB8-8B63-7EAB17D53229}"/>
    <cellStyle name="40 % - Akzent2" xfId="9434" hidden="1" xr:uid="{FFD829C1-829E-4890-A5CB-691CAC8EB3C1}"/>
    <cellStyle name="40 % - Akzent2" xfId="9142" hidden="1" xr:uid="{2F664292-52FF-411D-B2A3-322DC6DB4B9A}"/>
    <cellStyle name="40 % - Akzent2" xfId="8950" hidden="1" xr:uid="{91CE075C-447F-4418-ADF5-75445EDFEFE0}"/>
    <cellStyle name="40 % - Akzent2" xfId="9383" hidden="1" xr:uid="{72EB433E-4D2F-4284-8C14-CC3596500BF4}"/>
    <cellStyle name="40 % - Akzent2" xfId="10552" hidden="1" xr:uid="{A9E5D5B8-3DC8-4041-97F6-3F0E6765F4A7}"/>
    <cellStyle name="40 % - Akzent2" xfId="10728" hidden="1" xr:uid="{8DA9FFB9-5FD1-41C1-A52A-8375A3526F6D}"/>
    <cellStyle name="40 % - Akzent2" xfId="10707" hidden="1" xr:uid="{C8348C4F-7EFE-407D-868C-4EC04CA3C0F7}"/>
    <cellStyle name="40 % - Akzent2" xfId="9905" hidden="1" xr:uid="{B85147BB-0546-41C3-91A4-480B257D743A}"/>
    <cellStyle name="40 % - Akzent2" xfId="11206" hidden="1" xr:uid="{F7B4053E-6AFC-4318-8E89-E6C5B8DEE8B8}"/>
    <cellStyle name="40 % - Akzent2" xfId="9054" hidden="1" xr:uid="{B40762A4-9AEE-4763-A9F6-38ABA1D0E730}"/>
    <cellStyle name="40 % - Akzent2" xfId="11169" hidden="1" xr:uid="{6998D604-90DD-439D-9834-B060666462AF}"/>
    <cellStyle name="40 % - Akzent2" xfId="11188" hidden="1" xr:uid="{A79B5CA5-5BB1-4846-812A-378717003F8F}"/>
    <cellStyle name="40 % - Akzent2" xfId="10352" hidden="1" xr:uid="{36A3DCE8-0729-49E6-BA75-44760EE359C0}"/>
    <cellStyle name="40 % - Akzent2" xfId="9900" hidden="1" xr:uid="{F3C23ADB-335D-49ED-B559-2615570FFEBA}"/>
    <cellStyle name="40 % - Akzent2" xfId="11411" hidden="1" xr:uid="{801AE349-599C-44A9-8268-A365B55EBFEA}"/>
    <cellStyle name="40 % - Akzent2" xfId="11852" hidden="1" xr:uid="{B1557EB4-DFD1-43F6-B681-4D0B4BC86DAD}"/>
    <cellStyle name="40 % - Akzent2" xfId="12256" hidden="1" xr:uid="{2C9BEA62-50D0-416D-A24C-25891544E3F9}"/>
    <cellStyle name="40 % - Akzent2" xfId="11816" hidden="1" xr:uid="{86C41E93-CCE6-4987-98E1-F301F4C2B9DD}"/>
    <cellStyle name="40 % - Akzent2" xfId="11612" hidden="1" xr:uid="{4B40BB88-9EF5-441E-9420-AD2422BA0D15}"/>
    <cellStyle name="40 % - Akzent2" xfId="11587" hidden="1" xr:uid="{2C668FCF-2ECC-4382-9CE1-4658E002B983}"/>
    <cellStyle name="40 % - Akzent2" xfId="13633" hidden="1" xr:uid="{E856DE8E-52B7-4D91-898B-A653F1BC542D}"/>
    <cellStyle name="40 % - Akzent2" xfId="11797" hidden="1" xr:uid="{EC88C795-BA27-40BA-9BF5-C42A3769714B}"/>
    <cellStyle name="40 % - Akzent2" xfId="14235" hidden="1" xr:uid="{F79AAA26-91F5-4925-A9F2-74641ABDF98A}"/>
    <cellStyle name="40 % - Akzent2" xfId="14029" hidden="1" xr:uid="{427F2312-839D-4694-8C91-7D87B205FCE2}"/>
    <cellStyle name="40 % - Akzent2" xfId="14103" hidden="1" xr:uid="{B0FB6F7A-969F-4693-A138-DA85FFCD0C01}"/>
    <cellStyle name="40 % - Akzent2" xfId="12722" hidden="1" xr:uid="{0E8F766F-449B-4AB5-9B69-8174E20B6C6A}"/>
    <cellStyle name="40 % - Akzent2" xfId="14409" hidden="1" xr:uid="{D2C2CD53-A3B0-4637-B660-FD5BCE40BEB3}"/>
    <cellStyle name="40 % - Akzent2" xfId="15004" hidden="1" xr:uid="{D9ABCD73-3F18-48D0-8F18-DD7072E602B6}"/>
    <cellStyle name="40 % - Akzent2" xfId="14767" hidden="1" xr:uid="{3604A651-4A41-4AD3-B3DA-A9FBC6274784}"/>
    <cellStyle name="40 % - Akzent2" xfId="15332" hidden="1" xr:uid="{8AC2E0B2-0A98-4851-B01F-C7C2A3E44B02}"/>
    <cellStyle name="40 % - Akzent2" xfId="15320" hidden="1" xr:uid="{3A5014C0-7C48-4419-B83C-FDD0996F18FA}"/>
    <cellStyle name="40 % - Akzent2" xfId="14434" hidden="1" xr:uid="{91BFCFD4-2118-4ED3-88A1-F691CB916668}"/>
    <cellStyle name="40 % - Akzent2" xfId="15425" hidden="1" xr:uid="{09742B19-F1F2-46E5-A52E-D1ED9BAD6B50}"/>
    <cellStyle name="40 % - Akzent2" xfId="15664" hidden="1" xr:uid="{BB7026D3-3A3B-492B-B794-AFF4F59CCE81}"/>
    <cellStyle name="40 % - Akzent2" xfId="15438" hidden="1" xr:uid="{9EF58A31-80B4-4344-8F81-C420F46E1EFA}"/>
    <cellStyle name="40 % - Akzent2" xfId="15125" hidden="1" xr:uid="{15E283F8-DEA4-47A8-AA22-3E5AA92F4748}"/>
    <cellStyle name="40 % - Akzent2" xfId="15917" hidden="1" xr:uid="{58F4645A-8869-4B68-89EA-37605005015F}"/>
    <cellStyle name="40 % - Akzent2" xfId="15498" hidden="1" xr:uid="{A526E7A8-EE19-40CD-9A45-8F8EAA98C913}"/>
    <cellStyle name="40 % - Akzent2" xfId="16031" hidden="1" xr:uid="{BC6AD0C0-1A9D-46DA-BB33-F9956D367F41}"/>
    <cellStyle name="40 % - Akzent2" xfId="16102" hidden="1" xr:uid="{C68B45E3-98ED-4BA7-924A-9ACABDDBF01C}"/>
    <cellStyle name="40 % - Akzent2" xfId="16544" hidden="1" xr:uid="{0E82EA95-84FB-42AD-8AC7-0354846E1B12}"/>
    <cellStyle name="40 % - Akzent2" xfId="16246" hidden="1" xr:uid="{8DF2BF44-6520-4C5A-AFF9-C62CE7A6C94A}"/>
    <cellStyle name="40 % - Akzent2" xfId="16394" hidden="1" xr:uid="{7FB16D74-74EC-453D-ADF7-FB37A8000E21}"/>
    <cellStyle name="40 % - Akzent2" xfId="16489" hidden="1" xr:uid="{853E3C7F-58CA-4861-A231-D0B45DDC2D5E}"/>
    <cellStyle name="40 % - Akzent2" xfId="17706" hidden="1" xr:uid="{5A2B1D6B-D0D1-4163-B691-425011F1BCD6}"/>
    <cellStyle name="40 % - Akzent2" xfId="17341" hidden="1" xr:uid="{B6A090D6-6FE4-4C0A-B44C-41039B6FC066}"/>
    <cellStyle name="40 % - Akzent2" xfId="17891" hidden="1" xr:uid="{BC7E16CE-B473-4068-9AE8-8124D7BCE3FC}"/>
    <cellStyle name="40 % - Akzent2" xfId="17545" hidden="1" xr:uid="{BF353BC5-5561-4EB7-8CF4-FA224C56C54F}"/>
    <cellStyle name="40 % - Akzent2" xfId="16987" hidden="1" xr:uid="{0513302B-6346-4E51-AF5B-0630F9E14534}"/>
    <cellStyle name="40 % - Akzent2" xfId="18120" hidden="1" xr:uid="{601349E4-74CD-44BD-A50B-6AA5CB01ADAD}"/>
    <cellStyle name="40 % - Akzent2" xfId="16340" hidden="1" xr:uid="{CCC47005-370E-4D4D-A460-2289E0A14078}"/>
    <cellStyle name="40 % - Akzent2" xfId="16152" hidden="1" xr:uid="{F6C53834-06CF-4709-8D3E-E174FF962C21}"/>
    <cellStyle name="40 % - Akzent2" xfId="18792" hidden="1" xr:uid="{8FF6E6A3-F612-4483-97DB-53BB319229A2}"/>
    <cellStyle name="40 % - Akzent2" xfId="16370" hidden="1" xr:uid="{98187732-6F14-40F2-BD1B-F7BE9E8A60D3}"/>
    <cellStyle name="40 % - Akzent2" xfId="19036" hidden="1" xr:uid="{3893DBE2-2594-4FFE-9383-A2D20579661E}"/>
    <cellStyle name="40 % - Akzent2" xfId="18172" hidden="1" xr:uid="{01DFC95D-A761-4661-BA3F-E9242CBF4025}"/>
    <cellStyle name="40 % - Akzent2" xfId="19179" hidden="1" xr:uid="{D89BC93E-A5B5-4476-8FCD-528ABF20F738}"/>
    <cellStyle name="40 % - Akzent2" xfId="19435" hidden="1" xr:uid="{189EF10C-4964-4626-9DA4-3BA9EBF5444D}"/>
    <cellStyle name="40 % - Akzent2" xfId="19881" hidden="1" xr:uid="{149489F6-9008-42F5-B060-07A27999C986}"/>
    <cellStyle name="40 % - Akzent2" xfId="19579" hidden="1" xr:uid="{11928927-DF8D-4398-A68B-D41136B06A05}"/>
    <cellStyle name="40 % - Akzent2" xfId="20277" hidden="1" xr:uid="{08612ADD-B422-4D0F-BD05-9E17E414788B}"/>
    <cellStyle name="40 % - Akzent2" xfId="19785" hidden="1" xr:uid="{C4E2AD34-85AD-4642-93CE-45AD842FED4D}"/>
    <cellStyle name="40 % - Akzent2" xfId="21067" hidden="1" xr:uid="{0BD71590-3543-41A2-ACC6-DBC79CA9BB18}"/>
    <cellStyle name="40 % - Akzent2" xfId="21590" hidden="1" xr:uid="{0418DDC4-A01B-4191-B559-44BC812D3D17}"/>
    <cellStyle name="40 % - Akzent2" xfId="21254" hidden="1" xr:uid="{5E89475D-B8BD-4127-B411-3216B08B8E74}"/>
    <cellStyle name="40 % - Akzent2" xfId="20691" hidden="1" xr:uid="{8F954833-7564-4D8D-A19F-FA74023C158C}"/>
    <cellStyle name="40 % - Akzent2" xfId="19384" hidden="1" xr:uid="{5AEDF4E3-C3E6-4816-A70B-3A591D596069}"/>
    <cellStyle name="40 % - Akzent2" xfId="21592" hidden="1" xr:uid="{0C3C97BC-5077-4F32-98C5-B01D4217DCFD}"/>
    <cellStyle name="40 % - Akzent2" xfId="21998" hidden="1" xr:uid="{C0F57D74-FCB9-49AA-BD89-551C615EA3DF}"/>
    <cellStyle name="40 % - Akzent2" xfId="21467" hidden="1" xr:uid="{0B46CC45-1CE7-413B-A737-FC02ECA9B0D6}"/>
    <cellStyle name="40 % - Akzent2" xfId="21857" hidden="1" xr:uid="{FA735058-1499-44FD-90A7-3A46E1266422}"/>
    <cellStyle name="40 % - Akzent2" xfId="21458" hidden="1" xr:uid="{DD5D5183-A6BA-42FE-8290-C16811F26067}"/>
    <cellStyle name="40 % - Akzent2" xfId="22639" hidden="1" xr:uid="{C5C7A245-CEEB-40FD-B515-1D744A26DD5B}"/>
    <cellStyle name="40 % - Akzent2" xfId="22797" hidden="1" xr:uid="{272AD4E8-53B1-4810-930E-BE335A91419B}"/>
    <cellStyle name="40 % - Akzent2" xfId="22772" hidden="1" xr:uid="{A0803AB1-920F-49C2-8621-9CB8EA9ECEAF}"/>
    <cellStyle name="40 % - Akzent2" xfId="23064" hidden="1" xr:uid="{B54ABDA5-3059-48CD-ADE8-CE2DC5CEF484}"/>
    <cellStyle name="40 % - Akzent2" xfId="22969" hidden="1" xr:uid="{203D1BD9-B701-4F08-AB46-3D34DA6111EC}"/>
    <cellStyle name="40 % - Akzent2" xfId="22921" hidden="1" xr:uid="{45526F93-6D8F-4D13-ACC5-48BD23157D1A}"/>
    <cellStyle name="40 % - Akzent2" xfId="23630" hidden="1" xr:uid="{B45E3189-7FC5-4EFE-A41F-270BB8916F69}"/>
    <cellStyle name="40 % - Akzent2" xfId="23449" hidden="1" xr:uid="{8B987EB1-2B09-4609-B332-3D7F8453376C}"/>
    <cellStyle name="40 % - Akzent2" xfId="22302" hidden="1" xr:uid="{4E7758DE-2F09-47FD-99B7-B729A198F14C}"/>
    <cellStyle name="40 % - Akzent2" xfId="22674" hidden="1" xr:uid="{4E5829B5-ACEC-416F-9D81-A8095E8D7BB1}"/>
    <cellStyle name="40 % - Akzent2" xfId="22818" hidden="1" xr:uid="{2060A748-174C-4CE8-A9B9-83E70FDD4FC1}"/>
    <cellStyle name="40 % - Akzent2" xfId="24074" hidden="1" xr:uid="{0A988695-6934-4EC1-9FDA-BF8D8CBA92CF}"/>
    <cellStyle name="40 % - Akzent2" xfId="24157" hidden="1" xr:uid="{9F937730-0D4A-44C4-BD99-B7924B14B297}"/>
    <cellStyle name="40 % - Akzent2" xfId="24586" hidden="1" xr:uid="{B163E41E-849C-4BB2-B0E9-AA82016DCB16}"/>
    <cellStyle name="40 % - Akzent2" xfId="25290" hidden="1" xr:uid="{44509EC2-C878-4639-8DBB-9286BEAEB31A}"/>
    <cellStyle name="40 % - Akzent2" xfId="25004" hidden="1" xr:uid="{36A4DAB9-0BEA-43D4-B0F7-B1DC4C131249}"/>
    <cellStyle name="40 % - Akzent2" xfId="25500" hidden="1" xr:uid="{CFA4A405-D10D-484A-B82C-76B1C97B4F01}"/>
    <cellStyle name="40 % - Akzent2" xfId="26141" hidden="1" xr:uid="{33F3F09D-FE90-44ED-A1C8-C7B016883F60}"/>
    <cellStyle name="40 % - Akzent2" xfId="26093" hidden="1" xr:uid="{71890EB3-DB44-4408-A2FD-D295975F7D8C}"/>
    <cellStyle name="40 % - Akzent2" xfId="26250" hidden="1" xr:uid="{47D5BFBA-69A3-4F3C-A147-0BCFC11885A9}"/>
    <cellStyle name="40 % - Akzent2" xfId="26076" hidden="1" xr:uid="{46D97DB8-D681-4287-88E1-62748429AD37}"/>
    <cellStyle name="40 % - Akzent2" xfId="26371" hidden="1" xr:uid="{EEEE16EB-A8DF-41B3-9175-018AD61D3207}"/>
    <cellStyle name="40 % - Akzent2" xfId="26339" hidden="1" xr:uid="{93A98551-D528-4E62-BC96-138ED6F59CE1}"/>
    <cellStyle name="40 % - Akzent2" xfId="25978" hidden="1" xr:uid="{069439C7-B656-4546-B16B-18D67237A937}"/>
    <cellStyle name="40 % - Akzent2" xfId="26312" hidden="1" xr:uid="{BC754604-BB3F-4AA3-AA3F-2E457CC1D38A}"/>
    <cellStyle name="40 % - Akzent2" xfId="25196" hidden="1" xr:uid="{6A085349-6BCE-4EA8-91D5-236078D754AC}"/>
    <cellStyle name="40 % - Akzent2" xfId="26148" hidden="1" xr:uid="{10C6931D-13C4-4FAC-9FE4-BAF12A8E5602}"/>
    <cellStyle name="40 % - Akzent2" xfId="26626" hidden="1" xr:uid="{E0DEE657-3E9B-44D5-9240-A375B6217F2A}"/>
    <cellStyle name="40 % - Akzent2" xfId="26782" hidden="1" xr:uid="{AD53BDA5-A773-4FBB-BC76-EFF21969A575}"/>
    <cellStyle name="40 % - Akzent2" xfId="27848" hidden="1" xr:uid="{75325DA0-5871-4535-8CB1-938A1CD689B2}"/>
    <cellStyle name="40 % - Akzent2" xfId="27608" hidden="1" xr:uid="{76B6D623-8744-4975-867C-7643DD50326C}"/>
    <cellStyle name="40 % - Akzent2" xfId="27707" hidden="1" xr:uid="{29589655-0ACA-4900-845F-E6BCA02FDF44}"/>
    <cellStyle name="40 % - Akzent2" xfId="27949" hidden="1" xr:uid="{D3BD089C-0485-4096-8AB8-21975621C2F9}"/>
    <cellStyle name="40 % - Akzent2" xfId="28341" hidden="1" xr:uid="{0E3B7C3B-5C20-45C2-B48E-60A969997BB0}"/>
    <cellStyle name="40 % - Akzent2" xfId="28743" hidden="1" xr:uid="{3CC75D5D-6DC1-47D4-8EFA-1591DF3118D2}"/>
    <cellStyle name="40 % - Akzent2" xfId="28759" hidden="1" xr:uid="{A7A78597-FED9-4B8C-878F-926F3E485A96}"/>
    <cellStyle name="40 % - Akzent2" xfId="29442" hidden="1" xr:uid="{78F7EC2A-9420-445F-B3C6-95A731F93B1F}"/>
    <cellStyle name="40 % - Akzent2" xfId="28129" hidden="1" xr:uid="{AE109737-310F-44BA-BC44-E1F994A9BAB7}"/>
    <cellStyle name="40 % - Akzent2" xfId="29489" hidden="1" xr:uid="{8A5CB943-59E8-4C30-80A6-21CE1076BE81}"/>
    <cellStyle name="40 % - Akzent2" xfId="29339" hidden="1" xr:uid="{7D01AD25-6FD4-4526-B347-2F948822ED65}"/>
    <cellStyle name="40 % - Akzent2" xfId="30936" hidden="1" xr:uid="{40DD5F6D-15BE-4B94-8DC3-97EDF7BAFDC8}"/>
    <cellStyle name="40 % - Akzent2" xfId="29237" hidden="1" xr:uid="{30AA7C60-50AA-46F4-9B9E-7F2449B0E8BF}"/>
    <cellStyle name="40 % - Akzent2 2" xfId="380" xr:uid="{CAA25B9B-C8CC-40A0-9389-8BD1DA02B807}"/>
    <cellStyle name="40 % - Akzent2 3" xfId="249" xr:uid="{AE7A220D-FAE0-4FFF-9EA4-425BFB48CD15}"/>
    <cellStyle name="40 % - Akzent3" xfId="57" hidden="1" xr:uid="{753232A9-9212-4054-B79B-6D0D98E69460}"/>
    <cellStyle name="40 % - Akzent3" xfId="904" hidden="1" xr:uid="{34736E43-686E-4033-86BA-33676ABF98DF}"/>
    <cellStyle name="40 % - Akzent3" xfId="962" hidden="1" xr:uid="{A107E949-65D5-4F38-9D50-062BA5610472}"/>
    <cellStyle name="40 % - Akzent3" xfId="1398" hidden="1" xr:uid="{E867C0AE-138D-4673-AEEE-CC895ED717BA}"/>
    <cellStyle name="40 % - Akzent3" xfId="1717" hidden="1" xr:uid="{B4D0CF0B-5265-4F90-B0A8-206DB36D7AC2}"/>
    <cellStyle name="40 % - Akzent3" xfId="1883" hidden="1" xr:uid="{FC9F7541-6EBC-4993-AFC2-E4F06B445FE5}"/>
    <cellStyle name="40 % - Akzent3" xfId="2318" hidden="1" xr:uid="{A8209E48-ABC1-45E4-9561-05E03C1B7578}"/>
    <cellStyle name="40 % - Akzent3" xfId="2818" hidden="1" xr:uid="{9CF3849C-18EC-4EAB-AA40-8E1891AF9A11}"/>
    <cellStyle name="40 % - Akzent3" xfId="2835" hidden="1" xr:uid="{766D945B-B5B0-433F-B39C-4C9F251C7DD1}"/>
    <cellStyle name="40 % - Akzent3" xfId="2845" hidden="1" xr:uid="{0112AB63-26ED-4491-87EE-F478A8476296}"/>
    <cellStyle name="40 % - Akzent3" xfId="3299" hidden="1" xr:uid="{FA9514E2-6E14-4432-A224-9AC491CED373}"/>
    <cellStyle name="40 % - Akzent3" xfId="2773" hidden="1" xr:uid="{D8C41CE7-7BAE-49AA-B5AC-C4E5D1BCB8DC}"/>
    <cellStyle name="40 % - Akzent3" xfId="3192" hidden="1" xr:uid="{C8D8BB16-E7BD-4AC8-A38D-FB1E0065758E}"/>
    <cellStyle name="40 % - Akzent3" xfId="3210" hidden="1" xr:uid="{05ABAF2C-D34C-4ADD-8934-618619C9F9DA}"/>
    <cellStyle name="40 % - Akzent3" xfId="1825" hidden="1" xr:uid="{C948C156-BEBA-4169-806E-34AE95F11E39}"/>
    <cellStyle name="40 % - Akzent3" xfId="3497" hidden="1" xr:uid="{477D0058-C571-4D74-A5FE-F99A05D225EF}"/>
    <cellStyle name="40 % - Akzent3" xfId="3634" hidden="1" xr:uid="{3D8C9FB4-A4C2-4282-AAD6-8848FE1D2C90}"/>
    <cellStyle name="40 % - Akzent3" xfId="3728" hidden="1" xr:uid="{8413A616-999F-4569-BF99-6F98EC364DC6}"/>
    <cellStyle name="40 % - Akzent3" xfId="3720" hidden="1" xr:uid="{C5A9CF62-BE90-4A1E-9893-6B8CAC2C3B63}"/>
    <cellStyle name="40 % - Akzent3" xfId="4832" hidden="1" xr:uid="{B04DFFCC-2441-4391-A073-A59A53ADE6E1}"/>
    <cellStyle name="40 % - Akzent3" xfId="4799" hidden="1" xr:uid="{CE1D5699-AC33-4D92-B6B2-00F0165B370F}"/>
    <cellStyle name="40 % - Akzent3" xfId="5874" hidden="1" xr:uid="{CC2C98C0-B0EB-447A-B144-47D75AF3B2A1}"/>
    <cellStyle name="40 % - Akzent3" xfId="5055" hidden="1" xr:uid="{3959BED4-9BDA-4736-BB78-DD54B347D329}"/>
    <cellStyle name="40 % - Akzent3" xfId="3397" hidden="1" xr:uid="{902C2429-9CFF-41D7-9F4F-8682B8FFBF68}"/>
    <cellStyle name="40 % - Akzent3" xfId="5794" hidden="1" xr:uid="{ACA86CA3-18BD-4588-93E9-C758F654D1AB}"/>
    <cellStyle name="40 % - Akzent3" xfId="5877" hidden="1" xr:uid="{1A1EA9E3-B0BD-493A-84CA-58C4C018BA05}"/>
    <cellStyle name="40 % - Akzent3" xfId="6287" hidden="1" xr:uid="{55AC2867-60B1-4C46-8783-474BD2954AC5}"/>
    <cellStyle name="40 % - Akzent3" xfId="3271" hidden="1" xr:uid="{9375E10A-0A43-4571-8DC0-2CFD9A8DBBD1}"/>
    <cellStyle name="40 % - Akzent3" xfId="6186" hidden="1" xr:uid="{F4CC266F-FBE8-43C9-A5F6-919D576FD44F}"/>
    <cellStyle name="40 % - Akzent3" xfId="5942" hidden="1" xr:uid="{D407A65C-4216-42F6-97A8-D542FF384D8D}"/>
    <cellStyle name="40 % - Akzent3" xfId="6414" hidden="1" xr:uid="{DC5B8B8C-8245-4C04-9115-5172C91BA3F4}"/>
    <cellStyle name="40 % - Akzent3" xfId="6245" hidden="1" xr:uid="{2945A63F-51C7-4C64-BCD0-149A3C22FEA0}"/>
    <cellStyle name="40 % - Akzent3" xfId="6292" hidden="1" xr:uid="{F5931E68-9115-4CA5-9EA5-5A3F5F231C66}"/>
    <cellStyle name="40 % - Akzent3" xfId="6277" hidden="1" xr:uid="{9B05AEFF-0D6A-47C1-88FB-B1AA75101486}"/>
    <cellStyle name="40 % - Akzent3" xfId="4897" hidden="1" xr:uid="{8C01917B-D53B-4B0A-BB1E-383A687A66E7}"/>
    <cellStyle name="40 % - Akzent3" xfId="6523" hidden="1" xr:uid="{8C3855E8-8C9D-4072-A340-6156F534CDF9}"/>
    <cellStyle name="40 % - Akzent3" xfId="6589" hidden="1" xr:uid="{AD5FAD05-3C38-4D4B-82E3-FAC8E224201D}"/>
    <cellStyle name="40 % - Akzent3" xfId="6795" hidden="1" xr:uid="{A9AAB203-F2C3-4C41-AD98-0C93BA5B72E3}"/>
    <cellStyle name="40 % - Akzent3" xfId="7024" hidden="1" xr:uid="{647EB268-E2A3-429B-BCCB-DD26C4D72CF3}"/>
    <cellStyle name="40 % - Akzent3" xfId="7703" hidden="1" xr:uid="{F26C6BDB-3738-4A09-800E-A3F6FF45FCEE}"/>
    <cellStyle name="40 % - Akzent3" xfId="7795" hidden="1" xr:uid="{F3885F8D-8F7E-4986-A92E-3109501B1154}"/>
    <cellStyle name="40 % - Akzent3" xfId="8125" hidden="1" xr:uid="{E8DB716A-FF3F-42BF-B056-13E8A2837186}"/>
    <cellStyle name="40 % - Akzent3" xfId="6965" hidden="1" xr:uid="{FB99E4E1-B77B-4B29-A08E-DF8826B9A129}"/>
    <cellStyle name="40 % - Akzent3" xfId="7169" hidden="1" xr:uid="{C1C4F2D6-D901-4743-A9C7-54150E89DBB1}"/>
    <cellStyle name="40 % - Akzent3" xfId="8225" hidden="1" xr:uid="{22A49BEB-E3B1-473C-B8E1-FC494A9B74A2}"/>
    <cellStyle name="40 % - Akzent3" xfId="8001" hidden="1" xr:uid="{F2BD4484-0195-4239-AD63-1118865183B0}"/>
    <cellStyle name="40 % - Akzent3" xfId="7006" hidden="1" xr:uid="{BCB017C2-2EDD-48C4-9199-4E6B515C4E16}"/>
    <cellStyle name="40 % - Akzent3" xfId="8207" hidden="1" xr:uid="{0CCEA8A0-20D6-40BD-A529-9E20E1A755D2}"/>
    <cellStyle name="40 % - Akzent3" xfId="7217" hidden="1" xr:uid="{046048F7-FB62-4066-AFEC-A0A2A54F21E9}"/>
    <cellStyle name="40 % - Akzent3" xfId="6895" hidden="1" xr:uid="{18242BAC-33FE-4370-967C-3F84E9B00024}"/>
    <cellStyle name="40 % - Akzent3" xfId="8195" hidden="1" xr:uid="{8FBD7C7C-5EAF-4709-B932-881F470ABE7C}"/>
    <cellStyle name="40 % - Akzent3" xfId="8343" hidden="1" xr:uid="{B3C3E969-0885-40C5-AF62-56D3BD493B47}"/>
    <cellStyle name="40 % - Akzent3" xfId="8021" hidden="1" xr:uid="{748FBE92-B33D-4345-93E4-FA6C1FDD8219}"/>
    <cellStyle name="40 % - Akzent3" xfId="8189" hidden="1" xr:uid="{B9D89DC9-4712-484D-AA01-636C21231BA1}"/>
    <cellStyle name="40 % - Akzent3" xfId="7864" hidden="1" xr:uid="{B44F2657-AB4B-416D-B542-111093F076F9}"/>
    <cellStyle name="40 % - Akzent3" xfId="8190" hidden="1" xr:uid="{F12C02DD-6E33-4ACD-BBE2-B4D7F84A7179}"/>
    <cellStyle name="40 % - Akzent3" xfId="8720" hidden="1" xr:uid="{3A72D255-F7A1-4598-89B8-BC4AD764EB39}"/>
    <cellStyle name="40 % - Akzent3" xfId="8772" hidden="1" xr:uid="{47C728B2-9123-4C93-8D36-2AB462AD7195}"/>
    <cellStyle name="40 % - Akzent3" xfId="8869" hidden="1" xr:uid="{6FB6C50F-49B8-4CE3-BCC1-0FB7A2CAFDF5}"/>
    <cellStyle name="40 % - Akzent3" xfId="8803" hidden="1" xr:uid="{5AF1A374-BA51-49B9-A1E3-DFC73D09BFE5}"/>
    <cellStyle name="40 % - Akzent3" xfId="9009" hidden="1" xr:uid="{FC368F4F-F47F-4602-9D7A-0280A4298277}"/>
    <cellStyle name="40 % - Akzent3" xfId="9237" hidden="1" xr:uid="{5928277C-CB57-47CE-B53F-CA0B46943B6F}"/>
    <cellStyle name="40 % - Akzent3" xfId="9917" hidden="1" xr:uid="{82B69F47-47B1-454A-8FD2-907539207CDC}"/>
    <cellStyle name="40 % - Akzent3" xfId="10009" hidden="1" xr:uid="{BF264A80-F992-44C4-9B04-3D245D8A603B}"/>
    <cellStyle name="40 % - Akzent3" xfId="10347" hidden="1" xr:uid="{53FB7513-8C08-4DCC-AB56-E9B58C3F7D5D}"/>
    <cellStyle name="40 % - Akzent3" xfId="9951" hidden="1" xr:uid="{531F6B3F-9862-4589-96AE-3EAA90750BEC}"/>
    <cellStyle name="40 % - Akzent3" xfId="10875" hidden="1" xr:uid="{D6BFBED0-4519-43F2-8376-491446E3A157}"/>
    <cellStyle name="40 % - Akzent3" xfId="10749" hidden="1" xr:uid="{F86082CB-918B-4B78-AAF8-D88A79D5F72F}"/>
    <cellStyle name="40 % - Akzent3" xfId="9880" hidden="1" xr:uid="{BD09843D-68A5-4177-8777-E8ED7E08AF53}"/>
    <cellStyle name="40 % - Akzent3" xfId="11154" hidden="1" xr:uid="{59AB30DE-957E-4D9A-A4A9-70002E648E54}"/>
    <cellStyle name="40 % - Akzent3" xfId="10647" hidden="1" xr:uid="{E48DF179-3126-4B1F-BCEE-AB01AAB80DF2}"/>
    <cellStyle name="40 % - Akzent3" xfId="10753" hidden="1" xr:uid="{EB85D19D-F7AA-47A1-8F1A-7758525B81BA}"/>
    <cellStyle name="40 % - Akzent3" xfId="10836" hidden="1" xr:uid="{5FBC332E-ED9B-47B2-A5A0-CC8F0A47A00C}"/>
    <cellStyle name="40 % - Akzent3" xfId="10973" hidden="1" xr:uid="{FC103128-299D-4F69-A7AD-E65404F780C5}"/>
    <cellStyle name="40 % - Akzent3" xfId="11159" hidden="1" xr:uid="{D2ACC27F-F3C8-4635-9442-5B0BF3C16949}"/>
    <cellStyle name="40 % - Akzent3" xfId="11415" hidden="1" xr:uid="{1612CBC5-F550-49A5-AB84-C5234B952529}"/>
    <cellStyle name="40 % - Akzent3" xfId="11650" hidden="1" xr:uid="{0639D592-AE4F-48DE-82FE-5DC116140E6D}"/>
    <cellStyle name="40 % - Akzent3" xfId="11614" hidden="1" xr:uid="{295E4CAD-BDCA-488F-8769-D9BE3C5223F5}"/>
    <cellStyle name="40 % - Akzent3" xfId="11555" hidden="1" xr:uid="{74E358BF-C9CF-4998-9073-27C0DA203559}"/>
    <cellStyle name="40 % - Akzent3" xfId="13201" hidden="1" xr:uid="{2E5AA544-B4B2-4861-A40E-75E0D0841D4D}"/>
    <cellStyle name="40 % - Akzent3" xfId="13652" hidden="1" xr:uid="{90C71D06-7BD7-4F26-842E-E7D58CA63627}"/>
    <cellStyle name="40 % - Akzent3" xfId="13669" hidden="1" xr:uid="{D2593E66-A241-4771-AE62-A1B29985A5F2}"/>
    <cellStyle name="40 % - Akzent3" xfId="13680" hidden="1" xr:uid="{46F7BBEF-6323-490C-85D6-7E4670DE047A}"/>
    <cellStyle name="40 % - Akzent3" xfId="14275" hidden="1" xr:uid="{B460712C-A877-4ACC-A791-B83A2C489B65}"/>
    <cellStyle name="40 % - Akzent3" xfId="13793" hidden="1" xr:uid="{244E1DD4-A606-4D6E-8592-D916536362EA}"/>
    <cellStyle name="40 % - Akzent3" xfId="14839" hidden="1" xr:uid="{2FDD397B-3D8C-4C47-87AC-CD90D3BCF195}"/>
    <cellStyle name="40 % - Akzent3" xfId="14664" hidden="1" xr:uid="{978C03AB-3713-467B-A368-BD91F1D4A3BF}"/>
    <cellStyle name="40 % - Akzent3" xfId="15252" hidden="1" xr:uid="{A0CA7F21-B53D-4D3C-B8FB-65CC59788934}"/>
    <cellStyle name="40 % - Akzent3" xfId="15248" hidden="1" xr:uid="{F710BF05-3C7E-4A8F-B5D3-FE5FD630B9F5}"/>
    <cellStyle name="40 % - Akzent3" xfId="14551" hidden="1" xr:uid="{A8B84A67-4007-4A0B-BA35-5DCCA02EE763}"/>
    <cellStyle name="40 % - Akzent3" xfId="14529" hidden="1" xr:uid="{9C235F35-F198-4B93-AD16-D6C2CFC7AE97}"/>
    <cellStyle name="40 % - Akzent3" xfId="14623" hidden="1" xr:uid="{EC18E5D6-DCC9-45E3-B9D9-46C0097FCA7E}"/>
    <cellStyle name="40 % - Akzent3" xfId="15663" hidden="1" xr:uid="{24D751B4-AC37-4864-84F0-BDF0CDF161ED}"/>
    <cellStyle name="40 % - Akzent3" xfId="15016" hidden="1" xr:uid="{EBD0B1B6-2F3C-4C72-B900-FC2C7C7AB588}"/>
    <cellStyle name="40 % - Akzent3" xfId="13997" hidden="1" xr:uid="{F7A2BDF4-DDB0-4800-B44F-D689085AE387}"/>
    <cellStyle name="40 % - Akzent3" xfId="15648" hidden="1" xr:uid="{741D5D52-8881-4238-9B86-84AAE67EE333}"/>
    <cellStyle name="40 % - Akzent3" xfId="15777" hidden="1" xr:uid="{624A71DC-7CFA-4E5E-949E-1B2061A9A1C4}"/>
    <cellStyle name="40 % - Akzent3" xfId="15563" hidden="1" xr:uid="{36343333-DE67-4172-9889-6919B74CD6BD}"/>
    <cellStyle name="40 % - Akzent3" xfId="14716" hidden="1" xr:uid="{3B29D1EC-01A8-4DA7-A63D-856CCD3F97B0}"/>
    <cellStyle name="40 % - Akzent3" xfId="15554" hidden="1" xr:uid="{AF54A9CA-D956-495F-9A34-A8271D45A11F}"/>
    <cellStyle name="40 % - Akzent3" xfId="16106" hidden="1" xr:uid="{9F1AE3FE-65A5-4AF7-90FD-98C37F939CAE}"/>
    <cellStyle name="40 % - Akzent3" xfId="16346" hidden="1" xr:uid="{1BF3097B-796F-4A84-AD57-70F75B2003BE}"/>
    <cellStyle name="40 % - Akzent3" xfId="17030" hidden="1" xr:uid="{FC7F7688-CE3E-4C5E-B251-B77AE9AFFE5F}"/>
    <cellStyle name="40 % - Akzent3" xfId="17125" hidden="1" xr:uid="{BEB64C27-7827-474E-A0C6-5C65D04ADA5B}"/>
    <cellStyle name="40 % - Akzent3" xfId="17478" hidden="1" xr:uid="{905F9BC8-B84C-4FB9-A935-535EA92B867C}"/>
    <cellStyle name="40 % - Akzent3" xfId="17104" hidden="1" xr:uid="{992A9123-60FF-4E57-9F20-F60AB8222148}"/>
    <cellStyle name="40 % - Akzent3" xfId="17908" hidden="1" xr:uid="{EF9AD2CB-3A98-4DB3-B1BE-5992C15DC5C0}"/>
    <cellStyle name="40 % - Akzent3" xfId="17924" hidden="1" xr:uid="{6C766C03-5737-4C3B-9AE2-E05936BFADF7}"/>
    <cellStyle name="40 % - Akzent3" xfId="18129" hidden="1" xr:uid="{E6EC4442-503E-4FB9-A03A-685475D85D57}"/>
    <cellStyle name="40 % - Akzent3" xfId="16051" hidden="1" xr:uid="{79E5587C-EA7B-49E6-893F-9E8D4B49609A}"/>
    <cellStyle name="40 % - Akzent3" xfId="16187" hidden="1" xr:uid="{633F8425-BB46-4C8E-BB8C-5A0C8D8C42B8}"/>
    <cellStyle name="40 % - Akzent3" xfId="18278" hidden="1" xr:uid="{803B2FEF-C6C1-465D-B6BA-4EADF2680830}"/>
    <cellStyle name="40 % - Akzent3" xfId="18806" hidden="1" xr:uid="{8D637625-1B88-4EAE-A075-8D1F68173375}"/>
    <cellStyle name="40 % - Akzent3" xfId="18819" hidden="1" xr:uid="{7FE5E2AB-0DF8-48BE-AA17-B668374099A6}"/>
    <cellStyle name="40 % - Akzent3" xfId="18983" hidden="1" xr:uid="{F320CBC6-4204-4D28-A7D2-14E3E1DC991E}"/>
    <cellStyle name="40 % - Akzent3" xfId="19078" hidden="1" xr:uid="{14E4910E-C22D-4140-9E15-61BA806BC707}"/>
    <cellStyle name="40 % - Akzent3" xfId="19185" hidden="1" xr:uid="{48740607-7463-47EA-AC11-0548639652D6}"/>
    <cellStyle name="40 % - Akzent3" xfId="19284" hidden="1" xr:uid="{AF1F1ABF-77D7-4FBC-BF67-C568524136F1}"/>
    <cellStyle name="40 % - Akzent3" xfId="19439" hidden="1" xr:uid="{510CC9D4-5E0D-4D01-9215-4E22667064BB}"/>
    <cellStyle name="40 % - Akzent3" xfId="19679" hidden="1" xr:uid="{D89A7473-B1E9-4588-86FE-7B75242677C6}"/>
    <cellStyle name="40 % - Akzent3" xfId="20382" hidden="1" xr:uid="{50ED3079-21A9-4D0D-81EF-6D32D70845B0}"/>
    <cellStyle name="40 % - Akzent3" xfId="19437" hidden="1" xr:uid="{C8EF6686-4298-465E-8FC7-71C9C06FE6CA}"/>
    <cellStyle name="40 % - Akzent3" xfId="20835" hidden="1" xr:uid="{EA0F3CFA-E635-4619-80DC-C58B1DDD221E}"/>
    <cellStyle name="40 % - Akzent3" xfId="20692" hidden="1" xr:uid="{1E3FFB57-BDF7-4C54-9A86-3C892A4FFE31}"/>
    <cellStyle name="40 % - Akzent3" xfId="21547" hidden="1" xr:uid="{FB6F3CD7-0913-4C45-942F-53453098D454}"/>
    <cellStyle name="40 % - Akzent3" xfId="21155" hidden="1" xr:uid="{53E4B1D7-11F6-44C1-8E7C-968CAC09D198}"/>
    <cellStyle name="40 % - Akzent3" xfId="21461" hidden="1" xr:uid="{015CD232-4C20-46E5-8049-2FDB905AC175}"/>
    <cellStyle name="40 % - Akzent3" xfId="21619" hidden="1" xr:uid="{FF068743-C92A-4F39-958C-509854CD2976}"/>
    <cellStyle name="40 % - Akzent3" xfId="21768" hidden="1" xr:uid="{FBD8E015-2A88-45C7-8FDB-D47C3AA35BAD}"/>
    <cellStyle name="40 % - Akzent3" xfId="20328" hidden="1" xr:uid="{00487057-17F2-4FBE-B145-8840F0B423B7}"/>
    <cellStyle name="40 % - Akzent3" xfId="22206" hidden="1" xr:uid="{1D515006-089F-42C7-968F-E867551F1278}"/>
    <cellStyle name="40 % - Akzent3" xfId="22336" hidden="1" xr:uid="{A9BFFAED-CD9B-441E-A122-8D72EEC36F18}"/>
    <cellStyle name="40 % - Akzent3" xfId="22656" hidden="1" xr:uid="{1E17FFA1-5E5D-4769-A0AF-49CEDFB4E971}"/>
    <cellStyle name="40 % - Akzent3" xfId="22669" hidden="1" xr:uid="{A4D38762-CF20-4F8F-8AD2-24A79BEB407C}"/>
    <cellStyle name="40 % - Akzent3" xfId="20484" hidden="1" xr:uid="{871F3C4C-062E-46EF-BC23-8A6494B35D2A}"/>
    <cellStyle name="40 % - Akzent3" xfId="23079" hidden="1" xr:uid="{6AA833B6-F476-4874-B771-5640937E5271}"/>
    <cellStyle name="40 % - Akzent3" xfId="23091" hidden="1" xr:uid="{442D2111-6276-41EA-B206-3CA3F1550A8F}"/>
    <cellStyle name="40 % - Akzent3" xfId="23270" hidden="1" xr:uid="{FC1251F5-A249-4293-8B0F-75E5FED7971E}"/>
    <cellStyle name="40 % - Akzent3" xfId="22728" hidden="1" xr:uid="{19973283-9CB7-422D-9EA7-C82A440A3431}"/>
    <cellStyle name="40 % - Akzent3" xfId="23611" hidden="1" xr:uid="{0AE875BE-CBE9-4F3E-A3C1-14FA1DD4C74B}"/>
    <cellStyle name="40 % - Akzent3" xfId="23050" hidden="1" xr:uid="{E997D280-8CA4-47F9-920A-99E46F90FFF9}"/>
    <cellStyle name="40 % - Akzent3" xfId="23089" hidden="1" xr:uid="{322F6E01-9E89-4613-AAAB-DCF22EFDCC1D}"/>
    <cellStyle name="40 % - Akzent3" xfId="22955" hidden="1" xr:uid="{98B8F9F1-AA81-44AB-89CA-E6503ADA06C1}"/>
    <cellStyle name="40 % - Akzent3" xfId="24075" hidden="1" xr:uid="{B13A08EB-4BDE-49A6-B6E1-66A974632930}"/>
    <cellStyle name="40 % - Akzent3" xfId="24078" hidden="1" xr:uid="{7968CE16-1FC1-4185-9A7E-34C0C80A083C}"/>
    <cellStyle name="40 % - Akzent3" xfId="24161" hidden="1" xr:uid="{B2040FC1-007B-4319-9DA2-77AE4C078AC5}"/>
    <cellStyle name="40 % - Akzent3" xfId="24437" hidden="1" xr:uid="{547CCFCD-F05C-4DDA-83B5-4CCC0714833C}"/>
    <cellStyle name="40 % - Akzent3" xfId="24257" hidden="1" xr:uid="{5EC7FFA6-0831-4EA5-8E60-207F7A884ED3}"/>
    <cellStyle name="40 % - Akzent3" xfId="24420" hidden="1" xr:uid="{89ADF7DC-325E-4A92-BC4F-FA2F9D0C6B29}"/>
    <cellStyle name="40 % - Akzent3" xfId="25512" hidden="1" xr:uid="{24024D85-F981-421A-B36B-A1A8D4D7F3C5}"/>
    <cellStyle name="40 % - Akzent3" xfId="25298" hidden="1" xr:uid="{002658A9-68D9-48AF-8350-9F30F4C76584}"/>
    <cellStyle name="40 % - Akzent3" xfId="25942" hidden="1" xr:uid="{486B7402-6B8E-457B-B6DB-70C85FA32DF7}"/>
    <cellStyle name="40 % - Akzent3" xfId="26259" hidden="1" xr:uid="{2A8AE14A-09E0-4993-94AC-D7C07EFA3176}"/>
    <cellStyle name="40 % - Akzent3" xfId="26617" hidden="1" xr:uid="{7C911CAB-FB14-48CE-B546-EE8904460236}"/>
    <cellStyle name="40 % - Akzent3" xfId="26412" hidden="1" xr:uid="{BE608992-B5FA-43D1-93A6-C58807BEF32C}"/>
    <cellStyle name="40 % - Akzent3" xfId="26674" hidden="1" xr:uid="{E8ECE8CD-D01F-4C88-88B6-0E0A2609F713}"/>
    <cellStyle name="40 % - Akzent3" xfId="25323" hidden="1" xr:uid="{587023A0-3C82-40FC-958A-9CE5BE6BF26D}"/>
    <cellStyle name="40 % - Akzent3" xfId="26803" hidden="1" xr:uid="{28309FCE-FED1-4B27-A6E8-C85FA4DCA6AB}"/>
    <cellStyle name="40 % - Akzent3" xfId="27211" hidden="1" xr:uid="{D46D3233-73CE-4776-8CFD-630869B02758}"/>
    <cellStyle name="40 % - Akzent3" xfId="27617" hidden="1" xr:uid="{E54B20AC-5133-4A1B-948F-255B85AC3EA8}"/>
    <cellStyle name="40 % - Akzent3" xfId="26793" hidden="1" xr:uid="{02A8AF82-50DC-412F-BEFD-C18E4FCC4D5F}"/>
    <cellStyle name="40 % - Akzent3" xfId="27849" hidden="1" xr:uid="{4FE0B613-C0B8-400A-8B68-5B7A878F7B78}"/>
    <cellStyle name="40 % - Akzent3" xfId="27855" hidden="1" xr:uid="{FF8757CF-C0D7-424A-B4BB-347883816ADD}"/>
    <cellStyle name="40 % - Akzent3" xfId="27876" hidden="1" xr:uid="{5D81D56E-482E-4FB4-A71E-455EB381393B}"/>
    <cellStyle name="40 % - Akzent3" xfId="27638" hidden="1" xr:uid="{2D218CE1-5000-4F54-BF13-B781693932FC}"/>
    <cellStyle name="40 % - Akzent3" xfId="27953" hidden="1" xr:uid="{E771FF05-8D49-4468-81B1-D342FB23AA71}"/>
    <cellStyle name="40 % - Akzent3" xfId="28168" hidden="1" xr:uid="{56390897-5E8A-4558-A17C-F9D26341DEAE}"/>
    <cellStyle name="40 % - Akzent3" xfId="28131" hidden="1" xr:uid="{0BE60733-B54A-4AE4-B29C-75FFD2E7A584}"/>
    <cellStyle name="40 % - Akzent3" xfId="29246" hidden="1" xr:uid="{269F5C42-DCE9-4B51-864C-9691736687CA}"/>
    <cellStyle name="40 % - Akzent3" xfId="28234" hidden="1" xr:uid="{9DBDB78B-098E-40A5-907A-820F0CC5C165}"/>
    <cellStyle name="40 % - Akzent3" xfId="28048" hidden="1" xr:uid="{BA95AC3A-19B3-49B3-815F-9E09F509EB47}"/>
    <cellStyle name="40 % - Akzent3" xfId="29422" hidden="1" xr:uid="{0F04A3C2-6EFD-43E9-80CA-AEB64BFD402C}"/>
    <cellStyle name="40 % - Akzent3" xfId="29521" hidden="1" xr:uid="{056F5CEA-F9F6-4962-AE25-89DFA15B54A7}"/>
    <cellStyle name="40 % - Akzent3" xfId="28761" hidden="1" xr:uid="{A8285974-5CD3-4381-83F8-21FDE08CFA7C}"/>
    <cellStyle name="40 % - Akzent3" xfId="28277" hidden="1" xr:uid="{BEEEB1A4-BBC8-4C30-A111-9E16B80F9E9B}"/>
    <cellStyle name="40 % - Akzent3 2" xfId="381" xr:uid="{F74AA296-87D0-46BC-B934-2F7A2B494F0F}"/>
    <cellStyle name="40 % - Akzent3 3" xfId="250" xr:uid="{8D1F624A-A59A-421B-A3DE-D4EF9739334C}"/>
    <cellStyle name="40 % - Akzent4" xfId="60" hidden="1" xr:uid="{8C225A08-17D4-4E8B-9272-2EB92E443870}"/>
    <cellStyle name="40 % - Akzent4" xfId="907" hidden="1" xr:uid="{90E8AC1A-2FA9-45B9-99FE-C66678BBBE28}"/>
    <cellStyle name="40 % - Akzent4" xfId="989" hidden="1" xr:uid="{B230F99E-E014-47C0-AEEF-BA689B426B61}"/>
    <cellStyle name="40 % - Akzent4" xfId="1401" hidden="1" xr:uid="{465AE0F8-35C8-49DF-8401-833B67C98E46}"/>
    <cellStyle name="40 % - Akzent4" xfId="1750" hidden="1" xr:uid="{6E28945A-6DBC-4A46-A59E-3E219D7B25A8}"/>
    <cellStyle name="40 % - Akzent4" xfId="1887" hidden="1" xr:uid="{8A436DAD-3113-4AF2-B928-2C1AD876103A}"/>
    <cellStyle name="40 % - Akzent4" xfId="2162" hidden="1" xr:uid="{06E46CF7-E67D-44EE-8DB5-3BCB3F538D49}"/>
    <cellStyle name="40 % - Akzent4" xfId="3019" hidden="1" xr:uid="{04FDC4C1-5B0F-45AE-BA7B-69D144A5FD79}"/>
    <cellStyle name="40 % - Akzent4" xfId="2966" hidden="1" xr:uid="{0C028C52-2449-4D55-897F-C26997BEFFFE}"/>
    <cellStyle name="40 % - Akzent4" xfId="3166" hidden="1" xr:uid="{89FD0760-CC46-4682-8BBA-8B1582BEB3B1}"/>
    <cellStyle name="40 % - Akzent4" xfId="3501" hidden="1" xr:uid="{DB675007-1D4F-4804-8D61-4B73BF15969D}"/>
    <cellStyle name="40 % - Akzent4" xfId="3473" hidden="1" xr:uid="{4DA475EF-9AF8-4ACF-A81F-03753088A78B}"/>
    <cellStyle name="40 % - Akzent4" xfId="2327" hidden="1" xr:uid="{C096F97F-E314-4871-B51C-7441A642E754}"/>
    <cellStyle name="40 % - Akzent4" xfId="3615" hidden="1" xr:uid="{5C3393FB-4109-49F5-836E-9F3B649BC164}"/>
    <cellStyle name="40 % - Akzent4" xfId="3045" hidden="1" xr:uid="{A69622B7-5B87-4CDD-9D74-97C3A85B4A22}"/>
    <cellStyle name="40 % - Akzent4" xfId="2847" hidden="1" xr:uid="{5D393338-BCF0-45FE-995E-3FEDDFC0A9BA}"/>
    <cellStyle name="40 % - Akzent4" xfId="1918" hidden="1" xr:uid="{E95864A4-8DB2-493F-914B-866E6CADAF30}"/>
    <cellStyle name="40 % - Akzent4" xfId="3643" hidden="1" xr:uid="{EE29F5DA-FC0E-475D-9BD1-6700779C442C}"/>
    <cellStyle name="40 % - Akzent4" xfId="4949" hidden="1" xr:uid="{C5B30677-9ED5-4E7A-B3D2-8B7FB67A661C}"/>
    <cellStyle name="40 % - Akzent4" xfId="3686" hidden="1" xr:uid="{60F6B4E4-47BF-4BCC-AE4A-D0BFF8FDC091}"/>
    <cellStyle name="40 % - Akzent4" xfId="5146" hidden="1" xr:uid="{A8088A82-DBA6-47A2-86AD-2177BAF73946}"/>
    <cellStyle name="40 % - Akzent4" xfId="5936" hidden="1" xr:uid="{E308CD63-97F3-442D-8038-72C32480B42F}"/>
    <cellStyle name="40 % - Akzent4" xfId="5955" hidden="1" xr:uid="{9D917502-7F95-4C8F-AFDF-486000BE5D37}"/>
    <cellStyle name="40 % - Akzent4" xfId="5974" hidden="1" xr:uid="{F419A208-E083-4D14-9AEF-EA1CE76C6003}"/>
    <cellStyle name="40 % - Akzent4" xfId="5994" hidden="1" xr:uid="{07954A3E-2F3A-49CE-AC37-78137AAFC8CF}"/>
    <cellStyle name="40 % - Akzent4" xfId="4933" hidden="1" xr:uid="{5FF32F3A-A234-482C-80E3-E2376BE22849}"/>
    <cellStyle name="40 % - Akzent4" xfId="6341" hidden="1" xr:uid="{7BC1EC18-276B-412A-81A2-896E05388E38}"/>
    <cellStyle name="40 % - Akzent4" xfId="6356" hidden="1" xr:uid="{FD1C2454-2253-403A-9964-0DADE9D1C036}"/>
    <cellStyle name="40 % - Akzent4" xfId="5648" hidden="1" xr:uid="{931205D6-3B0E-4567-BA5C-0E55589E3BC7}"/>
    <cellStyle name="40 % - Akzent4" xfId="6583" hidden="1" xr:uid="{654D89D9-DD7D-4014-89E7-E0A5C28E10F5}"/>
    <cellStyle name="40 % - Akzent4" xfId="1963" hidden="1" xr:uid="{008BA4AA-9F8E-44CA-BA76-D760DB605DB8}"/>
    <cellStyle name="40 % - Akzent4" xfId="6402" hidden="1" xr:uid="{AB2E64F9-0650-4AC3-BF01-4292B1388ECC}"/>
    <cellStyle name="40 % - Akzent4" xfId="6566" hidden="1" xr:uid="{C8A977AA-1BE1-4740-8A91-DAC4CC9C6B79}"/>
    <cellStyle name="40 % - Akzent4" xfId="5857" hidden="1" xr:uid="{469D1263-5DA5-4C88-8D71-C26A8DDF4CFD}"/>
    <cellStyle name="40 % - Akzent4" xfId="6401" hidden="1" xr:uid="{231E0B21-A4CC-4A51-B41B-570532147C02}"/>
    <cellStyle name="40 % - Akzent4" xfId="6521" hidden="1" xr:uid="{5BC59791-08E9-4445-84E5-74E2767AC635}"/>
    <cellStyle name="40 % - Akzent4" xfId="6470" hidden="1" xr:uid="{0123B55A-5E30-4707-90FF-FAD5CDA98F5C}"/>
    <cellStyle name="40 % - Akzent4" xfId="6799" hidden="1" xr:uid="{517FF165-16EF-4807-B17F-1201F8829A07}"/>
    <cellStyle name="40 % - Akzent4" xfId="7219" hidden="1" xr:uid="{3E5AA20E-9E5D-4087-950C-574A81F512CA}"/>
    <cellStyle name="40 % - Akzent4" xfId="7898" hidden="1" xr:uid="{A5D15935-CB16-438A-99CE-E006B32589BB}"/>
    <cellStyle name="40 % - Akzent4" xfId="7694" hidden="1" xr:uid="{7F3E8FB1-B8AC-4EC8-9B38-253344044764}"/>
    <cellStyle name="40 % - Akzent4" xfId="8284" hidden="1" xr:uid="{78CC5F33-CCF0-4252-83F5-1C118376FEE2}"/>
    <cellStyle name="40 % - Akzent4" xfId="8269" hidden="1" xr:uid="{EAB5DFC1-8D92-4C1A-94AE-EFA0A4AE2EA2}"/>
    <cellStyle name="40 % - Akzent4" xfId="6833" hidden="1" xr:uid="{414D9A79-8B43-41C2-8C2F-249268F21AB6}"/>
    <cellStyle name="40 % - Akzent4" xfId="7762" hidden="1" xr:uid="{C74D8DEF-6AAD-4F05-A0F6-1BC0CCB4A9E0}"/>
    <cellStyle name="40 % - Akzent4" xfId="8434" hidden="1" xr:uid="{4997C3E8-627E-4718-BF9A-45876BD7D3A3}"/>
    <cellStyle name="40 % - Akzent4" xfId="6761" hidden="1" xr:uid="{36AA8B49-52FF-450C-85D0-E7083F5ED759}"/>
    <cellStyle name="40 % - Akzent4" xfId="8179" hidden="1" xr:uid="{1794ED2D-E319-4B78-9496-7DCBB042E3F7}"/>
    <cellStyle name="40 % - Akzent4" xfId="8162" hidden="1" xr:uid="{7A4E7FF6-F891-4272-9A2C-1156E116016A}"/>
    <cellStyle name="40 % - Akzent4" xfId="8312" hidden="1" xr:uid="{2AE5759F-D209-4FE8-AEE7-A151F38142DD}"/>
    <cellStyle name="40 % - Akzent4" xfId="8099" hidden="1" xr:uid="{EA149863-2E8C-4F32-9858-EFD5EBE7A025}"/>
    <cellStyle name="40 % - Akzent4" xfId="8384" hidden="1" xr:uid="{44DE149C-5626-4C5E-AAFE-2C7BFA233376}"/>
    <cellStyle name="40 % - Akzent4" xfId="7959" hidden="1" xr:uid="{7D53E473-CADD-47FB-A1E5-5CD3D131EB23}"/>
    <cellStyle name="40 % - Akzent4" xfId="6949" hidden="1" xr:uid="{C3C01DF1-05E4-4539-8C96-9A15CE6E2F12}"/>
    <cellStyle name="40 % - Akzent4" xfId="8551" hidden="1" xr:uid="{A0C5B314-D0D3-4A8A-83EB-2310C8B683A7}"/>
    <cellStyle name="40 % - Akzent4" xfId="8643" hidden="1" xr:uid="{8761F0F7-6119-4EFD-8604-AB7974642C20}"/>
    <cellStyle name="40 % - Akzent4" xfId="8816" hidden="1" xr:uid="{EDE95BE5-52ED-47BA-B401-7301C534DD73}"/>
    <cellStyle name="40 % - Akzent4" xfId="8808" hidden="1" xr:uid="{C1B5EE3D-62C9-416B-A549-41804A301E46}"/>
    <cellStyle name="40 % - Akzent4" xfId="8865" hidden="1" xr:uid="{CA90441C-7A73-4B9B-9CE3-893CC4D5899F}"/>
    <cellStyle name="40 % - Akzent4" xfId="7670" hidden="1" xr:uid="{C174A8A6-B72E-43F4-8E34-7C64EF738FC4}"/>
    <cellStyle name="40 % - Akzent4" xfId="9013" hidden="1" xr:uid="{CF2F2F8A-69AB-4014-979F-CCDE2222E816}"/>
    <cellStyle name="40 % - Akzent4" xfId="9432" hidden="1" xr:uid="{FD1BBAF5-F3B7-407E-B387-765735A3AF60}"/>
    <cellStyle name="40 % - Akzent4" xfId="10111" hidden="1" xr:uid="{5AED0F2B-03A3-49F6-8295-0A8D674DD2E6}"/>
    <cellStyle name="40 % - Akzent4" xfId="9910" hidden="1" xr:uid="{0AD1F445-B82B-43B7-A280-74163D6F68A3}"/>
    <cellStyle name="40 % - Akzent4" xfId="10525" hidden="1" xr:uid="{35EEFD51-8A8B-4694-99D5-C9DB37CD775C}"/>
    <cellStyle name="40 % - Akzent4" xfId="10432" hidden="1" xr:uid="{42EFB76F-4002-45F3-B33A-42CF35B13BB9}"/>
    <cellStyle name="40 % - Akzent4" xfId="10464" hidden="1" xr:uid="{46866873-B268-4132-AEA7-9BF9D17130CB}"/>
    <cellStyle name="40 % - Akzent4" xfId="10868" hidden="1" xr:uid="{EB5A8278-11EA-48AD-AF49-C4C6D3765A8B}"/>
    <cellStyle name="40 % - Akzent4" xfId="10440" hidden="1" xr:uid="{A8C5C936-FC59-4F62-9560-E819F47B0C02}"/>
    <cellStyle name="40 % - Akzent4" xfId="11101" hidden="1" xr:uid="{F0A7FD7F-0355-43B7-9213-CD8416FD8749}"/>
    <cellStyle name="40 % - Akzent4" xfId="10826" hidden="1" xr:uid="{F9040DEB-9E54-49C4-980A-2E9208302C99}"/>
    <cellStyle name="40 % - Akzent4" xfId="11002" hidden="1" xr:uid="{3D9C7333-D2B7-4EE3-87DE-1006AB46CFF5}"/>
    <cellStyle name="40 % - Akzent4" xfId="10731" hidden="1" xr:uid="{9565C897-487F-4753-BF83-5B82E6394014}"/>
    <cellStyle name="40 % - Akzent4" xfId="11133" hidden="1" xr:uid="{A777ABEE-9168-4F9D-A3C5-1FE67DAE90EF}"/>
    <cellStyle name="40 % - Akzent4" xfId="9007" hidden="1" xr:uid="{E1076784-F361-443E-BAEC-0A4F449C5763}"/>
    <cellStyle name="40 % - Akzent4" xfId="11419" hidden="1" xr:uid="{04C4E97C-8F74-41AF-A021-6EE97415A52B}"/>
    <cellStyle name="40 % - Akzent4" xfId="11849" hidden="1" xr:uid="{585BB2EC-24D8-49CF-9C81-06B074547FB4}"/>
    <cellStyle name="40 % - Akzent4" xfId="12329" hidden="1" xr:uid="{E2527043-3580-4EEB-8A85-BB32B6D39833}"/>
    <cellStyle name="40 % - Akzent4" xfId="11601" hidden="1" xr:uid="{3E09163F-DDF3-4BA2-BB37-B447B1E09F5C}"/>
    <cellStyle name="40 % - Akzent4" xfId="11843" hidden="1" xr:uid="{D87CEFE2-8AC5-4A22-B637-C33F9C269595}"/>
    <cellStyle name="40 % - Akzent4" xfId="13853" hidden="1" xr:uid="{76420F5F-B9CA-423C-8939-D7E7AE1ED16F}"/>
    <cellStyle name="40 % - Akzent4" xfId="13799" hidden="1" xr:uid="{84165168-2960-4BB0-8C4C-017208D5857C}"/>
    <cellStyle name="40 % - Akzent4" xfId="13995" hidden="1" xr:uid="{CC9AC238-AD89-4F52-BB98-8CCD699A14BB}"/>
    <cellStyle name="40 % - Akzent4" xfId="14164" hidden="1" xr:uid="{F5360C7A-587A-406F-86E0-7DF766AA0DF1}"/>
    <cellStyle name="40 % - Akzent4" xfId="14368" hidden="1" xr:uid="{77EAC78A-CBFB-40D7-89BA-752983886BF5}"/>
    <cellStyle name="40 % - Akzent4" xfId="14901" hidden="1" xr:uid="{C2EE8815-C8BB-4F95-BC6F-9F5076EAA334}"/>
    <cellStyle name="40 % - Akzent4" xfId="14589" hidden="1" xr:uid="{2F23D104-F748-4816-9B68-9E27F3FDC4BE}"/>
    <cellStyle name="40 % - Akzent4" xfId="15313" hidden="1" xr:uid="{3788E2C8-66B2-484A-A5B0-FB1C3AFEA177}"/>
    <cellStyle name="40 % - Akzent4" xfId="15254" hidden="1" xr:uid="{8FC2EFFC-4E79-45C2-A044-838CC8B552C0}"/>
    <cellStyle name="40 % - Akzent4" xfId="15354" hidden="1" xr:uid="{262CF6B8-3188-4C57-A26C-4A0C3BBD4B3A}"/>
    <cellStyle name="40 % - Akzent4" xfId="15372" hidden="1" xr:uid="{103EF5A0-774C-486F-9C22-71CEE395DE12}"/>
    <cellStyle name="40 % - Akzent4" xfId="15218" hidden="1" xr:uid="{D35D156D-B36D-4299-AD4E-605C217D0CB1}"/>
    <cellStyle name="40 % - Akzent4" xfId="15716" hidden="1" xr:uid="{5F099765-42F3-4A36-8CAF-47B878BCB8F1}"/>
    <cellStyle name="40 % - Akzent4" xfId="15735" hidden="1" xr:uid="{938BA7ED-44DB-4B5E-912D-570E44DCF511}"/>
    <cellStyle name="40 % - Akzent4" xfId="15168" hidden="1" xr:uid="{59A67E1C-CD12-45F6-9E09-27B2D890B937}"/>
    <cellStyle name="40 % - Akzent4" xfId="15688" hidden="1" xr:uid="{1E6FAE86-BEB5-4A9D-BD7C-C071FAE7500D}"/>
    <cellStyle name="40 % - Akzent4" xfId="14518" hidden="1" xr:uid="{94C39DF6-D1E7-4E23-95DF-1583212A315C}"/>
    <cellStyle name="40 % - Akzent4" xfId="15954" hidden="1" xr:uid="{8D291F62-0B19-4BDD-A39D-AB88BE006BB8}"/>
    <cellStyle name="40 % - Akzent4" xfId="15878" hidden="1" xr:uid="{81C4C2A1-8EB0-4EE9-96C8-11E6CB03422C}"/>
    <cellStyle name="40 % - Akzent4" xfId="16034" hidden="1" xr:uid="{37CD1B0D-1D06-42AE-A332-684A37536E0B}"/>
    <cellStyle name="40 % - Akzent4" xfId="16110" hidden="1" xr:uid="{B3EF14B7-C334-4930-BF5F-F814A9B70AE1}"/>
    <cellStyle name="40 % - Akzent4" xfId="16541" hidden="1" xr:uid="{82D2999D-FE1F-4A0D-8360-F425CA72386F}"/>
    <cellStyle name="40 % - Akzent4" xfId="17230" hidden="1" xr:uid="{2167031B-62D5-4A14-A027-AB3CD3F706AE}"/>
    <cellStyle name="40 % - Akzent4" xfId="17022" hidden="1" xr:uid="{D48BD9F9-303F-4880-940C-8A0E703D3473}"/>
    <cellStyle name="40 % - Akzent4" xfId="17674" hidden="1" xr:uid="{E0209CE0-7A24-4242-BEBE-2333EAD32210}"/>
    <cellStyle name="40 % - Akzent4" xfId="17572" hidden="1" xr:uid="{6850FA0A-CF0F-4563-B417-9A8906686956}"/>
    <cellStyle name="40 % - Akzent4" xfId="18093" hidden="1" xr:uid="{27730AC7-AA9C-4DD8-B65E-16484D3A86E9}"/>
    <cellStyle name="40 % - Akzent4" xfId="18045" hidden="1" xr:uid="{CEF77EA8-4F72-476B-B923-08C50726C741}"/>
    <cellStyle name="40 % - Akzent4" xfId="17915" hidden="1" xr:uid="{4B6D1B1D-9FF8-43DA-B5C2-A4813CE69B60}"/>
    <cellStyle name="40 % - Akzent4" xfId="18055" hidden="1" xr:uid="{7D072426-DE7C-4B7D-957E-5D4BB17EF75D}"/>
    <cellStyle name="40 % - Akzent4" xfId="17539" hidden="1" xr:uid="{9D97A7B4-779B-44A2-8025-B295CC700FBE}"/>
    <cellStyle name="40 % - Akzent4" xfId="18183" hidden="1" xr:uid="{B0A6C35B-159C-436A-B09C-104541B3EC8B}"/>
    <cellStyle name="40 % - Akzent4" xfId="18950" hidden="1" xr:uid="{056DB781-A347-4D8E-A290-B3B1394ECE08}"/>
    <cellStyle name="40 % - Akzent4" xfId="18915" hidden="1" xr:uid="{410211FE-646F-486A-98DC-FC840930EA15}"/>
    <cellStyle name="40 % - Akzent4" xfId="18811" hidden="1" xr:uid="{6F069D23-3FB1-4A3B-AFEF-C1E00186E85F}"/>
    <cellStyle name="40 % - Akzent4" xfId="18273" hidden="1" xr:uid="{A43D37D2-E753-46F0-AEA3-A95840ED3613}"/>
    <cellStyle name="40 % - Akzent4" xfId="19270" hidden="1" xr:uid="{92222757-D990-4A74-9A17-BA928E1A9330}"/>
    <cellStyle name="40 % - Akzent4" xfId="19211" hidden="1" xr:uid="{807AAC9A-377D-468E-8A46-8E4F8EC5BC27}"/>
    <cellStyle name="40 % - Akzent4" xfId="19443" hidden="1" xr:uid="{D01CD58B-96EB-4589-A75B-A5DAB41A0734}"/>
    <cellStyle name="40 % - Akzent4" xfId="19878" hidden="1" xr:uid="{A253D4ED-96E3-4F97-8B06-8DB170F3D3E7}"/>
    <cellStyle name="40 % - Akzent4" xfId="20583" hidden="1" xr:uid="{031AC9CA-2F33-4B81-8388-9B27CB173246}"/>
    <cellStyle name="40 % - Akzent4" xfId="20723" hidden="1" xr:uid="{55CABDB7-FE01-41E5-8D27-FDC59F6274B5}"/>
    <cellStyle name="40 % - Akzent4" xfId="21035" hidden="1" xr:uid="{59C69352-127F-4F5C-A851-42E3193C4096}"/>
    <cellStyle name="40 % - Akzent4" xfId="20931" hidden="1" xr:uid="{E41E991F-A5BF-4CC0-BD46-0DE42BC630D5}"/>
    <cellStyle name="40 % - Akzent4" xfId="21446" hidden="1" xr:uid="{77E395DB-0C72-4E23-8A25-45AB9A7BE125}"/>
    <cellStyle name="40 % - Akzent4" xfId="21550" hidden="1" xr:uid="{F9A63D53-3425-4CB5-819C-4C4BD520DC6C}"/>
    <cellStyle name="40 % - Akzent4" xfId="21025" hidden="1" xr:uid="{FE583AE5-8934-4B94-9581-0570DB2BF8F5}"/>
    <cellStyle name="40 % - Akzent4" xfId="21630" hidden="1" xr:uid="{FF07D9B4-B054-427D-A606-2D81654D497E}"/>
    <cellStyle name="40 % - Akzent4" xfId="21966" hidden="1" xr:uid="{503F302B-006E-43B1-8E46-3F9A8DA52D27}"/>
    <cellStyle name="40 % - Akzent4" xfId="21860" hidden="1" xr:uid="{DD9CE3C5-D33F-41D8-BA81-99DD80CDB144}"/>
    <cellStyle name="40 % - Akzent4" xfId="22398" hidden="1" xr:uid="{F186F459-1649-41CD-9B33-574F4B5BE508}"/>
    <cellStyle name="40 % - Akzent4" xfId="21928" hidden="1" xr:uid="{04937B52-EE6A-402D-89D5-668257FD8DB3}"/>
    <cellStyle name="40 % - Akzent4" xfId="22838" hidden="1" xr:uid="{4EF05745-823C-48A8-A03B-A110AEFE6F67}"/>
    <cellStyle name="40 % - Akzent4" xfId="22790" hidden="1" xr:uid="{2849F44F-10C1-4914-B716-E4CA5D703A9D}"/>
    <cellStyle name="40 % - Akzent4" xfId="22701" hidden="1" xr:uid="{560D61D6-CF59-4036-B22C-0E86ADDE3DC2}"/>
    <cellStyle name="40 % - Akzent4" xfId="23236" hidden="1" xr:uid="{7CBDBC4B-DC59-47F5-962E-E84A9E5F1F5B}"/>
    <cellStyle name="40 % - Akzent4" xfId="23196" hidden="1" xr:uid="{5C64C808-197B-4C2B-B525-13C52893435E}"/>
    <cellStyle name="40 % - Akzent4" xfId="23084" hidden="1" xr:uid="{85F532E8-2539-46C6-B78A-B5B83B8E0B1F}"/>
    <cellStyle name="40 % - Akzent4" xfId="22906" hidden="1" xr:uid="{9EB2BC18-150E-4BBF-926F-0ACD374C7962}"/>
    <cellStyle name="40 % - Akzent4" xfId="23549" hidden="1" xr:uid="{B194900D-8298-4048-AFC1-792DB12B7338}"/>
    <cellStyle name="40 % - Akzent4" xfId="23613" hidden="1" xr:uid="{8587A4D7-3E76-495F-AEC7-402B3171811F}"/>
    <cellStyle name="40 % - Akzent4" xfId="23406" hidden="1" xr:uid="{019BBBB8-26FD-45FB-A10D-8C5A355333AE}"/>
    <cellStyle name="40 % - Akzent4" xfId="23568" hidden="1" xr:uid="{A76BEC07-792C-406C-A2D0-050366F1DD7B}"/>
    <cellStyle name="40 % - Akzent4" xfId="24087" hidden="1" xr:uid="{F8EB22EC-F6AE-4CE2-BFB0-04EBE5DF1F44}"/>
    <cellStyle name="40 % - Akzent4" xfId="24084" hidden="1" xr:uid="{999D117D-9077-4F79-A130-80FA764DE25F}"/>
    <cellStyle name="40 % - Akzent4" xfId="24165" hidden="1" xr:uid="{66FAC1B4-40DD-4853-A502-EFE46263CC06}"/>
    <cellStyle name="40 % - Akzent4" xfId="24435" hidden="1" xr:uid="{53A1E00C-232B-4EC9-ADEA-F5CB16E73811}"/>
    <cellStyle name="40 % - Akzent4" xfId="25364" hidden="1" xr:uid="{3A87F0CE-991B-4C72-80BF-67C5DB130DEE}"/>
    <cellStyle name="40 % - Akzent4" xfId="25225" hidden="1" xr:uid="{5C92B7B0-280F-4FD2-9272-90F29DF94729}"/>
    <cellStyle name="40 % - Akzent4" xfId="25508" hidden="1" xr:uid="{B632ECEC-33E9-44FC-B2E7-E51BD4F5E4C2}"/>
    <cellStyle name="40 % - Akzent4" xfId="26213" hidden="1" xr:uid="{2A9D31C2-983D-48DE-A0C8-060D6ED74DDC}"/>
    <cellStyle name="40 % - Akzent4" xfId="25350" hidden="1" xr:uid="{4D90DD45-040F-47AC-9CBF-2D46385B0B96}"/>
    <cellStyle name="40 % - Akzent4" xfId="24576" hidden="1" xr:uid="{B51F0388-6F1A-4F15-915A-740EA8FA4558}"/>
    <cellStyle name="40 % - Akzent4" xfId="26675" hidden="1" xr:uid="{EEB73CF7-AF16-4070-96B5-29F5F44BBB59}"/>
    <cellStyle name="40 % - Akzent4" xfId="26545" hidden="1" xr:uid="{2A88BA16-72F7-42AE-ABCF-5497B1C399A0}"/>
    <cellStyle name="40 % - Akzent4" xfId="25127" hidden="1" xr:uid="{F879B61E-3078-4C82-8FBF-DAA7D4EECE40}"/>
    <cellStyle name="40 % - Akzent4" xfId="26181" hidden="1" xr:uid="{6CB4FE03-3776-400B-9C48-F234A997DDC2}"/>
    <cellStyle name="40 % - Akzent4" xfId="26437" hidden="1" xr:uid="{ABB6E5A0-505E-4F13-AB50-653CE02D297F}"/>
    <cellStyle name="40 % - Akzent4" xfId="27222" hidden="1" xr:uid="{7E09C744-D1B6-46E3-9A5A-A69AE171AAAA}"/>
    <cellStyle name="40 % - Akzent4" xfId="27734" hidden="1" xr:uid="{BB01C22B-233E-4C61-8712-83B99D2E13DC}"/>
    <cellStyle name="40 % - Akzent4" xfId="27703" hidden="1" xr:uid="{D01A678D-B839-458C-8DFB-6535099D9F78}"/>
    <cellStyle name="40 % - Akzent4" xfId="27872" hidden="1" xr:uid="{F65F44F1-E767-445D-BD29-25953F18EF94}"/>
    <cellStyle name="40 % - Akzent4" xfId="27866" hidden="1" xr:uid="{56D7E4D6-CE23-4DDF-ABFF-F636E899A338}"/>
    <cellStyle name="40 % - Akzent4" xfId="27851" hidden="1" xr:uid="{138FF985-5550-40ED-AE8E-5B3A3B991CE9}"/>
    <cellStyle name="40 % - Akzent4" xfId="27868" hidden="1" xr:uid="{7945C6C6-8E66-4E97-805D-939BF98CBBCA}"/>
    <cellStyle name="40 % - Akzent4" xfId="27957" hidden="1" xr:uid="{2A2565B9-3E7F-4EB9-B075-2A53837F130A}"/>
    <cellStyle name="40 % - Akzent4" xfId="28338" hidden="1" xr:uid="{AD13F451-AFC2-41C9-9EF4-0E57A5904596}"/>
    <cellStyle name="40 % - Akzent4" xfId="28811" hidden="1" xr:uid="{92B6DD75-D7A6-41D2-907B-EED68CC81991}"/>
    <cellStyle name="40 % - Akzent4" xfId="29417" hidden="1" xr:uid="{509C9F24-7D28-4C68-9C5D-77547A61D164}"/>
    <cellStyle name="40 % - Akzent4" xfId="29331" hidden="1" xr:uid="{3C00C58D-15B8-44C6-A85F-F0A3845557BE}"/>
    <cellStyle name="40 % - Akzent4" xfId="29603" hidden="1" xr:uid="{D370787E-D069-4219-A2FA-62F6709F65AF}"/>
    <cellStyle name="40 % - Akzent4" xfId="28767" hidden="1" xr:uid="{82C13551-2718-4DDB-9027-7E6492BAC601}"/>
    <cellStyle name="40 % - Akzent4" xfId="29583" hidden="1" xr:uid="{CEDAA9DB-AE21-4D42-8EA7-EACCDB25C31D}"/>
    <cellStyle name="40 % - Akzent4" xfId="30973" hidden="1" xr:uid="{9DB01F7A-EA4C-468B-BC08-487D950FA463}"/>
    <cellStyle name="40 % - Akzent4" xfId="29509" hidden="1" xr:uid="{D652A6A2-DBDF-4CFE-AA70-970829DA1006}"/>
    <cellStyle name="40 % - Akzent4 2" xfId="382" xr:uid="{A3239340-E897-4D73-B3E6-731E19A73927}"/>
    <cellStyle name="40 % - Akzent4 3" xfId="251" xr:uid="{9933D03B-068B-470F-AE62-805188C6127E}"/>
    <cellStyle name="40 % - Akzent5" xfId="63" hidden="1" xr:uid="{F0E72AC6-1BB1-4588-98E1-05458798C8E0}"/>
    <cellStyle name="40 % - Akzent5" xfId="910" hidden="1" xr:uid="{D7035AF8-4CB7-40A8-897B-1456048E2F9D}"/>
    <cellStyle name="40 % - Akzent5" xfId="969" hidden="1" xr:uid="{1440ADC8-3C1D-49A0-91ED-9AC882B459EF}"/>
    <cellStyle name="40 % - Akzent5" xfId="1404" hidden="1" xr:uid="{B98ABFEC-9786-408C-9473-AFF2BA939B93}"/>
    <cellStyle name="40 % - Akzent5" xfId="1469" hidden="1" xr:uid="{69009A43-5AE8-4CEB-8A40-38C1889E9459}"/>
    <cellStyle name="40 % - Akzent5" xfId="1891" hidden="1" xr:uid="{28A97E03-6CB3-49D9-AEB3-28E2377A2571}"/>
    <cellStyle name="40 % - Akzent5" xfId="2160" hidden="1" xr:uid="{94806ECC-C0B2-4FED-BB8C-F9DC1DEF336A}"/>
    <cellStyle name="40 % - Akzent5" xfId="1849" hidden="1" xr:uid="{F89D15AD-5E0A-4C4B-9DE2-14151518B983}"/>
    <cellStyle name="40 % - Akzent5" xfId="2799" hidden="1" xr:uid="{73280C51-6B36-4424-B35C-9BC603CEB424}"/>
    <cellStyle name="40 % - Akzent5" xfId="2936" hidden="1" xr:uid="{D46F3892-0A95-4F40-A82D-F6E09A8D1ACE}"/>
    <cellStyle name="40 % - Akzent5" xfId="3067" hidden="1" xr:uid="{1B82F8C6-BBAB-4300-8B1B-D14FD52D3991}"/>
    <cellStyle name="40 % - Akzent5" xfId="3028" hidden="1" xr:uid="{710F8C5F-0D2B-477A-AB67-01D462461507}"/>
    <cellStyle name="40 % - Akzent5" xfId="3044" hidden="1" xr:uid="{4653E1B6-2D81-4A5B-BB63-4E94B8C4DAE9}"/>
    <cellStyle name="40 % - Akzent5" xfId="3450" hidden="1" xr:uid="{102CFA8E-3BCA-49C2-A19E-C882A69C8B14}"/>
    <cellStyle name="40 % - Akzent5" xfId="2297" hidden="1" xr:uid="{CF3F749E-79B1-444A-9470-3BDB00396EDB}"/>
    <cellStyle name="40 % - Akzent5" xfId="2935" hidden="1" xr:uid="{3198A002-7C38-4B05-809F-EE2948729AD5}"/>
    <cellStyle name="40 % - Akzent5" xfId="3818" hidden="1" xr:uid="{C4349F2C-C4DC-4E4F-A7A2-2A3E26D086E0}"/>
    <cellStyle name="40 % - Akzent5" xfId="4255" hidden="1" xr:uid="{966763B9-FAC4-4356-8D34-F4B5F54C7316}"/>
    <cellStyle name="40 % - Akzent5" xfId="4976" hidden="1" xr:uid="{90D1189D-C0EE-496E-A2D1-F79BC613BABB}"/>
    <cellStyle name="40 % - Akzent5" xfId="4219" hidden="1" xr:uid="{E62185FD-9AF7-4BA3-8925-A4606CE39777}"/>
    <cellStyle name="40 % - Akzent5" xfId="5143" hidden="1" xr:uid="{9E4AC17D-3DEB-4994-AF4C-8F670D401197}"/>
    <cellStyle name="40 % - Akzent5" xfId="4946" hidden="1" xr:uid="{C555C37D-2C2A-4297-AD64-DF260C297AF4}"/>
    <cellStyle name="40 % - Akzent5" xfId="3493" hidden="1" xr:uid="{0EE4150A-85C1-4C46-83F9-320EBD4B0B7E}"/>
    <cellStyle name="40 % - Akzent5" xfId="4796" hidden="1" xr:uid="{13CA85E0-EB03-465B-B9D3-7ECAFA044E79}"/>
    <cellStyle name="40 % - Akzent5" xfId="5800" hidden="1" xr:uid="{B908EA07-397E-4CA4-B122-C7D7BCD1D012}"/>
    <cellStyle name="40 % - Akzent5" xfId="5918" hidden="1" xr:uid="{BD970698-421F-4F35-A2A6-C15912116D48}"/>
    <cellStyle name="40 % - Akzent5" xfId="5914" hidden="1" xr:uid="{9792382C-D541-4F36-8CD4-877C87EFFF35}"/>
    <cellStyle name="40 % - Akzent5" xfId="5627" hidden="1" xr:uid="{E7739B66-B646-4233-90A4-DC27F75C1286}"/>
    <cellStyle name="40 % - Akzent5" xfId="6270" hidden="1" xr:uid="{96F75342-E25C-4E5D-B115-F17AE817241C}"/>
    <cellStyle name="40 % - Akzent5" xfId="6622" hidden="1" xr:uid="{A17D2392-5DDF-4D36-8709-FAA2C6142AAE}"/>
    <cellStyle name="40 % - Akzent5" xfId="6637" hidden="1" xr:uid="{A6E1E95D-1104-47BE-89D4-F2AC07655A7B}"/>
    <cellStyle name="40 % - Akzent5" xfId="6648" hidden="1" xr:uid="{112C7BC1-AC7B-40A8-9314-D3B5FEE3D4B0}"/>
    <cellStyle name="40 % - Akzent5" xfId="6660" hidden="1" xr:uid="{EA5C0683-BA60-4EEB-9906-9B2F856A18F2}"/>
    <cellStyle name="40 % - Akzent5" xfId="6670" hidden="1" xr:uid="{F5DB7EDB-6AD1-4619-ACC3-60C3A3233172}"/>
    <cellStyle name="40 % - Akzent5" xfId="6681" hidden="1" xr:uid="{BAB2C9E0-21A4-4E7D-87DF-70458ED266E4}"/>
    <cellStyle name="40 % - Akzent5" xfId="6691" hidden="1" xr:uid="{F73701A3-E7BB-4ABD-A0F5-21917B552BAA}"/>
    <cellStyle name="40 % - Akzent5" xfId="6697" hidden="1" xr:uid="{F20E349B-7E51-4D46-993E-C8B1985EF2D8}"/>
    <cellStyle name="40 % - Akzent5" xfId="6803" hidden="1" xr:uid="{44278E97-66A7-4BD0-9754-5C0FDD8001B7}"/>
    <cellStyle name="40 % - Akzent5" xfId="7066" hidden="1" xr:uid="{71088021-9C3F-4F3D-A5E2-DE173AC3B725}"/>
    <cellStyle name="40 % - Akzent5" xfId="7084" hidden="1" xr:uid="{D432AF52-74C7-4803-BF89-04DCD855F1A4}"/>
    <cellStyle name="40 % - Akzent5" xfId="7167" hidden="1" xr:uid="{0AF57FE9-0BB8-49F4-A5A0-65E371B3DDC3}"/>
    <cellStyle name="40 % - Akzent5" xfId="6828" hidden="1" xr:uid="{F16B60D3-B6C6-4059-AA31-2C5924E681A9}"/>
    <cellStyle name="40 % - Akzent5" xfId="8133" hidden="1" xr:uid="{D2C657E1-9F2B-420B-A87B-35D3B01F9EBA}"/>
    <cellStyle name="40 % - Akzent5" xfId="7707" hidden="1" xr:uid="{4D2F1C38-B819-48E1-A476-73451C8C679B}"/>
    <cellStyle name="40 % - Akzent5" xfId="6734" hidden="1" xr:uid="{A71EE47E-AE81-4440-A695-91B100CC05DC}"/>
    <cellStyle name="40 % - Akzent5" xfId="8136" hidden="1" xr:uid="{E23BC1CB-D7BB-4ECD-BBD6-A644C51D0F5C}"/>
    <cellStyle name="40 % - Akzent5" xfId="7165" hidden="1" xr:uid="{A25AF14F-97CC-4B41-9579-2BE2965D5A77}"/>
    <cellStyle name="40 % - Akzent5" xfId="8292" hidden="1" xr:uid="{DB1EF004-2773-48CE-BBC2-234704481BA1}"/>
    <cellStyle name="40 % - Akzent5" xfId="7679" hidden="1" xr:uid="{94026E27-ABAB-4897-98A5-C4A09C924698}"/>
    <cellStyle name="40 % - Akzent5" xfId="8410" hidden="1" xr:uid="{05559EC6-7BD4-49B0-AC53-C6BA87D7E5EC}"/>
    <cellStyle name="40 % - Akzent5" xfId="7125" hidden="1" xr:uid="{08495B6F-0CA8-4497-9310-5E6E91A93D4F}"/>
    <cellStyle name="40 % - Akzent5" xfId="6893" hidden="1" xr:uid="{6AC8CCB9-D41F-4C2F-9D55-89CE11A67F66}"/>
    <cellStyle name="40 % - Akzent5" xfId="8431" hidden="1" xr:uid="{6EAB0CC8-57B4-48A2-8F87-1FA41A4B7D46}"/>
    <cellStyle name="40 % - Akzent5" xfId="7650" hidden="1" xr:uid="{9B4CF000-B620-45F0-A68B-4F16D0E471E2}"/>
    <cellStyle name="40 % - Akzent5" xfId="7017" hidden="1" xr:uid="{98626197-17CA-41DC-BABC-2839D9AA4CA5}"/>
    <cellStyle name="40 % - Akzent5" xfId="6890" hidden="1" xr:uid="{C04264E8-250F-49B5-A57A-3F12A674D5D5}"/>
    <cellStyle name="40 % - Akzent5" xfId="8548" hidden="1" xr:uid="{2280368B-C2D0-42EA-A6D0-0D1B40016649}"/>
    <cellStyle name="40 % - Akzent5" xfId="8710" hidden="1" xr:uid="{8BF5970D-A9FA-4FD4-9C74-5F237749721C}"/>
    <cellStyle name="40 % - Akzent5" xfId="8503" hidden="1" xr:uid="{EBE70AE1-49DE-437C-A79E-877CE68900FC}"/>
    <cellStyle name="40 % - Akzent5" xfId="8847" hidden="1" xr:uid="{ABB43E37-D15C-49E0-8AED-D93B8E5A59F2}"/>
    <cellStyle name="40 % - Akzent5" xfId="9017" hidden="1" xr:uid="{DAE9E5B6-071D-4951-B208-EBCEE6194667}"/>
    <cellStyle name="40 % - Akzent5" xfId="9279" hidden="1" xr:uid="{ADC03821-460C-4B41-9B6A-695EF8E9D1AC}"/>
    <cellStyle name="40 % - Akzent5" xfId="9298" hidden="1" xr:uid="{27A2C99E-2801-4554-9790-79B395C7814A}"/>
    <cellStyle name="40 % - Akzent5" xfId="9382" hidden="1" xr:uid="{B35C0A86-6D81-4274-84D4-AFE208BFA677}"/>
    <cellStyle name="40 % - Akzent5" xfId="9153" hidden="1" xr:uid="{716E0AF2-05C2-4E33-AD63-1BABE1C0474F}"/>
    <cellStyle name="40 % - Akzent5" xfId="10340" hidden="1" xr:uid="{17FB1128-10D8-4EB2-9720-DE9FB5410904}"/>
    <cellStyle name="40 % - Akzent5" xfId="10937" hidden="1" xr:uid="{E4DEB8C1-1F8E-468A-8C54-6ACFB6DE107E}"/>
    <cellStyle name="40 % - Akzent5" xfId="9011" hidden="1" xr:uid="{AE620398-014E-4594-A990-E733A9707271}"/>
    <cellStyle name="40 % - Akzent5" xfId="10932" hidden="1" xr:uid="{85649379-F3AD-476A-BB09-F3CFB682D5F1}"/>
    <cellStyle name="40 % - Akzent5" xfId="11135" hidden="1" xr:uid="{F3D4C120-8568-45D1-9A1A-664004526757}"/>
    <cellStyle name="40 % - Akzent5" xfId="11273" hidden="1" xr:uid="{8E8EFAB8-E85B-4E5C-A1B5-74F7BBE9C617}"/>
    <cellStyle name="40 % - Akzent5" xfId="11287" hidden="1" xr:uid="{9702FF3C-CF0F-4F9D-A046-CB2CB0A884CE}"/>
    <cellStyle name="40 % - Akzent5" xfId="11298" hidden="1" xr:uid="{97E3D09D-4D1D-4820-9AC0-1FBA07A5A3AD}"/>
    <cellStyle name="40 % - Akzent5" xfId="11308" hidden="1" xr:uid="{2C101193-AE14-4851-86FC-7D3AB029D851}"/>
    <cellStyle name="40 % - Akzent5" xfId="11314" hidden="1" xr:uid="{8C57A5DE-C6A0-49E2-BC8A-7BB87E730BA4}"/>
    <cellStyle name="40 % - Akzent5" xfId="11423" hidden="1" xr:uid="{91F502A3-0B52-4272-AFA0-1C244AA34AC3}"/>
    <cellStyle name="40 % - Akzent5" xfId="11693" hidden="1" xr:uid="{44BA478C-F026-449B-AFA0-24BF49C897C3}"/>
    <cellStyle name="40 % - Akzent5" xfId="12327" hidden="1" xr:uid="{9262B2F1-BC4E-404F-A8E0-CF5553104C0E}"/>
    <cellStyle name="40 % - Akzent5" xfId="12760" hidden="1" xr:uid="{9DE49A09-565D-440C-877C-0ACA3BA295B3}"/>
    <cellStyle name="40 % - Akzent5" xfId="11525" hidden="1" xr:uid="{D20B6203-8CF8-4250-A97D-DDC78434C271}"/>
    <cellStyle name="40 % - Akzent5" xfId="11739" hidden="1" xr:uid="{E4B3A31F-2F02-4A9B-84A3-A667234B3040}"/>
    <cellStyle name="40 % - Akzent5" xfId="13632" hidden="1" xr:uid="{310CD29E-E05E-46DD-A3B7-1487372B0C74}"/>
    <cellStyle name="40 % - Akzent5" xfId="13769" hidden="1" xr:uid="{8997CC36-1924-498A-AFAF-E4139D305784}"/>
    <cellStyle name="40 % - Akzent5" xfId="14191" hidden="1" xr:uid="{DD8AE78D-EDD4-4F58-AB89-600BCFB73C99}"/>
    <cellStyle name="40 % - Akzent5" xfId="14277" hidden="1" xr:uid="{D27308EE-B1FF-4036-9BDB-7C5C0095C4C7}"/>
    <cellStyle name="40 % - Akzent5" xfId="14105" hidden="1" xr:uid="{3358ED80-7820-42A0-A578-4A2FA98BDA51}"/>
    <cellStyle name="40 % - Akzent5" xfId="14252" hidden="1" xr:uid="{738713B7-3749-4F43-9448-4128B75764F7}"/>
    <cellStyle name="40 % - Akzent5" xfId="11705" hidden="1" xr:uid="{2F179209-EED6-4253-A5FE-69AC0336EA8C}"/>
    <cellStyle name="40 % - Akzent5" xfId="15115" hidden="1" xr:uid="{981F1DF9-9B18-49F7-BF06-960B28A2B90A}"/>
    <cellStyle name="40 % - Akzent5" xfId="15044" hidden="1" xr:uid="{64C9CF0F-511F-4B19-82CF-C7738E5FF597}"/>
    <cellStyle name="40 % - Akzent5" xfId="14088" hidden="1" xr:uid="{E25058FA-A50F-4676-A4EB-B3194A599FBD}"/>
    <cellStyle name="40 % - Akzent5" xfId="14420" hidden="1" xr:uid="{C4B76EFF-5E58-4830-AC96-E1AC193DB43B}"/>
    <cellStyle name="40 % - Akzent5" xfId="14972" hidden="1" xr:uid="{938B71BB-B3AD-4245-8259-A2A90EEBF5B1}"/>
    <cellStyle name="40 % - Akzent5" xfId="14870" hidden="1" xr:uid="{70F95FD9-B67C-4628-8B26-B9797E460A5D}"/>
    <cellStyle name="40 % - Akzent5" xfId="15442" hidden="1" xr:uid="{A1284E0E-11B2-4795-92CB-EEE274CCE152}"/>
    <cellStyle name="40 % - Akzent5" xfId="14718" hidden="1" xr:uid="{775E6A6E-ED4E-4918-BE14-D81554EC8A52}"/>
    <cellStyle name="40 % - Akzent5" xfId="15424" hidden="1" xr:uid="{0210975E-D9F9-48C2-80AA-1D911DC5EB68}"/>
    <cellStyle name="40 % - Akzent5" xfId="15990" hidden="1" xr:uid="{7257B894-144B-491F-98F2-6513FDC9B55D}"/>
    <cellStyle name="40 % - Akzent5" xfId="15188" hidden="1" xr:uid="{366B72E5-10D3-4CD9-91B6-F426FDD521F1}"/>
    <cellStyle name="40 % - Akzent5" xfId="16037" hidden="1" xr:uid="{97CAB9B6-2801-4DC9-ABC4-0733A273EF65}"/>
    <cellStyle name="40 % - Akzent5" xfId="16114" hidden="1" xr:uid="{9C546103-2E3C-4472-A1B6-66F4BF3C5F70}"/>
    <cellStyle name="40 % - Akzent5" xfId="16388" hidden="1" xr:uid="{BDC13E79-3776-43CC-A374-469876DC16CE}"/>
    <cellStyle name="40 % - Akzent5" xfId="16406" hidden="1" xr:uid="{F55F579E-4EE4-47B5-940A-66E3D6A803CE}"/>
    <cellStyle name="40 % - Akzent5" xfId="16488" hidden="1" xr:uid="{1EF4DA42-00B4-4F2B-A635-865836D72181}"/>
    <cellStyle name="40 % - Akzent5" xfId="16141" hidden="1" xr:uid="{28BD6384-C3FA-4DEA-B484-2D1ED16527AE}"/>
    <cellStyle name="40 % - Akzent5" xfId="17469" hidden="1" xr:uid="{DF826872-75BC-4D1C-8B4C-DDF7F308A6B8}"/>
    <cellStyle name="40 % - Akzent5" xfId="17607" hidden="1" xr:uid="{BD8524FF-3BEA-411F-825F-B2443DE659B9}"/>
    <cellStyle name="40 % - Akzent5" xfId="17890" hidden="1" xr:uid="{E4F9092C-CC73-4E53-8682-8E1F701CBE32}"/>
    <cellStyle name="40 % - Akzent5" xfId="16265" hidden="1" xr:uid="{3D1EC955-9BD8-4818-A693-C1FF807FC4B4}"/>
    <cellStyle name="40 % - Akzent5" xfId="18017" hidden="1" xr:uid="{07CDE25E-92E7-4178-92C2-BBECB8CB1E08}"/>
    <cellStyle name="40 % - Akzent5" xfId="18178" hidden="1" xr:uid="{CCEBF5D8-1F5A-440E-A77B-4BE8D69AEDB6}"/>
    <cellStyle name="40 % - Akzent5" xfId="18363" hidden="1" xr:uid="{937F67AD-B0C6-480E-AC88-0482E7D59A26}"/>
    <cellStyle name="40 % - Akzent5" xfId="18086" hidden="1" xr:uid="{DE7CA019-A282-42AF-A760-BEA2BF5FF7C3}"/>
    <cellStyle name="40 % - Akzent5" xfId="18791" hidden="1" xr:uid="{20FEAF10-D536-4935-BE2A-9926106D6507}"/>
    <cellStyle name="40 % - Akzent5" xfId="16745" hidden="1" xr:uid="{1450BB30-FAE0-4A6C-8547-B225FE20B0DD}"/>
    <cellStyle name="40 % - Akzent5" xfId="18994" hidden="1" xr:uid="{F6C2218D-64B5-4908-8CE7-FEBC83451097}"/>
    <cellStyle name="40 % - Akzent5" xfId="17456" hidden="1" xr:uid="{37B96718-4807-463F-BF33-3839DF808ACB}"/>
    <cellStyle name="40 % - Akzent5" xfId="19178" hidden="1" xr:uid="{3BDBCE4D-8898-4D96-9962-1DDC8F95CEAD}"/>
    <cellStyle name="40 % - Akzent5" xfId="19447" hidden="1" xr:uid="{6E43187C-B344-44C2-8DE8-78D9B529137C}"/>
    <cellStyle name="40 % - Akzent5" xfId="19722" hidden="1" xr:uid="{1E13A201-1B77-4E9B-8145-5A455FDA70CC}"/>
    <cellStyle name="40 % - Akzent5" xfId="19741" hidden="1" xr:uid="{6C5450E0-E095-4573-AC40-DF8989FFEDB8}"/>
    <cellStyle name="40 % - Akzent5" xfId="20301" hidden="1" xr:uid="{901DE727-C845-41C9-98E5-3FAB44D288AA}"/>
    <cellStyle name="40 % - Akzent5" xfId="20541" hidden="1" xr:uid="{158BCADE-BFFC-409D-8DD4-F031B18FA863}"/>
    <cellStyle name="40 % - Akzent5" xfId="20827" hidden="1" xr:uid="{4BEEE75A-425E-4378-BD82-87A6C6127835}"/>
    <cellStyle name="40 % - Akzent5" xfId="21347" hidden="1" xr:uid="{B31414D6-E3B0-4CEA-9008-249DF00EE8F3}"/>
    <cellStyle name="40 % - Akzent5" xfId="21247" hidden="1" xr:uid="{EA1682CB-BD79-4592-A150-ECEAD585CDEA}"/>
    <cellStyle name="40 % - Akzent5" xfId="20928" hidden="1" xr:uid="{673C66D3-EA6B-4738-9B0C-9238C6BF0F08}"/>
    <cellStyle name="40 % - Akzent5" xfId="21651" hidden="1" xr:uid="{31351015-AF10-4CD0-AA93-000E7373CD13}"/>
    <cellStyle name="40 % - Akzent5" xfId="19830" hidden="1" xr:uid="{133C95F2-7BBE-4A45-A49C-9A2569BA1FF3}"/>
    <cellStyle name="40 % - Akzent5" xfId="21759" hidden="1" xr:uid="{F73D8DB8-D931-4142-BBA3-2D64E9AD76B4}"/>
    <cellStyle name="40 % - Akzent5" xfId="21898" hidden="1" xr:uid="{0016E655-84A4-4EE9-967F-CEEBEA4DE261}"/>
    <cellStyle name="40 % - Akzent5" xfId="22013" hidden="1" xr:uid="{07844119-F96F-40D2-AD84-8BAC61912DAD}"/>
    <cellStyle name="40 % - Akzent5" xfId="21092" hidden="1" xr:uid="{5F10F7FE-B7C0-4668-8534-20B307661FDB}"/>
    <cellStyle name="40 % - Akzent5" xfId="22638" hidden="1" xr:uid="{636929E3-0FF8-4180-A693-AB844C44F496}"/>
    <cellStyle name="40 % - Akzent5" xfId="22377" hidden="1" xr:uid="{A8FFF556-2FEB-457B-A3D5-2B89DC10886F}"/>
    <cellStyle name="40 % - Akzent5" xfId="22835" hidden="1" xr:uid="{DFEC21A5-5CF7-435E-A491-6922C95E1F70}"/>
    <cellStyle name="40 % - Akzent5" xfId="23063" hidden="1" xr:uid="{AE12AE4B-0706-4193-8269-E9021937A2A6}"/>
    <cellStyle name="40 % - Akzent5" xfId="22934" hidden="1" xr:uid="{3E277F9C-A329-404A-80C5-C45BD1F3D16E}"/>
    <cellStyle name="40 % - Akzent5" xfId="23372" hidden="1" xr:uid="{F031FCF6-FD42-4C96-A4F5-74AD69DF434C}"/>
    <cellStyle name="40 % - Akzent5" xfId="23499" hidden="1" xr:uid="{DD800818-7E49-411A-B36A-72060C3F5077}"/>
    <cellStyle name="40 % - Akzent5" xfId="23446" hidden="1" xr:uid="{7902D65E-872E-4F5D-B587-50101D77DA59}"/>
    <cellStyle name="40 % - Akzent5" xfId="23497" hidden="1" xr:uid="{AF036589-BD52-48F1-8DA6-C8FEF3C889CD}"/>
    <cellStyle name="40 % - Akzent5" xfId="23697" hidden="1" xr:uid="{23BFC2BB-D075-46A7-B9FF-9ADBDCB5654A}"/>
    <cellStyle name="40 % - Akzent5" xfId="23597" hidden="1" xr:uid="{71420E0A-9CD0-4D93-9D58-0D2AAA269FF2}"/>
    <cellStyle name="40 % - Akzent5" xfId="24073" hidden="1" xr:uid="{88E823BE-FA06-44FD-8911-A508F84A1FAD}"/>
    <cellStyle name="40 % - Akzent5" xfId="24169" hidden="1" xr:uid="{EBBD487D-638E-4E9D-B0CD-8AA68580C6E0}"/>
    <cellStyle name="40 % - Akzent5" xfId="24413" hidden="1" xr:uid="{97D445BA-EE93-488A-AE6B-0B59DB0743BA}"/>
    <cellStyle name="40 % - Akzent5" xfId="25431" hidden="1" xr:uid="{92F91197-AB95-4E4E-9F93-857A42BD111A}"/>
    <cellStyle name="40 % - Akzent5" xfId="24997" hidden="1" xr:uid="{72DA285F-4A3A-4A7E-AA93-42B6EFFE7B09}"/>
    <cellStyle name="40 % - Akzent5" xfId="25510" hidden="1" xr:uid="{D4398DEE-0833-424D-BF88-5C93E30B5AA6}"/>
    <cellStyle name="40 % - Akzent5" xfId="26276" hidden="1" xr:uid="{1A1D6C4D-8EFC-4012-864E-37ADD2B039C4}"/>
    <cellStyle name="40 % - Akzent5" xfId="26297" hidden="1" xr:uid="{1E728D48-012E-48C0-BD79-63BA5B3F7F31}"/>
    <cellStyle name="40 % - Akzent5" xfId="24391" hidden="1" xr:uid="{478B7A97-E1B3-44C0-AA06-77241EDCF5A2}"/>
    <cellStyle name="40 % - Akzent5" xfId="26138" hidden="1" xr:uid="{78D136C2-BD4D-4C83-9645-CA51AA002DC0}"/>
    <cellStyle name="40 % - Akzent5" xfId="26363" hidden="1" xr:uid="{3A57B4ED-2408-421D-9E59-158990DD295F}"/>
    <cellStyle name="40 % - Akzent5" xfId="25496" hidden="1" xr:uid="{403E79D3-6C4D-48C3-B428-286939037361}"/>
    <cellStyle name="40 % - Akzent5" xfId="26473" hidden="1" xr:uid="{D55D94FF-10DB-42E9-B9A4-D154E2A1CF2A}"/>
    <cellStyle name="40 % - Akzent5" xfId="26483" hidden="1" xr:uid="{2188F30E-74CE-4353-A4C3-FD4436880F97}"/>
    <cellStyle name="40 % - Akzent5" xfId="27218" hidden="1" xr:uid="{AA8F8441-6A76-401F-8556-3888F684661F}"/>
    <cellStyle name="40 % - Akzent5" xfId="25286" hidden="1" xr:uid="{0EEC6CEC-A08C-46A7-9EF3-17086A903419}"/>
    <cellStyle name="40 % - Akzent5" xfId="27691" hidden="1" xr:uid="{4E4E65F0-DECC-4881-BF20-3A3F908B56CD}"/>
    <cellStyle name="40 % - Akzent5" xfId="27700" hidden="1" xr:uid="{058CFBAF-4198-4737-A2B9-7CE8B285DF03}"/>
    <cellStyle name="40 % - Akzent5" xfId="27847" hidden="1" xr:uid="{6E06A22C-4AE3-4BD3-87BA-17E38F4AE856}"/>
    <cellStyle name="40 % - Akzent5" xfId="27790" hidden="1" xr:uid="{A989DEF7-582A-4D07-BDEF-D18DB46C3A64}"/>
    <cellStyle name="40 % - Akzent5" xfId="27862" hidden="1" xr:uid="{EEE3238A-AE20-4494-B622-13C1DFF65206}"/>
    <cellStyle name="40 % - Akzent5" xfId="27961" hidden="1" xr:uid="{51007C43-355D-4BA0-8D0E-9B72054AFABC}"/>
    <cellStyle name="40 % - Akzent5" xfId="28204" hidden="1" xr:uid="{736814CD-1D06-4027-8368-F5D3FE7F98C3}"/>
    <cellStyle name="40 % - Akzent5" xfId="28809" hidden="1" xr:uid="{82769EC1-38FD-4F9C-AF4D-95C8C92A26BD}"/>
    <cellStyle name="40 % - Akzent5" xfId="28002" hidden="1" xr:uid="{4125EEB3-4C21-4DA6-B101-0F9656B187E6}"/>
    <cellStyle name="40 % - Akzent5" xfId="29239" hidden="1" xr:uid="{C5387146-117D-44D7-91AC-305BFC2EC867}"/>
    <cellStyle name="40 % - Akzent5" xfId="29601" hidden="1" xr:uid="{DBAE5216-2C49-4844-8E26-9450806AC11B}"/>
    <cellStyle name="40 % - Akzent5" xfId="29340" hidden="1" xr:uid="{ADF5177C-0C35-46B7-B20C-92F62F578370}"/>
    <cellStyle name="40 % - Akzent5" xfId="30422" hidden="1" xr:uid="{0A1EDEDF-4147-41A5-B300-E747FE9012DA}"/>
    <cellStyle name="40 % - Akzent5" xfId="31014" hidden="1" xr:uid="{24951610-FAC8-4FC8-8E80-17B43C197067}"/>
    <cellStyle name="40 % - Akzent5" xfId="29525" hidden="1" xr:uid="{681FCB00-D847-40FE-9350-6C28303194AD}"/>
    <cellStyle name="40 % - Akzent5 2" xfId="383" xr:uid="{CF74D0EA-14A0-4294-AC99-F566B137052A}"/>
    <cellStyle name="40 % - Akzent5 3" xfId="252" xr:uid="{5ED70F5E-F7FF-4F30-8C63-C651B3CA6A47}"/>
    <cellStyle name="40 % - Akzent6" xfId="66" hidden="1" xr:uid="{08271F9F-9A5A-4881-A19F-930C6DFC324D}"/>
    <cellStyle name="40 % - Akzent6" xfId="913" hidden="1" xr:uid="{411462E9-1FEB-46C4-AE76-337DC083EDBE}"/>
    <cellStyle name="40 % - Akzent6" xfId="968" hidden="1" xr:uid="{107575DB-CDED-45AC-8E89-35B0CA0AAE07}"/>
    <cellStyle name="40 % - Akzent6" xfId="1407" hidden="1" xr:uid="{BFE3945F-22CE-4B9F-8B89-6B3C8950C31C}"/>
    <cellStyle name="40 % - Akzent6" xfId="1736" hidden="1" xr:uid="{C634E771-B734-4DD6-A76F-AE6E7DCB3056}"/>
    <cellStyle name="40 % - Akzent6" xfId="1895" hidden="1" xr:uid="{F59E298E-6956-4C0B-98CD-2FA4953B8548}"/>
    <cellStyle name="40 % - Akzent6" xfId="2136" hidden="1" xr:uid="{EDA17275-09AF-40C7-BC8B-E375E1BABF56}"/>
    <cellStyle name="40 % - Akzent6" xfId="3101" hidden="1" xr:uid="{AD5D345C-A581-40A6-9DD1-B94394876381}"/>
    <cellStyle name="40 % - Akzent6" xfId="2189" hidden="1" xr:uid="{F5BA3AB4-A187-4742-94BC-8F1BA193AB8D}"/>
    <cellStyle name="40 % - Akzent6" xfId="2805" hidden="1" xr:uid="{1BC4D4AC-78D1-47DC-9843-2122E7084DE8}"/>
    <cellStyle name="40 % - Akzent6" xfId="3579" hidden="1" xr:uid="{592AF1F8-4EE1-47D3-9CC8-4E846A36919B}"/>
    <cellStyle name="40 % - Akzent6" xfId="3249" hidden="1" xr:uid="{6BFC4C7C-2664-4CBC-95AA-5E0E31CAD58A}"/>
    <cellStyle name="40 % - Akzent6" xfId="3241" hidden="1" xr:uid="{AA45C51D-C567-49F7-933D-AC72AB2B0EAE}"/>
    <cellStyle name="40 % - Akzent6" xfId="3476" hidden="1" xr:uid="{9E87C5C2-3002-44F0-B357-905A6E76495A}"/>
    <cellStyle name="40 % - Akzent6" xfId="2820" hidden="1" xr:uid="{59D8C1D6-E0C2-46A0-9BDE-E592B1BBE562}"/>
    <cellStyle name="40 % - Akzent6" xfId="3274" hidden="1" xr:uid="{F3636C4A-E88E-4E7F-959F-C2BCC12DB9A3}"/>
    <cellStyle name="40 % - Akzent6" xfId="3536" hidden="1" xr:uid="{09E4EC23-CD94-465C-93DF-34821112DF69}"/>
    <cellStyle name="40 % - Akzent6" xfId="3624" hidden="1" xr:uid="{5F9F9A9D-1C8D-4EC8-AA14-E61CEF66CCA5}"/>
    <cellStyle name="40 % - Akzent6" xfId="4948" hidden="1" xr:uid="{714F53D9-BE3B-44A3-A09D-B8D1A1486310}"/>
    <cellStyle name="40 % - Akzent6" xfId="3738" hidden="1" xr:uid="{7C455882-4823-4D2C-B5DE-7026D5CAA9F0}"/>
    <cellStyle name="40 % - Akzent6" xfId="5139" hidden="1" xr:uid="{49EC7833-8C5E-4778-B8FF-C93A77955EF8}"/>
    <cellStyle name="40 % - Akzent6" xfId="5905" hidden="1" xr:uid="{9C0E2DC1-13CE-4365-A6BC-A287E82F26E5}"/>
    <cellStyle name="40 % - Akzent6" xfId="3099" hidden="1" xr:uid="{B6EF7816-E221-4585-BE53-CF83A98F29FC}"/>
    <cellStyle name="40 % - Akzent6" xfId="5840" hidden="1" xr:uid="{515A2DDB-A0E6-415C-9CFD-83418CDD395E}"/>
    <cellStyle name="40 % - Akzent6" xfId="4972" hidden="1" xr:uid="{9CC170A7-0889-4C06-848B-970F1069AD9A}"/>
    <cellStyle name="40 % - Akzent6" xfId="5123" hidden="1" xr:uid="{C28BE1D6-A272-455C-B7D3-3642268129A2}"/>
    <cellStyle name="40 % - Akzent6" xfId="6314" hidden="1" xr:uid="{BB54F900-0B8F-49EE-B14B-2AD97BC510C9}"/>
    <cellStyle name="40 % - Akzent6" xfId="3653" hidden="1" xr:uid="{A101FFF0-1DB5-4513-8D26-71891EC5CB64}"/>
    <cellStyle name="40 % - Akzent6" xfId="4699" hidden="1" xr:uid="{799AC3FF-C6CE-40AB-9D7B-903476331B7D}"/>
    <cellStyle name="40 % - Akzent6" xfId="4675" hidden="1" xr:uid="{62599BDC-0DF6-4732-93C2-3B46B1404FB6}"/>
    <cellStyle name="40 % - Akzent6" xfId="6413" hidden="1" xr:uid="{B0829874-3F4C-4B7F-8192-6452B252AF91}"/>
    <cellStyle name="40 % - Akzent6" xfId="3329" hidden="1" xr:uid="{3E0DD4A7-235F-4688-907F-D7539A9A1A79}"/>
    <cellStyle name="40 % - Akzent6" xfId="6068" hidden="1" xr:uid="{4D1675F5-172D-4F0B-B8C5-8B2BA354BEAF}"/>
    <cellStyle name="40 % - Akzent6" xfId="6432" hidden="1" xr:uid="{A9751039-08CA-4ED2-A30C-8003D2D36670}"/>
    <cellStyle name="40 % - Akzent6" xfId="6558" hidden="1" xr:uid="{D1AE235B-3783-4301-8063-11AEECA6E72C}"/>
    <cellStyle name="40 % - Akzent6" xfId="5700" hidden="1" xr:uid="{61AD0B7C-1274-4876-AEF4-ADEAD923D6DD}"/>
    <cellStyle name="40 % - Akzent6" xfId="5006" hidden="1" xr:uid="{209C737E-5D2A-4235-A926-C7FAA45664DC}"/>
    <cellStyle name="40 % - Akzent6" xfId="6807" hidden="1" xr:uid="{1CA19A95-5387-47B4-A143-0607ACD74FC9}"/>
    <cellStyle name="40 % - Akzent6" xfId="7064" hidden="1" xr:uid="{086AAA56-FD2B-48D5-87E3-5310598A0843}"/>
    <cellStyle name="40 % - Akzent6" xfId="7972" hidden="1" xr:uid="{B4DAB354-5032-4DC4-9509-D2BEC781E9FD}"/>
    <cellStyle name="40 % - Akzent6" xfId="7029" hidden="1" xr:uid="{97D9A914-CD11-4C58-8C4F-84067537F8E1}"/>
    <cellStyle name="40 % - Akzent6" xfId="8351" hidden="1" xr:uid="{1492581E-EC70-4D85-BE1F-63DF37EAA1F3}"/>
    <cellStyle name="40 % - Akzent6" xfId="8332" hidden="1" xr:uid="{41AA3690-A5C5-4565-BFF8-6E1CD357B044}"/>
    <cellStyle name="40 % - Akzent6" xfId="8126" hidden="1" xr:uid="{A40D9BB9-6590-4ADE-897A-EF1314E38520}"/>
    <cellStyle name="40 % - Akzent6" xfId="8323" hidden="1" xr:uid="{ADC68FA1-6BF2-4A4B-AD9B-7D5D571D32E2}"/>
    <cellStyle name="40 % - Akzent6" xfId="7629" hidden="1" xr:uid="{CC983968-1617-40B6-B0F4-033B645BF1DE}"/>
    <cellStyle name="40 % - Akzent6" xfId="6841" hidden="1" xr:uid="{3371ECA8-3A2E-4E9F-982B-DCD2FE47CE17}"/>
    <cellStyle name="40 % - Akzent6" xfId="7180" hidden="1" xr:uid="{32125AEA-5CE9-414D-B08F-C9822C20C4CC}"/>
    <cellStyle name="40 % - Akzent6" xfId="8273" hidden="1" xr:uid="{46AB321C-221D-48EF-B825-A72439E09B05}"/>
    <cellStyle name="40 % - Akzent6" xfId="8171" hidden="1" xr:uid="{AE48A358-D14D-4AAA-B0CC-076114362073}"/>
    <cellStyle name="40 % - Akzent6" xfId="8415" hidden="1" xr:uid="{0B723AA2-C05A-45B9-93BB-6567CD902576}"/>
    <cellStyle name="40 % - Akzent6" xfId="8302" hidden="1" xr:uid="{714A51AB-3EC2-4BCA-85FD-B70F350D795D}"/>
    <cellStyle name="40 % - Akzent6" xfId="6936" hidden="1" xr:uid="{2F41CD38-0C8D-472A-85DE-B4E121C5A2E5}"/>
    <cellStyle name="40 % - Akzent6" xfId="7631" hidden="1" xr:uid="{38A42FE7-EA57-495A-AB3C-61343759BA21}"/>
    <cellStyle name="40 % - Akzent6" xfId="7226" hidden="1" xr:uid="{70EEF206-E0F8-4258-BC97-729E7F97A705}"/>
    <cellStyle name="40 % - Akzent6" xfId="8489" hidden="1" xr:uid="{93B02EC0-4628-4A35-B215-D05DE3CE8AC8}"/>
    <cellStyle name="40 % - Akzent6" xfId="8857" hidden="1" xr:uid="{6A42B992-2E50-4CD7-9AD3-0B0D60D30ABA}"/>
    <cellStyle name="40 % - Akzent6" xfId="8496" hidden="1" xr:uid="{E05DCBC8-2A61-42ED-B244-D58E09FEE7AB}"/>
    <cellStyle name="40 % - Akzent6" xfId="8699" hidden="1" xr:uid="{8A1885D7-4E20-4A7D-BD3F-238EFF45C36B}"/>
    <cellStyle name="40 % - Akzent6" xfId="8910" hidden="1" xr:uid="{DF1460D0-6A6C-4B47-A65E-ECD44FE6FD3E}"/>
    <cellStyle name="40 % - Akzent6" xfId="9021" hidden="1" xr:uid="{AA4F62D0-B4B0-4220-83BD-81C8A2FC8284}"/>
    <cellStyle name="40 % - Akzent6" xfId="9277" hidden="1" xr:uid="{FCEEDECB-1636-4197-8389-291A1A04966E}"/>
    <cellStyle name="40 % - Akzent6" xfId="10188" hidden="1" xr:uid="{76250A06-C531-4907-865B-43DC119C672E}"/>
    <cellStyle name="40 % - Akzent6" xfId="9242" hidden="1" xr:uid="{9F225EF4-0E83-4138-9F11-135627752C84}"/>
    <cellStyle name="40 % - Akzent6" xfId="10594" hidden="1" xr:uid="{8D2FE8A2-B681-468A-940C-1CA65FAFD6C4}"/>
    <cellStyle name="40 % - Akzent6" xfId="9144" hidden="1" xr:uid="{D5ED5DD4-719F-4E46-81E0-B8FB2995AFE2}"/>
    <cellStyle name="40 % - Akzent6" xfId="10982" hidden="1" xr:uid="{B2B28568-D076-43B8-B806-802B560DC928}"/>
    <cellStyle name="40 % - Akzent6" xfId="10523" hidden="1" xr:uid="{63CAAB88-BC63-4FF4-8D51-0B0B17D480B4}"/>
    <cellStyle name="40 % - Akzent6" xfId="10732" hidden="1" xr:uid="{AC920ED4-0939-409F-9F9F-57051040309D}"/>
    <cellStyle name="40 % - Akzent6" xfId="11150" hidden="1" xr:uid="{4066304E-797A-4645-9BD9-219F27A6F974}"/>
    <cellStyle name="40 % - Akzent6" xfId="11051" hidden="1" xr:uid="{2DC14D04-134C-4CE9-8E7A-C343FFF3354D}"/>
    <cellStyle name="40 % - Akzent6" xfId="11113" hidden="1" xr:uid="{BA992C86-C53E-4836-99A1-501D8DCF0B4E}"/>
    <cellStyle name="40 % - Akzent6" xfId="10843" hidden="1" xr:uid="{2BF55750-9423-460D-8BD1-D8AC59847C2C}"/>
    <cellStyle name="40 % - Akzent6" xfId="10733" hidden="1" xr:uid="{709599BD-C5DA-477F-849C-FD024FFB90CA}"/>
    <cellStyle name="40 % - Akzent6" xfId="10708" hidden="1" xr:uid="{373DA0AD-7047-4637-A80C-0EC0DFFF33F9}"/>
    <cellStyle name="40 % - Akzent6" xfId="11426" hidden="1" xr:uid="{87D0F89B-E564-4A5E-B643-B20A3C70931A}"/>
    <cellStyle name="40 % - Akzent6" xfId="11691" hidden="1" xr:uid="{A10FD8EC-8C29-4C20-8C4E-A6513DA810C9}"/>
    <cellStyle name="40 % - Akzent6" xfId="11459" hidden="1" xr:uid="{1ABC1A24-BB50-4754-8F18-21685220BD07}"/>
    <cellStyle name="40 % - Akzent6" xfId="11729" hidden="1" xr:uid="{61A1D6BE-A0A0-4BE2-93B7-891FBBAEC61D}"/>
    <cellStyle name="40 % - Akzent6" xfId="12263" hidden="1" xr:uid="{CAB4ADFA-24F2-46F2-8432-244E741FB9A2}"/>
    <cellStyle name="40 % - Akzent6" xfId="13933" hidden="1" xr:uid="{E76691A6-BB90-4A93-82FC-7C6117141191}"/>
    <cellStyle name="40 % - Akzent6" xfId="11417" hidden="1" xr:uid="{4547D5D6-668D-4EEC-A1D1-173C4F1ECE0C}"/>
    <cellStyle name="40 % - Akzent6" xfId="13638" hidden="1" xr:uid="{DAC124C2-F22F-401F-A52C-8F5AA5E8161C}"/>
    <cellStyle name="40 % - Akzent6" xfId="14163" hidden="1" xr:uid="{A52C49EA-BE69-4053-BC19-22B597F3DD9D}"/>
    <cellStyle name="40 % - Akzent6" xfId="11469" hidden="1" xr:uid="{60E02B2D-B81C-4B7D-9A3D-47C4D6B466B2}"/>
    <cellStyle name="40 % - Akzent6" xfId="14871" hidden="1" xr:uid="{8645DC79-C845-4A55-88D7-C284D353DCAE}"/>
    <cellStyle name="40 % - Akzent6" xfId="14601" hidden="1" xr:uid="{31B0115C-A980-4904-8D2E-729BD402E7B1}"/>
    <cellStyle name="40 % - Akzent6" xfId="15283" hidden="1" xr:uid="{4FDD19BF-16D8-46C3-B11B-0AF1F2C150D6}"/>
    <cellStyle name="40 % - Akzent6" xfId="15063" hidden="1" xr:uid="{4FDE0E31-FDC2-4E38-82BF-CEB530C7A41A}"/>
    <cellStyle name="40 % - Akzent6" xfId="14862" hidden="1" xr:uid="{2CC52764-1312-412D-9F6B-9989058A184E}"/>
    <cellStyle name="40 % - Akzent6" xfId="15214" hidden="1" xr:uid="{067A2586-BA91-4EA4-899C-456460C7F51F}"/>
    <cellStyle name="40 % - Akzent6" xfId="15316" hidden="1" xr:uid="{2DAE3A13-F022-44B7-8492-9D4F8C8A5937}"/>
    <cellStyle name="40 % - Akzent6" xfId="15689" hidden="1" xr:uid="{0F31471B-5BBF-4574-B11A-07F8930B3F43}"/>
    <cellStyle name="40 % - Akzent6" xfId="14668" hidden="1" xr:uid="{04E38613-C171-4977-BC90-C6ACB40B22D0}"/>
    <cellStyle name="40 % - Akzent6" xfId="14755" hidden="1" xr:uid="{AB76F904-F982-40F5-8B49-219FC67B8FF1}"/>
    <cellStyle name="40 % - Akzent6" xfId="15501" hidden="1" xr:uid="{BD4080CB-1464-4D34-B8E1-568888DD589D}"/>
    <cellStyle name="40 % - Akzent6" xfId="15456" hidden="1" xr:uid="{2584C388-0DC9-4067-B402-58427CC8846B}"/>
    <cellStyle name="40 % - Akzent6" xfId="15353" hidden="1" xr:uid="{24006FEA-AA52-4881-8382-984B9FA54065}"/>
    <cellStyle name="40 % - Akzent6" xfId="15758" hidden="1" xr:uid="{CC09C672-BE5B-4EEE-89F4-ED559CF48CD5}"/>
    <cellStyle name="40 % - Akzent6" xfId="15207" hidden="1" xr:uid="{7AF4D6BE-7861-4DC2-A3A9-49843F677D89}"/>
    <cellStyle name="40 % - Akzent6" xfId="16118" hidden="1" xr:uid="{21BA55F4-3C27-4C0E-A0A7-67EB4F6837BE}"/>
    <cellStyle name="40 % - Akzent6" xfId="16386" hidden="1" xr:uid="{CCA972D6-552B-4F85-82C7-DE383E51EF4F}"/>
    <cellStyle name="40 % - Akzent6" xfId="17309" hidden="1" xr:uid="{6FA4FE79-92C5-4219-AFBB-BBD5CD32361E}"/>
    <cellStyle name="40 % - Akzent6" xfId="16352" hidden="1" xr:uid="{16173646-DC98-4629-8556-8DA0EDE7FC5E}"/>
    <cellStyle name="40 % - Akzent6" xfId="17752" hidden="1" xr:uid="{7EF8B3BA-9E44-4100-AF8B-66EB6187DD4C}"/>
    <cellStyle name="40 % - Akzent6" xfId="16248" hidden="1" xr:uid="{C1B2BF41-4F2E-4FB3-8601-D468C3F81F0A}"/>
    <cellStyle name="40 % - Akzent6" xfId="18171" hidden="1" xr:uid="{C8E2F720-8654-42AF-859E-CB3B2DE9E26A}"/>
    <cellStyle name="40 % - Akzent6" xfId="17428" hidden="1" xr:uid="{B05C8A19-4F23-40ED-9E40-C0CFB54BB477}"/>
    <cellStyle name="40 % - Akzent6" xfId="17870" hidden="1" xr:uid="{DD85A846-ECB6-4EF1-A4C5-8D4E455F8C98}"/>
    <cellStyle name="40 % - Akzent6" xfId="17686" hidden="1" xr:uid="{81F450E4-C5A3-40C3-8A7B-41F94DB8DCE0}"/>
    <cellStyle name="40 % - Akzent6" xfId="18293" hidden="1" xr:uid="{939BB0B4-FCFB-497F-8D65-C6630BB050C6}"/>
    <cellStyle name="40 % - Akzent6" xfId="17885" hidden="1" xr:uid="{5F6CB290-D45A-4318-9ADE-CBAE5D41AE00}"/>
    <cellStyle name="40 % - Akzent6" xfId="19019" hidden="1" xr:uid="{1EAD21DD-047E-40DD-95CB-EFB381DC5FCC}"/>
    <cellStyle name="40 % - Akzent6" xfId="18211" hidden="1" xr:uid="{A04F2ADD-50BD-42F5-A6D6-A171A06B9DC8}"/>
    <cellStyle name="40 % - Akzent6" xfId="18775" hidden="1" xr:uid="{658A7085-8622-4ADD-9D89-EA34B5CC3190}"/>
    <cellStyle name="40 % - Akzent6" xfId="16548" hidden="1" xr:uid="{F1DDB5E6-5BB8-48E5-BAD9-60C74DFD5B97}"/>
    <cellStyle name="40 % - Akzent6" xfId="19307" hidden="1" xr:uid="{F163F7A6-84BC-4E68-A912-DBAF6D8D9B36}"/>
    <cellStyle name="40 % - Akzent6" xfId="18359" hidden="1" xr:uid="{08A4549D-EEE8-451D-961D-E30648F0B415}"/>
    <cellStyle name="40 % - Akzent6" xfId="19451" hidden="1" xr:uid="{30D903C6-040F-4810-900A-6E89F9816104}"/>
    <cellStyle name="40 % - Akzent6" xfId="19720" hidden="1" xr:uid="{361FCE74-5A39-47FD-832D-62BD9A8FD082}"/>
    <cellStyle name="40 % - Akzent6" xfId="20660" hidden="1" xr:uid="{3C5708A0-8164-4C4C-8DA8-7B0BE2CF68EC}"/>
    <cellStyle name="40 % - Akzent6" xfId="20740" hidden="1" xr:uid="{56CBD908-A867-4873-BE56-CCD559664395}"/>
    <cellStyle name="40 % - Akzent6" xfId="21116" hidden="1" xr:uid="{46EB9DA2-F596-4F03-947B-B51BF5A61DB7}"/>
    <cellStyle name="40 % - Akzent6" xfId="19392" hidden="1" xr:uid="{DCB56EA0-411C-435E-A400-2DE6AF9A1920}"/>
    <cellStyle name="40 % - Akzent6" xfId="21414" hidden="1" xr:uid="{704A8693-56DE-4D9D-AC27-0F176FD66BA4}"/>
    <cellStyle name="40 % - Akzent6" xfId="21160" hidden="1" xr:uid="{506B2395-D8BE-473F-AF79-FFB83B849210}"/>
    <cellStyle name="40 % - Akzent6" xfId="21185" hidden="1" xr:uid="{16A82C21-1738-4B3E-A007-1D78CCD39509}"/>
    <cellStyle name="40 % - Akzent6" xfId="21614" hidden="1" xr:uid="{A3E03BF1-D49E-4289-94BF-4F141D9438B1}"/>
    <cellStyle name="40 % - Akzent6" xfId="22048" hidden="1" xr:uid="{78F3F199-39D7-4E80-A6FF-6043EB607D02}"/>
    <cellStyle name="40 % - Akzent6" xfId="21105" hidden="1" xr:uid="{00699B6E-CD5C-44DC-ADD1-BD9FF3E34CF4}"/>
    <cellStyle name="40 % - Akzent6" xfId="22476" hidden="1" xr:uid="{FDE16449-3873-45B8-93D6-68AAD39D1973}"/>
    <cellStyle name="40 % - Akzent6" xfId="22309" hidden="1" xr:uid="{222D6EEC-49E7-4EDD-BFB9-EE255ACC1307}"/>
    <cellStyle name="40 % - Akzent6" xfId="22908" hidden="1" xr:uid="{30C0A28C-C523-4C7E-8AD9-EDCB5CAE1EED}"/>
    <cellStyle name="40 % - Akzent6" xfId="21297" hidden="1" xr:uid="{DF3AEEC9-948C-4412-AA6D-E08E57D24976}"/>
    <cellStyle name="40 % - Akzent6" xfId="22988" hidden="1" xr:uid="{A027912B-D0B6-46BA-A057-D2014F194AB2}"/>
    <cellStyle name="40 % - Akzent6" xfId="23298" hidden="1" xr:uid="{E2ED54F8-3DC8-46B4-8C7D-07DF1D8F7C26}"/>
    <cellStyle name="40 % - Akzent6" xfId="23000" hidden="1" xr:uid="{47543F83-B632-46DF-BF48-D32221679F67}"/>
    <cellStyle name="40 % - Akzent6" xfId="23044" hidden="1" xr:uid="{6D19EF25-70FE-48C0-8995-60387777735C}"/>
    <cellStyle name="40 % - Akzent6" xfId="23182" hidden="1" xr:uid="{153D932B-E94F-4B9A-8A53-41E614893961}"/>
    <cellStyle name="40 % - Akzent6" xfId="23534" hidden="1" xr:uid="{95E0371E-3C8C-41D7-AD23-907D6B6235F8}"/>
    <cellStyle name="40 % - Akzent6" xfId="22544" hidden="1" xr:uid="{1386F711-D206-4224-87A5-EE8885FF8AFC}"/>
    <cellStyle name="40 % - Akzent6" xfId="23054" hidden="1" xr:uid="{16D82BFD-758E-47D8-83E0-93FAA3231AED}"/>
    <cellStyle name="40 % - Akzent6" xfId="23556" hidden="1" xr:uid="{3F509FB5-8BF4-4EAC-A9E9-12577F32FA5A}"/>
    <cellStyle name="40 % - Akzent6" xfId="24093" hidden="1" xr:uid="{5F803531-0938-436B-9FA9-31033AC1CD42}"/>
    <cellStyle name="40 % - Akzent6" xfId="23591" hidden="1" xr:uid="{0EC47CEA-A19A-4371-A572-B0894A2ED1E1}"/>
    <cellStyle name="40 % - Akzent6" xfId="24172" hidden="1" xr:uid="{D2EA32D6-3011-473A-940C-F7B2A0CF75A8}"/>
    <cellStyle name="40 % - Akzent6" xfId="24577" hidden="1" xr:uid="{07C89964-B217-4DC0-8ECD-687089EFE879}"/>
    <cellStyle name="40 % - Akzent6" xfId="24258" hidden="1" xr:uid="{8C7D8E24-28CD-4E63-AA0C-233A47C40959}"/>
    <cellStyle name="40 % - Akzent6" xfId="24352" hidden="1" xr:uid="{CC8E3D86-5FE9-4336-9119-0084F9BE355C}"/>
    <cellStyle name="40 % - Akzent6" xfId="25501" hidden="1" xr:uid="{386BFA26-18A5-403D-A063-44F1C33B52C8}"/>
    <cellStyle name="40 % - Akzent6" xfId="24354" hidden="1" xr:uid="{1F16291A-DC88-423B-AF40-20069EEE6282}"/>
    <cellStyle name="40 % - Akzent6" xfId="25941" hidden="1" xr:uid="{2B32F45E-29AC-48B6-BF73-4170593D6EBE}"/>
    <cellStyle name="40 % - Akzent6" xfId="26086" hidden="1" xr:uid="{759D78B9-B16A-4B3D-9881-DB028AE58388}"/>
    <cellStyle name="40 % - Akzent6" xfId="26646" hidden="1" xr:uid="{680BE885-213D-47B5-940B-21CFA0DD3A06}"/>
    <cellStyle name="40 % - Akzent6" xfId="26161" hidden="1" xr:uid="{6C5A53C3-856E-44E8-B138-DF49FDE620A8}"/>
    <cellStyle name="40 % - Akzent6" xfId="25982" hidden="1" xr:uid="{1F469B65-FCC4-4664-B917-3F637C807D02}"/>
    <cellStyle name="40 % - Akzent6" xfId="26494" hidden="1" xr:uid="{7A985417-83E9-456A-8718-409EA03F5D21}"/>
    <cellStyle name="40 % - Akzent6" xfId="25058" hidden="1" xr:uid="{D0B99695-E0BB-43F8-859D-B81617316C0B}"/>
    <cellStyle name="40 % - Akzent6" xfId="27220" hidden="1" xr:uid="{9DC626EB-8CE6-41A1-8B7F-A7841F88A088}"/>
    <cellStyle name="40 % - Akzent6" xfId="27773" hidden="1" xr:uid="{5509494A-5427-4738-AF25-BCAA93158467}"/>
    <cellStyle name="40 % - Akzent6" xfId="27628" hidden="1" xr:uid="{D0C23902-3926-4952-A902-B0F836F058E1}"/>
    <cellStyle name="40 % - Akzent6" xfId="27881" hidden="1" xr:uid="{A48EAA04-AA11-4C04-8520-DD715CEB68A1}"/>
    <cellStyle name="40 % - Akzent6" xfId="27746" hidden="1" xr:uid="{F384E9D5-2032-405F-87A8-6B77BEA5533A}"/>
    <cellStyle name="40 % - Akzent6" xfId="27845" hidden="1" xr:uid="{CEEBDFC0-BBEC-4C63-A13B-F8C7CDAE326F}"/>
    <cellStyle name="40 % - Akzent6" xfId="26605" hidden="1" xr:uid="{90A0AACF-CF5E-4A5B-ADB5-D712CB6A7ED6}"/>
    <cellStyle name="40 % - Akzent6" xfId="27965" hidden="1" xr:uid="{14617D66-3ED1-4370-8E0B-3A8A15CA71BA}"/>
    <cellStyle name="40 % - Akzent6" xfId="28202" hidden="1" xr:uid="{CA952B78-C269-4508-A075-F0EA25DAE039}"/>
    <cellStyle name="40 % - Akzent6" xfId="27993" hidden="1" xr:uid="{47D88CBB-C5A0-437B-9A68-C91449D1B3C9}"/>
    <cellStyle name="40 % - Akzent6" xfId="29486" hidden="1" xr:uid="{5CDC3C04-A67C-4E05-88AF-3566766CF89D}"/>
    <cellStyle name="40 % - Akzent6" xfId="28772" hidden="1" xr:uid="{0579940B-A30B-45F9-8AE6-D56141E65F38}"/>
    <cellStyle name="40 % - Akzent6" xfId="28260" hidden="1" xr:uid="{14A681AD-64C6-47B2-92DC-E5E5B22C399A}"/>
    <cellStyle name="40 % - Akzent6" xfId="30007" hidden="1" xr:uid="{1B714973-85C9-405C-94D8-72D26E82EB4D}"/>
    <cellStyle name="40 % - Akzent6" xfId="29459" hidden="1" xr:uid="{B1B4FE6F-CDAE-4BF9-950D-8FBEB51A5F56}"/>
    <cellStyle name="40 % - Akzent6" xfId="29455" hidden="1" xr:uid="{E4E856BC-4EEA-4C60-B18F-CC2F8D1B4FA2}"/>
    <cellStyle name="40 % - Akzent6" xfId="27990" hidden="1" xr:uid="{7CE1581B-A4ED-4099-97C2-4B1756BCB524}"/>
    <cellStyle name="40 % - Akzent6 2" xfId="384" xr:uid="{DB22614E-8FEC-4578-B4AD-FBCCBAC18346}"/>
    <cellStyle name="40 % - Akzent6 3" xfId="253" xr:uid="{E5927E5E-7705-4476-971F-F5BDCC9D52E7}"/>
    <cellStyle name="40% - Accent1 2" xfId="88" xr:uid="{6EA4D19C-9799-446A-A274-40668EB8F728}"/>
    <cellStyle name="40% - Accent1 3" xfId="205" xr:uid="{1EF3A8D3-3DE4-4861-A9C3-04BC54F34BF6}"/>
    <cellStyle name="40% - Accent2 2" xfId="89" xr:uid="{10370418-D1F6-4C2A-9528-79EE03D23523}"/>
    <cellStyle name="40% - Accent2 3" xfId="206" xr:uid="{11360B46-B0AB-4EB7-9CE4-7B8666A7165A}"/>
    <cellStyle name="40% - Accent3 2" xfId="90" xr:uid="{6F7E7786-26D4-4E5D-AB82-48D5346EEB7D}"/>
    <cellStyle name="40% - Accent3 3" xfId="207" xr:uid="{65B69500-D307-49C3-9665-C8BBDB9A5BB6}"/>
    <cellStyle name="40% - Accent4 2" xfId="91" xr:uid="{C02091DC-9CE0-4EB9-952F-4D6576856CC1}"/>
    <cellStyle name="40% - Accent4 3" xfId="208" xr:uid="{5D2F47A7-E6C6-4EF6-841E-C1B580364C83}"/>
    <cellStyle name="40% - Accent5 2" xfId="92" xr:uid="{2FC63498-D7FD-425A-AA38-217F01A5EFC3}"/>
    <cellStyle name="40% - Accent5 3" xfId="209" xr:uid="{1FA4611A-EB98-46A9-9BA9-7650EB0675DF}"/>
    <cellStyle name="40% - Accent6 2" xfId="93" xr:uid="{801E359F-5427-4B40-ADD2-6DA68D7D8C4E}"/>
    <cellStyle name="40% - Accent6 3" xfId="210" xr:uid="{1CDAFEF5-28D0-4FD5-929E-8460A87ACA4B}"/>
    <cellStyle name="5x indented GHG Textfiels" xfId="13" xr:uid="{AAEC2FE7-D252-468E-8DBD-F1DABE055202}"/>
    <cellStyle name="5x indented GHG Textfiels 2" xfId="94" xr:uid="{8AF138E5-36F0-44C9-A045-795C0EDE420C}"/>
    <cellStyle name="5x indented GHG Textfiels 2 2" xfId="95" xr:uid="{94083574-A87A-4CD6-8C28-B28F70BFA2B9}"/>
    <cellStyle name="5x indented GHG Textfiels 3" xfId="96" xr:uid="{EE811506-EE3C-4234-A241-975285613CFE}"/>
    <cellStyle name="5x indented GHG Textfiels 3 2" xfId="401" xr:uid="{529368B6-F0CA-42DD-9019-CD491E356F83}"/>
    <cellStyle name="5x indented GHG Textfiels 3 2 2" xfId="3447" xr:uid="{D0B621C5-7218-42FE-BD77-69F54884B73A}"/>
    <cellStyle name="5x indented GHG Textfiels 3 2 3" xfId="18248" xr:uid="{0C737D98-EB77-4E91-BDED-C5CC6FB1C429}"/>
    <cellStyle name="5x indented GHG Textfiels 3 3" xfId="349" xr:uid="{CC26FF87-F3FC-42E8-A0CC-441B017D38F9}"/>
    <cellStyle name="5x indented GHG Textfiels 3 3 10" xfId="3006" xr:uid="{1193C3C3-DCAE-4802-9BF1-DCFD7E3B80AD}"/>
    <cellStyle name="5x indented GHG Textfiels 3 3 11" xfId="3102" xr:uid="{50C8E538-45D9-414D-B460-F77925C41548}"/>
    <cellStyle name="5x indented GHG Textfiels 3 3 12" xfId="3181" xr:uid="{98CE3907-1BF9-4155-9C41-8B9253762170}"/>
    <cellStyle name="5x indented GHG Textfiels 3 3 13" xfId="4768" xr:uid="{652C5789-5A53-4770-A5A6-355BA2A34721}"/>
    <cellStyle name="5x indented GHG Textfiels 3 3 14" xfId="4927" xr:uid="{2839DF9F-3050-423F-BBDB-7A8D5D9B24AA}"/>
    <cellStyle name="5x indented GHG Textfiels 3 3 15" xfId="4858" xr:uid="{437A1125-0E10-4D48-85DE-B7FE51CCD07B}"/>
    <cellStyle name="5x indented GHG Textfiels 3 3 16" xfId="6312" xr:uid="{93E882DC-7A45-46BD-A982-6D37F132DFA6}"/>
    <cellStyle name="5x indented GHG Textfiels 3 3 17" xfId="6425" xr:uid="{0A3AE288-A7BF-4600-BD87-CAB04B26B0A3}"/>
    <cellStyle name="5x indented GHG Textfiels 3 3 18" xfId="7077" xr:uid="{F0CF335F-693A-4771-97BC-BFF17BBDC614}"/>
    <cellStyle name="5x indented GHG Textfiels 3 3 19" xfId="7774" xr:uid="{B233C6F9-333B-4FEE-B2CB-4FA42727EC20}"/>
    <cellStyle name="5x indented GHG Textfiels 3 3 2" xfId="636" xr:uid="{8436DB46-35A0-4475-9F9F-897EE6005F05}"/>
    <cellStyle name="5x indented GHG Textfiels 3 3 2 10" xfId="3056" xr:uid="{FEA38512-5DFF-4DC1-8C7F-F2815F1859A8}"/>
    <cellStyle name="5x indented GHG Textfiels 3 3 2 11" xfId="5284" xr:uid="{8F4E4416-33B5-493F-A76F-EED851CE9C46}"/>
    <cellStyle name="5x indented GHG Textfiels 3 3 2 12" xfId="5666" xr:uid="{D38ECCAC-49F5-4B4C-A059-00F203DF7F2D}"/>
    <cellStyle name="5x indented GHG Textfiels 3 3 2 13" xfId="5679" xr:uid="{FC024B36-D2A9-49DC-A23B-012B0CD152A1}"/>
    <cellStyle name="5x indented GHG Textfiels 3 3 2 14" xfId="6703" xr:uid="{E49475A9-D108-4AFC-86A9-110216F6ED5D}"/>
    <cellStyle name="5x indented GHG Textfiels 3 3 2 15" xfId="7356" xr:uid="{073D62FD-B395-4663-9F43-50F061FB6F45}"/>
    <cellStyle name="5x indented GHG Textfiels 3 3 2 16" xfId="8043" xr:uid="{967B5BBE-DDED-4E65-AE72-D6CE53769AD0}"/>
    <cellStyle name="5x indented GHG Textfiels 3 3 2 17" xfId="7836" xr:uid="{6EFC2A26-6986-474E-8690-BA140C3B3326}"/>
    <cellStyle name="5x indented GHG Textfiels 3 3 2 18" xfId="8916" xr:uid="{4E796D82-D54A-4417-B207-D99067508150}"/>
    <cellStyle name="5x indented GHG Textfiels 3 3 2 19" xfId="9570" xr:uid="{9165C6D2-A14A-435F-B44A-008D348CD820}"/>
    <cellStyle name="5x indented GHG Textfiels 3 3 2 2" xfId="851" xr:uid="{5304F04D-A160-429C-B0E0-0A625113CF54}"/>
    <cellStyle name="5x indented GHG Textfiels 3 3 2 2 10" xfId="5499" xr:uid="{A7A8A322-6025-467D-99CC-04283D752CD2}"/>
    <cellStyle name="5x indented GHG Textfiels 3 3 2 2 11" xfId="4669" xr:uid="{0A6F4C52-B1BD-4E7C-B354-995F69C734C8}"/>
    <cellStyle name="5x indented GHG Textfiels 3 3 2 2 12" xfId="6077" xr:uid="{A37C6AE8-227F-45B1-B422-BDD5A98E9466}"/>
    <cellStyle name="5x indented GHG Textfiels 3 3 2 2 13" xfId="5910" xr:uid="{DB1667C9-F192-41DA-AAA7-38C2930ED165}"/>
    <cellStyle name="5x indented GHG Textfiels 3 3 2 2 14" xfId="7571" xr:uid="{1132A732-3001-4E76-9FD5-6285565B67CD}"/>
    <cellStyle name="5x indented GHG Textfiels 3 3 2 2 15" xfId="7050" xr:uid="{CEB27FAE-0132-46D0-AFB8-F487DEA36846}"/>
    <cellStyle name="5x indented GHG Textfiels 3 3 2 2 16" xfId="8153" xr:uid="{3574CD79-9974-4283-BD96-680352380770}"/>
    <cellStyle name="5x indented GHG Textfiels 3 3 2 2 17" xfId="8830" xr:uid="{C8B37766-9F3D-4EDC-99AF-EF7A38AD903A}"/>
    <cellStyle name="5x indented GHG Textfiels 3 3 2 2 18" xfId="9785" xr:uid="{E4102401-6382-4466-A365-79D1195E8E5B}"/>
    <cellStyle name="5x indented GHG Textfiels 3 3 2 2 19" xfId="9263" xr:uid="{63E99ED0-0118-4D39-8DA6-AAFD3343D3A7}"/>
    <cellStyle name="5x indented GHG Textfiels 3 3 2 2 2" xfId="1325" xr:uid="{C2ED9743-F2FE-4CBD-89DD-4180AC9D8E59}"/>
    <cellStyle name="5x indented GHG Textfiels 3 3 2 2 20" xfId="10127" xr:uid="{62C978A8-E4D2-4AAF-9EDB-8AC4E9C10922}"/>
    <cellStyle name="5x indented GHG Textfiels 3 3 2 2 21" xfId="10768" xr:uid="{E30C5606-BD3C-4457-8422-167942C71ED0}"/>
    <cellStyle name="5x indented GHG Textfiels 3 3 2 2 22" xfId="11129" xr:uid="{E1038043-B4EE-4CA4-89D2-B555A7ED7744}"/>
    <cellStyle name="5x indented GHG Textfiels 3 3 2 2 23" xfId="12204" xr:uid="{6CBF7A8C-E623-4185-B21D-37093F261DB4}"/>
    <cellStyle name="5x indented GHG Textfiels 3 3 2 2 24" xfId="12677" xr:uid="{5293EACE-F0AE-469E-948A-257F65708CE2}"/>
    <cellStyle name="5x indented GHG Textfiels 3 3 2 2 25" xfId="13111" xr:uid="{7FBD2312-1EC0-4101-A034-F1624AF4D41B}"/>
    <cellStyle name="5x indented GHG Textfiels 3 3 2 2 26" xfId="13548" xr:uid="{4EB38EF9-B871-433C-A0D4-758D2372EBCA}"/>
    <cellStyle name="5x indented GHG Textfiels 3 3 2 2 27" xfId="13694" xr:uid="{3C34D7D8-3E15-4ED4-8FF6-E1E36EB0AA0F}"/>
    <cellStyle name="5x indented GHG Textfiels 3 3 2 2 28" xfId="14008" xr:uid="{A7716AC6-2E08-4A0D-AFBA-AEF2C0CC92BB}"/>
    <cellStyle name="5x indented GHG Textfiels 3 3 2 2 29" xfId="13947" xr:uid="{A2E6334E-81C4-455A-B6C9-94F4AE1422AB}"/>
    <cellStyle name="5x indented GHG Textfiels 3 3 2 2 3" xfId="1774" xr:uid="{3EA8B3F7-0E24-4465-BB86-DA1724015D8E}"/>
    <cellStyle name="5x indented GHG Textfiels 3 3 2 2 30" xfId="14316" xr:uid="{7411C7DC-47C1-4753-B092-AC68E69A3EA4}"/>
    <cellStyle name="5x indented GHG Textfiels 3 3 2 2 31" xfId="15513" xr:uid="{1B120121-7C8D-4D97-ACBB-AF6759E85427}"/>
    <cellStyle name="5x indented GHG Textfiels 3 3 2 2 32" xfId="15414" xr:uid="{4070EF24-FD56-4D8C-BB26-AED0ACF76526}"/>
    <cellStyle name="5x indented GHG Textfiels 3 3 2 2 33" xfId="16896" xr:uid="{0D26884B-A7A6-4C64-B351-A3F49347C24E}"/>
    <cellStyle name="5x indented GHG Textfiels 3 3 2 2 34" xfId="16372" xr:uid="{D6586321-C459-4383-B610-6B7B218CA7EB}"/>
    <cellStyle name="5x indented GHG Textfiels 3 3 2 2 35" xfId="17246" xr:uid="{86676BD5-2AA5-4D32-8C2F-BF7E737C941C}"/>
    <cellStyle name="5x indented GHG Textfiels 3 3 2 2 36" xfId="16951" xr:uid="{7F5C6BFA-CFB1-4C40-AF8C-9765C42821AF}"/>
    <cellStyle name="5x indented GHG Textfiels 3 3 2 2 37" xfId="18714" xr:uid="{A3AAE971-EE75-4D3C-8C4B-5820ECE187C9}"/>
    <cellStyle name="5x indented GHG Textfiels 3 3 2 2 38" xfId="18124" xr:uid="{D1F1023C-E0BC-4D33-B334-630DDEA5CB58}"/>
    <cellStyle name="5x indented GHG Textfiels 3 3 2 2 39" xfId="19202" xr:uid="{4B800662-EC59-45D6-8993-130D344E6096}"/>
    <cellStyle name="5x indented GHG Textfiels 3 3 2 2 4" xfId="2673" xr:uid="{8C857103-BFB4-4417-850E-F723437F2621}"/>
    <cellStyle name="5x indented GHG Textfiels 3 3 2 2 40" xfId="20233" xr:uid="{DE86F6A3-7584-4E06-854F-9DCA9D0EF42B}"/>
    <cellStyle name="5x indented GHG Textfiels 3 3 2 2 41" xfId="19706" xr:uid="{DB5DD329-3D7E-4B50-A286-73F09823B390}"/>
    <cellStyle name="5x indented GHG Textfiels 3 3 2 2 42" xfId="20703" xr:uid="{BB66B226-F907-497E-9591-4809A2CFA440}"/>
    <cellStyle name="5x indented GHG Textfiels 3 3 2 2 43" xfId="21402" xr:uid="{12EAF575-DE45-4127-AFB3-B95736309CBC}"/>
    <cellStyle name="5x indented GHG Textfiels 3 3 2 2 44" xfId="20799" xr:uid="{0D8950BA-3085-42DA-AD3C-E51E48221BFC}"/>
    <cellStyle name="5x indented GHG Textfiels 3 3 2 2 45" xfId="21901" xr:uid="{E0DFF74E-91B5-496B-92F2-065E5E81D688}"/>
    <cellStyle name="5x indented GHG Textfiels 3 3 2 2 46" xfId="22691" xr:uid="{4B65D919-8CA7-42DD-8D3E-80DAA9D4A907}"/>
    <cellStyle name="5x indented GHG Textfiels 3 3 2 2 47" xfId="22655" xr:uid="{23125580-0B77-452E-8A22-74C6353485D4}"/>
    <cellStyle name="5x indented GHG Textfiels 3 3 2 2 48" xfId="23598" xr:uid="{7E33CB79-AB8C-4691-805A-48F63C7D3EA1}"/>
    <cellStyle name="5x indented GHG Textfiels 3 3 2 2 49" xfId="24033" xr:uid="{E1E0D8FC-4DD5-4F20-B6C8-2A7CDDD75E0C}"/>
    <cellStyle name="5x indented GHG Textfiels 3 3 2 2 5" xfId="2859" xr:uid="{2E43D566-D499-45A7-AF97-3A472180987F}"/>
    <cellStyle name="5x indented GHG Textfiels 3 3 2 2 50" xfId="24941" xr:uid="{906D485A-3DC4-4166-8816-4D632BDE77B3}"/>
    <cellStyle name="5x indented GHG Textfiels 3 3 2 2 51" xfId="24569" xr:uid="{6BC8513F-981F-4808-943E-AC0EC3B5709B}"/>
    <cellStyle name="5x indented GHG Textfiels 3 3 2 2 52" xfId="25857" xr:uid="{8AA75629-E1A1-4B27-A09B-388BB22B3D9E}"/>
    <cellStyle name="5x indented GHG Textfiels 3 3 2 2 53" xfId="26021" xr:uid="{235B61E9-4A29-4949-8331-539141FDCC15}"/>
    <cellStyle name="5x indented GHG Textfiels 3 3 2 2 54" xfId="26659" xr:uid="{D4BAC37B-D518-4E77-A725-04AEA93275F0}"/>
    <cellStyle name="5x indented GHG Textfiels 3 3 2 2 55" xfId="27145" xr:uid="{643C5DB8-D936-4510-8E56-1622FB1286B9}"/>
    <cellStyle name="5x indented GHG Textfiels 3 3 2 2 56" xfId="27564" xr:uid="{215BFD6A-BD16-4EE9-9DC8-F8989239AA32}"/>
    <cellStyle name="5x indented GHG Textfiels 3 3 2 2 57" xfId="26535" xr:uid="{29936316-655A-4A65-BBF7-5830C738F05B}"/>
    <cellStyle name="5x indented GHG Textfiels 3 3 2 2 58" xfId="28691" xr:uid="{DE5B453D-B2AB-46E8-B3BF-E0D5AEF8A872}"/>
    <cellStyle name="5x indented GHG Textfiels 3 3 2 2 59" xfId="29158" xr:uid="{275DDE29-3C3C-499D-B413-F2DDAC8AA8AA}"/>
    <cellStyle name="5x indented GHG Textfiels 3 3 2 2 6" xfId="3236" xr:uid="{1D16905E-CD2C-4F1A-B196-E987CF1EF9AF}"/>
    <cellStyle name="5x indented GHG Textfiels 3 3 2 2 60" xfId="28800" xr:uid="{FAEF5E79-A6DC-4D80-9FBA-06C22C3776E8}"/>
    <cellStyle name="5x indented GHG Textfiels 3 3 2 2 61" xfId="29947" xr:uid="{71609F1E-1CB7-4AF9-AAC2-A5D6872CDC47}"/>
    <cellStyle name="5x indented GHG Textfiels 3 3 2 2 62" xfId="30353" xr:uid="{4B0CB11C-FBC2-47DC-93EC-830D8A2E1C4A}"/>
    <cellStyle name="5x indented GHG Textfiels 3 3 2 2 63" xfId="30770" xr:uid="{EC57E7B4-7720-4D9D-9E66-096E3505F24D}"/>
    <cellStyle name="5x indented GHG Textfiels 3 3 2 2 64" xfId="29236" xr:uid="{8190D212-00F3-45AA-8DF3-F1F0EB2BFB96}"/>
    <cellStyle name="5x indented GHG Textfiels 3 3 2 2 65" xfId="31386" xr:uid="{56635DCC-A300-48DF-8B64-4EFC762A603F}"/>
    <cellStyle name="5x indented GHG Textfiels 3 3 2 2 7" xfId="4169" xr:uid="{A3B2F8D0-8482-4CBD-8448-8A8FA9DA8054}"/>
    <cellStyle name="5x indented GHG Textfiels 3 3 2 2 8" xfId="4606" xr:uid="{7743FD85-BF99-4159-84FD-DAB6E8892265}"/>
    <cellStyle name="5x indented GHG Textfiels 3 3 2 2 9" xfId="3801" xr:uid="{8EF33DA9-6ED3-4796-AF34-444B5E1F78FA}"/>
    <cellStyle name="5x indented GHG Textfiels 3 3 2 20" xfId="10262" xr:uid="{AA0C3B6E-C1C2-4B6D-8740-271D3B5DE2C6}"/>
    <cellStyle name="5x indented GHG Textfiels 3 3 2 21" xfId="10655" xr:uid="{1CD37053-5575-4B73-8257-21F066D839CD}"/>
    <cellStyle name="5x indented GHG Textfiels 3 3 2 22" xfId="11008" xr:uid="{0374BC5A-8C2A-40D0-8B31-B60E83ECDCE3}"/>
    <cellStyle name="5x indented GHG Textfiels 3 3 2 23" xfId="11320" xr:uid="{3E871CEB-860A-40A5-A8C6-45F879E720E5}"/>
    <cellStyle name="5x indented GHG Textfiels 3 3 2 24" xfId="11989" xr:uid="{BD1105F4-9BC7-4D40-BC6A-022961503EA0}"/>
    <cellStyle name="5x indented GHG Textfiels 3 3 2 25" xfId="12462" xr:uid="{1F9FA73E-ACD9-4028-B77B-38481507AA8E}"/>
    <cellStyle name="5x indented GHG Textfiels 3 3 2 26" xfId="12896" xr:uid="{29055844-2AFA-4246-8D8A-17EF4F4B95A5}"/>
    <cellStyle name="5x indented GHG Textfiels 3 3 2 27" xfId="13333" xr:uid="{DC0359D0-2887-49FF-9DBC-BAF9FC07F5B7}"/>
    <cellStyle name="5x indented GHG Textfiels 3 3 2 28" xfId="14027" xr:uid="{E7EAE29A-CE20-4460-A77C-0F97B36AEF0C}"/>
    <cellStyle name="5x indented GHG Textfiels 3 3 2 29" xfId="13783" xr:uid="{BEEB904F-E8C6-4AD4-8483-5B07A8427508}"/>
    <cellStyle name="5x indented GHG Textfiels 3 3 2 3" xfId="1119" xr:uid="{0E024B7C-4C34-4D57-BE49-629A97EC7374}"/>
    <cellStyle name="5x indented GHG Textfiels 3 3 2 30" xfId="14896" xr:uid="{B1A99A65-E4D5-46F6-B79C-E05CEF16B3D5}"/>
    <cellStyle name="5x indented GHG Textfiels 3 3 2 31" xfId="14793" xr:uid="{C01C2756-5218-4A81-B490-A4EEAC0C81F2}"/>
    <cellStyle name="5x indented GHG Textfiels 3 3 2 32" xfId="15771" xr:uid="{730A92B3-1B57-4628-AA20-423CC52D495E}"/>
    <cellStyle name="5x indented GHG Textfiels 3 3 2 33" xfId="15996" xr:uid="{AF50D384-F4AF-40EA-930E-8F7950C8D7E4}"/>
    <cellStyle name="5x indented GHG Textfiels 3 3 2 34" xfId="16681" xr:uid="{3D082DCB-D073-4B78-8574-A6E2E20749A3}"/>
    <cellStyle name="5x indented GHG Textfiels 3 3 2 35" xfId="17384" xr:uid="{543B1AF2-692A-4050-BF23-ED3A1D67B78F}"/>
    <cellStyle name="5x indented GHG Textfiels 3 3 2 36" xfId="17826" xr:uid="{3EE13D9C-DA08-455F-85A0-3D676D66E874}"/>
    <cellStyle name="5x indented GHG Textfiels 3 3 2 37" xfId="18302" xr:uid="{FE36D779-12A6-4004-AB7A-355B283B6E4A}"/>
    <cellStyle name="5x indented GHG Textfiels 3 3 2 38" xfId="18499" xr:uid="{31B46358-8E71-4B47-86B8-2E088FC0984C}"/>
    <cellStyle name="5x indented GHG Textfiels 3 3 2 39" xfId="19113" xr:uid="{E85F7F0B-9FE8-48DC-8630-C6404D6C1CD3}"/>
    <cellStyle name="5x indented GHG Textfiels 3 3 2 4" xfId="1654" xr:uid="{79F808A4-1E98-42A5-A65A-DDC024FBB2AA}"/>
    <cellStyle name="5x indented GHG Textfiels 3 3 2 40" xfId="19345" xr:uid="{8B3F5680-CD3D-499F-BA6C-5D2398A02F3A}"/>
    <cellStyle name="5x indented GHG Textfiels 3 3 2 41" xfId="20018" xr:uid="{2DE89078-883A-47D3-8EFD-D7640B1CD552}"/>
    <cellStyle name="5x indented GHG Textfiels 3 3 2 42" xfId="20733" xr:uid="{41C8D34B-6796-419B-ADCC-19967578BBD1}"/>
    <cellStyle name="5x indented GHG Textfiels 3 3 2 43" xfId="21192" xr:uid="{445863F3-3DEA-4B5B-992E-577D4403E7A7}"/>
    <cellStyle name="5x indented GHG Textfiels 3 3 2 44" xfId="21684" xr:uid="{9DFF7475-A28C-4F5C-B017-D484EAE80556}"/>
    <cellStyle name="5x indented GHG Textfiels 3 3 2 45" xfId="22123" xr:uid="{73220986-E672-47D4-98C5-CB9A872A2727}"/>
    <cellStyle name="5x indented GHG Textfiels 3 3 2 46" xfId="22550" xr:uid="{F0DF5A5B-624A-41CB-9A7B-EE9475D0B9CA}"/>
    <cellStyle name="5x indented GHG Textfiels 3 3 2 47" xfId="22996" xr:uid="{EE7A164E-5EEF-4011-B1ED-198F97BCFF9C}"/>
    <cellStyle name="5x indented GHG Textfiels 3 3 2 48" xfId="23400" xr:uid="{CA358C6F-625D-4C3C-B330-F61935B64C3D}"/>
    <cellStyle name="5x indented GHG Textfiels 3 3 2 49" xfId="23666" xr:uid="{119D63FF-E704-4502-A06D-39646820741F}"/>
    <cellStyle name="5x indented GHG Textfiels 3 3 2 5" xfId="2458" xr:uid="{1F3933F6-A9CD-479B-9044-0735D6F33A15}"/>
    <cellStyle name="5x indented GHG Textfiels 3 3 2 50" xfId="23827" xr:uid="{EEA8630A-38EB-4A41-AABB-F245A70693E5}"/>
    <cellStyle name="5x indented GHG Textfiels 3 3 2 51" xfId="24726" xr:uid="{6AB56C50-AE3A-475D-A477-23B1B8CFB23D}"/>
    <cellStyle name="5x indented GHG Textfiels 3 3 2 52" xfId="25438" xr:uid="{80243856-5EB4-48E5-BD15-E18B7A9D26F5}"/>
    <cellStyle name="5x indented GHG Textfiels 3 3 2 53" xfId="25644" xr:uid="{B1E75EA8-0936-4EA5-957E-D1CCC56A14CF}"/>
    <cellStyle name="5x indented GHG Textfiels 3 3 2 54" xfId="26304" xr:uid="{1FF36CA7-4BE5-4F46-B279-608AD76902A2}"/>
    <cellStyle name="5x indented GHG Textfiels 3 3 2 55" xfId="26464" xr:uid="{7F3F5CD1-F622-4E6A-ADC1-A9AC80BFAC17}"/>
    <cellStyle name="5x indented GHG Textfiels 3 3 2 56" xfId="26934" xr:uid="{61A83034-D890-4D13-ADA5-7A644CD3950C}"/>
    <cellStyle name="5x indented GHG Textfiels 3 3 2 57" xfId="27353" xr:uid="{DC718CBD-F0B2-41F1-A52C-CEEC58CBFE15}"/>
    <cellStyle name="5x indented GHG Textfiels 3 3 2 58" xfId="27635" xr:uid="{8CF3ADE6-FF8F-40AE-809C-AA334A4940B8}"/>
    <cellStyle name="5x indented GHG Textfiels 3 3 2 59" xfId="28476" xr:uid="{6B8FC83E-4B7B-4388-ACEF-C5B8308DA11E}"/>
    <cellStyle name="5x indented GHG Textfiels 3 3 2 6" xfId="3200" xr:uid="{CF783105-C159-446D-A2A6-1F4581BC5F30}"/>
    <cellStyle name="5x indented GHG Textfiels 3 3 2 60" xfId="28944" xr:uid="{A10847DA-1891-47BA-8189-B22C701DCCC4}"/>
    <cellStyle name="5x indented GHG Textfiels 3 3 2 61" xfId="29547" xr:uid="{1A464609-A716-4901-B3F3-107D5458A8B2}"/>
    <cellStyle name="5x indented GHG Textfiels 3 3 2 62" xfId="29734" xr:uid="{8A5F62EF-853A-4A08-B61F-24989D87E87D}"/>
    <cellStyle name="5x indented GHG Textfiels 3 3 2 63" xfId="30142" xr:uid="{F8EF7F24-3D29-45B2-8C35-31A8A19B64BB}"/>
    <cellStyle name="5x indented GHG Textfiels 3 3 2 64" xfId="30556" xr:uid="{A44682ED-B152-4369-9575-64A2DD24557B}"/>
    <cellStyle name="5x indented GHG Textfiels 3 3 2 65" xfId="31007" xr:uid="{D127EF5B-609C-48AA-98E0-EDD53122EE13}"/>
    <cellStyle name="5x indented GHG Textfiels 3 3 2 66" xfId="31180" xr:uid="{BEB2F2ED-B526-46AE-9266-F64170D09575}"/>
    <cellStyle name="5x indented GHG Textfiels 3 3 2 7" xfId="3421" xr:uid="{488CCAA8-ED12-45F2-8E6E-75B866239B0D}"/>
    <cellStyle name="5x indented GHG Textfiels 3 3 2 8" xfId="3954" xr:uid="{780D5AEA-88B7-4E3E-98CF-1099D0464D7A}"/>
    <cellStyle name="5x indented GHG Textfiels 3 3 2 9" xfId="4392" xr:uid="{FCB590C7-C9CC-4161-A582-EC3E7DD25739}"/>
    <cellStyle name="5x indented GHG Textfiels 3 3 20" xfId="7626" xr:uid="{371CAAA1-A4F8-4A0F-A1D7-88CA511BA6B5}"/>
    <cellStyle name="5x indented GHG Textfiels 3 3 21" xfId="8727" xr:uid="{4DD0B208-BF46-418F-ACA0-3B4572A08BB3}"/>
    <cellStyle name="5x indented GHG Textfiels 3 3 22" xfId="9290" xr:uid="{249971E9-1973-4FB6-AC28-F8101286B2E3}"/>
    <cellStyle name="5x indented GHG Textfiels 3 3 23" xfId="9987" xr:uid="{D4EAE08C-7972-4B7F-8EAA-E683C24837CF}"/>
    <cellStyle name="5x indented GHG Textfiels 3 3 24" xfId="10412" xr:uid="{AE8DC372-7041-49E8-AB23-5586BA349F85}"/>
    <cellStyle name="5x indented GHG Textfiels 3 3 25" xfId="10734" xr:uid="{9450B0B4-6E6A-4DD1-95EF-8DD67E469B6F}"/>
    <cellStyle name="5x indented GHG Textfiels 3 3 26" xfId="10382" xr:uid="{01972E68-8635-4F04-AD70-D053E0067D7C}"/>
    <cellStyle name="5x indented GHG Textfiels 3 3 27" xfId="11704" xr:uid="{95C2A724-21BA-4A63-AC72-5228B5D7A5FC}"/>
    <cellStyle name="5x indented GHG Textfiels 3 3 28" xfId="11613" xr:uid="{B9351292-A24D-4DB8-8877-730110DBB709}"/>
    <cellStyle name="5x indented GHG Textfiels 3 3 29" xfId="11822" xr:uid="{C9ACA4FE-6C1D-4E62-B566-55A36BAB7328}"/>
    <cellStyle name="5x indented GHG Textfiels 3 3 3" xfId="583" xr:uid="{33656A2F-5481-4B2D-9C64-694300B997CA}"/>
    <cellStyle name="5x indented GHG Textfiels 3 3 3 10" xfId="4913" xr:uid="{6B25251F-4303-4111-8FDA-478060F39D35}"/>
    <cellStyle name="5x indented GHG Textfiels 3 3 3 11" xfId="5231" xr:uid="{79D96B78-5C0C-4C9D-B113-0E3E9AE9629B}"/>
    <cellStyle name="5x indented GHG Textfiels 3 3 3 12" xfId="5642" xr:uid="{5921D3B0-01B1-4B20-AE26-0454363C7EEE}"/>
    <cellStyle name="5x indented GHG Textfiels 3 3 3 13" xfId="3499" xr:uid="{BC8561FF-BF70-40E5-AFFD-BB8C3916307D}"/>
    <cellStyle name="5x indented GHG Textfiels 3 3 3 14" xfId="6433" xr:uid="{9623667D-A414-41DB-B664-4284310E02CF}"/>
    <cellStyle name="5x indented GHG Textfiels 3 3 3 15" xfId="7303" xr:uid="{3711F84B-A519-468D-963B-9CF9F18994C4}"/>
    <cellStyle name="5x indented GHG Textfiels 3 3 3 16" xfId="7789" xr:uid="{403C6C8E-289B-477F-A161-3AFA9AFAE0AE}"/>
    <cellStyle name="5x indented GHG Textfiels 3 3 3 17" xfId="8600" xr:uid="{9AB55A1D-F167-40A9-8E36-E9C1F6FCD322}"/>
    <cellStyle name="5x indented GHG Textfiels 3 3 3 18" xfId="8760" xr:uid="{94C63624-9646-4518-AAFF-CB47D8317581}"/>
    <cellStyle name="5x indented GHG Textfiels 3 3 3 19" xfId="9517" xr:uid="{F0B6A6F4-3CC4-4A2E-BE0B-0D71C16CFD33}"/>
    <cellStyle name="5x indented GHG Textfiels 3 3 3 2" xfId="798" xr:uid="{9BF57869-6B20-4C72-BFDA-40D4ECC3ACAB}"/>
    <cellStyle name="5x indented GHG Textfiels 3 3 3 2 10" xfId="5446" xr:uid="{AFEF9192-373E-4283-B340-0FD30B0A0F07}"/>
    <cellStyle name="5x indented GHG Textfiels 3 3 3 2 11" xfId="4690" xr:uid="{BA625C18-830F-4DAE-8A1F-55ED5D15487B}"/>
    <cellStyle name="5x indented GHG Textfiels 3 3 3 2 12" xfId="6335" xr:uid="{59649F93-ADC0-40FE-9BD7-1FA59A686AE2}"/>
    <cellStyle name="5x indented GHG Textfiels 3 3 3 2 13" xfId="6693" xr:uid="{07CDB1B7-C91D-4B16-B2D9-3A6061C87B01}"/>
    <cellStyle name="5x indented GHG Textfiels 3 3 3 2 14" xfId="7518" xr:uid="{A66FB385-06C6-486C-B605-4AD9F1FC22BA}"/>
    <cellStyle name="5x indented GHG Textfiels 3 3 3 2 15" xfId="7814" xr:uid="{183BDEC3-A839-46EB-9562-23872EC6E4CB}"/>
    <cellStyle name="5x indented GHG Textfiels 3 3 3 2 16" xfId="7854" xr:uid="{F4D49FCB-B242-4E39-B779-517651F267B9}"/>
    <cellStyle name="5x indented GHG Textfiels 3 3 3 2 17" xfId="8906" xr:uid="{34A207DB-2230-4E5A-84A1-5EF405C5BC15}"/>
    <cellStyle name="5x indented GHG Textfiels 3 3 3 2 18" xfId="9732" xr:uid="{BAEBDB6B-4E40-4902-8E93-B76F71BC0CBE}"/>
    <cellStyle name="5x indented GHG Textfiels 3 3 3 2 19" xfId="10027" xr:uid="{6B2BB2C2-045A-49AC-8CED-A53CA398E5A7}"/>
    <cellStyle name="5x indented GHG Textfiels 3 3 3 2 2" xfId="1272" xr:uid="{F563BF76-E83B-445A-BE2D-1C5B91FDEC0E}"/>
    <cellStyle name="5x indented GHG Textfiels 3 3 3 2 20" xfId="10447" xr:uid="{5515D87D-B143-40B6-861D-F79D4851688B}"/>
    <cellStyle name="5x indented GHG Textfiels 3 3 3 2 21" xfId="10947" xr:uid="{D9C4D01B-88A2-4FE4-A202-4A9910A478C3}"/>
    <cellStyle name="5x indented GHG Textfiels 3 3 3 2 22" xfId="11310" xr:uid="{B22C5CCA-AB50-4F4A-94BB-6CAE7A5F5D67}"/>
    <cellStyle name="5x indented GHG Textfiels 3 3 3 2 23" xfId="12151" xr:uid="{44B9DEF9-7BE8-4786-A130-E66BD9F26FBE}"/>
    <cellStyle name="5x indented GHG Textfiels 3 3 3 2 24" xfId="12624" xr:uid="{3DB904CF-ABC6-498C-90BA-84B82E941B8A}"/>
    <cellStyle name="5x indented GHG Textfiels 3 3 3 2 25" xfId="13058" xr:uid="{7F477AE8-C069-4945-8904-4D4F6B09B20B}"/>
    <cellStyle name="5x indented GHG Textfiels 3 3 3 2 26" xfId="13495" xr:uid="{6A21FD05-EB61-41D8-8B55-7D2FE940FD9A}"/>
    <cellStyle name="5x indented GHG Textfiels 3 3 3 2 27" xfId="14006" xr:uid="{2D76B1FA-5334-4E48-B52E-0CD47B8CA996}"/>
    <cellStyle name="5x indented GHG Textfiels 3 3 3 2 28" xfId="13903" xr:uid="{A625CDA5-EF35-43C9-959B-2A1E6E2F8A87}"/>
    <cellStyle name="5x indented GHG Textfiels 3 3 3 2 29" xfId="14681" xr:uid="{A8EA9C5F-A296-49F2-9923-686F90BBE65D}"/>
    <cellStyle name="5x indented GHG Textfiels 3 3 3 2 3" xfId="1741" xr:uid="{35872052-8CCD-4B0D-9675-40C054953D6D}"/>
    <cellStyle name="5x indented GHG Textfiels 3 3 3 2 30" xfId="15305" xr:uid="{A4A0B859-6539-435F-997C-D2896AC9FF38}"/>
    <cellStyle name="5x indented GHG Textfiels 3 3 3 2 31" xfId="15285" xr:uid="{B2FFAC34-29FE-4621-9D47-D85F9EBB8E9A}"/>
    <cellStyle name="5x indented GHG Textfiels 3 3 3 2 32" xfId="15865" xr:uid="{3F8AE9EA-3F0A-4F76-8176-BB9BF7A938C9}"/>
    <cellStyle name="5x indented GHG Textfiels 3 3 3 2 33" xfId="16843" xr:uid="{FAE3E375-AB11-48EB-9402-64CED5DEB750}"/>
    <cellStyle name="5x indented GHG Textfiels 3 3 3 2 34" xfId="17144" xr:uid="{7EA44BDA-6781-492D-A81F-38B6718E4E24}"/>
    <cellStyle name="5x indented GHG Textfiels 3 3 3 2 35" xfId="17591" xr:uid="{C1DD9BEF-4CC3-4FBF-90AB-2C2F35217CE6}"/>
    <cellStyle name="5x indented GHG Textfiels 3 3 3 2 36" xfId="18281" xr:uid="{66AB5C7F-1499-4F5B-A34F-673D6810A62F}"/>
    <cellStyle name="5x indented GHG Textfiels 3 3 3 2 37" xfId="18661" xr:uid="{84C3289A-6266-4CCB-AFBD-C37D7CA59F87}"/>
    <cellStyle name="5x indented GHG Textfiels 3 3 3 2 38" xfId="19100" xr:uid="{F26F52FD-BA43-4E66-B7CD-03605F58C8E1}"/>
    <cellStyle name="5x indented GHG Textfiels 3 3 3 2 39" xfId="19312" xr:uid="{CE3BAC50-80AB-4D67-8D73-6616AF384582}"/>
    <cellStyle name="5x indented GHG Textfiels 3 3 3 2 4" xfId="2620" xr:uid="{64A4053E-DF74-424E-A3DF-D32C78D66D74}"/>
    <cellStyle name="5x indented GHG Textfiels 3 3 3 2 40" xfId="20180" xr:uid="{2947448E-0AC0-4492-9960-49F1B01E2AA7}"/>
    <cellStyle name="5x indented GHG Textfiels 3 3 3 2 41" xfId="20496" xr:uid="{27C5602D-0692-44AB-8891-F10AA16586AA}"/>
    <cellStyle name="5x indented GHG Textfiels 3 3 3 2 42" xfId="20951" xr:uid="{3D79D732-033D-4DDF-AF22-1C16E78B73ED}"/>
    <cellStyle name="5x indented GHG Textfiels 3 3 3 2 43" xfId="21662" xr:uid="{E31DB3D6-7D0E-470E-BE76-7CA31CCF46D4}"/>
    <cellStyle name="5x indented GHG Textfiels 3 3 3 2 44" xfId="21880" xr:uid="{25504A0C-CF70-44AC-9F3E-AC3ED646F244}"/>
    <cellStyle name="5x indented GHG Textfiels 3 3 3 2 45" xfId="22316" xr:uid="{B42E33CA-7F9F-47F8-B7A7-E36A50BAE771}"/>
    <cellStyle name="5x indented GHG Textfiels 3 3 3 2 46" xfId="22976" xr:uid="{EF1BC3A2-2E8B-4A2C-9D04-4B8118F8655E}"/>
    <cellStyle name="5x indented GHG Textfiels 3 3 3 2 47" xfId="23382" xr:uid="{7AA8D3B5-C9E9-4AFB-987D-8CD901E13764}"/>
    <cellStyle name="5x indented GHG Textfiels 3 3 3 2 48" xfId="23508" xr:uid="{600C380E-6A1B-47FD-A9C8-034FA05236A3}"/>
    <cellStyle name="5x indented GHG Textfiels 3 3 3 2 49" xfId="23980" xr:uid="{8FD94CC0-8F65-4B8B-815C-B2628C927D07}"/>
    <cellStyle name="5x indented GHG Textfiels 3 3 3 2 5" xfId="3177" xr:uid="{CC4A8796-885A-4064-921D-FEC6F8962C51}"/>
    <cellStyle name="5x indented GHG Textfiels 3 3 3 2 50" xfId="24888" xr:uid="{414679D5-B14C-434B-9E7D-1A9D55447CCB}"/>
    <cellStyle name="5x indented GHG Textfiels 3 3 3 2 51" xfId="25205" xr:uid="{BD2B7B6E-5873-45B3-9F0E-DA0CC21EDC8F}"/>
    <cellStyle name="5x indented GHG Textfiels 3 3 3 2 52" xfId="25804" xr:uid="{A6E2FED1-D38C-44E8-A6AB-DA5DD54F0F74}"/>
    <cellStyle name="5x indented GHG Textfiels 3 3 3 2 53" xfId="26283" xr:uid="{A8F79E1F-C63B-4E2F-9DA6-4F21B67F0C94}"/>
    <cellStyle name="5x indented GHG Textfiels 3 3 3 2 54" xfId="24221" xr:uid="{9E5DC92B-00A4-43FC-B9E3-A43F652C684F}"/>
    <cellStyle name="5x indented GHG Textfiels 3 3 3 2 55" xfId="27092" xr:uid="{8D98B508-58D4-4466-B87A-BD338F8693FF}"/>
    <cellStyle name="5x indented GHG Textfiels 3 3 3 2 56" xfId="27511" xr:uid="{E1F52678-DFEF-4298-8CB4-D7C31307821B}"/>
    <cellStyle name="5x indented GHG Textfiels 3 3 3 2 57" xfId="26468" xr:uid="{DDAD19FE-26EE-42D0-9586-A3F3FDC87863}"/>
    <cellStyle name="5x indented GHG Textfiels 3 3 3 2 58" xfId="28638" xr:uid="{F0BDF9BD-884A-48CA-B220-9BEB9597D084}"/>
    <cellStyle name="5x indented GHG Textfiels 3 3 3 2 59" xfId="29105" xr:uid="{B60DFF0E-93B2-48FE-9CE9-6B88A1DBB6D8}"/>
    <cellStyle name="5x indented GHG Textfiels 3 3 3 2 6" xfId="3616" xr:uid="{607E30FE-4984-491E-8720-F2CF78B4B393}"/>
    <cellStyle name="5x indented GHG Textfiels 3 3 3 2 60" xfId="29347" xr:uid="{B5CB7026-9345-4C7B-9248-1FED00F09C4F}"/>
    <cellStyle name="5x indented GHG Textfiels 3 3 3 2 61" xfId="29894" xr:uid="{D0A7D5B7-B624-4DB4-A599-183CD78E1A22}"/>
    <cellStyle name="5x indented GHG Textfiels 3 3 3 2 62" xfId="30300" xr:uid="{2201B7E7-DC98-490C-ACF4-382A30C47AEF}"/>
    <cellStyle name="5x indented GHG Textfiels 3 3 3 2 63" xfId="30717" xr:uid="{585B9448-7008-47A9-8A39-A26BE57A5BEB}"/>
    <cellStyle name="5x indented GHG Textfiels 3 3 3 2 64" xfId="28732" xr:uid="{AE21CA17-7EA5-4D5C-80CD-C4B8F5728F49}"/>
    <cellStyle name="5x indented GHG Textfiels 3 3 3 2 65" xfId="31333" xr:uid="{60FC8048-53F1-4DE9-9C5A-5374F4877CB5}"/>
    <cellStyle name="5x indented GHG Textfiels 3 3 3 2 7" xfId="4116" xr:uid="{2241F1CE-A98E-485A-8690-E3E087B2082F}"/>
    <cellStyle name="5x indented GHG Textfiels 3 3 3 2 8" xfId="4553" xr:uid="{420213AF-2408-4694-BD81-616DBD1ACDDC}"/>
    <cellStyle name="5x indented GHG Textfiels 3 3 3 2 9" xfId="4242" xr:uid="{07EEFAF8-6727-4C17-93D4-5F474BE67D65}"/>
    <cellStyle name="5x indented GHG Textfiels 3 3 3 20" xfId="10002" xr:uid="{C79B82E6-BE34-4305-BE03-9EF523A86A38}"/>
    <cellStyle name="5x indented GHG Textfiels 3 3 3 21" xfId="10427" xr:uid="{A4B72074-8AB1-4C26-8387-4FDFBCFDF98A}"/>
    <cellStyle name="5x indented GHG Textfiels 3 3 3 22" xfId="10922" xr:uid="{53A70F8D-DAF5-4EA8-A3BA-5E2972ECFD2E}"/>
    <cellStyle name="5x indented GHG Textfiels 3 3 3 23" xfId="11068" xr:uid="{86507492-3559-431D-A4F4-29F06F7D2D00}"/>
    <cellStyle name="5x indented GHG Textfiels 3 3 3 24" xfId="11936" xr:uid="{15F55451-C531-457E-913F-288621340A86}"/>
    <cellStyle name="5x indented GHG Textfiels 3 3 3 25" xfId="12409" xr:uid="{935F60AA-E0C9-4E4C-94FF-21435B4DF412}"/>
    <cellStyle name="5x indented GHG Textfiels 3 3 3 26" xfId="12843" xr:uid="{F8904205-DFAF-4A04-97BE-5F7D749F21CD}"/>
    <cellStyle name="5x indented GHG Textfiels 3 3 3 27" xfId="13280" xr:uid="{57FE8C55-F49E-4A34-AB33-31EBDE34E4B3}"/>
    <cellStyle name="5x indented GHG Textfiels 3 3 3 28" xfId="13739" xr:uid="{AC244A18-F5FE-49A6-AF0E-51DFB008FBC4}"/>
    <cellStyle name="5x indented GHG Textfiels 3 3 3 29" xfId="14128" xr:uid="{416C446D-FC3A-453D-95C0-B355FDC11294}"/>
    <cellStyle name="5x indented GHG Textfiels 3 3 3 3" xfId="1066" xr:uid="{660A40CF-BCED-4C51-9D63-FDE2F4492400}"/>
    <cellStyle name="5x indented GHG Textfiels 3 3 3 30" xfId="14888" xr:uid="{C134F864-606E-46DF-ADF1-5A588D925628}"/>
    <cellStyle name="5x indented GHG Textfiels 3 3 3 31" xfId="15322" xr:uid="{628CFE23-DAD9-4537-911C-7BD7B95A57E3}"/>
    <cellStyle name="5x indented GHG Textfiels 3 3 3 32" xfId="15108" xr:uid="{5949B8C4-BA87-4018-BE66-0E376E4D90E4}"/>
    <cellStyle name="5x indented GHG Textfiels 3 3 3 33" xfId="15857" xr:uid="{EB4E312E-C318-4698-89DB-39D5E4FDAA27}"/>
    <cellStyle name="5x indented GHG Textfiels 3 3 3 34" xfId="16628" xr:uid="{FE6BFCFA-660E-4335-9179-F14780D16A15}"/>
    <cellStyle name="5x indented GHG Textfiels 3 3 3 35" xfId="17118" xr:uid="{CD16833E-D981-42A3-9AC7-5D120F2AE526}"/>
    <cellStyle name="5x indented GHG Textfiels 3 3 3 36" xfId="17565" xr:uid="{0FB5EA35-DB1C-427A-8EC0-10B1547D17E5}"/>
    <cellStyle name="5x indented GHG Textfiels 3 3 3 37" xfId="16227" xr:uid="{614B92B4-8E9C-4E96-BDCC-3E2C219945DE}"/>
    <cellStyle name="5x indented GHG Textfiels 3 3 3 38" xfId="18446" xr:uid="{6C7307D2-14E2-4C90-B5CE-3955FAC65FBE}"/>
    <cellStyle name="5x indented GHG Textfiels 3 3 3 39" xfId="18828" xr:uid="{A183745B-553C-4B07-A4A0-21B2B13A5392}"/>
    <cellStyle name="5x indented GHG Textfiels 3 3 3 4" xfId="1612" xr:uid="{FF0E9ECD-1BF2-4780-82DB-6910233B072E}"/>
    <cellStyle name="5x indented GHG Textfiels 3 3 3 40" xfId="19300" xr:uid="{EF6211E0-BB2A-4327-8064-AD341D1D9615}"/>
    <cellStyle name="5x indented GHG Textfiels 3 3 3 41" xfId="19965" xr:uid="{684DE842-4453-4A9F-ACB8-E53259FA7B1F}"/>
    <cellStyle name="5x indented GHG Textfiels 3 3 3 42" xfId="20471" xr:uid="{EB50050B-136E-40C1-ABEC-5048EEB518AE}"/>
    <cellStyle name="5x indented GHG Textfiels 3 3 3 43" xfId="20924" xr:uid="{E941D0D0-74B0-4894-B1EE-DFDCCF523F38}"/>
    <cellStyle name="5x indented GHG Textfiels 3 3 3 44" xfId="21449" xr:uid="{37AD9866-625C-4CF5-97E1-6275F4F30173}"/>
    <cellStyle name="5x indented GHG Textfiels 3 3 3 45" xfId="21853" xr:uid="{B496BBAC-3A72-42AB-8B38-E9EFBCB54A34}"/>
    <cellStyle name="5x indented GHG Textfiels 3 3 3 46" xfId="22290" xr:uid="{E8E50C0D-1238-45A7-9385-AF273A030ADE}"/>
    <cellStyle name="5x indented GHG Textfiels 3 3 3 47" xfId="22734" xr:uid="{432FBC46-1586-4D21-8E08-9028C458C7A5}"/>
    <cellStyle name="5x indented GHG Textfiels 3 3 3 48" xfId="23101" xr:uid="{A49EE1B6-976B-4754-9A91-4AFD427665E2}"/>
    <cellStyle name="5x indented GHG Textfiels 3 3 3 49" xfId="23490" xr:uid="{5CAA8A59-3A12-41FB-8377-4EEB0E93ED40}"/>
    <cellStyle name="5x indented GHG Textfiels 3 3 3 5" xfId="2405" xr:uid="{B2DB42FE-887A-4D29-8982-526679493CEB}"/>
    <cellStyle name="5x indented GHG Textfiels 3 3 3 50" xfId="23774" xr:uid="{6F0375D9-4EF3-44A8-BCD9-0BF53414EF9E}"/>
    <cellStyle name="5x indented GHG Textfiels 3 3 3 51" xfId="24673" xr:uid="{9263B69A-0EA3-4DB4-9D01-BC98CE2E04AF}"/>
    <cellStyle name="5x indented GHG Textfiels 3 3 3 52" xfId="25179" xr:uid="{1A8B6E4B-9AEC-4093-93B6-A4A80212FA53}"/>
    <cellStyle name="5x indented GHG Textfiels 3 3 3 53" xfId="25591" xr:uid="{74FAEE8F-C112-440C-B2A2-D9258B516748}"/>
    <cellStyle name="5x indented GHG Textfiels 3 3 3 54" xfId="26039" xr:uid="{DFA8C329-AC76-4CFE-A1D1-B78FD50C11A2}"/>
    <cellStyle name="5x indented GHG Textfiels 3 3 3 55" xfId="26480" xr:uid="{A36A3BB6-57CB-4292-9530-46FFC99C41DD}"/>
    <cellStyle name="5x indented GHG Textfiels 3 3 3 56" xfId="26881" xr:uid="{1B134BB4-BE9F-4647-9384-1796410248B2}"/>
    <cellStyle name="5x indented GHG Textfiels 3 3 3 57" xfId="27300" xr:uid="{19340406-D822-4FE6-9E1D-F604B27F30A2}"/>
    <cellStyle name="5x indented GHG Textfiels 3 3 3 58" xfId="26116" xr:uid="{0E19DDB5-E6D2-4651-8F92-C13BD037A44B}"/>
    <cellStyle name="5x indented GHG Textfiels 3 3 3 59" xfId="28423" xr:uid="{3010594C-DFC5-4127-AEBC-5428109B2216}"/>
    <cellStyle name="5x indented GHG Textfiels 3 3 3 6" xfId="2904" xr:uid="{3B87DDC0-7FE7-4434-941A-4B6FB3A3D489}"/>
    <cellStyle name="5x indented GHG Textfiels 3 3 3 60" xfId="28891" xr:uid="{BD01D9F4-B069-4F75-9644-A6767E3FF12D}"/>
    <cellStyle name="5x indented GHG Textfiels 3 3 3 61" xfId="29326" xr:uid="{E88A9066-2AAA-4F53-A68A-C9910F65F82C}"/>
    <cellStyle name="5x indented GHG Textfiels 3 3 3 62" xfId="29681" xr:uid="{6E648F44-112A-43AF-A4EB-0F8885896E77}"/>
    <cellStyle name="5x indented GHG Textfiels 3 3 3 63" xfId="30089" xr:uid="{DA0186E7-FE20-4C6B-8610-E5C6835EC92D}"/>
    <cellStyle name="5x indented GHG Textfiels 3 3 3 64" xfId="30503" xr:uid="{544AF881-7811-4E5D-81B1-14B3D400D464}"/>
    <cellStyle name="5x indented GHG Textfiels 3 3 3 65" xfId="30850" xr:uid="{3559C591-664C-4540-AFB1-9ECAA1732E82}"/>
    <cellStyle name="5x indented GHG Textfiels 3 3 3 66" xfId="31127" xr:uid="{A3535B53-C280-4429-A6CA-56DCABF340DE}"/>
    <cellStyle name="5x indented GHG Textfiels 3 3 3 7" xfId="3429" xr:uid="{FB15E154-6A07-4A75-A49D-C92D25C40660}"/>
    <cellStyle name="5x indented GHG Textfiels 3 3 3 8" xfId="3901" xr:uid="{72827D70-F095-4C84-B10A-5301642154D7}"/>
    <cellStyle name="5x indented GHG Textfiels 3 3 3 9" xfId="4339" xr:uid="{989F1D84-0FC9-426E-A6A6-A99575E4F25F}"/>
    <cellStyle name="5x indented GHG Textfiels 3 3 30" xfId="11654" xr:uid="{DB7D7DB8-F75E-456E-B9CC-78232525F7FF}"/>
    <cellStyle name="5x indented GHG Textfiels 3 3 31" xfId="13952" xr:uid="{EBE33521-DC2A-4568-AEE1-F22F6C85868D}"/>
    <cellStyle name="5x indented GHG Textfiels 3 3 32" xfId="14385" xr:uid="{C2D9E348-6A72-42A3-B98D-1BB893D22B79}"/>
    <cellStyle name="5x indented GHG Textfiels 3 3 33" xfId="11716" xr:uid="{5B987670-1685-4913-B80B-55A73161BBD2}"/>
    <cellStyle name="5x indented GHG Textfiels 3 3 34" xfId="15017" xr:uid="{8A15A157-F5EA-4303-9B25-324A803328A3}"/>
    <cellStyle name="5x indented GHG Textfiels 3 3 35" xfId="15240" xr:uid="{44217B54-2C94-4D5B-A6DB-76038E0D443F}"/>
    <cellStyle name="5x indented GHG Textfiels 3 3 36" xfId="15844" xr:uid="{71BC67FA-10AB-41B6-99ED-8CFA44CF0876}"/>
    <cellStyle name="5x indented GHG Textfiels 3 3 37" xfId="16398" xr:uid="{07CBC603-3B58-4307-B5DA-245F11D2296E}"/>
    <cellStyle name="5x indented GHG Textfiels 3 3 38" xfId="17103" xr:uid="{1D064DE1-0B99-408E-A60C-1E13885FF9BD}"/>
    <cellStyle name="5x indented GHG Textfiels 3 3 39" xfId="17550" xr:uid="{9B61CA15-AF7C-480D-936E-80035A1BD925}"/>
    <cellStyle name="5x indented GHG Textfiels 3 3 4" xfId="667" xr:uid="{B386C1A4-0774-461C-A62D-7C3D63E3F127}"/>
    <cellStyle name="5x indented GHG Textfiels 3 3 4 10" xfId="2156" xr:uid="{3F554605-6206-4C8B-9049-9E70D07AA47C}"/>
    <cellStyle name="5x indented GHG Textfiels 3 3 4 11" xfId="5315" xr:uid="{FB366914-3923-4557-A161-CB0A282B3CD1}"/>
    <cellStyle name="5x indented GHG Textfiels 3 3 4 12" xfId="5858" xr:uid="{067A3707-BDDF-448C-878F-9C4D77CE16BB}"/>
    <cellStyle name="5x indented GHG Textfiels 3 3 4 13" xfId="6089" xr:uid="{20FCCFF3-133B-4138-86C9-8FE9626B9E01}"/>
    <cellStyle name="5x indented GHG Textfiels 3 3 4 14" xfId="6454" xr:uid="{80D46F55-4C62-43BC-A2D9-5C67FF4D5BF8}"/>
    <cellStyle name="5x indented GHG Textfiels 3 3 4 15" xfId="7387" xr:uid="{C760BBBF-399A-466A-9B59-A84C30C25176}"/>
    <cellStyle name="5x indented GHG Textfiels 3 3 4 16" xfId="6977" xr:uid="{AE4310A6-187C-4230-BF1D-FF8438AF5352}"/>
    <cellStyle name="5x indented GHG Textfiels 3 3 4 17" xfId="8224" xr:uid="{D9DE6A78-BDA4-4F91-943C-827DEB9E77B3}"/>
    <cellStyle name="5x indented GHG Textfiels 3 3 4 18" xfId="8887" xr:uid="{85533998-65DA-469C-8352-8CC75355BD46}"/>
    <cellStyle name="5x indented GHG Textfiels 3 3 4 19" xfId="9601" xr:uid="{C45B063D-34D8-454C-B72A-E274C5D77EC0}"/>
    <cellStyle name="5x indented GHG Textfiels 3 3 4 2" xfId="882" xr:uid="{DA61810E-7D56-49A0-8959-DBF88982A3F2}"/>
    <cellStyle name="5x indented GHG Textfiels 3 3 4 2 10" xfId="5530" xr:uid="{C6304CDB-3F7C-4A27-A563-66D04C9DFB89}"/>
    <cellStyle name="5x indented GHG Textfiels 3 3 4 2 11" xfId="6024" xr:uid="{8AC93B26-6585-492A-8214-7D1AC73E27D0}"/>
    <cellStyle name="5x indented GHG Textfiels 3 3 4 2 12" xfId="6383" xr:uid="{EF7BF0AD-1B8A-45B7-9817-69C24E814E19}"/>
    <cellStyle name="5x indented GHG Textfiels 3 3 4 2 13" xfId="6721" xr:uid="{15465809-8293-4428-9E5B-15E82B2C421E}"/>
    <cellStyle name="5x indented GHG Textfiels 3 3 4 2 14" xfId="7602" xr:uid="{7581B5D5-CF0B-41C8-A68E-871EC76D44D5}"/>
    <cellStyle name="5x indented GHG Textfiels 3 3 4 2 15" xfId="8066" xr:uid="{32EABB3F-7C73-44CB-AA93-BA410B51CD44}"/>
    <cellStyle name="5x indented GHG Textfiels 3 3 4 2 16" xfId="8675" xr:uid="{EE795BD9-EFDC-48E6-AF36-BED953337978}"/>
    <cellStyle name="5x indented GHG Textfiels 3 3 4 2 17" xfId="8934" xr:uid="{0B7E3F81-000F-4CA4-BEF3-EEB2A02C5AC8}"/>
    <cellStyle name="5x indented GHG Textfiels 3 3 4 2 18" xfId="9816" xr:uid="{691036E0-6F3B-4A15-8B3A-5FD3AFC8462B}"/>
    <cellStyle name="5x indented GHG Textfiels 3 3 4 2 19" xfId="10285" xr:uid="{718FD8CC-C160-4E2A-BFFA-DF4202865800}"/>
    <cellStyle name="5x indented GHG Textfiels 3 3 4 2 2" xfId="1356" xr:uid="{35093040-1266-4932-8A03-3C62F43F6935}"/>
    <cellStyle name="5x indented GHG Textfiels 3 3 4 2 20" xfId="10679" xr:uid="{1C19E4A1-7D38-4C70-BDD3-6A5B24086E92}"/>
    <cellStyle name="5x indented GHG Textfiels 3 3 4 2 21" xfId="11028" xr:uid="{B8378D14-029E-4D4D-B399-177E4B953DFC}"/>
    <cellStyle name="5x indented GHG Textfiels 3 3 4 2 22" xfId="11338" xr:uid="{30851A9F-B6E0-4647-BAFC-AE028F9F922B}"/>
    <cellStyle name="5x indented GHG Textfiels 3 3 4 2 23" xfId="12235" xr:uid="{653DFC75-DA97-44DC-9DBC-81FD2C8E2AF7}"/>
    <cellStyle name="5x indented GHG Textfiels 3 3 4 2 24" xfId="12708" xr:uid="{4019330A-39A5-41D3-9676-E422A83AF855}"/>
    <cellStyle name="5x indented GHG Textfiels 3 3 4 2 25" xfId="13142" xr:uid="{48C4DE3D-1A01-468B-B633-3685EF8F2223}"/>
    <cellStyle name="5x indented GHG Textfiels 3 3 4 2 26" xfId="13579" xr:uid="{46D3EC34-C19A-4C2F-AD90-03D287B4D94E}"/>
    <cellStyle name="5x indented GHG Textfiels 3 3 4 2 27" xfId="14051" xr:uid="{105A1815-4E55-4692-9380-3C1812306CB8}"/>
    <cellStyle name="5x indented GHG Textfiels 3 3 4 2 28" xfId="14498" xr:uid="{867E9DF4-46D2-41E5-8425-98BB67ADA40E}"/>
    <cellStyle name="5x indented GHG Textfiels 3 3 4 2 29" xfId="14932" xr:uid="{F152370D-891D-46B9-9440-8CB3B7F65805}"/>
    <cellStyle name="5x indented GHG Textfiels 3 3 4 2 3" xfId="1805" xr:uid="{56F07873-F359-430B-A518-C59E81D1BBBF}"/>
    <cellStyle name="5x indented GHG Textfiels 3 3 4 2 30" xfId="15402" xr:uid="{23F382F6-234B-41FB-A33E-32215E329854}"/>
    <cellStyle name="5x indented GHG Textfiels 3 3 4 2 31" xfId="15792" xr:uid="{1FA55AC6-E867-4981-939E-9700F15B91F5}"/>
    <cellStyle name="5x indented GHG Textfiels 3 3 4 2 32" xfId="16014" xr:uid="{09B9DF47-F72E-453F-8488-A23E22F829F2}"/>
    <cellStyle name="5x indented GHG Textfiels 3 3 4 2 33" xfId="16927" xr:uid="{E94C3F54-B4C2-41D6-92B1-01D0302FF7A5}"/>
    <cellStyle name="5x indented GHG Textfiels 3 3 4 2 34" xfId="17408" xr:uid="{2206E05C-7AAA-4990-9E26-5B9C4D294A1A}"/>
    <cellStyle name="5x indented GHG Textfiels 3 3 4 2 35" xfId="17849" xr:uid="{B908E3CD-D455-448A-9072-78B8510095E6}"/>
    <cellStyle name="5x indented GHG Textfiels 3 3 4 2 36" xfId="18324" xr:uid="{FE0DB011-7B70-49CC-8B79-31C604B1FB96}"/>
    <cellStyle name="5x indented GHG Textfiels 3 3 4 2 37" xfId="18745" xr:uid="{18E8D866-DCE4-4EDA-8910-A235231D9821}"/>
    <cellStyle name="5x indented GHG Textfiels 3 3 4 2 38" xfId="19132" xr:uid="{11E89354-28B3-4870-8598-63A36A882E21}"/>
    <cellStyle name="5x indented GHG Textfiels 3 3 4 2 39" xfId="19362" xr:uid="{73BAC417-9336-46F0-9206-D85D2DA11F05}"/>
    <cellStyle name="5x indented GHG Textfiels 3 3 4 2 4" xfId="2704" xr:uid="{EED21217-9F61-4672-9101-D9D61CAA0BD5}"/>
    <cellStyle name="5x indented GHG Textfiels 3 3 4 2 40" xfId="20264" xr:uid="{DD5D8ECB-B1E9-4A46-B538-6B1B1C8795AF}"/>
    <cellStyle name="5x indented GHG Textfiels 3 3 4 2 41" xfId="20757" xr:uid="{9B68EDD6-6172-4B31-BD45-5F01024BD45D}"/>
    <cellStyle name="5x indented GHG Textfiels 3 3 4 2 42" xfId="21216" xr:uid="{FF14B42D-048F-48F2-92F8-7548A13B9D5F}"/>
    <cellStyle name="5x indented GHG Textfiels 3 3 4 2 43" xfId="21708" xr:uid="{4F618F3E-1155-41C6-A721-46323934B9FB}"/>
    <cellStyle name="5x indented GHG Textfiels 3 3 4 2 44" xfId="22147" xr:uid="{977A2166-EE0D-4A9C-AFE3-337F48D85736}"/>
    <cellStyle name="5x indented GHG Textfiels 3 3 4 2 45" xfId="22574" xr:uid="{7A3D6E64-0D82-4321-A4F7-30414DE0E4A7}"/>
    <cellStyle name="5x indented GHG Textfiels 3 3 4 2 46" xfId="23019" xr:uid="{C7C69020-7FDB-437D-938D-1419AEEB3C6D}"/>
    <cellStyle name="5x indented GHG Textfiels 3 3 4 2 47" xfId="23421" xr:uid="{9393640D-A51B-4620-A62C-F6D3349C8E8B}"/>
    <cellStyle name="5x indented GHG Textfiels 3 3 4 2 48" xfId="23684" xr:uid="{3D23857F-0E4A-42D4-861D-5895F1CAD7D0}"/>
    <cellStyle name="5x indented GHG Textfiels 3 3 4 2 49" xfId="24064" xr:uid="{52C88E9E-25D8-49C4-866A-82BC9B10FDF7}"/>
    <cellStyle name="5x indented GHG Textfiels 3 3 4 2 5" xfId="3224" xr:uid="{92C221BD-D582-4DCF-93CC-41D825D1486B}"/>
    <cellStyle name="5x indented GHG Textfiels 3 3 4 2 50" xfId="24972" xr:uid="{A30BC1A5-78E4-41C6-AC7C-DD009C135CB7}"/>
    <cellStyle name="5x indented GHG Textfiels 3 3 4 2 51" xfId="25460" xr:uid="{F0AD0562-541B-4434-A834-360D5E7E5049}"/>
    <cellStyle name="5x indented GHG Textfiels 3 3 4 2 52" xfId="25888" xr:uid="{0BF81203-DA2B-4183-B1DD-AA7CE55F894A}"/>
    <cellStyle name="5x indented GHG Textfiels 3 3 4 2 53" xfId="26326" xr:uid="{16ECD82A-ABFE-4E76-8E2E-5376BCB23756}"/>
    <cellStyle name="5x indented GHG Textfiels 3 3 4 2 54" xfId="26755" xr:uid="{A8F6E1D3-E928-41A9-99FF-0C72B3463B08}"/>
    <cellStyle name="5x indented GHG Textfiels 3 3 4 2 55" xfId="27176" xr:uid="{7D22C8D2-114E-4BF8-8721-D9C1041B4FEC}"/>
    <cellStyle name="5x indented GHG Textfiels 3 3 4 2 56" xfId="27595" xr:uid="{E775B148-74C6-4CDB-9329-CF3C07BAF850}"/>
    <cellStyle name="5x indented GHG Textfiels 3 3 4 2 57" xfId="27833" xr:uid="{048B44A7-4747-4603-8B9F-842A4AEA2B0C}"/>
    <cellStyle name="5x indented GHG Textfiels 3 3 4 2 58" xfId="28722" xr:uid="{B366F4A7-9F2C-401B-AA81-25ACA637CE9D}"/>
    <cellStyle name="5x indented GHG Textfiels 3 3 4 2 59" xfId="29189" xr:uid="{AAE28691-D6F6-4C4F-8683-9EA072861AA6}"/>
    <cellStyle name="5x indented GHG Textfiels 3 3 4 2 6" xfId="3779" xr:uid="{78609E81-0C97-48E6-A4D6-15504873D2D5}"/>
    <cellStyle name="5x indented GHG Textfiels 3 3 4 2 60" xfId="29571" xr:uid="{2F67B600-690A-4156-9FFE-356F907EDF3D}"/>
    <cellStyle name="5x indented GHG Textfiels 3 3 4 2 61" xfId="29978" xr:uid="{212183BF-0290-46EF-B004-C9392D3C02A7}"/>
    <cellStyle name="5x indented GHG Textfiels 3 3 4 2 62" xfId="30384" xr:uid="{446D81FC-FA79-4FDF-9559-2A29D3EFD1E3}"/>
    <cellStyle name="5x indented GHG Textfiels 3 3 4 2 63" xfId="30801" xr:uid="{577AF36B-EFCD-4F87-8898-5AF7E69E48F8}"/>
    <cellStyle name="5x indented GHG Textfiels 3 3 4 2 64" xfId="31046" xr:uid="{E64426C8-08FA-4B5C-BFEA-0129BC91C432}"/>
    <cellStyle name="5x indented GHG Textfiels 3 3 4 2 65" xfId="31417" xr:uid="{736D2191-DD8F-4A81-A103-488C8DB3F9E9}"/>
    <cellStyle name="5x indented GHG Textfiels 3 3 4 2 7" xfId="4200" xr:uid="{7C0A876C-B8BE-40C6-9B54-62E387299F4E}"/>
    <cellStyle name="5x indented GHG Textfiels 3 3 4 2 8" xfId="4637" xr:uid="{87DEF3B5-DE0F-4DAB-8FB6-12362433ACDB}"/>
    <cellStyle name="5x indented GHG Textfiels 3 3 4 2 9" xfId="5083" xr:uid="{6E40ADD0-01F9-4B55-9DF2-AAC2FDB1A702}"/>
    <cellStyle name="5x indented GHG Textfiels 3 3 4 20" xfId="9318" xr:uid="{F3AB6B6A-E754-45D4-8AD1-BD8737D3FF26}"/>
    <cellStyle name="5x indented GHG Textfiels 3 3 4 21" xfId="9882" xr:uid="{05F03000-71BA-42C2-BFD1-0A1A4F9C60B0}"/>
    <cellStyle name="5x indented GHG Textfiels 3 3 4 22" xfId="10804" xr:uid="{EF0464BB-A294-4218-9756-096DBE4CB05C}"/>
    <cellStyle name="5x indented GHG Textfiels 3 3 4 23" xfId="9231" xr:uid="{2147FC53-0C24-4083-8DDA-FE9EDFF3FA8B}"/>
    <cellStyle name="5x indented GHG Textfiels 3 3 4 24" xfId="12020" xr:uid="{773742C5-B6A9-400E-82A1-043990F64ED3}"/>
    <cellStyle name="5x indented GHG Textfiels 3 3 4 25" xfId="12493" xr:uid="{9D4D30DD-62FB-4112-84EC-EA486D65CFA8}"/>
    <cellStyle name="5x indented GHG Textfiels 3 3 4 26" xfId="12927" xr:uid="{F53E3C0E-B10A-4671-9CC6-26720CB905FE}"/>
    <cellStyle name="5x indented GHG Textfiels 3 3 4 27" xfId="13364" xr:uid="{5E611FB2-1691-4915-8073-6B683896E78D}"/>
    <cellStyle name="5x indented GHG Textfiels 3 3 4 28" xfId="13696" xr:uid="{8A9E6F16-676C-4BBB-B196-502E13966350}"/>
    <cellStyle name="5x indented GHG Textfiels 3 3 4 29" xfId="14457" xr:uid="{2C9E0871-F8DA-4C47-9022-779ADC001AC4}"/>
    <cellStyle name="5x indented GHG Textfiels 3 3 4 3" xfId="1150" xr:uid="{1424F3A3-1648-4EC7-9F98-0D0780F35927}"/>
    <cellStyle name="5x indented GHG Textfiels 3 3 4 30" xfId="14083" xr:uid="{9BFED7D7-9F1F-47FE-BA8F-4D73F8CE9340}"/>
    <cellStyle name="5x indented GHG Textfiels 3 3 4 31" xfId="14731" xr:uid="{3166CD1A-65E3-4E6D-B6DF-ACC7C9791B80}"/>
    <cellStyle name="5x indented GHG Textfiels 3 3 4 32" xfId="15265" xr:uid="{5072A528-C2CD-4DC2-8808-E344327B37A6}"/>
    <cellStyle name="5x indented GHG Textfiels 3 3 4 33" xfId="14461" xr:uid="{163670FD-074D-4B05-9488-1C79BA7C8DF8}"/>
    <cellStyle name="5x indented GHG Textfiels 3 3 4 34" xfId="16712" xr:uid="{E5A86CDF-BA73-4BF5-99EC-295F3708A3C7}"/>
    <cellStyle name="5x indented GHG Textfiels 3 3 4 35" xfId="16297" xr:uid="{7F9A0475-98DE-4D73-BD53-586913575C67}"/>
    <cellStyle name="5x indented GHG Textfiels 3 3 4 36" xfId="17098" xr:uid="{E2969434-49CE-439B-89E6-22C4E5B8FDEB}"/>
    <cellStyle name="5x indented GHG Textfiels 3 3 4 37" xfId="17687" xr:uid="{9BC491C9-34AB-41BD-85D6-57FED3E23FCC}"/>
    <cellStyle name="5x indented GHG Textfiels 3 3 4 38" xfId="18530" xr:uid="{619BB78D-879D-4CA8-831D-2A54F7002600}"/>
    <cellStyle name="5x indented GHG Textfiels 3 3 4 39" xfId="18971" xr:uid="{D39B7AB5-4DCF-4EB3-ABCD-D8DE0930CCB2}"/>
    <cellStyle name="5x indented GHG Textfiels 3 3 4 4" xfId="1724" xr:uid="{2C4B83FE-E930-4ED6-92F5-5AE3301A05F8}"/>
    <cellStyle name="5x indented GHG Textfiels 3 3 4 40" xfId="19318" xr:uid="{34B20C3F-EFD4-4602-BED2-2FD7B217E5E3}"/>
    <cellStyle name="5x indented GHG Textfiels 3 3 4 41" xfId="20049" xr:uid="{E63D5D9B-2E7D-40D8-920E-34370C6325BE}"/>
    <cellStyle name="5x indented GHG Textfiels 3 3 4 42" xfId="19627" xr:uid="{9B441F24-613E-48D8-BB19-F528769610F1}"/>
    <cellStyle name="5x indented GHG Textfiels 3 3 4 43" xfId="20323" xr:uid="{FB845029-3644-43BD-B32F-9D8ECF11D71C}"/>
    <cellStyle name="5x indented GHG Textfiels 3 3 4 44" xfId="20347" xr:uid="{F352560C-DEDF-44CD-A69C-3D5237290930}"/>
    <cellStyle name="5x indented GHG Textfiels 3 3 4 45" xfId="20442" xr:uid="{F99D6D95-1D69-4542-8309-A4D458AF928F}"/>
    <cellStyle name="5x indented GHG Textfiels 3 3 4 46" xfId="20627" xr:uid="{4B4DE7EA-5087-4B7E-B583-ABD7DE68C4BD}"/>
    <cellStyle name="5x indented GHG Textfiels 3 3 4 47" xfId="22693" xr:uid="{C6B0F248-A6A6-45AD-8CDA-430AF11E1E03}"/>
    <cellStyle name="5x indented GHG Textfiels 3 3 4 48" xfId="23257" xr:uid="{A00E01A5-3F43-44D8-B66F-6F89F429F62C}"/>
    <cellStyle name="5x indented GHG Textfiels 3 3 4 49" xfId="23140" xr:uid="{C303527E-3079-47E9-A983-B6E9DC7DAD69}"/>
    <cellStyle name="5x indented GHG Textfiels 3 3 4 5" xfId="2489" xr:uid="{D94ACD7E-2F69-44D3-9963-86D347110BC5}"/>
    <cellStyle name="5x indented GHG Textfiels 3 3 4 50" xfId="23858" xr:uid="{7EDB8E01-3090-4A29-AD27-5091590A162A}"/>
    <cellStyle name="5x indented GHG Textfiels 3 3 4 51" xfId="24757" xr:uid="{0D816FB0-7F45-40B1-A0AD-B65B11DA6D28}"/>
    <cellStyle name="5x indented GHG Textfiels 3 3 4 52" xfId="24985" xr:uid="{4E79751E-26CF-41A7-9658-ED0BA5E4423D}"/>
    <cellStyle name="5x indented GHG Textfiels 3 3 4 53" xfId="25675" xr:uid="{7358529E-7677-43F2-B864-F3D6DF3B48BC}"/>
    <cellStyle name="5x indented GHG Textfiels 3 3 4 54" xfId="25998" xr:uid="{AD7527DF-DB00-49BA-8953-603EE6A1E17C}"/>
    <cellStyle name="5x indented GHG Textfiels 3 3 4 55" xfId="24296" xr:uid="{530DB1DE-BA2F-4E13-9CE5-79F1F284578D}"/>
    <cellStyle name="5x indented GHG Textfiels 3 3 4 56" xfId="26965" xr:uid="{E92E953C-F526-42AB-8E0A-BEBF05F39563}"/>
    <cellStyle name="5x indented GHG Textfiels 3 3 4 57" xfId="27384" xr:uid="{1653617D-9F6F-46C0-A6FA-9754CB0F9AAD}"/>
    <cellStyle name="5x indented GHG Textfiels 3 3 4 58" xfId="27774" xr:uid="{7DEA3E0D-1F72-4EEA-88E8-D6F1A4B5B593}"/>
    <cellStyle name="5x indented GHG Textfiels 3 3 4 59" xfId="28507" xr:uid="{3C3B7275-179D-4F29-8D5E-D7EA71E1F6AA}"/>
    <cellStyle name="5x indented GHG Textfiels 3 3 4 6" xfId="2861" xr:uid="{E0AAB7B1-BD83-4BFC-9BAF-8DEE7A5E6B13}"/>
    <cellStyle name="5x indented GHG Textfiels 3 3 4 60" xfId="28975" xr:uid="{0162BDD5-A8A0-40E6-A786-A8A524805C8E}"/>
    <cellStyle name="5x indented GHG Textfiels 3 3 4 61" xfId="28038" xr:uid="{7742F546-C62E-4214-AA83-6F37E741D597}"/>
    <cellStyle name="5x indented GHG Textfiels 3 3 4 62" xfId="29765" xr:uid="{6481CE6F-DFB4-4053-A6E3-6D1B3FF0DB14}"/>
    <cellStyle name="5x indented GHG Textfiels 3 3 4 63" xfId="30173" xr:uid="{591DC928-0FBF-4AA0-857C-75AD1DEB39D3}"/>
    <cellStyle name="5x indented GHG Textfiels 3 3 4 64" xfId="30587" xr:uid="{4B6C0BEA-491D-4E97-9A5B-2537CAD5D2AB}"/>
    <cellStyle name="5x indented GHG Textfiels 3 3 4 65" xfId="30930" xr:uid="{2853DF3F-1177-4722-80E0-6EB3D0F6E65B}"/>
    <cellStyle name="5x indented GHG Textfiels 3 3 4 66" xfId="31211" xr:uid="{BF431F00-B812-4D8C-B4FC-5276CF588BA3}"/>
    <cellStyle name="5x indented GHG Textfiels 3 3 4 7" xfId="3312" xr:uid="{C536E9B9-2548-42F9-8988-EFBF7BE7C656}"/>
    <cellStyle name="5x indented GHG Textfiels 3 3 4 8" xfId="3985" xr:uid="{4F10CA78-A8A4-4F78-8F8B-4172CD2B2BBA}"/>
    <cellStyle name="5x indented GHG Textfiels 3 3 4 9" xfId="4423" xr:uid="{FB736EEE-93E7-4E7E-B6D3-E959E84B17B6}"/>
    <cellStyle name="5x indented GHG Textfiels 3 3 40" xfId="17660" xr:uid="{9FA82520-E94C-4FCC-8796-EB423F2815B4}"/>
    <cellStyle name="5x indented GHG Textfiels 3 3 41" xfId="18218" xr:uid="{5A4D0CCE-68D2-4F6D-A525-9A0DF513F225}"/>
    <cellStyle name="5x indented GHG Textfiels 3 3 42" xfId="17446" xr:uid="{FF567AA6-4A46-400C-8116-87B19C4DD206}"/>
    <cellStyle name="5x indented GHG Textfiels 3 3 43" xfId="19188" xr:uid="{832F8636-CCDD-4203-8265-03A7FB9CEA0B}"/>
    <cellStyle name="5x indented GHG Textfiels 3 3 44" xfId="19733" xr:uid="{7F4D6D90-DF22-4E5A-A7A2-B1334E29ADCE}"/>
    <cellStyle name="5x indented GHG Textfiels 3 3 45" xfId="20456" xr:uid="{DB3E0AAE-335A-4B60-8306-82A018D22BC0}"/>
    <cellStyle name="5x indented GHG Textfiels 3 3 46" xfId="20909" xr:uid="{8D7851C1-03FF-4D18-86A7-C9477CFCC9DF}"/>
    <cellStyle name="5x indented GHG Textfiels 3 3 47" xfId="21290" xr:uid="{1961BD8B-D352-4F23-B1CC-63F150C0B66A}"/>
    <cellStyle name="5x indented GHG Textfiels 3 3 48" xfId="21838" xr:uid="{D3E48E59-115B-4849-ACD4-211EE03A8E3E}"/>
    <cellStyle name="5x indented GHG Textfiels 3 3 49" xfId="22275" xr:uid="{EFD77503-AC5C-4281-BFD3-2195B8BA0954}"/>
    <cellStyle name="5x indented GHG Textfiels 3 3 5" xfId="704" xr:uid="{B336D516-0C59-4D60-BC6C-54FC64EA3937}"/>
    <cellStyle name="5x indented GHG Textfiels 3 3 5 2" xfId="5352" xr:uid="{32D2EAEF-8AC0-481A-9892-91787C65F446}"/>
    <cellStyle name="5x indented GHG Textfiels 3 3 5 3" xfId="17014" xr:uid="{0B163F2D-9BDE-4B0E-8737-D913AB84DF1D}"/>
    <cellStyle name="5x indented GHG Textfiels 3 3 50" xfId="22926" xr:uid="{24A33F96-7EEF-45A6-BDF8-796977436C95}"/>
    <cellStyle name="5x indented GHG Textfiels 3 3 51" xfId="22845" xr:uid="{457EF8FE-61BC-45A2-BFD5-471E92A35DC1}"/>
    <cellStyle name="5x indented GHG Textfiels 3 3 52" xfId="22270" xr:uid="{77695382-57AF-47AB-BC14-BDE15688D900}"/>
    <cellStyle name="5x indented GHG Textfiels 3 3 53" xfId="23515" xr:uid="{A26E6FB7-1EF5-4685-B86B-DA1203EEDEE0}"/>
    <cellStyle name="5x indented GHG Textfiels 3 3 54" xfId="24448" xr:uid="{CC059F25-4848-4E62-8203-3AD0CC483220}"/>
    <cellStyle name="5x indented GHG Textfiels 3 3 55" xfId="25164" xr:uid="{681E68B1-DB96-495B-8A50-96F4A29729E9}"/>
    <cellStyle name="5x indented GHG Textfiels 3 3 56" xfId="24455" xr:uid="{1F592428-8C03-4D7A-9988-50B5BF9815FE}"/>
    <cellStyle name="5x indented GHG Textfiels 3 3 57" xfId="26233" xr:uid="{FCC9BC10-4916-4F0A-A578-D2D6E50CF829}"/>
    <cellStyle name="5x indented GHG Textfiels 3 3 58" xfId="26476" xr:uid="{122EA262-8264-4C56-9022-ABBBD38621B3}"/>
    <cellStyle name="5x indented GHG Textfiels 3 3 59" xfId="26457" xr:uid="{CA56693C-F2B1-46BC-80A6-3A68C6EA7A76}"/>
    <cellStyle name="5x indented GHG Textfiels 3 3 6" xfId="974" xr:uid="{BB1B997E-DADF-469A-9DCE-FFFBF2BA54C1}"/>
    <cellStyle name="5x indented GHG Textfiels 3 3 60" xfId="26343" xr:uid="{C5F4BE00-DE17-4730-92DA-8E33F853539C}"/>
    <cellStyle name="5x indented GHG Textfiels 3 3 61" xfId="27690" xr:uid="{B76AEE12-4CA7-4C96-A166-9C553D37499F}"/>
    <cellStyle name="5x indented GHG Textfiels 3 3 62" xfId="28214" xr:uid="{C08B9CF1-1016-430E-B3F0-57F5927EB613}"/>
    <cellStyle name="5x indented GHG Textfiels 3 3 63" xfId="28130" xr:uid="{1DA9F1DC-E62B-4D87-BA93-EEF511456046}"/>
    <cellStyle name="5x indented GHG Textfiels 3 3 64" xfId="29312" xr:uid="{037CDB87-DC1C-45AF-B9C9-B1E20FA501A3}"/>
    <cellStyle name="5x indented GHG Textfiels 3 3 65" xfId="28164" xr:uid="{F3042EE4-E953-4073-B835-AE36AEE9E5D2}"/>
    <cellStyle name="5x indented GHG Textfiels 3 3 66" xfId="27911" xr:uid="{6F8FAE70-D7B7-4985-8FC6-C4D21521475A}"/>
    <cellStyle name="5x indented GHG Textfiels 3 3 67" xfId="28540" xr:uid="{ACA7CCE5-3210-42A7-B48C-1110DBF78274}"/>
    <cellStyle name="5x indented GHG Textfiels 3 3 68" xfId="28758" xr:uid="{2AF4F8B1-85A8-44BA-A860-32CDD0319A4C}"/>
    <cellStyle name="5x indented GHG Textfiels 3 3 69" xfId="28067" xr:uid="{07D71708-EA72-4C39-8796-CD010AE83557}"/>
    <cellStyle name="5x indented GHG Textfiels 3 3 7" xfId="1758" xr:uid="{42237DF0-05F0-49E1-BF7A-7B9BEA7CC6E8}"/>
    <cellStyle name="5x indented GHG Textfiels 3 3 8" xfId="2172" xr:uid="{8A5A521C-4FE6-4D8B-A83C-01633CF05C1F}"/>
    <cellStyle name="5x indented GHG Textfiels 3 3 9" xfId="3121" xr:uid="{1CDAA912-7AE4-4713-9892-B1D6AFE15244}"/>
    <cellStyle name="5x indented GHG Textfiels_Table 4(II)" xfId="191" xr:uid="{FF0E2976-742B-48E3-8234-3B5986D449B9}"/>
    <cellStyle name="60 % - Akzent1" xfId="52" hidden="1" xr:uid="{B6CB9620-4AFB-4C2E-8B84-B0063CE9CE79}"/>
    <cellStyle name="60 % - Akzent1" xfId="899" hidden="1" xr:uid="{DF6F6970-4D9A-4AFA-B2BC-C4ED0DBBFBF3}"/>
    <cellStyle name="60 % - Akzent1" xfId="990" hidden="1" xr:uid="{8A71DDD6-3E64-4A36-89D9-56D8C41DC6F5}"/>
    <cellStyle name="60 % - Akzent1" xfId="1393" hidden="1" xr:uid="{CE03A2C4-3B52-44C3-B0DB-A5D8371737A8}"/>
    <cellStyle name="60 % - Akzent1" xfId="1713" hidden="1" xr:uid="{1DDB25EF-C7CB-4F00-B240-76048DC992FD}"/>
    <cellStyle name="60 % - Akzent1" xfId="1876" hidden="1" xr:uid="{4B851319-F386-4AFB-B38A-F134D4A9EA96}"/>
    <cellStyle name="60 % - Akzent1" xfId="2322" hidden="1" xr:uid="{46E77C6F-0C7A-4975-9DBB-FA668E0004E8}"/>
    <cellStyle name="60 % - Akzent1" xfId="1979" hidden="1" xr:uid="{801EBC7A-4465-4D01-A83C-DC007B1234A3}"/>
    <cellStyle name="60 % - Akzent1" xfId="2212" hidden="1" xr:uid="{1C4EA149-C7F4-479F-863A-F9CEA130E914}"/>
    <cellStyle name="60 % - Akzent1" xfId="2187" hidden="1" xr:uid="{C2B64F25-921E-40D8-A9EF-623E02271E0F}"/>
    <cellStyle name="60 % - Akzent1" xfId="1820" hidden="1" xr:uid="{0A13B426-E5C0-49DC-A9A1-2C536691017F}"/>
    <cellStyle name="60 % - Akzent1" xfId="3604" hidden="1" xr:uid="{30FC8091-EEEB-465D-91C9-9D9371AF2E8E}"/>
    <cellStyle name="60 % - Akzent1" xfId="1848" hidden="1" xr:uid="{08199006-466D-45AB-92C4-1DA564C23724}"/>
    <cellStyle name="60 % - Akzent1" xfId="3127" hidden="1" xr:uid="{620DD652-0579-4A84-9E74-97460571F5F8}"/>
    <cellStyle name="60 % - Akzent1" xfId="2081" hidden="1" xr:uid="{535E1F0A-4DAB-476B-B1CA-56C9F65E1C78}"/>
    <cellStyle name="60 % - Akzent1" xfId="3078" hidden="1" xr:uid="{254B1A04-765C-46D6-9D55-4518635E2DF6}"/>
    <cellStyle name="60 % - Akzent1" xfId="2957" hidden="1" xr:uid="{3ECF8E58-9362-49D4-B910-2DF7FC673EEB}"/>
    <cellStyle name="60 % - Akzent1" xfId="2040" hidden="1" xr:uid="{9DC9BFBF-CBC1-402A-8751-84814FADCF68}"/>
    <cellStyle name="60 % - Akzent1" xfId="3202" hidden="1" xr:uid="{CEBD98E8-3CDE-4DA3-A5F2-00C87D1E1EE9}"/>
    <cellStyle name="60 % - Akzent1" xfId="3487" hidden="1" xr:uid="{2DCB59FB-F03B-4E78-B9DC-9266295A7A80}"/>
    <cellStyle name="60 % - Akzent1" xfId="4860" hidden="1" xr:uid="{9547794B-263D-405D-A370-BBFA8B2054E8}"/>
    <cellStyle name="60 % - Akzent1" xfId="5861" hidden="1" xr:uid="{6E006497-A4A9-4275-B1D5-65E40E89EBAE}"/>
    <cellStyle name="60 % - Akzent1" xfId="5781" hidden="1" xr:uid="{B42943EE-EC97-4907-B45E-088EBC3C1640}"/>
    <cellStyle name="60 % - Akzent1" xfId="5120" hidden="1" xr:uid="{76E84B61-6D58-49D7-A6F7-63B760C12EC4}"/>
    <cellStyle name="60 % - Akzent1" xfId="5899" hidden="1" xr:uid="{F5DA15CD-B6DE-4C82-8012-C4098EA99583}"/>
    <cellStyle name="60 % - Akzent1" xfId="5709" hidden="1" xr:uid="{02AAEA5A-9D78-4376-A31D-74CFAFBE84CC}"/>
    <cellStyle name="60 % - Akzent1" xfId="6275" hidden="1" xr:uid="{9D14191E-7DF6-496B-92A9-29FEAE588AEB}"/>
    <cellStyle name="60 % - Akzent1" xfId="6219" hidden="1" xr:uid="{6E4D77A4-007B-47F7-8E25-1DA5FE20E6A9}"/>
    <cellStyle name="60 % - Akzent1" xfId="5557" hidden="1" xr:uid="{EEFBA0C2-D3EF-4C53-AC76-25C51D88AE3B}"/>
    <cellStyle name="60 % - Akzent1" xfId="6603" hidden="1" xr:uid="{AEEA5C18-CE2D-4CA6-A8AB-82239AED5EBB}"/>
    <cellStyle name="60 % - Akzent1" xfId="6098" hidden="1" xr:uid="{2EB48668-0D42-4FBB-B20B-BBD283D28D24}"/>
    <cellStyle name="60 % - Akzent1" xfId="6586" hidden="1" xr:uid="{514D1969-6232-452A-82AD-B6278CBA4775}"/>
    <cellStyle name="60 % - Akzent1" xfId="6075" hidden="1" xr:uid="{984F4D39-6568-4855-8131-4D33424752AD}"/>
    <cellStyle name="60 % - Akzent1" xfId="5972" hidden="1" xr:uid="{AE09D339-61D9-4391-A3A9-9590E2F7A0FF}"/>
    <cellStyle name="60 % - Akzent1" xfId="5952" hidden="1" xr:uid="{E5C7AC2F-6A73-49CF-8B59-774A4AEAEDB5}"/>
    <cellStyle name="60 % - Akzent1" xfId="6222" hidden="1" xr:uid="{888B7DAF-1B21-41C0-A34D-CA1FAC3DC6A9}"/>
    <cellStyle name="60 % - Akzent1" xfId="4738" hidden="1" xr:uid="{175518A2-E8A3-47B8-8D29-4081C3ACCDAE}"/>
    <cellStyle name="60 % - Akzent1" xfId="6790" hidden="1" xr:uid="{3F3457CC-14AB-44D5-B180-DB19F0E5842F}"/>
    <cellStyle name="60 % - Akzent1" xfId="7220" hidden="1" xr:uid="{520EB85E-576D-4401-9E8A-26A9ADE876CB}"/>
    <cellStyle name="60 % - Akzent1" xfId="6766" hidden="1" xr:uid="{C5A55ADD-A913-4F54-84C2-92B603FE3F32}"/>
    <cellStyle name="60 % - Akzent1" xfId="7941" hidden="1" xr:uid="{FE977191-B585-4E68-B9A7-5A11ED5C1C2F}"/>
    <cellStyle name="60 % - Akzent1" xfId="6901" hidden="1" xr:uid="{7C504C1A-30C0-4902-850A-BD457437E4AB}"/>
    <cellStyle name="60 % - Akzent1" xfId="8381" hidden="1" xr:uid="{D90F057E-602F-4881-8970-640DE7CB7529}"/>
    <cellStyle name="60 % - Akzent1" xfId="7653" hidden="1" xr:uid="{570A199E-783F-4C34-AFC9-E09D354A1407}"/>
    <cellStyle name="60 % - Akzent1" xfId="7692" hidden="1" xr:uid="{02488099-E93B-423A-A609-384959A5EAA1}"/>
    <cellStyle name="60 % - Akzent1" xfId="8440" hidden="1" xr:uid="{AE313C82-0A21-419A-8DDF-8A75ADB32447}"/>
    <cellStyle name="60 % - Akzent1" xfId="8458" hidden="1" xr:uid="{172A15DD-6826-4F83-AA33-973EE561157E}"/>
    <cellStyle name="60 % - Akzent1" xfId="8476" hidden="1" xr:uid="{23C28C24-D972-42BB-9E9A-F32DED40E448}"/>
    <cellStyle name="60 % - Akzent1" xfId="8497" hidden="1" xr:uid="{B1F879EB-6C3B-4734-BCD2-E25EE8FF06C4}"/>
    <cellStyle name="60 % - Akzent1" xfId="8516" hidden="1" xr:uid="{55BAE333-A196-44AC-A63C-0DC6B6FAC945}"/>
    <cellStyle name="60 % - Akzent1" xfId="8535" hidden="1" xr:uid="{F799E98C-A24D-4961-AA29-8E10297EC182}"/>
    <cellStyle name="60 % - Akzent1" xfId="8553" hidden="1" xr:uid="{631F9F90-367E-4F30-8FA2-551ED6E83AC3}"/>
    <cellStyle name="60 % - Akzent1" xfId="8573" hidden="1" xr:uid="{0728D7EF-FC95-4862-BC56-4ABABC07FCD2}"/>
    <cellStyle name="60 % - Akzent1" xfId="8588" hidden="1" xr:uid="{A9EBD9BF-C84B-4965-A8FC-AF51B654B081}"/>
    <cellStyle name="60 % - Akzent1" xfId="7688" hidden="1" xr:uid="{F3AFDFDA-AB35-4D6C-B858-0DF490FD72C7}"/>
    <cellStyle name="60 % - Akzent1" xfId="7681" hidden="1" xr:uid="{26CD03C8-EBE0-4299-A904-B1370DFF07E0}"/>
    <cellStyle name="60 % - Akzent1" xfId="8469" hidden="1" xr:uid="{B794041D-C915-4B5E-83F6-63D639E80DAD}"/>
    <cellStyle name="60 % - Akzent1" xfId="8448" hidden="1" xr:uid="{C6D370F3-7A7E-4AE0-B4CF-848937E7A28E}"/>
    <cellStyle name="60 % - Akzent1" xfId="8834" hidden="1" xr:uid="{0AE43270-C80D-4AE6-B4C7-8FA3E9CFFF3A}"/>
    <cellStyle name="60 % - Akzent1" xfId="7862" hidden="1" xr:uid="{C65B3E66-EAD6-40CA-89BA-1C37922C07C8}"/>
    <cellStyle name="60 % - Akzent1" xfId="9002" hidden="1" xr:uid="{664FD430-F8F9-4193-A393-66425CBF8F31}"/>
    <cellStyle name="60 % - Akzent1" xfId="9433" hidden="1" xr:uid="{9E960438-D162-43C3-8451-FB55CC2DC6C5}"/>
    <cellStyle name="60 % - Akzent1" xfId="8978" hidden="1" xr:uid="{ADA3380B-0884-4A0E-A670-F8E0944A8858}"/>
    <cellStyle name="60 % - Akzent1" xfId="10154" hidden="1" xr:uid="{2B7F4A67-5E8A-4853-9129-67ADCB201C50}"/>
    <cellStyle name="60 % - Akzent1" xfId="9114" hidden="1" xr:uid="{6DD26F3A-A1C0-4847-BF3E-ADAE87DE6E9F}"/>
    <cellStyle name="60 % - Akzent1" xfId="9981" hidden="1" xr:uid="{E3EE5F08-CFAA-4BCD-8D0D-66E1CA2EDB50}"/>
    <cellStyle name="60 % - Akzent1" xfId="10967" hidden="1" xr:uid="{93D05BC2-469A-4C3E-A91B-086A38ADED0F}"/>
    <cellStyle name="60 % - Akzent1" xfId="10713" hidden="1" xr:uid="{55DE6428-A874-4AF0-A3C1-390E42E8B83F}"/>
    <cellStyle name="60 % - Akzent1" xfId="10380" hidden="1" xr:uid="{93B853FC-EC7C-4FBA-9B29-1839F9584EB9}"/>
    <cellStyle name="60 % - Akzent1" xfId="11115" hidden="1" xr:uid="{F58609CB-1743-46EB-BA81-86B126305C19}"/>
    <cellStyle name="60 % - Akzent1" xfId="10979" hidden="1" xr:uid="{144C520E-0613-449D-BD84-E690A8FF7F42}"/>
    <cellStyle name="60 % - Akzent1" xfId="10408" hidden="1" xr:uid="{E0BA8BBD-220C-42FC-B8F4-00281169BC24}"/>
    <cellStyle name="60 % - Akzent1" xfId="11098" hidden="1" xr:uid="{5CB014CB-8E77-466D-A237-7A54BF417736}"/>
    <cellStyle name="60 % - Akzent1" xfId="10420" hidden="1" xr:uid="{F279E227-F45C-4DFA-A338-224D0F914574}"/>
    <cellStyle name="60 % - Akzent1" xfId="10957" hidden="1" xr:uid="{AC573F7A-99BE-4798-89E1-CFB311C06250}"/>
    <cellStyle name="60 % - Akzent1" xfId="11408" hidden="1" xr:uid="{DB43F82F-5124-4C35-9F3C-D2FF6D6E7F2E}"/>
    <cellStyle name="60 % - Akzent1" xfId="11851" hidden="1" xr:uid="{6356F4A6-7D20-49B1-92AF-6BB038E055BB}"/>
    <cellStyle name="60 % - Akzent1" xfId="12331" hidden="1" xr:uid="{D413E2A6-2B9C-42FC-BEB6-A37A407CA293}"/>
    <cellStyle name="60 % - Akzent1" xfId="11831" hidden="1" xr:uid="{569FB12D-D258-45A5-BF6D-E478971D603C}"/>
    <cellStyle name="60 % - Akzent1" xfId="11711" hidden="1" xr:uid="{9E52D329-DF6D-4561-B4AD-15C49B94DE92}"/>
    <cellStyle name="60 % - Akzent1" xfId="11503" hidden="1" xr:uid="{00CD3C8E-9B16-413D-AA30-519CE9C5EB5F}"/>
    <cellStyle name="60 % - Akzent1" xfId="11462" hidden="1" xr:uid="{AA121DB8-5ECF-4D88-BBD4-673626C978F5}"/>
    <cellStyle name="60 % - Akzent1" xfId="11722" hidden="1" xr:uid="{0E56BC67-DD11-4164-9EFF-E6C02EAC60B2}"/>
    <cellStyle name="60 % - Akzent1" xfId="13899" hidden="1" xr:uid="{8152841B-D615-4E98-9E9E-A7C742BEFA9A}"/>
    <cellStyle name="60 % - Akzent1" xfId="13895" hidden="1" xr:uid="{B2EE88D0-F78B-4AB8-A911-5A57F454932C}"/>
    <cellStyle name="60 % - Akzent1" xfId="14826" hidden="1" xr:uid="{FDD03F35-80AE-4B19-9183-A628B8AA4022}"/>
    <cellStyle name="60 % - Akzent1" xfId="13663" hidden="1" xr:uid="{1037E97E-AAD8-44D4-ADDE-103787B1231C}"/>
    <cellStyle name="60 % - Akzent1" xfId="15242" hidden="1" xr:uid="{AAA3DCDB-FF73-42D6-BA27-719A5A4BE72F}"/>
    <cellStyle name="60 % - Akzent1" xfId="15123" hidden="1" xr:uid="{9D265F5D-B20F-4EF3-8654-6872B08D11B9}"/>
    <cellStyle name="60 % - Akzent1" xfId="15341" hidden="1" xr:uid="{D48FB397-C705-4D14-8CFD-F2CC030D161E}"/>
    <cellStyle name="60 % - Akzent1" xfId="14910" hidden="1" xr:uid="{1AC44D43-45BC-460B-A91A-16D995F3AF78}"/>
    <cellStyle name="60 % - Akzent1" xfId="15046" hidden="1" xr:uid="{645F05CB-E8D2-4BB6-B063-35D24DB7F321}"/>
    <cellStyle name="60 % - Akzent1" xfId="15654" hidden="1" xr:uid="{AF52F67B-DE96-4043-94CB-A996820EAF55}"/>
    <cellStyle name="60 % - Akzent1" xfId="15593" hidden="1" xr:uid="{038B3FD4-D12B-4B64-8E60-A02D972A0A01}"/>
    <cellStyle name="60 % - Akzent1" xfId="15510" hidden="1" xr:uid="{33ADD818-BF0B-4A64-8169-CC04E9546699}"/>
    <cellStyle name="60 % - Akzent1" xfId="14189" hidden="1" xr:uid="{870B013C-32F0-41EC-BD7C-ADE9E6330EBB}"/>
    <cellStyle name="60 % - Akzent1" xfId="15386" hidden="1" xr:uid="{D768F04C-37AB-41E7-9352-7A7C1FDA6F16}"/>
    <cellStyle name="60 % - Akzent1" xfId="15974" hidden="1" xr:uid="{492F32E3-D641-48B7-A1F7-EEEA67705CEB}"/>
    <cellStyle name="60 % - Akzent1" xfId="15934" hidden="1" xr:uid="{BEC33C42-2AB3-453A-A054-69FAA169CF2F}"/>
    <cellStyle name="60 % - Akzent1" xfId="16035" hidden="1" xr:uid="{89348026-5CED-4D8E-9D12-720B4BDC6525}"/>
    <cellStyle name="60 % - Akzent1" xfId="16099" hidden="1" xr:uid="{2251B000-7949-4744-B198-12D5461E6BDA}"/>
    <cellStyle name="60 % - Akzent1" xfId="16543" hidden="1" xr:uid="{AA32E9FE-9D45-4D5E-9D5F-357A9386B82B}"/>
    <cellStyle name="60 % - Akzent1" xfId="16075" hidden="1" xr:uid="{D5C8A399-C30E-4282-B3BF-3DA93638F391}"/>
    <cellStyle name="60 % - Akzent1" xfId="17274" hidden="1" xr:uid="{294E45C4-17F7-47E5-B4FF-57A2EA380CED}"/>
    <cellStyle name="60 % - Akzent1" xfId="16218" hidden="1" xr:uid="{D3D92FED-7230-42F0-A9E3-BDDDF17FEFC7}"/>
    <cellStyle name="60 % - Akzent1" xfId="17097" hidden="1" xr:uid="{A8519E3B-6CC6-4C7C-8756-00580C542B58}"/>
    <cellStyle name="60 % - Akzent1" xfId="16937" hidden="1" xr:uid="{B558E139-F6CD-479C-B0C7-89767702941A}"/>
    <cellStyle name="60 % - Akzent1" xfId="17024" hidden="1" xr:uid="{23E1DE7C-CD46-43C2-821E-6C49FE27B7EE}"/>
    <cellStyle name="60 % - Akzent1" xfId="18232" hidden="1" xr:uid="{6F3AC9EE-5872-403A-BE07-0CD40CE9B1E1}"/>
    <cellStyle name="60 % - Akzent1" xfId="18252" hidden="1" xr:uid="{4B7B6B68-A065-43BE-A53A-15B4A5239418}"/>
    <cellStyle name="60 % - Akzent1" xfId="17610" hidden="1" xr:uid="{1C8EC8C4-63C4-4F31-A7A7-5FEB879DEB13}"/>
    <cellStyle name="60 % - Akzent1" xfId="17349" hidden="1" xr:uid="{31FC8AD1-F5D3-4972-A261-59CE9EF2A362}"/>
    <cellStyle name="60 % - Akzent1" xfId="17993" hidden="1" xr:uid="{49A7CED6-7F17-408D-87E3-69F93DE512A3}"/>
    <cellStyle name="60 % - Akzent1" xfId="16226" hidden="1" xr:uid="{AEAF299F-030A-4686-A4D4-EF11053F2BFC}"/>
    <cellStyle name="60 % - Akzent1" xfId="19075" hidden="1" xr:uid="{B4AF9AE1-8365-4216-B5FA-235C321E58DF}"/>
    <cellStyle name="60 % - Akzent1" xfId="17829" hidden="1" xr:uid="{BD255463-E079-46CF-9717-35A7A567D1DC}"/>
    <cellStyle name="60 % - Akzent1" xfId="17898" hidden="1" xr:uid="{94B24C11-90F0-41EB-9FE4-335759FEA336}"/>
    <cellStyle name="60 % - Akzent1" xfId="17900" hidden="1" xr:uid="{29E4CA89-61BE-4756-8B24-7B175F14035E}"/>
    <cellStyle name="60 % - Akzent1" xfId="19432" hidden="1" xr:uid="{016DE01F-DF87-423E-9D3A-88DA96FC74E1}"/>
    <cellStyle name="60 % - Akzent1" xfId="19880" hidden="1" xr:uid="{21F904EC-E623-42F0-81D9-6AD3B531CB1A}"/>
    <cellStyle name="60 % - Akzent1" xfId="19408" hidden="1" xr:uid="{4DDAC658-2AD9-440C-8114-64A9B867AF82}"/>
    <cellStyle name="60 % - Akzent1" xfId="19543" hidden="1" xr:uid="{3826BEA7-34E4-4C24-B7FD-18B8C02882AF}"/>
    <cellStyle name="60 % - Akzent1" xfId="19671" hidden="1" xr:uid="{106E3EA0-4A37-4405-9BF6-1DC98BC1C150}"/>
    <cellStyle name="60 % - Akzent1" xfId="20386" hidden="1" xr:uid="{ED14A436-A81E-4BE9-ABF0-DF036BE2AEEE}"/>
    <cellStyle name="60 % - Akzent1" xfId="21388" hidden="1" xr:uid="{2FD68D0C-4572-44C5-8DEA-FAA4A7ECB2E2}"/>
    <cellStyle name="60 % - Akzent1" xfId="20451" hidden="1" xr:uid="{DFBC33D4-6413-4944-AD8F-CD8F1B07FB62}"/>
    <cellStyle name="60 % - Akzent1" xfId="21372" hidden="1" xr:uid="{C51F8215-66C0-4CE1-B075-C47B76313286}"/>
    <cellStyle name="60 % - Akzent1" xfId="21642" hidden="1" xr:uid="{D790472E-7810-4B0D-9F68-9A21C65274B7}"/>
    <cellStyle name="60 % - Akzent1" xfId="21357" hidden="1" xr:uid="{D788EA31-7F32-4DD2-BBEB-C99888A16B36}"/>
    <cellStyle name="60 % - Akzent1" xfId="21283" hidden="1" xr:uid="{12041E87-5F6E-419C-9B30-986BA1F06E2D}"/>
    <cellStyle name="60 % - Akzent1" xfId="21270" hidden="1" xr:uid="{2178849E-BE56-4A5E-B217-CA627EF90B67}"/>
    <cellStyle name="60 % - Akzent1" xfId="22076" hidden="1" xr:uid="{66271A2D-2113-4954-A4C8-8754E62A20CE}"/>
    <cellStyle name="60 % - Akzent1" xfId="20908" hidden="1" xr:uid="{77EE5C55-6FF6-41EA-9B66-004B53029F39}"/>
    <cellStyle name="60 % - Akzent1" xfId="22164" hidden="1" xr:uid="{5C784CA2-8131-43B7-8AC7-F384E64124DA}"/>
    <cellStyle name="60 % - Akzent1" xfId="22901" hidden="1" xr:uid="{0BE413DD-4BE1-4EE7-8333-50D7FE016527}"/>
    <cellStyle name="60 % - Akzent1" xfId="22879" hidden="1" xr:uid="{06228558-0454-4717-BB1C-951FC3A9FDC2}"/>
    <cellStyle name="60 % - Akzent1" xfId="22643" hidden="1" xr:uid="{F3106F63-003F-4837-88E2-4FDFA1F1073D}"/>
    <cellStyle name="60 % - Akzent1" xfId="23353" hidden="1" xr:uid="{45460E86-5243-49D3-9695-8614F3DA36D1}"/>
    <cellStyle name="60 % - Akzent1" xfId="23203" hidden="1" xr:uid="{0F1954C3-9591-4CE7-902F-3FEB338606B4}"/>
    <cellStyle name="60 % - Akzent1" xfId="23523" hidden="1" xr:uid="{D9FF2AC3-7E76-419E-B04A-4BDA33726438}"/>
    <cellStyle name="60 % - Akzent1" xfId="23186" hidden="1" xr:uid="{CCFA5DF0-D10E-4058-AC00-8F5134BE9532}"/>
    <cellStyle name="60 % - Akzent1" xfId="23183" hidden="1" xr:uid="{1DA19C18-FB5E-49B3-BF73-C367A962B1DA}"/>
    <cellStyle name="60 % - Akzent1" xfId="23526" hidden="1" xr:uid="{465ED9C7-3D27-4C12-8C00-256BDB61883A}"/>
    <cellStyle name="60 % - Akzent1" xfId="23463" hidden="1" xr:uid="{0228DD1F-3C3B-47AC-A302-27C7812043CF}"/>
    <cellStyle name="60 % - Akzent1" xfId="23503" hidden="1" xr:uid="{90781F48-416F-4580-AF33-0E4A7374197A}"/>
    <cellStyle name="60 % - Akzent1" xfId="24155" hidden="1" xr:uid="{FC796365-A386-418A-AD9A-6ECFA985021D}"/>
    <cellStyle name="60 % - Akzent1" xfId="24579" hidden="1" xr:uid="{445421C6-8999-46E3-AF36-B2453B8BE5F3}"/>
    <cellStyle name="60 % - Akzent1" xfId="25392" hidden="1" xr:uid="{6646D9BD-D3D4-4959-9695-BAAD6A453BBD}"/>
    <cellStyle name="60 % - Akzent1" xfId="25319" hidden="1" xr:uid="{0E726435-4168-4C81-BE21-B74CA748FFE1}"/>
    <cellStyle name="60 % - Akzent1" xfId="25094" hidden="1" xr:uid="{B4E83A85-290D-4276-8A79-0CFA618B36B6}"/>
    <cellStyle name="60 % - Akzent1" xfId="26241" hidden="1" xr:uid="{666981B3-9B37-43C7-BB73-513C9759BF76}"/>
    <cellStyle name="60 % - Akzent1" xfId="24284" hidden="1" xr:uid="{8FC90047-82C9-4A93-A8C1-45DF703A2B80}"/>
    <cellStyle name="60 % - Akzent1" xfId="25107" hidden="1" xr:uid="{0B18A5AE-C47D-4D2C-A806-51CBBCD11434}"/>
    <cellStyle name="60 % - Akzent1" xfId="26609" hidden="1" xr:uid="{8DC3E490-CB6B-484D-B224-34EB92EFEB22}"/>
    <cellStyle name="60 % - Akzent1" xfId="26219" hidden="1" xr:uid="{433122F8-9F24-4DDF-8DA0-C249D9451B51}"/>
    <cellStyle name="60 % - Akzent1" xfId="26667" hidden="1" xr:uid="{FC12BB06-8E42-4579-A193-F8355E4F3A0D}"/>
    <cellStyle name="60 % - Akzent1" xfId="25514" hidden="1" xr:uid="{35EA2127-1022-44B9-BCCB-C8A858F08F30}"/>
    <cellStyle name="60 % - Akzent1" xfId="26361" hidden="1" xr:uid="{2DF49EB8-93AF-4EAE-AEB5-6CDB86FD73FC}"/>
    <cellStyle name="60 % - Akzent1" xfId="25968" hidden="1" xr:uid="{116CBA16-80B1-4E87-B637-C2EFCF371674}"/>
    <cellStyle name="60 % - Akzent1" xfId="26764" hidden="1" xr:uid="{C1A21CB5-C6A4-46E5-B5C0-264D05BBE368}"/>
    <cellStyle name="60 % - Akzent1" xfId="26521" hidden="1" xr:uid="{BA66814F-4D18-43C4-85F6-B494358973A6}"/>
    <cellStyle name="60 % - Akzent1" xfId="27731" hidden="1" xr:uid="{1208CB56-0C2D-4037-BC7E-E366BC83B4AF}"/>
    <cellStyle name="60 % - Akzent1" xfId="26458" hidden="1" xr:uid="{819E403E-BB41-40AF-8D90-6C0768DCF34B}"/>
    <cellStyle name="60 % - Akzent1" xfId="27889" hidden="1" xr:uid="{27B535A3-6E35-4F9F-85B7-E6550ED0509C}"/>
    <cellStyle name="60 % - Akzent1" xfId="27890" hidden="1" xr:uid="{1B41DA1C-7191-4901-A129-0BC73F103263}"/>
    <cellStyle name="60 % - Akzent1" xfId="27946" hidden="1" xr:uid="{C7ADDB0A-A1F1-4C46-A97E-1C8F941A8558}"/>
    <cellStyle name="60 % - Akzent1" xfId="28340" hidden="1" xr:uid="{D4D5F765-E5BA-45DC-BB1E-8F82D6EDB67C}"/>
    <cellStyle name="60 % - Akzent1" xfId="28813" hidden="1" xr:uid="{1569E1C2-8734-4949-B945-E1DEF508B556}"/>
    <cellStyle name="60 % - Akzent1" xfId="28760" hidden="1" xr:uid="{62270638-2F32-4FF9-933F-C7AB5214BBDA}"/>
    <cellStyle name="60 % - Akzent1" xfId="28030" hidden="1" xr:uid="{40E6ECF5-D173-439D-947C-79B2EEA2601E}"/>
    <cellStyle name="60 % - Akzent1" xfId="29605" hidden="1" xr:uid="{CDE08B4B-CD05-443F-A556-BCEC790174A6}"/>
    <cellStyle name="60 % - Akzent1" xfId="29341" hidden="1" xr:uid="{017C8CB3-0A12-4E0C-B390-966BAF56CE2A}"/>
    <cellStyle name="60 % - Akzent1" xfId="29335" hidden="1" xr:uid="{990A3231-0363-4EC5-9CEF-8ECD16FF9943}"/>
    <cellStyle name="60 % - Akzent1" xfId="30994" hidden="1" xr:uid="{7252E1A6-04AC-4414-A4B5-E517F3111678}"/>
    <cellStyle name="60 % - Akzent1" xfId="31013" hidden="1" xr:uid="{2462D0F0-0888-428F-8567-E37A2B8855CE}"/>
    <cellStyle name="60 % - Akzent1 2" xfId="385" xr:uid="{E1E1EC5C-C443-4A67-9C2E-0E426D3CF30E}"/>
    <cellStyle name="60 % - Akzent1 3" xfId="254" xr:uid="{5B730AF1-CE19-4AA3-B7B9-0FA38E1E9908}"/>
    <cellStyle name="60 % - Akzent2" xfId="55" hidden="1" xr:uid="{05E7B000-BFDD-4D0E-82B2-9F83D7D4BC02}"/>
    <cellStyle name="60 % - Akzent2" xfId="902" hidden="1" xr:uid="{213B3F1F-3D6C-485A-9E49-A7E24156AF1D}"/>
    <cellStyle name="60 % - Akzent2" xfId="992" hidden="1" xr:uid="{382E1057-1C73-4BAA-B685-9BEBC9FA07A9}"/>
    <cellStyle name="60 % - Akzent2" xfId="1396" hidden="1" xr:uid="{9D18A6C7-A267-406A-8165-58578E75CC61}"/>
    <cellStyle name="60 % - Akzent2" xfId="1671" hidden="1" xr:uid="{5A511A59-4D7D-4F64-9F90-9FE797DAFD83}"/>
    <cellStyle name="60 % - Akzent2" xfId="1880" hidden="1" xr:uid="{2B406557-1119-4C98-844B-6A0A0E5CE542}"/>
    <cellStyle name="60 % - Akzent2" xfId="2311" hidden="1" xr:uid="{9D9C6D4B-5B7A-4FCD-AE85-66E7BAF503E5}"/>
    <cellStyle name="60 % - Akzent2" xfId="3144" hidden="1" xr:uid="{98C9A6D3-2346-417D-A308-AD75ED062FAB}"/>
    <cellStyle name="60 % - Akzent2" xfId="1970" hidden="1" xr:uid="{A2401E2F-DD26-40C1-A5BD-04EBF224611D}"/>
    <cellStyle name="60 % - Akzent2" xfId="3209" hidden="1" xr:uid="{01F6D9C5-E263-42AB-A419-CBA86D6B147C}"/>
    <cellStyle name="60 % - Akzent2" xfId="3622" hidden="1" xr:uid="{1E37C297-9952-45DF-B204-F3FC87267960}"/>
    <cellStyle name="60 % - Akzent2" xfId="2802" hidden="1" xr:uid="{319C0281-9C7A-434F-A3A8-01FBF466AF98}"/>
    <cellStyle name="60 % - Akzent2" xfId="3246" hidden="1" xr:uid="{724AC8EB-BB54-40E2-A8A1-0E7C8671A882}"/>
    <cellStyle name="60 % - Akzent2" xfId="3338" hidden="1" xr:uid="{17BB588D-98A3-4CAD-BBAF-056589787FA7}"/>
    <cellStyle name="60 % - Akzent2" xfId="2997" hidden="1" xr:uid="{B9B2650D-0F64-482A-986B-A8E7D61C5EAA}"/>
    <cellStyle name="60 % - Akzent2" xfId="1967" hidden="1" xr:uid="{E3874A39-3E68-4AA6-9451-1548EA2546B3}"/>
    <cellStyle name="60 % - Akzent2" xfId="3808" hidden="1" xr:uid="{8092603E-053B-4DCB-BE7F-241FD5BEE7E3}"/>
    <cellStyle name="60 % - Akzent2" xfId="4245" hidden="1" xr:uid="{6748B1BB-4387-4627-8C5A-EF31E03AC991}"/>
    <cellStyle name="60 % - Akzent2" xfId="4819" hidden="1" xr:uid="{1E02E8BA-DB2A-4491-A5DC-E76C7C5C589C}"/>
    <cellStyle name="60 % - Akzent2" xfId="3161" hidden="1" xr:uid="{0E9F0893-B357-4D33-A63A-1F902B272A78}"/>
    <cellStyle name="60 % - Akzent2" xfId="4663" hidden="1" xr:uid="{A2822182-11C0-48DA-BB63-E4471D5504E7}"/>
    <cellStyle name="60 % - Akzent2" xfId="5770" hidden="1" xr:uid="{E8557109-AE21-4EDB-B31D-018E3689D0F3}"/>
    <cellStyle name="60 % - Akzent2" xfId="5635" hidden="1" xr:uid="{2182B321-9F10-4813-8E7F-8185BB6425DA}"/>
    <cellStyle name="60 % - Akzent2" xfId="5745" hidden="1" xr:uid="{DA7E8AC1-67F7-458A-9922-B2F95DD1218E}"/>
    <cellStyle name="60 % - Akzent2" xfId="5885" hidden="1" xr:uid="{F0171583-012F-4761-8085-3C1321CB115B}"/>
    <cellStyle name="60 % - Akzent2" xfId="5957" hidden="1" xr:uid="{AF334542-1478-4453-B08D-E0F07B824D9A}"/>
    <cellStyle name="60 % - Akzent2" xfId="6210" hidden="1" xr:uid="{945673BB-D5A8-4967-831F-C7AA20D9B2F2}"/>
    <cellStyle name="60 % - Akzent2" xfId="6082" hidden="1" xr:uid="{78927967-4E82-4402-8377-9024324986F6}"/>
    <cellStyle name="60 % - Akzent2" xfId="3141" hidden="1" xr:uid="{CFD54CB7-9D6B-457C-AEB3-9304A6138677}"/>
    <cellStyle name="60 % - Akzent2" xfId="6578" hidden="1" xr:uid="{64FC83A8-4B92-4942-B28F-DA94FDD6069D}"/>
    <cellStyle name="60 % - Akzent2" xfId="6524" hidden="1" xr:uid="{73486FDE-B6AE-4BFC-906B-B2C2B2CC13DB}"/>
    <cellStyle name="60 % - Akzent2" xfId="6183" hidden="1" xr:uid="{5393AD66-6C8C-4EB5-A286-F356713971EB}"/>
    <cellStyle name="60 % - Akzent2" xfId="6607" hidden="1" xr:uid="{BB1D1EC2-E9FB-44B9-B548-EAA72A6F114C}"/>
    <cellStyle name="60 % - Akzent2" xfId="3467" hidden="1" xr:uid="{19294F85-0742-4374-ABC1-9BA5C43CCF65}"/>
    <cellStyle name="60 % - Akzent2" xfId="6606" hidden="1" xr:uid="{BBF2B8A7-80D6-4753-AA6C-5448375B9CE8}"/>
    <cellStyle name="60 % - Akzent2" xfId="6246" hidden="1" xr:uid="{BFECE17D-7001-4876-82CF-CADC805EE3D0}"/>
    <cellStyle name="60 % - Akzent2" xfId="6485" hidden="1" xr:uid="{F1B02F63-DA58-4DA8-9310-AC42A539F68E}"/>
    <cellStyle name="60 % - Akzent2" xfId="6793" hidden="1" xr:uid="{34FBB2D2-AAFB-48F9-8472-3D74DD36759C}"/>
    <cellStyle name="60 % - Akzent2" xfId="7222" hidden="1" xr:uid="{54C52207-3C21-41F3-BCD6-FCFB9DA16B76}"/>
    <cellStyle name="60 % - Akzent2" xfId="8012" hidden="1" xr:uid="{4BBA7FB2-D05F-4262-9204-8534D84EDE6D}"/>
    <cellStyle name="60 % - Akzent2" xfId="8051" hidden="1" xr:uid="{36251151-4447-46FC-8877-5A5CDFD55EF5}"/>
    <cellStyle name="60 % - Akzent2" xfId="8387" hidden="1" xr:uid="{88F0D5E1-16EC-4D66-80CD-96FA0A29612E}"/>
    <cellStyle name="60 % - Akzent2" xfId="8358" hidden="1" xr:uid="{9264EB7B-2A26-42FD-884B-AABFF0513714}"/>
    <cellStyle name="60 % - Akzent2" xfId="7176" hidden="1" xr:uid="{5A1F88E3-CF02-4DB0-877F-CDF41C262767}"/>
    <cellStyle name="60 % - Akzent2" xfId="8258" hidden="1" xr:uid="{F1D0A46C-4414-49E0-A53C-CFD622A27267}"/>
    <cellStyle name="60 % - Akzent2" xfId="8263" hidden="1" xr:uid="{5206AE0A-DEEE-44A5-9D5A-7E7780C471AF}"/>
    <cellStyle name="60 % - Akzent2" xfId="7874" hidden="1" xr:uid="{FBF166FD-1E61-40F6-AC1D-DE5EE20BCA12}"/>
    <cellStyle name="60 % - Akzent2" xfId="7157" hidden="1" xr:uid="{2A4EFF09-BA8B-4808-AEFD-093640F7535D}"/>
    <cellStyle name="60 % - Akzent2" xfId="6742" hidden="1" xr:uid="{D501405F-BA92-479F-B3C6-815F899800A9}"/>
    <cellStyle name="60 % - Akzent2" xfId="8034" hidden="1" xr:uid="{EDB93A9D-8DFC-494E-ABE5-40002A38C77D}"/>
    <cellStyle name="60 % - Akzent2" xfId="6774" hidden="1" xr:uid="{8E352C33-FFDA-4324-911A-41051E93C4BD}"/>
    <cellStyle name="60 % - Akzent2" xfId="8212" hidden="1" xr:uid="{B9F485FC-D037-42DF-B672-EA3DCF220D2D}"/>
    <cellStyle name="60 % - Akzent2" xfId="6958" hidden="1" xr:uid="{3C2E5824-4D6A-4BDB-9BC1-739C686C6745}"/>
    <cellStyle name="60 % - Akzent2" xfId="7230" hidden="1" xr:uid="{0250F856-1E4E-4BDF-B41C-F964D538F1FA}"/>
    <cellStyle name="60 % - Akzent2" xfId="8413" hidden="1" xr:uid="{7533384E-3398-4CE7-A966-A1A846D4CEBF}"/>
    <cellStyle name="60 % - Akzent2" xfId="7147" hidden="1" xr:uid="{69EF08E0-1927-4D28-8089-E8C1DBD6CD00}"/>
    <cellStyle name="60 % - Akzent2" xfId="8882" hidden="1" xr:uid="{6DD399AB-B709-42A2-A1D3-2A80D0082BAB}"/>
    <cellStyle name="60 % - Akzent2" xfId="7737" hidden="1" xr:uid="{38886F0A-03FD-49E0-8B6E-3C5E19751AAF}"/>
    <cellStyle name="60 % - Akzent2" xfId="8702" hidden="1" xr:uid="{70C22E40-0579-4E24-9CE2-0AD43344C6FB}"/>
    <cellStyle name="60 % - Akzent2" xfId="8111" hidden="1" xr:uid="{080F5F6B-E749-4354-96E0-0111D70909A8}"/>
    <cellStyle name="60 % - Akzent2" xfId="9006" hidden="1" xr:uid="{16A0E97E-CAA6-4797-813E-F0BC21C76FE0}"/>
    <cellStyle name="60 % - Akzent2" xfId="9435" hidden="1" xr:uid="{05B922B7-C6C1-4FCF-B9A0-46B85F32A95A}"/>
    <cellStyle name="60 % - Akzent2" xfId="10230" hidden="1" xr:uid="{5C6B016A-56BE-4949-9C04-22B9D843D1EE}"/>
    <cellStyle name="60 % - Akzent2" xfId="10270" hidden="1" xr:uid="{02187CC8-381D-4F9A-9286-F4986901EFCA}"/>
    <cellStyle name="60 % - Akzent2" xfId="10628" hidden="1" xr:uid="{D7E103D8-1F9B-4D2C-8151-755A10E1CE11}"/>
    <cellStyle name="60 % - Akzent2" xfId="10563" hidden="1" xr:uid="{0EA4C575-4EB7-49E9-88B4-11DDFB0078E3}"/>
    <cellStyle name="60 % - Akzent2" xfId="10955" hidden="1" xr:uid="{3039F245-75CA-4530-8CF0-2F53BEF2A873}"/>
    <cellStyle name="60 % - Akzent2" xfId="9916" hidden="1" xr:uid="{446DAFB1-4860-4A56-8ABF-BCB1CFFE6902}"/>
    <cellStyle name="60 % - Akzent2" xfId="10632" hidden="1" xr:uid="{3AA7143A-0D02-4F03-A7C6-195076562682}"/>
    <cellStyle name="60 % - Akzent2" xfId="11096" hidden="1" xr:uid="{9F664850-4B33-4741-87F3-DF49668C439E}"/>
    <cellStyle name="60 % - Akzent2" xfId="10114" hidden="1" xr:uid="{B8C61638-8B80-4509-90AC-F472760BBB7B}"/>
    <cellStyle name="60 % - Akzent2" xfId="11117" hidden="1" xr:uid="{301B79A5-FDA7-4F8C-97E4-F58DB72CEC80}"/>
    <cellStyle name="60 % - Akzent2" xfId="11076" hidden="1" xr:uid="{BE166AFE-B80F-4D59-8576-E2DD1602D3C1}"/>
    <cellStyle name="60 % - Akzent2" xfId="10766" hidden="1" xr:uid="{1FC7B15C-85CB-4299-B56E-11525423C884}"/>
    <cellStyle name="60 % - Akzent2" xfId="11149" hidden="1" xr:uid="{2E04EE1C-06C6-4FC1-85EB-DA9FB10574B5}"/>
    <cellStyle name="60 % - Akzent2" xfId="11412" hidden="1" xr:uid="{CFD8F94D-BF34-4135-B17C-6DDE3C8845CE}"/>
    <cellStyle name="60 % - Akzent2" xfId="11853" hidden="1" xr:uid="{67B3E1DC-3EE2-4740-AF1E-36EB7EF05B51}"/>
    <cellStyle name="60 % - Akzent2" xfId="11348" hidden="1" xr:uid="{9DE7E8BC-5E16-4E79-B15A-163CE58FA14D}"/>
    <cellStyle name="60 % - Akzent2" xfId="12749" hidden="1" xr:uid="{9136FAF4-4678-43C6-B289-DFA5D33FD23B}"/>
    <cellStyle name="60 % - Akzent2" xfId="12322" hidden="1" xr:uid="{99103551-EAA8-4950-BCF1-50EFC37508A4}"/>
    <cellStyle name="60 % - Akzent2" xfId="13974" hidden="1" xr:uid="{F4E061DE-F28D-4B15-93E3-C0040472D399}"/>
    <cellStyle name="60 % - Akzent2" xfId="11685" hidden="1" xr:uid="{A257C984-D8A7-427A-A959-BF46862A6E67}"/>
    <cellStyle name="60 % - Akzent2" xfId="14036" hidden="1" xr:uid="{8A23D7D1-7E78-495B-AF2E-CB7259CAE9CB}"/>
    <cellStyle name="60 % - Akzent2" xfId="14387" hidden="1" xr:uid="{47033D8E-62A5-49CC-BA15-147CD85678DB}"/>
    <cellStyle name="60 % - Akzent2" xfId="13630" hidden="1" xr:uid="{C1A3BF50-7EF9-41CB-96A7-50BC5AD16FCD}"/>
    <cellStyle name="60 % - Akzent2" xfId="14733" hidden="1" xr:uid="{7415D757-68C6-4DE8-B0EF-1A8963AA46E4}"/>
    <cellStyle name="60 % - Akzent2" xfId="14573" hidden="1" xr:uid="{7BF86B55-B60A-431F-9345-0A8B9BC7A06A}"/>
    <cellStyle name="60 % - Akzent2" xfId="15150" hidden="1" xr:uid="{17B2E022-C42E-43C8-968C-2FBFCBD67290}"/>
    <cellStyle name="60 % - Akzent2" xfId="14427" hidden="1" xr:uid="{F35EFDB0-57C9-49E3-92A8-7B36640657DE}"/>
    <cellStyle name="60 % - Akzent2" xfId="15033" hidden="1" xr:uid="{C8B8D304-F016-41C8-B675-AD635BF06C71}"/>
    <cellStyle name="60 % - Akzent2" xfId="14869" hidden="1" xr:uid="{5A4A45FC-795C-4DD8-95A9-C74C053C3C76}"/>
    <cellStyle name="60 % - Akzent2" xfId="15301" hidden="1" xr:uid="{5B0C0602-0219-4771-8E28-8B1D3581ABAC}"/>
    <cellStyle name="60 % - Akzent2" xfId="15583" hidden="1" xr:uid="{94F1F2C1-6863-4C3B-A651-5D0493797CC3}"/>
    <cellStyle name="60 % - Akzent2" xfId="15457" hidden="1" xr:uid="{529D0C2E-0EC2-49EA-AF07-ACC4187C735D}"/>
    <cellStyle name="60 % - Akzent2" xfId="14243" hidden="1" xr:uid="{CAE10097-2BD5-44B2-8642-43127520A5F6}"/>
    <cellStyle name="60 % - Akzent2" xfId="15157" hidden="1" xr:uid="{B5605CB1-D22C-44BC-BE76-31774AC52EA7}"/>
    <cellStyle name="60 % - Akzent2" xfId="15036" hidden="1" xr:uid="{18D4376E-6D29-42BD-BD9A-CEDE35F070D9}"/>
    <cellStyle name="60 % - Akzent2" xfId="15949" hidden="1" xr:uid="{44E63DFC-6779-4F67-86CD-7FA3C8449CD6}"/>
    <cellStyle name="60 % - Akzent2" xfId="15557" hidden="1" xr:uid="{607F1B49-2DF6-45CA-A7A4-B13265B9ADBB}"/>
    <cellStyle name="60 % - Akzent2" xfId="16033" hidden="1" xr:uid="{4D4E8D08-0F84-4E62-B293-BE1A5847E04A}"/>
    <cellStyle name="60 % - Akzent2" xfId="16103" hidden="1" xr:uid="{4CBEBFD3-F33C-4CD4-BF52-20B09800DB5C}"/>
    <cellStyle name="60 % - Akzent2" xfId="16545" hidden="1" xr:uid="{94FEE391-F04A-403C-8DB8-8D24463D41D4}"/>
    <cellStyle name="60 % - Akzent2" xfId="17351" hidden="1" xr:uid="{23AFB72B-80C8-4C42-83F8-B6898E063584}"/>
    <cellStyle name="60 % - Akzent2" xfId="17393" hidden="1" xr:uid="{6C28BE7F-46B2-4055-9684-342FB65189B7}"/>
    <cellStyle name="60 % - Akzent2" xfId="17793" hidden="1" xr:uid="{5AA5946E-4114-440A-BA92-EAC478E88E6D}"/>
    <cellStyle name="60 % - Akzent2" xfId="17718" hidden="1" xr:uid="{D4BF489E-4DD8-4E66-8FC5-9C6624325517}"/>
    <cellStyle name="60 % - Akzent2" xfId="18212" hidden="1" xr:uid="{4149A7CF-04DE-422D-8D06-922BA2B802A7}"/>
    <cellStyle name="60 % - Akzent2" xfId="17815" hidden="1" xr:uid="{3253FB47-C6D1-4976-A930-97A615040298}"/>
    <cellStyle name="60 % - Akzent2" xfId="17876" hidden="1" xr:uid="{7A69328F-2539-4760-B16F-9A1D40AD8C8C}"/>
    <cellStyle name="60 % - Akzent2" xfId="18191" hidden="1" xr:uid="{006E2AD3-4003-4530-89C9-C195B5BF686E}"/>
    <cellStyle name="60 % - Akzent2" xfId="18245" hidden="1" xr:uid="{33DF9E53-07B6-4269-8720-4A6C05420204}"/>
    <cellStyle name="60 % - Akzent2" xfId="18356" hidden="1" xr:uid="{539B9DB0-786E-40E0-90D5-6CAFF60C3E8D}"/>
    <cellStyle name="60 % - Akzent2" xfId="19058" hidden="1" xr:uid="{265DF755-F4A6-45CA-8558-AD322940FAAE}"/>
    <cellStyle name="60 % - Akzent2" xfId="17602" hidden="1" xr:uid="{7E21A338-1658-4A3C-AEE7-B92EE21F0B31}"/>
    <cellStyle name="60 % - Akzent2" xfId="18780" hidden="1" xr:uid="{FBCB3D01-7390-48A7-A6B0-3A736CCB2030}"/>
    <cellStyle name="60 % - Akzent2" xfId="18567" hidden="1" xr:uid="{A3E776A8-1B09-4DDA-B476-350DC5D3B6A6}"/>
    <cellStyle name="60 % - Akzent2" xfId="19321" hidden="1" xr:uid="{CE4747D9-9786-4E81-8574-2F1B4FDA9F86}"/>
    <cellStyle name="60 % - Akzent2" xfId="18865" hidden="1" xr:uid="{A10A261C-103D-47A7-A952-33C771B001CF}"/>
    <cellStyle name="60 % - Akzent2" xfId="19436" hidden="1" xr:uid="{AF2078E4-1BF2-4A42-A647-3D6273B4DB4A}"/>
    <cellStyle name="60 % - Akzent2" xfId="19882" hidden="1" xr:uid="{85D743AD-E3E1-4337-A61F-13A89F1A19DE}"/>
    <cellStyle name="60 % - Akzent2" xfId="20702" hidden="1" xr:uid="{48E82C4E-1FEA-413A-AC72-6FD9F14D747E}"/>
    <cellStyle name="60 % - Akzent2" xfId="20516" hidden="1" xr:uid="{C3C77428-FF0B-4A5C-901C-2DB0494AE151}"/>
    <cellStyle name="60 % - Akzent2" xfId="21159" hidden="1" xr:uid="{8EAFD901-EAF3-49D7-9047-FC6C53027340}"/>
    <cellStyle name="60 % - Akzent2" xfId="21079" hidden="1" xr:uid="{7116A8E2-6CC5-4FE7-858F-3FBD0DE570AF}"/>
    <cellStyle name="60 % - Akzent2" xfId="21375" hidden="1" xr:uid="{5E9366DC-FA92-4E5F-90DA-590D90F7E0F0}"/>
    <cellStyle name="60 % - Akzent2" xfId="21102" hidden="1" xr:uid="{834A92CB-7FEF-46B3-9E5A-D723CACBA6D7}"/>
    <cellStyle name="60 % - Akzent2" xfId="21241" hidden="1" xr:uid="{C83EA3FE-04B2-41B7-A13C-0F9A8E6C639C}"/>
    <cellStyle name="60 % - Akzent2" xfId="21233" hidden="1" xr:uid="{0A10A4B6-EB6B-471E-A420-741F089C68B6}"/>
    <cellStyle name="60 % - Akzent2" xfId="22090" hidden="1" xr:uid="{5A056662-07D8-4F7F-B6A2-E08894D363CE}"/>
    <cellStyle name="60 % - Akzent2" xfId="22010" hidden="1" xr:uid="{F54C474D-FA06-466C-B650-A1CFB11016C0}"/>
    <cellStyle name="60 % - Akzent2" xfId="22518" hidden="1" xr:uid="{5FC42FB0-A64E-40D5-B6BB-5CDE314427CA}"/>
    <cellStyle name="60 % - Akzent2" xfId="22297" hidden="1" xr:uid="{35E9197D-E359-4C91-BF3D-F4A6B6FACE84}"/>
    <cellStyle name="60 % - Akzent2" xfId="22947" hidden="1" xr:uid="{45A09723-ADCE-49CD-91F9-14CECA4839DA}"/>
    <cellStyle name="60 % - Akzent2" xfId="21814" hidden="1" xr:uid="{834072DE-E68A-4C3A-AE2D-36A1F7CEFA84}"/>
    <cellStyle name="60 % - Akzent2" xfId="22796" hidden="1" xr:uid="{C370800E-A597-4973-8DAC-8E47A0A05E87}"/>
    <cellStyle name="60 % - Akzent2" xfId="23335" hidden="1" xr:uid="{57B71A48-5BA0-4A3B-8C5A-CFD4DA05A790}"/>
    <cellStyle name="60 % - Akzent2" xfId="22725" hidden="1" xr:uid="{A38DEA99-8FC1-4244-923A-294E8D397300}"/>
    <cellStyle name="60 % - Akzent2" xfId="23051" hidden="1" xr:uid="{F6B3600E-94C2-40C9-9BEB-6AF0AEADF903}"/>
    <cellStyle name="60 % - Akzent2" xfId="22679" hidden="1" xr:uid="{C5F429B1-C17B-4A57-9F77-6EC8C2A82A01}"/>
    <cellStyle name="60 % - Akzent2" xfId="23514" hidden="1" xr:uid="{39409099-F481-40EF-8971-F19563113715}"/>
    <cellStyle name="60 % - Akzent2" xfId="22707" hidden="1" xr:uid="{6F67CC14-FEB6-4767-9904-133BBE0A39D6}"/>
    <cellStyle name="60 % - Akzent2" xfId="22987" hidden="1" xr:uid="{CB69BE26-1E77-445F-B09E-5E594F14AACD}"/>
    <cellStyle name="60 % - Akzent2" xfId="23694" hidden="1" xr:uid="{2D28AB3F-0BA6-4E34-98AC-37E81A56B362}"/>
    <cellStyle name="60 % - Akzent2" xfId="24096" hidden="1" xr:uid="{A3442BEC-9D9A-459F-9DAA-F419AA518272}"/>
    <cellStyle name="60 % - Akzent2" xfId="22692" hidden="1" xr:uid="{D05CE1A1-BF03-4854-A0A3-8E8555525F4B}"/>
    <cellStyle name="60 % - Akzent2" xfId="24158" hidden="1" xr:uid="{52F45FC6-B7C2-41AD-BB00-748B9ADE6544}"/>
    <cellStyle name="60 % - Akzent2" xfId="24434" hidden="1" xr:uid="{670FE55A-A018-4721-8F69-AA41DC89B6FC}"/>
    <cellStyle name="60 % - Akzent2" xfId="25351" hidden="1" xr:uid="{8E2AA394-9F6E-4F71-8817-987D1F8C1442}"/>
    <cellStyle name="60 % - Akzent2" xfId="24216" hidden="1" xr:uid="{307012D6-F713-40D1-AA3E-F3ADBE936825}"/>
    <cellStyle name="60 % - Akzent2" xfId="24534" hidden="1" xr:uid="{FF0B359E-8384-4024-80C9-076EE6F94627}"/>
    <cellStyle name="60 % - Akzent2" xfId="26203" hidden="1" xr:uid="{0B2C492F-7226-4110-8785-4695FF80DF65}"/>
    <cellStyle name="60 % - Akzent2" xfId="26124" hidden="1" xr:uid="{3BBE3E04-ED3D-434E-99F8-89913BD69283}"/>
    <cellStyle name="60 % - Akzent2" xfId="25040" hidden="1" xr:uid="{676311F6-4535-4C0A-AD45-82FBE8B83D90}"/>
    <cellStyle name="60 % - Akzent2" xfId="26530" hidden="1" xr:uid="{6AAC6516-B684-4C8B-93A7-6DB9761B509E}"/>
    <cellStyle name="60 % - Akzent2" xfId="25412" hidden="1" xr:uid="{3058B474-FE13-4329-B2B4-6FA82E5CDCA7}"/>
    <cellStyle name="60 % - Akzent2" xfId="26016" hidden="1" xr:uid="{F87DCD39-2865-4EC1-B4AF-017DCEC5CC8F}"/>
    <cellStyle name="60 % - Akzent2" xfId="26630" hidden="1" xr:uid="{87C9B57F-8472-4459-A5D1-ED2377F27803}"/>
    <cellStyle name="60 % - Akzent2" xfId="26359" hidden="1" xr:uid="{5A8E5E14-0E17-40D8-B11A-13B5082E8514}"/>
    <cellStyle name="60 % - Akzent2" xfId="26639" hidden="1" xr:uid="{0297D5BF-382A-44C7-90AE-9E68CB99BE3D}"/>
    <cellStyle name="60 % - Akzent2" xfId="27798" hidden="1" xr:uid="{17492518-2659-4922-BCA4-9E0F0F32F82D}"/>
    <cellStyle name="60 % - Akzent2" xfId="27606" hidden="1" xr:uid="{A32F33B8-4906-4099-9E7B-B9A3AAF181D9}"/>
    <cellStyle name="60 % - Akzent2" xfId="27887" hidden="1" xr:uid="{29830441-8386-43CA-AE17-5F0C7955FCBF}"/>
    <cellStyle name="60 % - Akzent2" xfId="24476" hidden="1" xr:uid="{C8ACFBF2-637E-4E4C-AB21-3D45BBD4A46C}"/>
    <cellStyle name="60 % - Akzent2" xfId="27846" hidden="1" xr:uid="{83C0FC33-5D1F-4E20-B37C-0965ABD3014A}"/>
    <cellStyle name="60 % - Akzent2" xfId="27884" hidden="1" xr:uid="{0150EF8F-B7F9-49A7-8EBC-03DBBE6BC41E}"/>
    <cellStyle name="60 % - Akzent2" xfId="27950" hidden="1" xr:uid="{4231563D-A6ED-4D3E-974F-2FE35634038E}"/>
    <cellStyle name="60 % - Akzent2" xfId="28342" hidden="1" xr:uid="{45EDBA72-604B-483B-BCEE-AF99B2F7CDA9}"/>
    <cellStyle name="60 % - Akzent2" xfId="27892" hidden="1" xr:uid="{01D7C012-00D5-4825-A94D-023450FE09D8}"/>
    <cellStyle name="60 % - Akzent2" xfId="29520" hidden="1" xr:uid="{71C5C9BB-BCF9-4B3C-B1E9-25FDF4C408BB}"/>
    <cellStyle name="60 % - Akzent2" xfId="29452" hidden="1" xr:uid="{B9DCFEB0-BDC6-4D98-9CC0-01C74D08828C}"/>
    <cellStyle name="60 % - Akzent2" xfId="29386" hidden="1" xr:uid="{03793516-E629-4838-A996-3EC746C79BAE}"/>
    <cellStyle name="60 % - Akzent2" xfId="28321" hidden="1" xr:uid="{FC8ED53D-9738-4C34-AC8E-FF3278CFDDD2}"/>
    <cellStyle name="60 % - Akzent2" xfId="30414" hidden="1" xr:uid="{D740746F-0603-4FB4-A00B-D5202026B1C1}"/>
    <cellStyle name="60 % - Akzent2" xfId="30969" hidden="1" xr:uid="{AAB07768-43DF-4A00-A235-0A3EB0C6BDAA}"/>
    <cellStyle name="60 % - Akzent2" xfId="28151" hidden="1" xr:uid="{A45DBD12-F3E9-408B-9EFE-F6893208FEC4}"/>
    <cellStyle name="60 % - Akzent2 2" xfId="386" xr:uid="{4CCE6D14-8135-49D8-A898-65A732D4E1B2}"/>
    <cellStyle name="60 % - Akzent2 3" xfId="255" xr:uid="{97B01030-04C7-4ECA-B5E0-A78E17A14BB0}"/>
    <cellStyle name="60 % - Akzent3" xfId="58" hidden="1" xr:uid="{A1CE8FCF-82DF-4F52-B232-EE6D57F519A0}"/>
    <cellStyle name="60 % - Akzent3" xfId="905" hidden="1" xr:uid="{4A0B4046-2B63-4746-B9AB-829A5DDB01E6}"/>
    <cellStyle name="60 % - Akzent3" xfId="985" hidden="1" xr:uid="{A3320FE8-05B5-49C0-8D63-617F7192B355}"/>
    <cellStyle name="60 % - Akzent3" xfId="1399" hidden="1" xr:uid="{6B9F1B52-3BBE-423B-A3F1-E0827B247F4D}"/>
    <cellStyle name="60 % - Akzent3" xfId="1624" hidden="1" xr:uid="{3B695693-98D3-48C8-8790-1B5D1F24D74A}"/>
    <cellStyle name="60 % - Akzent3" xfId="1884" hidden="1" xr:uid="{EEFE1A34-3D56-4D97-8373-77B67380FEE9}"/>
    <cellStyle name="60 % - Akzent3" xfId="2159" hidden="1" xr:uid="{3DDF464B-3311-4DC7-B8E7-82B72DC53CAF}"/>
    <cellStyle name="60 % - Akzent3" xfId="3131" hidden="1" xr:uid="{EC69E1E1-1013-47BA-8F51-0C5A3D77417E}"/>
    <cellStyle name="60 % - Akzent3" xfId="2208" hidden="1" xr:uid="{03D4B3EC-EF4E-45CF-8ADF-835A1849FD9B}"/>
    <cellStyle name="60 % - Akzent3" xfId="3150" hidden="1" xr:uid="{0FE07794-68FF-4328-91B6-B11BA0777D7A}"/>
    <cellStyle name="60 % - Akzent3" xfId="3609" hidden="1" xr:uid="{65873C74-B480-42A0-97F6-26BF5E5F0781}"/>
    <cellStyle name="60 % - Akzent3" xfId="2857" hidden="1" xr:uid="{B47344BB-4871-4D0F-A4E1-7BA1DB7FF07C}"/>
    <cellStyle name="60 % - Akzent3" xfId="3016" hidden="1" xr:uid="{BAB3362A-7B90-44C8-A875-BD728804DD26}"/>
    <cellStyle name="60 % - Akzent3" xfId="1908" hidden="1" xr:uid="{A61474E6-8F28-4825-AEC4-414A41B1ED09}"/>
    <cellStyle name="60 % - Akzent3" xfId="2883" hidden="1" xr:uid="{91965319-B4F6-4627-B3C7-8006467FCD38}"/>
    <cellStyle name="60 % - Akzent3" xfId="2862" hidden="1" xr:uid="{F79C6D51-AD80-4C42-B3FF-33719CF180E6}"/>
    <cellStyle name="60 % - Akzent3" xfId="3820" hidden="1" xr:uid="{A9A37CFD-971C-4AFD-AFE5-95246AF69462}"/>
    <cellStyle name="60 % - Akzent3" xfId="4258" hidden="1" xr:uid="{C00E9DD9-9420-4171-B6CC-9BE42D0074EB}"/>
    <cellStyle name="60 % - Akzent3" xfId="4863" hidden="1" xr:uid="{6281DEB6-B485-40E0-B84B-E7D7515601F9}"/>
    <cellStyle name="60 % - Akzent3" xfId="5023" hidden="1" xr:uid="{1EF6F18A-F143-4F89-8472-321A8A26FF96}"/>
    <cellStyle name="60 % - Akzent3" xfId="3681" hidden="1" xr:uid="{3A54681B-D306-4E09-AA6D-CBAA6903241A}"/>
    <cellStyle name="60 % - Akzent3" xfId="5685" hidden="1" xr:uid="{032FEBEC-2C58-4ECA-B214-B4E7A36E4C52}"/>
    <cellStyle name="60 % - Akzent3" xfId="5870" hidden="1" xr:uid="{CAB62ED6-D890-4631-8449-76A8D7481065}"/>
    <cellStyle name="60 % - Akzent3" xfId="5122" hidden="1" xr:uid="{E32413D0-A75D-4C23-9F20-96D3FA3EEA4A}"/>
    <cellStyle name="60 % - Akzent3" xfId="4692" hidden="1" xr:uid="{4A955532-09B8-4318-864B-B979CCA6F121}"/>
    <cellStyle name="60 % - Akzent3" xfId="5924" hidden="1" xr:uid="{DCDA3119-C8F7-4365-A30D-E9ECEADB1F5A}"/>
    <cellStyle name="60 % - Akzent3" xfId="6130" hidden="1" xr:uid="{B0EEFD65-5D5E-486D-9AE7-0679F63BAE11}"/>
    <cellStyle name="60 % - Akzent3" xfId="6284" hidden="1" xr:uid="{CF710227-84DB-4E12-A7FC-F206449107E1}"/>
    <cellStyle name="60 % - Akzent3" xfId="6201" hidden="1" xr:uid="{53BE0F70-DE8F-4EC6-A28B-4C2D6FA34310}"/>
    <cellStyle name="60 % - Akzent3" xfId="6519" hidden="1" xr:uid="{B85696E5-5F54-42FA-99A0-807CE3B7AF66}"/>
    <cellStyle name="60 % - Akzent3" xfId="6429" hidden="1" xr:uid="{C0EE95AC-693D-4575-869F-055262D3584D}"/>
    <cellStyle name="60 % - Akzent3" xfId="6507" hidden="1" xr:uid="{9BEA90E9-D559-4777-8C39-B4F8F83ECEB4}"/>
    <cellStyle name="60 % - Akzent3" xfId="6471" hidden="1" xr:uid="{79306052-C07A-4DD3-B8FC-C89696AB46EF}"/>
    <cellStyle name="60 % - Akzent3" xfId="6575" hidden="1" xr:uid="{6B0F067D-0BD1-45B9-8634-81BE83E2CC75}"/>
    <cellStyle name="60 % - Akzent3" xfId="6326" hidden="1" xr:uid="{2330B5AD-F8AB-4216-86D7-B9130D794049}"/>
    <cellStyle name="60 % - Akzent3" xfId="6254" hidden="1" xr:uid="{22C1B657-3242-4F86-8E44-68D6582284D1}"/>
    <cellStyle name="60 % - Akzent3" xfId="6495" hidden="1" xr:uid="{5C607279-8457-4599-800E-E21FC31EC419}"/>
    <cellStyle name="60 % - Akzent3" xfId="6796" hidden="1" xr:uid="{F7A7651B-36D7-4EB7-A4E3-3A6BE0E943DF}"/>
    <cellStyle name="60 % - Akzent3" xfId="7212" hidden="1" xr:uid="{C8AE3430-712D-42F3-8B39-C7C1C0B64766}"/>
    <cellStyle name="60 % - Akzent3" xfId="8000" hidden="1" xr:uid="{C3D52A91-4D9B-4F16-AF07-13CAD9534B95}"/>
    <cellStyle name="60 % - Akzent3" xfId="7010" hidden="1" xr:uid="{74A93D51-600F-45EE-AAFD-E3F3A1C93F5C}"/>
    <cellStyle name="60 % - Akzent3" xfId="8377" hidden="1" xr:uid="{C2A7E8AE-9ADE-4129-840C-EB7DD8C6ED87}"/>
    <cellStyle name="60 % - Akzent3" xfId="7649" hidden="1" xr:uid="{5287DF4A-2B7E-44A8-885E-690AD30041E6}"/>
    <cellStyle name="60 % - Akzent3" xfId="7961" hidden="1" xr:uid="{2CE70C8A-037F-49C3-BE71-31DB2B8A4FFC}"/>
    <cellStyle name="60 % - Akzent3" xfId="8368" hidden="1" xr:uid="{7B00261A-50A8-450D-AD1C-DBAA95FE0D11}"/>
    <cellStyle name="60 % - Akzent3" xfId="8255" hidden="1" xr:uid="{9F85C81D-A051-409C-B01D-466398528EF7}"/>
    <cellStyle name="60 % - Akzent3" xfId="8006" hidden="1" xr:uid="{C4F88AB0-0690-4434-91AD-FE7A830BF95A}"/>
    <cellStyle name="60 % - Akzent3" xfId="8147" hidden="1" xr:uid="{ADA565C5-6378-4313-8005-F2698BA2760B}"/>
    <cellStyle name="60 % - Akzent3" xfId="8239" hidden="1" xr:uid="{ED0A61F7-724B-458C-A860-0D507AA9D2E4}"/>
    <cellStyle name="60 % - Akzent3" xfId="8326" hidden="1" xr:uid="{247E713F-6BCE-43A0-AF9A-9B4B9E53C666}"/>
    <cellStyle name="60 % - Akzent3" xfId="6771" hidden="1" xr:uid="{13F21363-B3E1-49BE-8288-A4786F68DAF4}"/>
    <cellStyle name="60 % - Akzent3" xfId="6797" hidden="1" xr:uid="{ED026260-A003-4160-8636-8BD9C09C7FF4}"/>
    <cellStyle name="60 % - Akzent3" xfId="6904" hidden="1" xr:uid="{52D235EB-D46F-4F14-92D9-C83338AF912E}"/>
    <cellStyle name="60 % - Akzent3" xfId="7724" hidden="1" xr:uid="{ACE72DA4-53EE-4F1B-A88A-C5E664BEB43C}"/>
    <cellStyle name="60 % - Akzent3" xfId="6896" hidden="1" xr:uid="{BACBDCA4-7BE6-4912-9CE7-5FCE97EC9CC4}"/>
    <cellStyle name="60 % - Akzent3" xfId="8097" hidden="1" xr:uid="{74B62D0F-76D5-4067-9F86-C1770A872816}"/>
    <cellStyle name="60 % - Akzent3" xfId="8876" hidden="1" xr:uid="{29AEC922-544E-4E3B-A9C1-32AB56879410}"/>
    <cellStyle name="60 % - Akzent3" xfId="7818" hidden="1" xr:uid="{9935FEC9-C99E-43A3-A4F8-C8265B1E63E9}"/>
    <cellStyle name="60 % - Akzent3" xfId="8493" hidden="1" xr:uid="{F19B4324-D23B-465A-8EE6-EE5110BA7FD6}"/>
    <cellStyle name="60 % - Akzent3" xfId="8646" hidden="1" xr:uid="{5A3687D0-2DB3-4D3B-B05F-2A7B026D5D65}"/>
    <cellStyle name="60 % - Akzent3" xfId="9010" hidden="1" xr:uid="{8F71F72E-B127-4CF7-9843-D62564432EB7}"/>
    <cellStyle name="60 % - Akzent3" xfId="9426" hidden="1" xr:uid="{6B93C31C-73E7-43F3-8B29-778079D9B761}"/>
    <cellStyle name="60 % - Akzent3" xfId="10217" hidden="1" xr:uid="{C9EF8CF3-B05C-4E2C-866C-8409562F6A4F}"/>
    <cellStyle name="60 % - Akzent3" xfId="9223" hidden="1" xr:uid="{B064C6F7-597D-40CE-82DB-1539EC94CEB3}"/>
    <cellStyle name="60 % - Akzent3" xfId="10619" hidden="1" xr:uid="{C866866F-5C26-418E-B94F-FE6AC9902F88}"/>
    <cellStyle name="60 % - Akzent3" xfId="10664" hidden="1" xr:uid="{F71B95F4-289A-4C17-8F96-326D5336B7D5}"/>
    <cellStyle name="60 % - Akzent3" xfId="10925" hidden="1" xr:uid="{287CB98E-6E37-40C5-BD95-FA9E63AF065D}"/>
    <cellStyle name="60 % - Akzent3" xfId="9388" hidden="1" xr:uid="{E374DB96-ECB1-4ADE-B8C6-1A0936E920B0}"/>
    <cellStyle name="60 % - Akzent3" xfId="11014" hidden="1" xr:uid="{3E01D8FC-A746-45C2-B33B-A4F3EC3A0A08}"/>
    <cellStyle name="60 % - Akzent3" xfId="11247" hidden="1" xr:uid="{38A35592-DEAB-4919-BA48-F6E8F9D65CC2}"/>
    <cellStyle name="60 % - Akzent3" xfId="11164" hidden="1" xr:uid="{4FD89438-4AA9-4376-A0C8-67FCF1F974C8}"/>
    <cellStyle name="60 % - Akzent3" xfId="10798" hidden="1" xr:uid="{C693166C-3F14-4CEA-86AD-8587AACF7D62}"/>
    <cellStyle name="60 % - Akzent3" xfId="10310" hidden="1" xr:uid="{F6D0CB0B-1B7E-473D-9E6F-C60435636C53}"/>
    <cellStyle name="60 % - Akzent3" xfId="11153" hidden="1" xr:uid="{FC0F03A1-978A-4A05-8F0C-09925BF6041B}"/>
    <cellStyle name="60 % - Akzent3" xfId="10752" hidden="1" xr:uid="{844614A8-B0EA-4901-838A-F599FEC910CA}"/>
    <cellStyle name="60 % - Akzent3" xfId="11416" hidden="1" xr:uid="{0D0CF143-F26B-4A8E-87D5-311367CE2FA0}"/>
    <cellStyle name="60 % - Akzent3" xfId="11842" hidden="1" xr:uid="{6682F500-E9E6-43BE-830A-409D445F6695}"/>
    <cellStyle name="60 % - Akzent3" xfId="12330" hidden="1" xr:uid="{C72932E2-EF28-4345-AE8F-9C8F8E375542}"/>
    <cellStyle name="60 % - Akzent3" xfId="12763" hidden="1" xr:uid="{81E15ED5-DD75-49DB-9E84-EBB19CE9CF02}"/>
    <cellStyle name="60 % - Akzent3" xfId="11402" hidden="1" xr:uid="{21B61642-5B29-4DC1-B7B4-36135C0D240A}"/>
    <cellStyle name="60 % - Akzent3" xfId="13962" hidden="1" xr:uid="{1D5CA6C0-B6E6-4E7C-9D03-96EE4815DD23}"/>
    <cellStyle name="60 % - Akzent3" xfId="11540" hidden="1" xr:uid="{AB22EA35-2F09-42B1-9772-BA20749FC54D}"/>
    <cellStyle name="60 % - Akzent3" xfId="13980" hidden="1" xr:uid="{44DB96AC-AD4D-4DC1-8EC0-6AFE93AD37C0}"/>
    <cellStyle name="60 % - Akzent3" xfId="14452" hidden="1" xr:uid="{C4E7402D-AC8D-4F27-98DC-E80C5DE2E4C6}"/>
    <cellStyle name="60 % - Akzent3" xfId="13395" hidden="1" xr:uid="{6F2C3191-C52B-46FC-8475-1495AB17D429}"/>
    <cellStyle name="60 % - Akzent3" xfId="14637" hidden="1" xr:uid="{6D3C8E52-31A7-4196-8062-C875DFFE28F5}"/>
    <cellStyle name="60 % - Akzent3" xfId="14374" hidden="1" xr:uid="{65A159CD-F371-42DE-A69B-046E731525E1}"/>
    <cellStyle name="60 % - Akzent3" xfId="15057" hidden="1" xr:uid="{936A3FEE-BDB4-4932-AC5E-1EE44D5DBBF8}"/>
    <cellStyle name="60 % - Akzent3" xfId="14805" hidden="1" xr:uid="{CA1788E7-B843-4B66-90D6-1BB75A1509DE}"/>
    <cellStyle name="60 % - Akzent3" xfId="14532" hidden="1" xr:uid="{8EC1C76A-E8DE-4D88-A47E-CD2B88C9D057}"/>
    <cellStyle name="60 % - Akzent3" xfId="14358" hidden="1" xr:uid="{0478516A-0E98-49D1-867E-3934DA5B8EE0}"/>
    <cellStyle name="60 % - Akzent3" xfId="15343" hidden="1" xr:uid="{AEE65DC9-DF73-44E1-9555-683901A670A5}"/>
    <cellStyle name="60 % - Akzent3" xfId="15506" hidden="1" xr:uid="{69B28040-EB6C-4762-97AC-9ED35A327822}"/>
    <cellStyle name="60 % - Akzent3" xfId="15662" hidden="1" xr:uid="{9FEB03AC-87FC-48C0-B751-B22A8CF75EED}"/>
    <cellStyle name="60 % - Akzent3" xfId="15675" hidden="1" xr:uid="{DC1E17B0-14AA-44EA-A0C1-1D3D9379CDD2}"/>
    <cellStyle name="60 % - Akzent3" xfId="15448" hidden="1" xr:uid="{60EB2DC6-6F86-49C4-9A41-99B01E935353}"/>
    <cellStyle name="60 % - Akzent3" xfId="15167" hidden="1" xr:uid="{5352E4F6-A4A6-4F61-B5B6-3DDA78C3F375}"/>
    <cellStyle name="60 % - Akzent3" xfId="15896" hidden="1" xr:uid="{6D7821EE-5DFE-4DE1-B099-51D8709FD8FF}"/>
    <cellStyle name="60 % - Akzent3" xfId="15860" hidden="1" xr:uid="{7497F55D-9548-4190-8B6F-4697F3E32E8A}"/>
    <cellStyle name="60 % - Akzent3" xfId="16030" hidden="1" xr:uid="{D05CAD63-261F-4023-8921-B320B7E12FEA}"/>
    <cellStyle name="60 % - Akzent3" xfId="16107" hidden="1" xr:uid="{36B4DAB6-3A5B-4F39-A04D-4C48E0CEE622}"/>
    <cellStyle name="60 % - Akzent3" xfId="16535" hidden="1" xr:uid="{3D508588-A447-45A9-BCE2-3D35F9FDD2F1}"/>
    <cellStyle name="60 % - Akzent3" xfId="17339" hidden="1" xr:uid="{C141EA81-7D9D-4676-9241-2B5072FFE07F}"/>
    <cellStyle name="60 % - Akzent3" xfId="16331" hidden="1" xr:uid="{C7299822-3F3C-443D-867B-4FA785CF9F0A}"/>
    <cellStyle name="60 % - Akzent3" xfId="17782" hidden="1" xr:uid="{38FE9D53-E69E-450A-9F85-8FA472D10B7F}"/>
    <cellStyle name="60 % - Akzent3" xfId="17834" hidden="1" xr:uid="{8A9E3FF8-F0A5-4C7A-A93E-5D3CDFC127C5}"/>
    <cellStyle name="60 % - Akzent3" xfId="18199" hidden="1" xr:uid="{CD9FC7A8-5BA7-4085-8839-DD4579EA62D5}"/>
    <cellStyle name="60 % - Akzent3" xfId="17002" hidden="1" xr:uid="{F1947F0B-03B3-4FFE-B6CB-1B7F4D01D89C}"/>
    <cellStyle name="60 % - Akzent3" xfId="18175" hidden="1" xr:uid="{78D7D665-08DA-4A3C-84B4-588E254FCF51}"/>
    <cellStyle name="60 % - Akzent3" xfId="17672" hidden="1" xr:uid="{3C0F836A-62D7-455A-998B-622321F6B860}"/>
    <cellStyle name="60 % - Akzent3" xfId="17368" hidden="1" xr:uid="{34153850-6C1E-4D05-9437-4C7518E54187}"/>
    <cellStyle name="60 % - Akzent3" xfId="18366" hidden="1" xr:uid="{4CCCCB9C-E9FE-4D0D-B041-3B86F3F44DA5}"/>
    <cellStyle name="60 % - Akzent3" xfId="19046" hidden="1" xr:uid="{BC258AAC-AA81-4ACA-8C08-9CE0DF9BD266}"/>
    <cellStyle name="60 % - Akzent3" xfId="16163" hidden="1" xr:uid="{B4027047-77AE-46B0-861C-088026586F7C}"/>
    <cellStyle name="60 % - Akzent3" xfId="19023" hidden="1" xr:uid="{226467E8-4A5D-4C86-9475-843A810BDFD7}"/>
    <cellStyle name="60 % - Akzent3" xfId="19096" hidden="1" xr:uid="{D9127B52-A9E7-4FB1-923E-C3F4A231FAE6}"/>
    <cellStyle name="60 % - Akzent3" xfId="19317" hidden="1" xr:uid="{CDD864B5-5872-4465-82AF-ED73F2282698}"/>
    <cellStyle name="60 % - Akzent3" xfId="18888" hidden="1" xr:uid="{E7FEECFD-223F-4621-90A8-5ED946164F93}"/>
    <cellStyle name="60 % - Akzent3" xfId="19440" hidden="1" xr:uid="{B0AE5F77-6CE8-41FC-BEBC-E5B238D33754}"/>
    <cellStyle name="60 % - Akzent3" xfId="19871" hidden="1" xr:uid="{7A7CCBCE-8046-43D5-874A-95B674371C02}"/>
    <cellStyle name="60 % - Akzent3" xfId="20690" hidden="1" xr:uid="{D9F6929E-4787-4E80-AC0E-7278AC468571}"/>
    <cellStyle name="60 % - Akzent3" xfId="20282" hidden="1" xr:uid="{2509687C-79BD-418F-99C2-78007762E947}"/>
    <cellStyle name="60 % - Akzent3" xfId="21146" hidden="1" xr:uid="{D3A6CBFB-03C4-441F-A712-35B41A1915D9}"/>
    <cellStyle name="60 % - Akzent3" xfId="21201" hidden="1" xr:uid="{3B9BE6C4-41A1-4F61-9923-E01BA59A5104}"/>
    <cellStyle name="60 % - Akzent3" xfId="21334" hidden="1" xr:uid="{8DC8E5D1-706A-4917-8AC3-A4A899D91A58}"/>
    <cellStyle name="60 % - Akzent3" xfId="19836" hidden="1" xr:uid="{E5FFC563-525A-42CE-9219-6E5C4535F081}"/>
    <cellStyle name="60 % - Akzent3" xfId="20517" hidden="1" xr:uid="{C6527922-2D45-433D-B0A2-18DEAE6CB1A0}"/>
    <cellStyle name="60 % - Akzent3" xfId="21693" hidden="1" xr:uid="{6BD65D00-AF48-417A-9820-8B965E709DBB}"/>
    <cellStyle name="60 % - Akzent3" xfId="22078" hidden="1" xr:uid="{A450BCBF-6302-4E97-94BE-020966688288}"/>
    <cellStyle name="60 % - Akzent3" xfId="22132" hidden="1" xr:uid="{764BBC2F-DF6B-4607-A328-FE218B3E5BAB}"/>
    <cellStyle name="60 % - Akzent3" xfId="22505" hidden="1" xr:uid="{C250EAE0-0261-45F2-83E2-456BF3493C1C}"/>
    <cellStyle name="60 % - Akzent3" xfId="22198" hidden="1" xr:uid="{5702BB6F-54EE-485C-882D-2B74A8313D2C}"/>
    <cellStyle name="60 % - Akzent3" xfId="22935" hidden="1" xr:uid="{D7094028-55C9-4641-81A3-AF347291E12A}"/>
    <cellStyle name="60 % - Akzent3" xfId="21943" hidden="1" xr:uid="{ADEF8245-C3F0-4B9E-895B-C64A21640FFB}"/>
    <cellStyle name="60 % - Akzent3" xfId="22710" hidden="1" xr:uid="{AF3A4D0C-B777-4031-B098-56C85952F8BF}"/>
    <cellStyle name="60 % - Akzent3" xfId="23324" hidden="1" xr:uid="{3AA4DD13-5708-4831-9210-1B1E80A1C6E6}"/>
    <cellStyle name="60 % - Akzent3" xfId="22770" hidden="1" xr:uid="{BAB7418A-348C-4A97-9B0D-644DF357D962}"/>
    <cellStyle name="60 % - Akzent3" xfId="23302" hidden="1" xr:uid="{ADB4DDD6-C703-4376-AF52-B3A4B463BEA6}"/>
    <cellStyle name="60 % - Akzent3" xfId="23407" hidden="1" xr:uid="{204B3238-3853-4965-9E91-B8D9DD39F8B6}"/>
    <cellStyle name="60 % - Akzent3" xfId="23492" hidden="1" xr:uid="{0D87F9CE-DC48-4CA3-9069-31DF032E481C}"/>
    <cellStyle name="60 % - Akzent3" xfId="22320" hidden="1" xr:uid="{917DA053-5D34-4715-B69B-0952AF938EE1}"/>
    <cellStyle name="60 % - Akzent3" xfId="23670" hidden="1" xr:uid="{00F6C8F7-E3AF-4C00-BF06-E7E3FE2F2817}"/>
    <cellStyle name="60 % - Akzent3" xfId="23699" hidden="1" xr:uid="{C8CEF9C0-C144-49C0-9439-D46D8BD4EA9A}"/>
    <cellStyle name="60 % - Akzent3" xfId="24095" hidden="1" xr:uid="{67F7462C-25CF-41A1-981E-5A81A4227914}"/>
    <cellStyle name="60 % - Akzent3" xfId="23521" hidden="1" xr:uid="{565D8856-FBE7-4608-AD1B-1572C5770ED2}"/>
    <cellStyle name="60 % - Akzent3" xfId="24162" hidden="1" xr:uid="{3001BC64-6CF6-4FC8-874F-A5F638B52B43}"/>
    <cellStyle name="60 % - Akzent3" xfId="24412" hidden="1" xr:uid="{2B7B690C-1D97-433A-9AD7-110DD031C370}"/>
    <cellStyle name="60 % - Akzent3" xfId="25259" hidden="1" xr:uid="{2690A1CE-B089-4925-B0BF-69BF41047068}"/>
    <cellStyle name="60 % - Akzent3" xfId="25185" hidden="1" xr:uid="{F894A913-7510-4122-B993-99DB9FC9B096}"/>
    <cellStyle name="60 % - Akzent3" xfId="25513" hidden="1" xr:uid="{B9E6610B-3F19-4CE1-B8A9-1534F71A2CA3}"/>
    <cellStyle name="60 % - Akzent3" xfId="26112" hidden="1" xr:uid="{2B48BE0D-A355-4352-A7D9-025328C93E2E}"/>
    <cellStyle name="60 % - Akzent3" xfId="25967" hidden="1" xr:uid="{1B273E33-F109-4C8B-B56D-9EBA315701B3}"/>
    <cellStyle name="60 % - Akzent3" xfId="25983" hidden="1" xr:uid="{B0FCFFA6-8E13-41C6-A831-F471BC1057FC}"/>
    <cellStyle name="60 % - Akzent3" xfId="26445" hidden="1" xr:uid="{11A3EAA2-AEF9-49B3-815C-B50B5348B542}"/>
    <cellStyle name="60 % - Akzent3" xfId="26009" hidden="1" xr:uid="{33B3690A-7A55-4845-8F7E-DA41149B2B97}"/>
    <cellStyle name="60 % - Akzent3" xfId="25445" hidden="1" xr:uid="{68254F7C-1689-4729-9F2E-CB0AD5C53669}"/>
    <cellStyle name="60 % - Akzent3" xfId="26364" hidden="1" xr:uid="{073FEAC2-FF8B-4F38-B1A4-62E978A0EB53}"/>
    <cellStyle name="60 % - Akzent3" xfId="26533" hidden="1" xr:uid="{43480BE2-85E8-4EAC-8AE6-F41686705950}"/>
    <cellStyle name="60 % - Akzent3" xfId="26407" hidden="1" xr:uid="{46C16601-D195-4A27-9E57-98E588E72BED}"/>
    <cellStyle name="60 % - Akzent3" xfId="27793" hidden="1" xr:uid="{4DA07F05-8BBF-4506-A61D-00D3B4345535}"/>
    <cellStyle name="60 % - Akzent3" xfId="27612" hidden="1" xr:uid="{009F325E-5189-4877-835C-9984D30B898E}"/>
    <cellStyle name="60 % - Akzent3" xfId="27886" hidden="1" xr:uid="{0B027FE0-55F2-41FD-8D53-85774AA0F3C4}"/>
    <cellStyle name="60 % - Akzent3" xfId="26564" hidden="1" xr:uid="{3DC297AE-11EC-4202-84FA-D4E2C389CD66}"/>
    <cellStyle name="60 % - Akzent3" xfId="27882" hidden="1" xr:uid="{0AF713F1-29A6-40AE-87CA-12555E35B529}"/>
    <cellStyle name="60 % - Akzent3" xfId="26426" hidden="1" xr:uid="{EDFEC20D-C759-4B9E-B69F-A8D5CB681EB1}"/>
    <cellStyle name="60 % - Akzent3" xfId="27954" hidden="1" xr:uid="{1F06726B-BB4D-4E72-9794-C3BC8E929477}"/>
    <cellStyle name="60 % - Akzent3" xfId="28332" hidden="1" xr:uid="{CF96DB75-B4B1-416A-80ED-1C079BEF4653}"/>
    <cellStyle name="60 % - Akzent3" xfId="28812" hidden="1" xr:uid="{7185DBDD-F97F-453B-A1D6-3431D894CBAA}"/>
    <cellStyle name="60 % - Akzent3" xfId="29511" hidden="1" xr:uid="{C968AFBE-25D0-49C0-AA1C-D97D41002ACA}"/>
    <cellStyle name="60 % - Akzent3" xfId="29556" hidden="1" xr:uid="{ED83CF56-BB34-4CB8-AAC8-4BE3A2959ADD}"/>
    <cellStyle name="60 % - Akzent3" xfId="29604" hidden="1" xr:uid="{757A9614-91B7-42AF-B5AF-D4D93CAC5D46}"/>
    <cellStyle name="60 % - Akzent3" xfId="30002" hidden="1" xr:uid="{7547AFC1-3F80-4E81-8EA0-CDCBE8F7889B}"/>
    <cellStyle name="60 % - Akzent3" xfId="30424" hidden="1" xr:uid="{1F25E4AA-E6FA-420F-BB25-8CE4AADB49AF}"/>
    <cellStyle name="60 % - Akzent3" xfId="30914" hidden="1" xr:uid="{E2594A65-D369-4B0B-BD2E-7EFF34A05057}"/>
    <cellStyle name="60 % - Akzent3" xfId="28318" hidden="1" xr:uid="{B83F17F0-EF70-411B-BDA3-06694F1ED4A9}"/>
    <cellStyle name="60 % - Akzent3 2" xfId="387" xr:uid="{89DD920A-66EE-47DF-8F70-028B578EC3E6}"/>
    <cellStyle name="60 % - Akzent3 3" xfId="256" xr:uid="{18CE76D5-AA6D-44B4-BC3D-EAE9171D6D64}"/>
    <cellStyle name="60 % - Akzent4" xfId="61" hidden="1" xr:uid="{6F8F5E7B-A634-40BB-8539-327D6EDDCFB8}"/>
    <cellStyle name="60 % - Akzent4" xfId="908" hidden="1" xr:uid="{C3270EDC-7FB1-4737-BCBC-C31CC8EE5553}"/>
    <cellStyle name="60 % - Akzent4" xfId="967" hidden="1" xr:uid="{8610C595-11C7-4F22-B399-C1139A339B9C}"/>
    <cellStyle name="60 % - Akzent4" xfId="1402" hidden="1" xr:uid="{F382879A-AA61-4F68-8CEB-6CF892219BDA}"/>
    <cellStyle name="60 % - Akzent4" xfId="1659" hidden="1" xr:uid="{79B6468F-6702-4123-A045-F72BC36B97C8}"/>
    <cellStyle name="60 % - Akzent4" xfId="1888" hidden="1" xr:uid="{D26E9B8E-3617-40EE-B7FE-DA717C1F5771}"/>
    <cellStyle name="60 % - Akzent4" xfId="2135" hidden="1" xr:uid="{24221F40-912E-4C5E-8583-5345AAB96B9F}"/>
    <cellStyle name="60 % - Akzent4" xfId="3088" hidden="1" xr:uid="{992C71CD-85A8-436D-9188-9221CA67419F}"/>
    <cellStyle name="60 % - Akzent4" xfId="3000" hidden="1" xr:uid="{C8A75674-545D-404A-9829-DD730DCC4BF2}"/>
    <cellStyle name="60 % - Akzent4" xfId="3092" hidden="1" xr:uid="{A0277005-CC7C-4C41-95A7-E04B75D6A991}"/>
    <cellStyle name="60 % - Akzent4" xfId="3566" hidden="1" xr:uid="{ABC161FE-5F2A-41D1-9BB5-BDF0E9A47CC0}"/>
    <cellStyle name="60 % - Akzent4" xfId="3322" hidden="1" xr:uid="{49EFCBE9-CDBF-4AB4-AAF8-B2C485627859}"/>
    <cellStyle name="60 % - Akzent4" xfId="3300" hidden="1" xr:uid="{8AEBC411-B96A-417B-8745-8381237A22C0}"/>
    <cellStyle name="60 % - Akzent4" xfId="2200" hidden="1" xr:uid="{4639A949-49B7-4C1E-AD70-9C7528ADD9ED}"/>
    <cellStyle name="60 % - Akzent4" xfId="2005" hidden="1" xr:uid="{BA493ABA-2D86-4915-A6CB-23072B522113}"/>
    <cellStyle name="60 % - Akzent4" xfId="3650" hidden="1" xr:uid="{EB6B32DF-ABED-4B59-98AF-818538C9671E}"/>
    <cellStyle name="60 % - Akzent4" xfId="3817" hidden="1" xr:uid="{60931F83-6DA9-48AA-8410-62EAEF2A0D40}"/>
    <cellStyle name="60 % - Akzent4" xfId="4254" hidden="1" xr:uid="{3223D0A7-E188-4F5C-AC3D-53703CB13EA2}"/>
    <cellStyle name="60 % - Akzent4" xfId="4748" hidden="1" xr:uid="{865C11FE-90D8-45D3-B459-6DCE841A64B2}"/>
    <cellStyle name="60 % - Akzent4" xfId="4865" hidden="1" xr:uid="{E2048213-CC42-460B-8645-8FE7E37D8862}"/>
    <cellStyle name="60 % - Akzent4" xfId="2849" hidden="1" xr:uid="{771F8396-6151-46E5-B3D2-9A34B5AE55DA}"/>
    <cellStyle name="60 % - Akzent4" xfId="5743" hidden="1" xr:uid="{B87AAD5E-A449-44A1-A81F-486BE912898F}"/>
    <cellStyle name="60 % - Akzent4" xfId="5875" hidden="1" xr:uid="{D882A326-01CB-483A-9CF9-AFD7806866B4}"/>
    <cellStyle name="60 % - Akzent4" xfId="4217" hidden="1" xr:uid="{1BABA8A5-5436-46A6-AB5E-7CB83916C3FE}"/>
    <cellStyle name="60 % - Akzent4" xfId="5596" hidden="1" xr:uid="{AB38B79E-8B7C-48CA-8DB1-FCCCE66F7FC8}"/>
    <cellStyle name="60 % - Akzent4" xfId="4755" hidden="1" xr:uid="{ED4D08BD-9741-45FD-950C-46CC8D2AC29C}"/>
    <cellStyle name="60 % - Akzent4" xfId="6185" hidden="1" xr:uid="{7CD143C1-FEC2-4D5A-B134-86FE95173117}"/>
    <cellStyle name="60 % - Akzent4" xfId="6289" hidden="1" xr:uid="{32AB0D60-CB90-4072-A10C-08DC8B80ADA5}"/>
    <cellStyle name="60 % - Akzent4" xfId="5968" hidden="1" xr:uid="{45166633-EAD4-4B2D-826C-80D056BAD320}"/>
    <cellStyle name="60 % - Akzent4" xfId="6465" hidden="1" xr:uid="{F8A83A0E-13DD-4A60-BE20-CE5A406BC27D}"/>
    <cellStyle name="60 % - Akzent4" xfId="6573" hidden="1" xr:uid="{83F29F0C-C7F8-478E-BCD2-34E00CB525FD}"/>
    <cellStyle name="60 % - Akzent4" xfId="6322" hidden="1" xr:uid="{28B818DD-37F1-4218-93A4-544BA443697A}"/>
    <cellStyle name="60 % - Akzent4" xfId="6092" hidden="1" xr:uid="{AC6D6A6A-EA31-40AE-9F25-2A575E420AE7}"/>
    <cellStyle name="60 % - Akzent4" xfId="6198" hidden="1" xr:uid="{40911CA0-9BF1-4860-9357-C8811D3FDFA9}"/>
    <cellStyle name="60 % - Akzent4" xfId="6438" hidden="1" xr:uid="{FB0B5303-FB4A-4DD8-9018-85F6B5F5CEB5}"/>
    <cellStyle name="60 % - Akzent4" xfId="6306" hidden="1" xr:uid="{FD9EB35B-BF7A-47E8-997D-674DD545CED4}"/>
    <cellStyle name="60 % - Akzent4" xfId="5803" hidden="1" xr:uid="{0D507CD4-EAA3-4576-8DF6-38F34D2123C0}"/>
    <cellStyle name="60 % - Akzent4" xfId="6800" hidden="1" xr:uid="{78665CC3-A182-4A4C-9EE4-C771C2F2B116}"/>
    <cellStyle name="60 % - Akzent4" xfId="7063" hidden="1" xr:uid="{77E8393D-4051-4F67-A6A3-099BE4056755}"/>
    <cellStyle name="60 % - Akzent4" xfId="7963" hidden="1" xr:uid="{A0041D5C-3500-45E9-8684-CA8E8651434A}"/>
    <cellStyle name="60 % - Akzent4" xfId="7100" hidden="1" xr:uid="{687027C0-52BB-4FCD-8D59-38AC8E231572}"/>
    <cellStyle name="60 % - Akzent4" xfId="8340" hidden="1" xr:uid="{DF455683-876B-442E-AB90-EE989EAE7BEC}"/>
    <cellStyle name="60 % - Akzent4" xfId="8264" hidden="1" xr:uid="{C0065D63-7D6F-4664-B82B-873EF037817D}"/>
    <cellStyle name="60 % - Akzent4" xfId="8430" hidden="1" xr:uid="{51ED378A-F566-44A9-BD8D-FA3D624B2C2A}"/>
    <cellStyle name="60 % - Akzent4" xfId="7696" hidden="1" xr:uid="{7F2ABC59-29A9-4679-B23C-5F9593B27EC3}"/>
    <cellStyle name="60 % - Akzent4" xfId="6855" hidden="1" xr:uid="{652ED92F-BCD3-48C0-9B0B-244B3682302D}"/>
    <cellStyle name="60 % - Akzent4" xfId="8361" hidden="1" xr:uid="{5B567ED5-6454-4A7D-89EE-6FCA03990D4B}"/>
    <cellStyle name="60 % - Akzent4" xfId="7080" hidden="1" xr:uid="{0EF4B2C9-5B65-4C17-9257-452E1D673206}"/>
    <cellStyle name="60 % - Akzent4" xfId="8132" hidden="1" xr:uid="{0A0DE938-BD45-4F00-92CD-B32E1BA0E19B}"/>
    <cellStyle name="60 % - Akzent4" xfId="8456" hidden="1" xr:uid="{9930E769-C536-4363-80A0-1D16308E38DB}"/>
    <cellStyle name="60 % - Akzent4" xfId="8474" hidden="1" xr:uid="{E5D1048F-1D0D-4D89-B64E-AEFA1C6A1930}"/>
    <cellStyle name="60 % - Akzent4" xfId="8494" hidden="1" xr:uid="{D72FEC1E-809B-470C-83A6-3907A8026EE9}"/>
    <cellStyle name="60 % - Akzent4" xfId="8513" hidden="1" xr:uid="{02A873CB-7C56-42F7-BF59-FF278197BFCE}"/>
    <cellStyle name="60 % - Akzent4" xfId="8532" hidden="1" xr:uid="{9E71FE99-38C4-46B6-952C-AA341B005A26}"/>
    <cellStyle name="60 % - Akzent4" xfId="8092" hidden="1" xr:uid="{1BCF0887-6ABE-4EEF-A2F3-6102727DE110}"/>
    <cellStyle name="60 % - Akzent4" xfId="8521" hidden="1" xr:uid="{91BE3D98-D6DA-4218-A013-CD12559EBA46}"/>
    <cellStyle name="60 % - Akzent4" xfId="8850" hidden="1" xr:uid="{E4847466-29D8-4DA9-B893-E250375D7609}"/>
    <cellStyle name="60 % - Akzent4" xfId="8884" hidden="1" xr:uid="{37E7962C-51CC-4D5E-B835-83B389BDD8F9}"/>
    <cellStyle name="60 % - Akzent4" xfId="8644" hidden="1" xr:uid="{D31F802D-8633-48AF-A716-E52E0DF6426D}"/>
    <cellStyle name="60 % - Akzent4" xfId="8893" hidden="1" xr:uid="{5FB64CDF-4CD6-4ED8-86FF-0E0BAC341131}"/>
    <cellStyle name="60 % - Akzent4" xfId="9014" hidden="1" xr:uid="{CE4EF994-64DA-4C69-A878-1F4A1097BA36}"/>
    <cellStyle name="60 % - Akzent4" xfId="9276" hidden="1" xr:uid="{649F40AC-5A98-406E-99F5-2D1DC299712F}"/>
    <cellStyle name="60 % - Akzent4" xfId="10177" hidden="1" xr:uid="{72F752D9-D912-459D-9A88-80722EBF10A3}"/>
    <cellStyle name="60 % - Akzent4" xfId="9186" hidden="1" xr:uid="{9549BC96-A51F-49AE-BAE4-98985E9BEBC0}"/>
    <cellStyle name="60 % - Akzent4" xfId="10583" hidden="1" xr:uid="{949BBE87-F578-4815-8013-0DF5B7502971}"/>
    <cellStyle name="60 % - Akzent4" xfId="10211" hidden="1" xr:uid="{0D884CDF-2B8A-4495-B904-B2DC66EB48D1}"/>
    <cellStyle name="60 % - Akzent4" xfId="10855" hidden="1" xr:uid="{8D90A1C1-689B-413D-9F59-8F90F176ACF5}"/>
    <cellStyle name="60 % - Akzent4" xfId="10777" hidden="1" xr:uid="{528F69B4-65F1-4375-97AE-C1922CDA62DD}"/>
    <cellStyle name="60 % - Akzent4" xfId="10885" hidden="1" xr:uid="{FF910D7D-9CEB-4AB4-BE93-C12AD1221409}"/>
    <cellStyle name="60 % - Akzent4" xfId="10165" hidden="1" xr:uid="{96AAAEAD-E150-4B67-8825-2C2473CC6A88}"/>
    <cellStyle name="60 % - Akzent4" xfId="9339" hidden="1" xr:uid="{6896D7EF-553F-4CC0-85E1-4639902207BE}"/>
    <cellStyle name="60 % - Akzent4" xfId="11196" hidden="1" xr:uid="{36CC339D-CC21-4FB9-B9E4-2631D1F6644D}"/>
    <cellStyle name="60 % - Akzent4" xfId="11045" hidden="1" xr:uid="{4E09B702-9BB2-454E-AA2D-FAA42219CE70}"/>
    <cellStyle name="60 % - Akzent4" xfId="11197" hidden="1" xr:uid="{4C7EFD98-CB18-4588-AE5F-E197F81FD205}"/>
    <cellStyle name="60 % - Akzent4" xfId="10796" hidden="1" xr:uid="{142F054A-B927-4264-B4F1-FEAD9CEF3A4E}"/>
    <cellStyle name="60 % - Akzent4" xfId="11420" hidden="1" xr:uid="{947ECCA8-14FD-4B07-9A1D-4129C9DFD093}"/>
    <cellStyle name="60 % - Akzent4" xfId="11690" hidden="1" xr:uid="{05227C76-52BF-49E7-BBC9-49257EBB8392}"/>
    <cellStyle name="60 % - Akzent4" xfId="11568" hidden="1" xr:uid="{50C58596-6210-4B4B-8F16-E7A6E216E0B5}"/>
    <cellStyle name="60 % - Akzent4" xfId="12759" hidden="1" xr:uid="{5CB9BCA0-A7A5-44E9-A772-C07EBC95D11C}"/>
    <cellStyle name="60 % - Akzent4" xfId="11380" hidden="1" xr:uid="{AC03CC91-B405-40F9-B8AE-2BB3EEF09B1E}"/>
    <cellStyle name="60 % - Akzent4" xfId="13920" hidden="1" xr:uid="{D8F1EF92-2A6E-4DEC-830C-7599855B9B06}"/>
    <cellStyle name="60 % - Akzent4" xfId="13834" hidden="1" xr:uid="{11F1B601-2D01-4291-9A6D-0A26D15351EC}"/>
    <cellStyle name="60 % - Akzent4" xfId="13924" hidden="1" xr:uid="{C3A913E8-D472-440B-8E56-C478E129D63F}"/>
    <cellStyle name="60 % - Akzent4" xfId="13779" hidden="1" xr:uid="{01135C4D-CD23-4D89-B81A-E86B03AA0932}"/>
    <cellStyle name="60 % - Akzent4" xfId="14237" hidden="1" xr:uid="{6AFBD6E9-2824-45A1-9CC5-30DD0497D45C}"/>
    <cellStyle name="60 % - Akzent4" xfId="14703" hidden="1" xr:uid="{A12016AA-1ED4-4A4F-8949-E50297914946}"/>
    <cellStyle name="60 % - Akzent4" xfId="14274" hidden="1" xr:uid="{AD1CB219-5E08-4042-967C-AB88729E56A8}"/>
    <cellStyle name="60 % - Akzent4" xfId="15121" hidden="1" xr:uid="{221B8CA5-397B-4C47-AB86-F509596376F5}"/>
    <cellStyle name="60 % - Akzent4" xfId="12758" hidden="1" xr:uid="{1F934CEF-DA98-4458-AD52-AC7662222D42}"/>
    <cellStyle name="60 % - Akzent4" xfId="15269" hidden="1" xr:uid="{E6960C4C-0C4D-449A-B652-9C570C06CA81}"/>
    <cellStyle name="60 % - Akzent4" xfId="14734" hidden="1" xr:uid="{6B6CE4F2-1767-4B00-8562-C7EE266069ED}"/>
    <cellStyle name="60 % - Akzent4" xfId="14514" hidden="1" xr:uid="{84582379-4A0B-49DF-A600-3AF57285C6A5}"/>
    <cellStyle name="60 % - Akzent4" xfId="15561" hidden="1" xr:uid="{CB56204F-2245-468F-A64D-F4E3E01FD4CA}"/>
    <cellStyle name="60 % - Akzent4" xfId="15665" hidden="1" xr:uid="{DF6A20E5-8CC6-4E78-82E3-EF92BFDA6D7A}"/>
    <cellStyle name="60 % - Akzent4" xfId="15597" hidden="1" xr:uid="{968D546A-BEF0-4703-ACDA-217C834290AF}"/>
    <cellStyle name="60 % - Akzent4" xfId="15073" hidden="1" xr:uid="{BD0EE3C3-8E2A-464B-B02E-54CB2ED2817A}"/>
    <cellStyle name="60 % - Akzent4" xfId="15373" hidden="1" xr:uid="{6119BB31-895E-4C02-8463-540FD1C04445}"/>
    <cellStyle name="60 % - Akzent4" xfId="15842" hidden="1" xr:uid="{5B4FCE71-7EC2-49A3-B04A-AE7A8F3E0EAE}"/>
    <cellStyle name="60 % - Akzent4" xfId="15572" hidden="1" xr:uid="{6F044835-5ED8-4706-92AD-ABFDC3754ACA}"/>
    <cellStyle name="60 % - Akzent4" xfId="16025" hidden="1" xr:uid="{8D73D563-FF47-457F-BD13-A0147184E924}"/>
    <cellStyle name="60 % - Akzent4" xfId="16111" hidden="1" xr:uid="{F4987009-4095-4D21-93B9-98A658700E76}"/>
    <cellStyle name="60 % - Akzent4" xfId="16385" hidden="1" xr:uid="{1D048EB7-C4E0-4B35-9ACD-FB2409A8B9D4}"/>
    <cellStyle name="60 % - Akzent4" xfId="17297" hidden="1" xr:uid="{79843076-6325-4899-8185-6D0F636FF517}"/>
    <cellStyle name="60 % - Akzent4" xfId="16422" hidden="1" xr:uid="{0E0BC190-B965-459B-93EA-2BA1BA7650C9}"/>
    <cellStyle name="60 % - Akzent4" xfId="17741" hidden="1" xr:uid="{32B9DE58-A7B5-4442-87EC-00D6F1F10FAA}"/>
    <cellStyle name="60 % - Akzent4" xfId="17332" hidden="1" xr:uid="{8FD696B3-54E3-4F96-9791-DAF61A98E7B3}"/>
    <cellStyle name="60 % - Akzent4" xfId="18158" hidden="1" xr:uid="{EE1AD93E-4396-4D86-B979-0D5669647B73}"/>
    <cellStyle name="60 % - Akzent4" xfId="18077" hidden="1" xr:uid="{CF46209D-AD0A-4CA3-AC83-BF19A68B1723}"/>
    <cellStyle name="60 % - Akzent4" xfId="17474" hidden="1" xr:uid="{8F1837C7-929F-4E01-A7FF-DE9DECB564A0}"/>
    <cellStyle name="60 % - Akzent4" xfId="17816" hidden="1" xr:uid="{76739684-B191-4681-9A9C-9EA881400FC7}"/>
    <cellStyle name="60 % - Akzent4" xfId="18255" hidden="1" xr:uid="{564F2FE6-023C-4BAC-AE61-E7ED44DA3F25}"/>
    <cellStyle name="60 % - Akzent4" xfId="18362" hidden="1" xr:uid="{03235BE9-2BFC-4F03-B8A5-4B3D15EC9613}"/>
    <cellStyle name="60 % - Akzent4" xfId="19006" hidden="1" xr:uid="{8FE05940-B805-44CC-8453-9A8958EA3089}"/>
    <cellStyle name="60 % - Akzent4" xfId="18936" hidden="1" xr:uid="{9F0D36C5-9BF3-403B-9ADB-1F244A808F8F}"/>
    <cellStyle name="60 % - Akzent4" xfId="18249" hidden="1" xr:uid="{9172BFC8-CDE4-41F6-84AE-34A559C8CB87}"/>
    <cellStyle name="60 % - Akzent4" xfId="18906" hidden="1" xr:uid="{B91CC7D6-7749-4311-8524-F0706A16B54B}"/>
    <cellStyle name="60 % - Akzent4" xfId="19301" hidden="1" xr:uid="{A1C1D892-2C52-400E-8031-64C433D567B1}"/>
    <cellStyle name="60 % - Akzent4" xfId="18788" hidden="1" xr:uid="{8C0854A7-2F9D-4F43-8AA9-73EC04C6DCC5}"/>
    <cellStyle name="60 % - Akzent4" xfId="19444" hidden="1" xr:uid="{A17AF178-C788-44A2-A847-2B853FCEA59A}"/>
    <cellStyle name="60 % - Akzent4" xfId="19719" hidden="1" xr:uid="{C7A36A0D-0A9A-479B-A638-6D05484B5450}"/>
    <cellStyle name="60 % - Akzent4" xfId="20647" hidden="1" xr:uid="{47F20C91-1AFD-404F-885E-9ADBEA094CB8}"/>
    <cellStyle name="60 % - Akzent4" xfId="20303" hidden="1" xr:uid="{6564D782-FEE1-4795-A7D3-0F5C3047E1BD}"/>
    <cellStyle name="60 % - Akzent4" xfId="21104" hidden="1" xr:uid="{27F101BA-0048-4E7B-9CF8-049167C8F029}"/>
    <cellStyle name="60 % - Akzent4" xfId="19831" hidden="1" xr:uid="{DBAC1077-E0A6-4533-ADB0-F174BA3D471A}"/>
    <cellStyle name="60 % - Akzent4" xfId="21610" hidden="1" xr:uid="{61E2FF11-8C9E-417C-A505-7465AC60D4F5}"/>
    <cellStyle name="60 % - Akzent4" xfId="21605" hidden="1" xr:uid="{6A8A3BB0-9987-4072-8250-A1F8A3815127}"/>
    <cellStyle name="60 % - Akzent4" xfId="21601" hidden="1" xr:uid="{0E2348AB-8C09-4EC8-97C3-04F70497A678}"/>
    <cellStyle name="60 % - Akzent4" xfId="19391" hidden="1" xr:uid="{310594D0-D6A5-447C-A366-804D3A7EB99B}"/>
    <cellStyle name="60 % - Akzent4" xfId="22035" hidden="1" xr:uid="{92041B03-927F-4F8C-9FCA-49EF6713D925}"/>
    <cellStyle name="60 % - Akzent4" xfId="20500" hidden="1" xr:uid="{C2ABD614-5B48-47B6-9B28-95F9FB05ED37}"/>
    <cellStyle name="60 % - Akzent4" xfId="22465" hidden="1" xr:uid="{B5B56A67-F16A-4A65-A920-0B8BC369E213}"/>
    <cellStyle name="60 % - Akzent4" xfId="21424" hidden="1" xr:uid="{97506084-D96B-4DC3-9C67-956C3759E18E}"/>
    <cellStyle name="60 % - Akzent4" xfId="22896" hidden="1" xr:uid="{19726350-3D56-473A-AE8D-6BDCC84EA06F}"/>
    <cellStyle name="60 % - Akzent4" xfId="22820" hidden="1" xr:uid="{651723E2-EE37-414E-A06A-45314EE0BEDD}"/>
    <cellStyle name="60 % - Akzent4" xfId="22352" hidden="1" xr:uid="{EC6EA0F6-D0DB-469B-9364-597F7295B4BD}"/>
    <cellStyle name="60 % - Akzent4" xfId="23288" hidden="1" xr:uid="{34AF5FEB-BF00-40E0-BF3E-1DD166A7987F}"/>
    <cellStyle name="60 % - Akzent4" xfId="23226" hidden="1" xr:uid="{C014D072-9C35-4672-A554-C160D7AC9B0E}"/>
    <cellStyle name="60 % - Akzent4" xfId="22755" hidden="1" xr:uid="{6620DE59-8AD0-4F24-B8FE-3BC7E42567E9}"/>
    <cellStyle name="60 % - Akzent4" xfId="22319" hidden="1" xr:uid="{05BF2076-8C44-4DE6-9EE4-934A1C07EFB4}"/>
    <cellStyle name="60 % - Akzent4" xfId="23643" hidden="1" xr:uid="{815D9F70-88B7-428D-8060-52F0B42EBAAE}"/>
    <cellStyle name="60 % - Akzent4" xfId="23640" hidden="1" xr:uid="{5A6CB3F2-055E-4172-9D00-E0D81F6C0404}"/>
    <cellStyle name="60 % - Akzent4" xfId="23459" hidden="1" xr:uid="{6933E187-9B10-4297-B65B-A9853BE0ADC5}"/>
    <cellStyle name="60 % - Akzent4" xfId="23696" hidden="1" xr:uid="{6B93E436-E04D-4F34-89A9-CD88BAAD0202}"/>
    <cellStyle name="60 % - Akzent4" xfId="24092" hidden="1" xr:uid="{698526E0-8EB9-4185-93FA-99FFD78CC532}"/>
    <cellStyle name="60 % - Akzent4" xfId="24086" hidden="1" xr:uid="{E26E0351-8AAB-4BB7-A4F2-ADD485875783}"/>
    <cellStyle name="60 % - Akzent4" xfId="24166" hidden="1" xr:uid="{AD967C76-E6F9-4D91-B629-E092886E0A7A}"/>
    <cellStyle name="60 % - Akzent4" xfId="24581" hidden="1" xr:uid="{D3ED9853-EEC5-405B-9A99-9F0470F636F7}"/>
    <cellStyle name="60 % - Akzent4" xfId="25160" hidden="1" xr:uid="{78A414E9-B050-4FCE-879B-16778ACDB2E6}"/>
    <cellStyle name="60 % - Akzent4" xfId="25019" hidden="1" xr:uid="{FCB74218-BB51-42B0-BC9A-BA75E7024493}"/>
    <cellStyle name="60 % - Akzent4" xfId="25511" hidden="1" xr:uid="{32D866BC-13E9-424B-B845-A8B677C682AC}"/>
    <cellStyle name="60 % - Akzent4" xfId="26022" hidden="1" xr:uid="{F3185DB5-5B9F-42A4-812D-D06EE439DC67}"/>
    <cellStyle name="60 % - Akzent4" xfId="26194" hidden="1" xr:uid="{2989886F-93EB-472F-B187-AFB09DFE915F}"/>
    <cellStyle name="60 % - Akzent4" xfId="26262" hidden="1" xr:uid="{4F465F7F-BA32-4BB5-A4A5-1171DA2F1A02}"/>
    <cellStyle name="60 % - Akzent4" xfId="26505" hidden="1" xr:uid="{4D95FC3E-78E5-4AC8-9041-E1D2736BDAE2}"/>
    <cellStyle name="60 % - Akzent4" xfId="26439" hidden="1" xr:uid="{8841A4E2-0621-41DC-A426-49728E2B9943}"/>
    <cellStyle name="60 % - Akzent4" xfId="26654" hidden="1" xr:uid="{662F5F2E-4779-4758-A0EB-071D28A25C90}"/>
    <cellStyle name="60 % - Akzent4" xfId="26040" hidden="1" xr:uid="{18DB3C7B-8B7B-4A15-B71D-67A64CDCFC38}"/>
    <cellStyle name="60 % - Akzent4" xfId="25943" hidden="1" xr:uid="{4741D2B6-5BE1-4D7C-B776-C92BC4191691}"/>
    <cellStyle name="60 % - Akzent4" xfId="27223" hidden="1" xr:uid="{353798EA-6512-415F-A67B-07FE2A78B634}"/>
    <cellStyle name="60 % - Akzent4" xfId="27768" hidden="1" xr:uid="{AACC3692-F320-463A-BF92-1FE2F2444C6C}"/>
    <cellStyle name="60 % - Akzent4" xfId="27791" hidden="1" xr:uid="{9D4B5113-5237-4572-9384-A10E91429632}"/>
    <cellStyle name="60 % - Akzent4" xfId="27880" hidden="1" xr:uid="{344C9A4A-3DAB-4617-8C23-E69FE9447E06}"/>
    <cellStyle name="60 % - Akzent4" xfId="27871" hidden="1" xr:uid="{20ED2192-195D-4B4D-B381-047C1CD570CF}"/>
    <cellStyle name="60 % - Akzent4" xfId="27803" hidden="1" xr:uid="{5895558C-4BF0-46BB-B4EF-22E3EE599018}"/>
    <cellStyle name="60 % - Akzent4" xfId="26390" hidden="1" xr:uid="{C81C9AD9-8064-469F-8684-4B054CDC2674}"/>
    <cellStyle name="60 % - Akzent4" xfId="27958" hidden="1" xr:uid="{49BDC442-F7EA-49AF-BEF7-39FF965953A9}"/>
    <cellStyle name="60 % - Akzent4" xfId="28201" hidden="1" xr:uid="{BED3C776-448F-4EF9-AAC6-0C303C3ED9FB}"/>
    <cellStyle name="60 % - Akzent4" xfId="28134" hidden="1" xr:uid="{83BD747A-76DE-4BB5-B24D-F4F4DEF77B8F}"/>
    <cellStyle name="60 % - Akzent4" xfId="29476" hidden="1" xr:uid="{7A02FEA2-C821-411F-9A98-154B68A60745}"/>
    <cellStyle name="60 % - Akzent4" xfId="28007" hidden="1" xr:uid="{9820395F-F721-42CE-A307-4407F39495BD}"/>
    <cellStyle name="60 % - Akzent4" xfId="27991" hidden="1" xr:uid="{C6836FF0-A07C-4D8D-936E-EF5FC649D309}"/>
    <cellStyle name="60 % - Akzent4" xfId="30010" hidden="1" xr:uid="{C564C765-7E92-4392-8082-4F90E79AED8B}"/>
    <cellStyle name="60 % - Akzent4" xfId="30421" hidden="1" xr:uid="{AC0232AE-7E90-4E4D-B833-9DD2B24BA047}"/>
    <cellStyle name="60 % - Akzent4" xfId="30859" hidden="1" xr:uid="{98655C91-25F3-46CC-988A-B5AD714145B8}"/>
    <cellStyle name="60 % - Akzent4" xfId="29248" hidden="1" xr:uid="{59F9279D-3791-4D9F-A249-C0A0C8CB5CDB}"/>
    <cellStyle name="60 % - Akzent4 2" xfId="388" xr:uid="{B8B184E1-D715-49E5-8B41-1281FFDBF683}"/>
    <cellStyle name="60 % - Akzent4 3" xfId="257" xr:uid="{949204EA-18E4-4510-95BC-858C1086F6B6}"/>
    <cellStyle name="60 % - Akzent5" xfId="64" hidden="1" xr:uid="{DB0EB156-FDF2-4B2A-9023-F8EC207F19C7}"/>
    <cellStyle name="60 % - Akzent5" xfId="911" hidden="1" xr:uid="{4F2B590A-77B9-4DB1-B6DA-81C43219E109}"/>
    <cellStyle name="60 % - Akzent5" xfId="964" hidden="1" xr:uid="{51CE8200-398B-4A2B-BA3B-83710F487119}"/>
    <cellStyle name="60 % - Akzent5" xfId="1405" hidden="1" xr:uid="{BA1EF6BA-A7E8-4685-B3C1-0E2886FF9667}"/>
    <cellStyle name="60 % - Akzent5" xfId="1669" hidden="1" xr:uid="{585C7B64-A9C7-4DB5-84E0-0B4C08C76274}"/>
    <cellStyle name="60 % - Akzent5" xfId="1892" hidden="1" xr:uid="{AF21C1E4-D6CC-4D31-96DC-82191C56C0B6}"/>
    <cellStyle name="60 % - Akzent5" xfId="2313" hidden="1" xr:uid="{71258F93-7DBB-455C-8EE7-2F9CCB88AE81}"/>
    <cellStyle name="60 % - Akzent5" xfId="2987" hidden="1" xr:uid="{86162117-F6E5-4D25-A45B-FDA73817820A}"/>
    <cellStyle name="60 % - Akzent5" xfId="2827" hidden="1" xr:uid="{2EFFF88E-F9B0-4392-8A4D-6274030650B3}"/>
    <cellStyle name="60 % - Akzent5" xfId="1929" hidden="1" xr:uid="{67CD7223-77F2-4094-B8F7-B1E5F2E024ED}"/>
    <cellStyle name="60 % - Akzent5" xfId="3470" hidden="1" xr:uid="{9C0D47CF-5D3E-4AC0-BABE-6E093A43E141}"/>
    <cellStyle name="60 % - Akzent5" xfId="3385" hidden="1" xr:uid="{04072403-A6FD-4A66-97F8-56FDAC2461AB}"/>
    <cellStyle name="60 % - Akzent5" xfId="3305" hidden="1" xr:uid="{B7F04050-C8C5-4AE5-9BEC-41BC3F4B3E88}"/>
    <cellStyle name="60 % - Akzent5" xfId="3318" hidden="1" xr:uid="{54E5C0D3-82BE-469C-9BDB-4F46324E058C}"/>
    <cellStyle name="60 % - Akzent5" xfId="3409" hidden="1" xr:uid="{FB5CDEDB-9D96-4418-AD69-E2B9FA77272D}"/>
    <cellStyle name="60 % - Akzent5" xfId="3471" hidden="1" xr:uid="{400012C9-0614-4B71-AC4F-A6F4D21AEC30}"/>
    <cellStyle name="60 % - Akzent5" xfId="3819" hidden="1" xr:uid="{6E1E3E24-05BB-48D7-B322-129B1FF55FAF}"/>
    <cellStyle name="60 % - Akzent5" xfId="4256" hidden="1" xr:uid="{B8C3F0A1-E4C7-4478-AA27-899C9CBBA0B4}"/>
    <cellStyle name="60 % - Akzent5" xfId="4774" hidden="1" xr:uid="{8615296D-BEB6-4246-B195-F35FA48E1404}"/>
    <cellStyle name="60 % - Akzent5" xfId="2940" hidden="1" xr:uid="{70127114-CF28-4133-B250-F8F716AC280E}"/>
    <cellStyle name="60 % - Akzent5" xfId="5144" hidden="1" xr:uid="{24362DCE-0AD1-4068-8D6D-66BFAA707560}"/>
    <cellStyle name="60 % - Akzent5" xfId="5765" hidden="1" xr:uid="{1C7053F0-A8FB-41E1-A35E-7CF95E01A019}"/>
    <cellStyle name="60 % - Akzent5" xfId="5738" hidden="1" xr:uid="{A654FFFF-97C5-49CE-A6DD-87C0F1F3DC48}"/>
    <cellStyle name="60 % - Akzent5" xfId="4901" hidden="1" xr:uid="{3475A1F1-F8EA-48C2-BF36-6E350D3B1B2F}"/>
    <cellStyle name="60 % - Akzent5" xfId="5624" hidden="1" xr:uid="{42A4A11B-375D-4C89-827D-CA8105CF8FB3}"/>
    <cellStyle name="60 % - Akzent5" xfId="4956" hidden="1" xr:uid="{E8F79FF1-51AB-45C3-BE39-3EA2863011DC}"/>
    <cellStyle name="60 % - Akzent5" xfId="6205" hidden="1" xr:uid="{A3A4B785-4873-4E2A-A24C-C82AE3F9D1A5}"/>
    <cellStyle name="60 % - Akzent5" xfId="6181" hidden="1" xr:uid="{370892AA-913B-4506-AF60-DBB61CA25448}"/>
    <cellStyle name="60 % - Akzent5" xfId="5920" hidden="1" xr:uid="{3D73704D-93CB-4BFB-AD2B-9EB0077D8CC6}"/>
    <cellStyle name="60 % - Akzent5" xfId="6502" hidden="1" xr:uid="{5B3308D8-BC7F-4659-A890-69A5A7A4B0FA}"/>
    <cellStyle name="60 % - Akzent5" xfId="6584" hidden="1" xr:uid="{8EA71FA0-10CF-446B-8922-118E467CB1D9}"/>
    <cellStyle name="60 % - Akzent5" xfId="6357" hidden="1" xr:uid="{B7C9403B-F55C-41F6-AE95-75F05105FB07}"/>
    <cellStyle name="60 % - Akzent5" xfId="6399" hidden="1" xr:uid="{E063E25F-64F7-4C0A-955C-84B3F6858EDD}"/>
    <cellStyle name="60 % - Akzent5" xfId="6216" hidden="1" xr:uid="{06C0FC51-9C4D-4435-AF48-663796EE8EFA}"/>
    <cellStyle name="60 % - Akzent5" xfId="6460" hidden="1" xr:uid="{A894F01F-4E0F-4D84-95E7-E4815D9727E3}"/>
    <cellStyle name="60 % - Akzent5" xfId="6494" hidden="1" xr:uid="{E0D80DDA-6247-40A1-B45D-A42466AEF30B}"/>
    <cellStyle name="60 % - Akzent5" xfId="5563" hidden="1" xr:uid="{5AC4656F-6F02-4F99-BFD0-94D8F4AFB00D}"/>
    <cellStyle name="60 % - Akzent5" xfId="6804" hidden="1" xr:uid="{65DCDE9E-F530-445E-955E-A497FCC9277D}"/>
    <cellStyle name="60 % - Akzent5" xfId="7039" hidden="1" xr:uid="{34522FDD-F3D7-44F1-89A2-09F3993193F2}"/>
    <cellStyle name="60 % - Akzent5" xfId="7867" hidden="1" xr:uid="{892F6BBB-8D9C-4473-9BA3-DA0CF4F6974D}"/>
    <cellStyle name="60 % - Akzent5" xfId="7419" hidden="1" xr:uid="{D0FF6682-6693-4C0E-98DF-5C0CA3E48CAE}"/>
    <cellStyle name="60 % - Akzent5" xfId="8260" hidden="1" xr:uid="{9955E46E-87F4-4078-8A3C-135366B5AB62}"/>
    <cellStyle name="60 % - Akzent5" xfId="7640" hidden="1" xr:uid="{65F38114-3A9C-43D1-9E69-5292F2303928}"/>
    <cellStyle name="60 % - Akzent5" xfId="8268" hidden="1" xr:uid="{6D091ACC-E88D-439E-8629-74BE45ACF414}"/>
    <cellStyle name="60 % - Akzent5" xfId="8427" hidden="1" xr:uid="{683EE4BD-DA4A-486F-8AAA-386C620F537F}"/>
    <cellStyle name="60 % - Akzent5" xfId="8077" hidden="1" xr:uid="{AE281ACD-ECBD-4166-8958-B3031A0C0A7E}"/>
    <cellStyle name="60 % - Akzent5" xfId="8008" hidden="1" xr:uid="{2B197C09-46D7-4FE7-B3D9-ADE9153F4CC7}"/>
    <cellStyle name="60 % - Akzent5" xfId="7225" hidden="1" xr:uid="{0D8A8C59-9322-4223-A3B8-09A8462C4AC8}"/>
    <cellStyle name="60 % - Akzent5" xfId="8220" hidden="1" xr:uid="{52FE3C1F-2E4A-4735-89EC-514EC90646F6}"/>
    <cellStyle name="60 % - Akzent5" xfId="7793" hidden="1" xr:uid="{FAF2A072-C39C-436F-87E9-D9BD6E838C34}"/>
    <cellStyle name="60 % - Akzent5" xfId="8215" hidden="1" xr:uid="{4F10BB9D-E1ED-4B96-B189-8F93492CFC12}"/>
    <cellStyle name="60 % - Akzent5" xfId="8250" hidden="1" xr:uid="{0B60B7A9-608F-4474-92D6-923F6CC34EB3}"/>
    <cellStyle name="60 % - Akzent5" xfId="8376" hidden="1" xr:uid="{D6846BCC-8CB8-4B33-86E7-8C7B7BA76BD2}"/>
    <cellStyle name="60 % - Akzent5" xfId="6801" hidden="1" xr:uid="{DB907BEB-F43B-4AC3-B95F-B7E02635DD90}"/>
    <cellStyle name="60 % - Akzent5" xfId="8359" hidden="1" xr:uid="{E0B08E0B-FB5C-4817-ACE8-B89E864CC133}"/>
    <cellStyle name="60 % - Akzent5" xfId="7651" hidden="1" xr:uid="{C2A28FE8-68F7-4305-A5C4-F529CE9F5B77}"/>
    <cellStyle name="60 % - Akzent5" xfId="8797" hidden="1" xr:uid="{64619BE9-4E36-426B-AC96-066CB70D70A5}"/>
    <cellStyle name="60 % - Akzent5" xfId="8773" hidden="1" xr:uid="{51CCAF02-6998-43F8-B8B7-BCF4F81AAE4D}"/>
    <cellStyle name="60 % - Akzent5" xfId="8785" hidden="1" xr:uid="{C749FD5E-1D17-48E9-A222-0855438712D2}"/>
    <cellStyle name="60 % - Akzent5" xfId="6760" hidden="1" xr:uid="{79ACCFE3-1427-4F61-8C39-AF9E9C1B969E}"/>
    <cellStyle name="60 % - Akzent5" xfId="9018" hidden="1" xr:uid="{E61CE432-8C90-45B3-82BA-1AA083B39743}"/>
    <cellStyle name="60 % - Akzent5" xfId="9252" hidden="1" xr:uid="{D3D64ADE-BFB4-42EF-84C1-F74602BEE891}"/>
    <cellStyle name="60 % - Akzent5" xfId="10080" hidden="1" xr:uid="{D4AC1C8C-76E5-4492-8634-9B0A253BAB58}"/>
    <cellStyle name="60 % - Akzent5" xfId="9633" hidden="1" xr:uid="{5EF15F01-4558-4A90-AD56-EA572BBB8C22}"/>
    <cellStyle name="60 % - Akzent5" xfId="10495" hidden="1" xr:uid="{E4B27FAC-6192-49C6-A970-3638B516C38D}"/>
    <cellStyle name="60 % - Akzent5" xfId="9241" hidden="1" xr:uid="{78F2B177-9E3E-475A-B9D4-205596CC36C1}"/>
    <cellStyle name="60 % - Akzent5" xfId="10782" hidden="1" xr:uid="{15022970-6C94-4BDA-9640-6397B5939082}"/>
    <cellStyle name="60 % - Akzent5" xfId="10904" hidden="1" xr:uid="{A105E963-4902-43E7-ABA5-3596549312D0}"/>
    <cellStyle name="60 % - Akzent5" xfId="10318" hidden="1" xr:uid="{CC6A76BD-FBF2-48DD-B8D4-780ABD502E8D}"/>
    <cellStyle name="60 % - Akzent5" xfId="11198" hidden="1" xr:uid="{A62B55D6-2382-4025-B0E3-D56F4E0B11B4}"/>
    <cellStyle name="60 % - Akzent5" xfId="11178" hidden="1" xr:uid="{F095FCE1-29AD-4EA8-A3FB-9FD6A46D72ED}"/>
    <cellStyle name="60 % - Akzent5" xfId="11209" hidden="1" xr:uid="{48203F36-F11F-4A4E-B178-F94692E557E1}"/>
    <cellStyle name="60 % - Akzent5" xfId="11044" hidden="1" xr:uid="{AB12E37C-EF65-4ACB-B613-9A4930641D40}"/>
    <cellStyle name="60 % - Akzent5" xfId="10711" hidden="1" xr:uid="{15BEA739-3663-4E19-AB3E-58F95FD67A3A}"/>
    <cellStyle name="60 % - Akzent5" xfId="11013" hidden="1" xr:uid="{735AFAD3-0AF0-4795-9DE8-8ACA01949B48}"/>
    <cellStyle name="60 % - Akzent5" xfId="11424" hidden="1" xr:uid="{77C6B4A7-578C-4EA6-B4CE-EFD6C661947C}"/>
    <cellStyle name="60 % - Akzent5" xfId="11666" hidden="1" xr:uid="{8CC2D68D-7A32-4DF9-956D-B2DA8B778E7B}"/>
    <cellStyle name="60 % - Akzent5" xfId="11569" hidden="1" xr:uid="{5214A1FC-10F8-470C-8FFC-3E3399560027}"/>
    <cellStyle name="60 % - Akzent5" xfId="12761" hidden="1" xr:uid="{CA670E07-9780-42BB-9D68-623295E084FE}"/>
    <cellStyle name="60 % - Akzent5" xfId="13196" hidden="1" xr:uid="{EDB44A52-C3CF-4EA8-9933-3A1CE0F3D591}"/>
    <cellStyle name="60 % - Akzent5" xfId="13821" hidden="1" xr:uid="{4A450E6D-6700-4D7E-99F7-6E0D54C8EA2B}"/>
    <cellStyle name="60 % - Akzent5" xfId="13661" hidden="1" xr:uid="{87345BA7-AE24-47C2-B5B5-06ED8586C4EC}"/>
    <cellStyle name="60 % - Akzent5" xfId="12312" hidden="1" xr:uid="{BA80EB99-2394-4F94-815F-28BE838E1840}"/>
    <cellStyle name="60 % - Akzent5" xfId="14419" hidden="1" xr:uid="{BA4CB34D-0F9F-4727-9185-AC2D36A21A9A}"/>
    <cellStyle name="60 % - Akzent5" xfId="14448" hidden="1" xr:uid="{032B3FC2-DAA4-4F38-8A16-70859410AB51}"/>
    <cellStyle name="60 % - Akzent5" xfId="14729" hidden="1" xr:uid="{08265BC4-1AF7-4C79-AA21-31C76FADC817}"/>
    <cellStyle name="60 % - Akzent5" xfId="11379" hidden="1" xr:uid="{DC4B5DBD-0889-4741-A875-2E68D2264AAB}"/>
    <cellStyle name="60 % - Akzent5" xfId="15144" hidden="1" xr:uid="{452022CE-426C-4F5A-9F75-35C307AD2AFC}"/>
    <cellStyle name="60 % - Akzent5" xfId="14860" hidden="1" xr:uid="{B081D2EA-4A1E-4A89-81CE-48FF5E456BF3}"/>
    <cellStyle name="60 % - Akzent5" xfId="14580" hidden="1" xr:uid="{AAC333BB-EEB2-42FA-88F4-98A26973EC54}"/>
    <cellStyle name="60 % - Akzent5" xfId="14688" hidden="1" xr:uid="{B71B5595-4C69-4DFA-97A7-0ECC15D65000}"/>
    <cellStyle name="60 % - Akzent5" xfId="13917" hidden="1" xr:uid="{6EBCFD2C-5173-44A3-A4C6-65817CA147D5}"/>
    <cellStyle name="60 % - Akzent5" xfId="15579" hidden="1" xr:uid="{5259ED98-0C8D-4B99-B293-A0EC74951A6D}"/>
    <cellStyle name="60 % - Akzent5" xfId="15555" hidden="1" xr:uid="{71F0E087-AA96-40BB-A5BC-02A3A2882145}"/>
    <cellStyle name="60 % - Akzent5" xfId="15359" hidden="1" xr:uid="{77C31EC7-611A-474E-8312-7FB253199889}"/>
    <cellStyle name="60 % - Akzent5" xfId="15623" hidden="1" xr:uid="{F7763A04-16B4-4137-818B-0950A71C8F96}"/>
    <cellStyle name="60 % - Akzent5" xfId="15432" hidden="1" xr:uid="{91EF2860-EED7-479D-96AB-3AB71A3ABCE9}"/>
    <cellStyle name="60 % - Akzent5" xfId="15880" hidden="1" xr:uid="{19B29D77-27B0-4EAC-828E-62B7591817D6}"/>
    <cellStyle name="60 % - Akzent5" xfId="15148" hidden="1" xr:uid="{C4EF91CA-00A1-4017-885E-6257ADE16258}"/>
    <cellStyle name="60 % - Akzent5" xfId="16027" hidden="1" xr:uid="{EFE7DB78-6B1D-44D7-B882-AF33D31D2316}"/>
    <cellStyle name="60 % - Akzent5" xfId="16115" hidden="1" xr:uid="{053055C5-BC1F-4E74-B771-DF4EAF4AEEA6}"/>
    <cellStyle name="60 % - Akzent5" xfId="16362" hidden="1" xr:uid="{C8390637-EA03-4CBD-BE77-69BD2E19757D}"/>
    <cellStyle name="60 % - Akzent5" xfId="17198" hidden="1" xr:uid="{B8972F04-3595-465D-8881-E5F77073ACFF}"/>
    <cellStyle name="60 % - Akzent5" xfId="16744" hidden="1" xr:uid="{4DD302A1-91B0-4E9B-951F-8849D5C13DDD}"/>
    <cellStyle name="60 % - Akzent5" xfId="17644" hidden="1" xr:uid="{0FDD0931-4EC2-4842-8144-CBF8CCDEC5EC}"/>
    <cellStyle name="60 % - Akzent5" xfId="16451" hidden="1" xr:uid="{190CAF4A-8D41-4AD5-A477-C28CB0A348AF}"/>
    <cellStyle name="60 % - Akzent5" xfId="18065" hidden="1" xr:uid="{7EDB0039-34DB-44EB-B0F4-875E8596E4A8}"/>
    <cellStyle name="60 % - Akzent5" xfId="17917" hidden="1" xr:uid="{A47A261C-78A8-4ABA-9106-D7A9C9140DBB}"/>
    <cellStyle name="60 % - Akzent5" xfId="18049" hidden="1" xr:uid="{C48F7660-7C15-4331-ACF8-1AD88D8D2B68}"/>
    <cellStyle name="60 % - Akzent5" xfId="17988" hidden="1" xr:uid="{0FF6B42D-9A49-40E5-B0FA-9F47EE504E7F}"/>
    <cellStyle name="60 % - Akzent5" xfId="17866" hidden="1" xr:uid="{A9ADB1BB-8B79-4074-A7EE-137852557F6B}"/>
    <cellStyle name="60 % - Akzent5" xfId="18364" hidden="1" xr:uid="{71451A6B-6262-485F-8F1E-8E8974509581}"/>
    <cellStyle name="60 % - Akzent5" xfId="18929" hidden="1" xr:uid="{A8FCCA49-014C-4A81-824A-967BA051DBA5}"/>
    <cellStyle name="60 % - Akzent5" xfId="18813" hidden="1" xr:uid="{FBF2D9F6-6020-4419-B0DC-E033CCAAEF82}"/>
    <cellStyle name="60 % - Akzent5" xfId="18918" hidden="1" xr:uid="{C182199C-4258-4D4E-9383-706BF81CA85A}"/>
    <cellStyle name="60 % - Akzent5" xfId="16085" hidden="1" xr:uid="{54D277BD-92F4-4F50-85B9-8A7D3B162299}"/>
    <cellStyle name="60 % - Akzent5" xfId="19255" hidden="1" xr:uid="{986C2CD9-F68F-497A-893A-1A56E38BB428}"/>
    <cellStyle name="60 % - Akzent5" xfId="19195" hidden="1" xr:uid="{3FEB019B-EEAA-4F3D-BA34-C0D46CE0BC9F}"/>
    <cellStyle name="60 % - Akzent5" xfId="19448" hidden="1" xr:uid="{230F8718-594A-415E-B4F0-71C8181A0200}"/>
    <cellStyle name="60 % - Akzent5" xfId="19695" hidden="1" xr:uid="{3C8D858F-F58C-48BF-9FC2-AB778444D8CC}"/>
    <cellStyle name="60 % - Akzent5" xfId="20551" hidden="1" xr:uid="{39EF4FEC-E05D-4C19-97C9-2F5E1C00AEB5}"/>
    <cellStyle name="60 % - Akzent5" xfId="20490" hidden="1" xr:uid="{B2643FB9-31D0-46A4-BD39-1E82460B07B8}"/>
    <cellStyle name="60 % - Akzent5" xfId="21004" hidden="1" xr:uid="{FBE9C79D-6BF6-466A-A1B5-A95F6D2DAA97}"/>
    <cellStyle name="60 % - Akzent5" xfId="19474" hidden="1" xr:uid="{5E282082-7E36-4A87-8366-A182CB83FC09}"/>
    <cellStyle name="60 % - Akzent5" xfId="20299" hidden="1" xr:uid="{D6CDA345-FFF2-4E49-B3C7-1B26257DCB46}"/>
    <cellStyle name="60 % - Akzent5" xfId="21308" hidden="1" xr:uid="{C2A9F2D6-B6E0-469A-AB0C-6A4A8DBB78C7}"/>
    <cellStyle name="60 % - Akzent5" xfId="21452" hidden="1" xr:uid="{D6B78914-28E0-493A-ABBD-15F4D997E211}"/>
    <cellStyle name="60 % - Akzent5" xfId="20861" hidden="1" xr:uid="{4FF9C765-7E2D-4918-A1D4-05146E490ACD}"/>
    <cellStyle name="60 % - Akzent5" xfId="21935" hidden="1" xr:uid="{C38C200F-3F26-41F3-83AC-00D8D0385D79}"/>
    <cellStyle name="60 % - Akzent5" xfId="21038" hidden="1" xr:uid="{6C02A8F4-25C5-4A7E-AA70-EA8B60ED35FA}"/>
    <cellStyle name="60 % - Akzent5" xfId="22368" hidden="1" xr:uid="{EC1593DC-C0DC-4F4C-A02E-38A7B2AA93FF}"/>
    <cellStyle name="60 % - Akzent5" xfId="22042" hidden="1" xr:uid="{E9FEB132-944F-43BC-A0E4-93A8A0CE5742}"/>
    <cellStyle name="60 % - Akzent5" xfId="22809" hidden="1" xr:uid="{BC1F9CAB-8BCC-4C69-BF84-503DC1FAD1B4}"/>
    <cellStyle name="60 % - Akzent5" xfId="22664" hidden="1" xr:uid="{C73FA98A-9957-44D6-B3FF-7B325CD5C5F3}"/>
    <cellStyle name="60 % - Akzent5" xfId="22171" hidden="1" xr:uid="{972F46B7-DCA5-472F-9A12-120DF15F4E38}"/>
    <cellStyle name="60 % - Akzent5" xfId="23215" hidden="1" xr:uid="{3383A54A-0E66-4C6D-A2B7-B4850E27F0F1}"/>
    <cellStyle name="60 % - Akzent5" xfId="23086" hidden="1" xr:uid="{0010B9ED-4454-4C4A-9CF7-3A28FB26E361}"/>
    <cellStyle name="60 % - Akzent5" xfId="23200" hidden="1" xr:uid="{F4EF2E95-940A-4386-9ECA-F14004EE54F4}"/>
    <cellStyle name="60 % - Akzent5" xfId="23128" hidden="1" xr:uid="{305C22ED-F25B-4AFF-BF24-FF6407A2F53D}"/>
    <cellStyle name="60 % - Akzent5" xfId="23237" hidden="1" xr:uid="{D4FF570C-8479-4C1D-AE18-EE18EE6CD79F}"/>
    <cellStyle name="60 % - Akzent5" xfId="23473" hidden="1" xr:uid="{7D23B810-CDE6-485E-9030-46B67FCA1ADC}"/>
    <cellStyle name="60 % - Akzent5" xfId="22695" hidden="1" xr:uid="{13BF648B-E20A-4936-AF8A-284180316163}"/>
    <cellStyle name="60 % - Akzent5" xfId="23698" hidden="1" xr:uid="{13BBCA45-5043-4605-B6C4-10B742BF2D68}"/>
    <cellStyle name="60 % - Akzent5" xfId="24085" hidden="1" xr:uid="{1D33D57E-A670-4007-B3B5-B89677B54761}"/>
    <cellStyle name="60 % - Akzent5" xfId="24077" hidden="1" xr:uid="{68AA4286-E2AA-414F-8FCD-30CC475AB4B2}"/>
    <cellStyle name="60 % - Akzent5" xfId="24170" hidden="1" xr:uid="{6F6049DD-1BBA-41BA-BB53-58DDF62D302D}"/>
    <cellStyle name="60 % - Akzent5" xfId="24401" hidden="1" xr:uid="{3C04A4E8-80F0-441D-B8B6-BF2306C11174}"/>
    <cellStyle name="60 % - Akzent5" xfId="25228" hidden="1" xr:uid="{CD554004-9CB4-4E72-B484-A34667FE5614}"/>
    <cellStyle name="60 % - Akzent5" xfId="24542" hidden="1" xr:uid="{C6955DC8-657D-4CD7-BF4C-4BA84BC31840}"/>
    <cellStyle name="60 % - Akzent5" xfId="24139" hidden="1" xr:uid="{848739BA-08B0-4C2A-BF93-0869A3498B7F}"/>
    <cellStyle name="60 % - Akzent5" xfId="26085" hidden="1" xr:uid="{F694A77C-6C29-4FA9-8AA3-3E85F3FD5535}"/>
    <cellStyle name="60 % - Akzent5" xfId="26215" hidden="1" xr:uid="{75122073-D4B8-401A-B881-941AC8B08442}"/>
    <cellStyle name="60 % - Akzent5" xfId="24300" hidden="1" xr:uid="{79D91058-325D-4082-A0A6-32A604510FFC}"/>
    <cellStyle name="60 % - Akzent5" xfId="26526" hidden="1" xr:uid="{0793FF84-04BF-4798-A577-21095C7EBDC1}"/>
    <cellStyle name="60 % - Akzent5" xfId="26589" hidden="1" xr:uid="{1AC5EE11-7BA2-4334-830B-B68316DC5277}"/>
    <cellStyle name="60 % - Akzent5" xfId="26600" hidden="1" xr:uid="{BE5776E0-B456-40BD-A380-F34EB4E91263}"/>
    <cellStyle name="60 % - Akzent5" xfId="25070" hidden="1" xr:uid="{E6FCB55D-AFB4-4614-8BAC-D5B61DD4207E}"/>
    <cellStyle name="60 % - Akzent5" xfId="26800" hidden="1" xr:uid="{0D247060-1299-49E8-896B-F19844BE173F}"/>
    <cellStyle name="60 % - Akzent5" xfId="27221" hidden="1" xr:uid="{9E6C957F-E9DA-4A30-A420-05494FC627F5}"/>
    <cellStyle name="60 % - Akzent5" xfId="27710" hidden="1" xr:uid="{DD5001CF-EFB5-45C0-9AA5-63340052ABEA}"/>
    <cellStyle name="60 % - Akzent5" xfId="27751" hidden="1" xr:uid="{32C0EB35-5BE8-47CA-BE82-E6BEB5C673CF}"/>
    <cellStyle name="60 % - Akzent5" xfId="27869" hidden="1" xr:uid="{5D871D6D-8CA3-46D8-8E8B-9505AE064676}"/>
    <cellStyle name="60 % - Akzent5" xfId="27852" hidden="1" xr:uid="{67DA34F1-C975-46EB-A1FA-3196B237E9BC}"/>
    <cellStyle name="60 % - Akzent5" xfId="27867" hidden="1" xr:uid="{A4A29A77-EA1C-4988-B1A5-A223368B5527}"/>
    <cellStyle name="60 % - Akzent5" xfId="27859" hidden="1" xr:uid="{FBFA8963-733A-4DFF-8157-B0B8C31C8ADA}"/>
    <cellStyle name="60 % - Akzent5" xfId="27962" hidden="1" xr:uid="{390AE88F-7DCA-4354-8E2C-BD39E50E545C}"/>
    <cellStyle name="60 % - Akzent5" xfId="28182" hidden="1" xr:uid="{338EA3CF-9B01-4E07-8631-F9DF485553E9}"/>
    <cellStyle name="60 % - Akzent5" xfId="28093" hidden="1" xr:uid="{E6086221-7E74-472D-ACB8-7C3839FBE21E}"/>
    <cellStyle name="60 % - Akzent5" xfId="29390" hidden="1" xr:uid="{37DB91C4-FA45-489B-823C-4859BF5C19DE}"/>
    <cellStyle name="60 % - Akzent5" xfId="28257" hidden="1" xr:uid="{83412456-9AA6-465A-867F-54315ADC6AB4}"/>
    <cellStyle name="60 % - Akzent5" xfId="29463" hidden="1" xr:uid="{C57B95CA-2A2B-4612-93EC-990E06B41A93}"/>
    <cellStyle name="60 % - Akzent5" xfId="30006" hidden="1" xr:uid="{6EC96C2B-0420-4D09-B572-2410B2B330BB}"/>
    <cellStyle name="60 % - Akzent5" xfId="30423" hidden="1" xr:uid="{6E66E498-65F1-4171-BBBE-D5AA99A488F4}"/>
    <cellStyle name="60 % - Akzent5" xfId="30897" hidden="1" xr:uid="{7FABD96B-02EA-4D7E-95F5-A2AE0B0045A9}"/>
    <cellStyle name="60 % - Akzent5" xfId="30837" hidden="1" xr:uid="{74DFD874-B290-432F-95EF-85CF7C0A8B3B}"/>
    <cellStyle name="60 % - Akzent5 2" xfId="389" xr:uid="{2EA6E9C5-1E75-43E0-B2B2-02CD16E4B4F0}"/>
    <cellStyle name="60 % - Akzent5 3" xfId="258" xr:uid="{BFED8363-ED89-440D-A30E-823B6C73EC7F}"/>
    <cellStyle name="60 % - Akzent6" xfId="67" hidden="1" xr:uid="{C809C567-5E04-48B6-98EB-FFD7162C26E8}"/>
    <cellStyle name="60 % - Akzent6" xfId="914" hidden="1" xr:uid="{8674E744-206F-444D-A689-891E98E81CB2}"/>
    <cellStyle name="60 % - Akzent6" xfId="986" hidden="1" xr:uid="{6491E521-41D4-46E3-8C42-5DB87C01F032}"/>
    <cellStyle name="60 % - Akzent6" xfId="1408" hidden="1" xr:uid="{47AF9AAC-6B60-4390-8D32-078CB8BE8F45}"/>
    <cellStyle name="60 % - Akzent6" xfId="1643" hidden="1" xr:uid="{A95A8FFB-093D-47BD-855D-900C0326AAF4}"/>
    <cellStyle name="60 % - Akzent6" xfId="1896" hidden="1" xr:uid="{D23D8729-DB6F-49C0-87F4-9EFE0167C170}"/>
    <cellStyle name="60 % - Akzent6" xfId="2122" hidden="1" xr:uid="{FA650AB2-BB5D-4F1E-893D-905821469F00}"/>
    <cellStyle name="60 % - Akzent6" xfId="2887" hidden="1" xr:uid="{05655529-0E00-4A0C-949D-E1B9691A1368}"/>
    <cellStyle name="60 % - Akzent6" xfId="3079" hidden="1" xr:uid="{C27B05AB-EE4C-46F8-8354-F0C57275CA02}"/>
    <cellStyle name="60 % - Akzent6" xfId="3038" hidden="1" xr:uid="{945C8B89-5AD7-421F-AD6A-1FB03FF9A7F9}"/>
    <cellStyle name="60 % - Akzent6" xfId="3369" hidden="1" xr:uid="{E0EF9540-9737-4CA0-B3FA-AB34576E512B}"/>
    <cellStyle name="60 % - Akzent6" xfId="3590" hidden="1" xr:uid="{30151A6A-E261-4AA3-87F6-111F2CADAD9E}"/>
    <cellStyle name="60 % - Akzent6" xfId="3090" hidden="1" xr:uid="{6D7E16C9-4560-40C4-B7CC-BD659BD90515}"/>
    <cellStyle name="60 % - Akzent6" xfId="1974" hidden="1" xr:uid="{CB502CFE-B79B-43D8-A138-16BDDDDA9300}"/>
    <cellStyle name="60 % - Akzent6" xfId="3719" hidden="1" xr:uid="{425DA60B-8BCA-4FAA-BD05-B1704B3FAB0D}"/>
    <cellStyle name="60 % - Akzent6" xfId="3606" hidden="1" xr:uid="{63A2565D-5579-4D57-819B-A5726B66CD76}"/>
    <cellStyle name="60 % - Akzent6" xfId="3809" hidden="1" xr:uid="{2D0026B0-4131-4FDD-83D1-E801D06F66CC}"/>
    <cellStyle name="60 % - Akzent6" xfId="4246" hidden="1" xr:uid="{BF0A9272-13D7-45E9-9EED-B9D661E31699}"/>
    <cellStyle name="60 % - Akzent6" xfId="4747" hidden="1" xr:uid="{8F444212-D9A5-468C-9F9E-4F354563CC42}"/>
    <cellStyle name="60 % - Akzent6" xfId="3679" hidden="1" xr:uid="{BF9A59E6-3FE7-4FC6-80F6-A6219830078F}"/>
    <cellStyle name="60 % - Akzent6" xfId="5142" hidden="1" xr:uid="{C3290E9C-F6BC-4C2A-AECB-B5CAF1114B54}"/>
    <cellStyle name="60 % - Akzent6" xfId="5713" hidden="1" xr:uid="{23B73AB1-0D05-4F62-9CA6-C9046FC52179}"/>
    <cellStyle name="60 % - Akzent6" xfId="5690" hidden="1" xr:uid="{364FCD55-AC87-4E83-884D-098926889018}"/>
    <cellStyle name="60 % - Akzent6" xfId="5632" hidden="1" xr:uid="{21C042B1-F3AB-4F52-ADBD-DA75E0DBBF98}"/>
    <cellStyle name="60 % - Akzent6" xfId="5948" hidden="1" xr:uid="{4AAA14D8-4EB5-487E-83F6-C7997CA0A520}"/>
    <cellStyle name="60 % - Akzent6" xfId="5124" hidden="1" xr:uid="{024A5D8E-8BEB-40F1-AD74-F9FA2A35838D}"/>
    <cellStyle name="60 % - Akzent6" xfId="6158" hidden="1" xr:uid="{55E3DDB1-482B-44F8-8351-2D074A296891}"/>
    <cellStyle name="60 % - Akzent6" xfId="6136" hidden="1" xr:uid="{757D1CD1-2393-4BCF-AEEE-6B2F0ED741B5}"/>
    <cellStyle name="60 % - Akzent6" xfId="6234" hidden="1" xr:uid="{8BD8392E-D8F9-4C29-B741-31C4964FD99C}"/>
    <cellStyle name="60 % - Akzent6" xfId="6515" hidden="1" xr:uid="{2A4F8EF7-F620-448D-81D6-C32710C67973}"/>
    <cellStyle name="60 % - Akzent6" xfId="6499" hidden="1" xr:uid="{4B8D876C-8203-4054-A528-4B7072BA67F0}"/>
    <cellStyle name="60 % - Akzent6" xfId="6247" hidden="1" xr:uid="{039E31F1-2B9D-4F99-8224-87FD65587A3D}"/>
    <cellStyle name="60 % - Akzent6" xfId="6541" hidden="1" xr:uid="{A843EA70-ACB3-4BE9-93A8-8728AE308950}"/>
    <cellStyle name="60 % - Akzent6" xfId="6111" hidden="1" xr:uid="{7C211542-1E41-4EF1-9721-C1F4CABD91C5}"/>
    <cellStyle name="60 % - Akzent6" xfId="6213" hidden="1" xr:uid="{49AC0E91-0B2E-4B2C-8788-52A743DB8A5D}"/>
    <cellStyle name="60 % - Akzent6" xfId="6585" hidden="1" xr:uid="{BAFCC404-B2E9-4759-A26F-A631EB77847E}"/>
    <cellStyle name="60 % - Akzent6" xfId="6215" hidden="1" xr:uid="{0B0C80D8-B1E1-46CF-8CE8-BC7E3446A3FF}"/>
    <cellStyle name="60 % - Akzent6" xfId="6808" hidden="1" xr:uid="{C679D601-11A1-4F2A-8F97-AD4CBF8E513B}"/>
    <cellStyle name="60 % - Akzent6" xfId="7214" hidden="1" xr:uid="{A11A92BC-CE27-4F53-8C07-B3E64FB13500}"/>
    <cellStyle name="60 % - Akzent6" xfId="7771" hidden="1" xr:uid="{D39EB5E0-F4FD-4229-BF4E-6D2FAAA27369}"/>
    <cellStyle name="60 % - Akzent6" xfId="7853" hidden="1" xr:uid="{4F7B794B-05AE-4382-BBCA-3209C301FEDB}"/>
    <cellStyle name="60 % - Akzent6" xfId="8176" hidden="1" xr:uid="{D3D10593-CEA5-42EC-933A-49A34FFC036E}"/>
    <cellStyle name="60 % - Akzent6" xfId="8089" hidden="1" xr:uid="{8493A5BD-1FE3-4F9B-922B-E093E6FD2D95}"/>
    <cellStyle name="60 % - Akzent6" xfId="7190" hidden="1" xr:uid="{0F167310-F6E7-42E5-A2DA-C80DA33436A0}"/>
    <cellStyle name="60 % - Akzent6" xfId="7174" hidden="1" xr:uid="{FFF5958B-D844-423C-9084-F78FAEF5102C}"/>
    <cellStyle name="60 % - Akzent6" xfId="7748" hidden="1" xr:uid="{07B053CB-AA0E-4603-BE49-68BBE89F0AF4}"/>
    <cellStyle name="60 % - Akzent6" xfId="8420" hidden="1" xr:uid="{4F549B99-5A71-4549-A183-F3435F58ED70}"/>
    <cellStyle name="60 % - Akzent6" xfId="7663" hidden="1" xr:uid="{52E7AF14-0AC9-4D88-A4E0-53597A4609DF}"/>
    <cellStyle name="60 % - Akzent6" xfId="8003" hidden="1" xr:uid="{656A693C-7CFF-43B4-8290-CFAAA8F93AD4}"/>
    <cellStyle name="60 % - Akzent6" xfId="8277" hidden="1" xr:uid="{158CC7AB-B04B-4BF8-A698-BE1E0E93F505}"/>
    <cellStyle name="60 % - Akzent6" xfId="8102" hidden="1" xr:uid="{89946F86-4483-4D3B-8A76-B5130B2DF8F5}"/>
    <cellStyle name="60 % - Akzent6" xfId="7172" hidden="1" xr:uid="{72874A58-A29E-4B47-ACCD-76159C73DE09}"/>
    <cellStyle name="60 % - Akzent6" xfId="8246" hidden="1" xr:uid="{7A8424D5-1048-444F-8695-F68E571815E2}"/>
    <cellStyle name="60 % - Akzent6" xfId="8157" hidden="1" xr:uid="{D0B77386-2DE1-458D-8A14-BEF7092C9AF7}"/>
    <cellStyle name="60 % - Akzent6" xfId="8624" hidden="1" xr:uid="{B3628F46-405F-4D55-99D9-A3B9B4874762}"/>
    <cellStyle name="60 % - Akzent6" xfId="8335" hidden="1" xr:uid="{D33601F8-F50E-44B1-9AC7-D56912918985}"/>
    <cellStyle name="60 % - Akzent6" xfId="8755" hidden="1" xr:uid="{EA87CCE0-5022-4EBA-B630-ACAC77BDA186}"/>
    <cellStyle name="60 % - Akzent6" xfId="8854" hidden="1" xr:uid="{A260D5C7-A78C-43EF-8104-07FBCC043E4D}"/>
    <cellStyle name="60 % - Akzent6" xfId="7662" hidden="1" xr:uid="{18AA1548-DCF9-48E3-89E0-FA8FD5BC33F3}"/>
    <cellStyle name="60 % - Akzent6" xfId="8838" hidden="1" xr:uid="{55915F55-92C8-4C14-9897-63139161E52A}"/>
    <cellStyle name="60 % - Akzent6" xfId="9022" hidden="1" xr:uid="{5C341371-C0AB-4D44-B493-60283C935516}"/>
    <cellStyle name="60 % - Akzent6" xfId="9427" hidden="1" xr:uid="{D6825201-C420-4EEE-8435-1C29B9D38D4B}"/>
    <cellStyle name="60 % - Akzent6" xfId="9983" hidden="1" xr:uid="{2C705743-6D75-412F-AC43-E12177EABED5}"/>
    <cellStyle name="60 % - Akzent6" xfId="10066" hidden="1" xr:uid="{CB0A2D26-5E95-46DA-A779-BC33E6D12B00}"/>
    <cellStyle name="60 % - Akzent6" xfId="10409" hidden="1" xr:uid="{CEBFB573-33D2-4458-917C-860A82D1ED78}"/>
    <cellStyle name="60 % - Akzent6" xfId="9920" hidden="1" xr:uid="{874A7FBF-E3A0-4206-82BE-41AE02A861B9}"/>
    <cellStyle name="60 % - Akzent6" xfId="10830" hidden="1" xr:uid="{E069CBC2-5823-4D4E-B90F-B99EE2DE0478}"/>
    <cellStyle name="60 % - Akzent6" xfId="10950" hidden="1" xr:uid="{1806402F-E9F2-4865-BC80-E236E8D8E6CB}"/>
    <cellStyle name="60 % - Akzent6" xfId="9059" hidden="1" xr:uid="{AA1BD78A-8749-4B5A-907C-A93608FA05A6}"/>
    <cellStyle name="60 % - Akzent6" xfId="11215" hidden="1" xr:uid="{2DE67A43-9889-4ABD-A239-A46AD086FC2A}"/>
    <cellStyle name="60 % - Akzent6" xfId="11122" hidden="1" xr:uid="{F40BCB20-669B-4530-98B4-25DF785015D5}"/>
    <cellStyle name="60 % - Akzent6" xfId="9425" hidden="1" xr:uid="{EE48DD77-15D5-432B-AA2A-9540D6BE855B}"/>
    <cellStyle name="60 % - Akzent6" xfId="10969" hidden="1" xr:uid="{F15E2CE4-9E20-446C-A230-7EDC9121D8A6}"/>
    <cellStyle name="60 % - Akzent6" xfId="10942" hidden="1" xr:uid="{2F8B11AE-4E27-4ACE-B6C7-7500F77AB5FE}"/>
    <cellStyle name="60 % - Akzent6" xfId="10757" hidden="1" xr:uid="{49987EAE-4B8C-41C0-84DA-D20EB7694D36}"/>
    <cellStyle name="60 % - Akzent6" xfId="11427" hidden="1" xr:uid="{5ED711F2-E6CA-4DDF-9A8F-17502E3FDE3C}"/>
    <cellStyle name="60 % - Akzent6" xfId="11844" hidden="1" xr:uid="{6F1437E9-3133-41B0-B710-2C230B887120}"/>
    <cellStyle name="60 % - Akzent6" xfId="11470" hidden="1" xr:uid="{D610D554-FD9D-40AC-8E53-DC9CEF7A73E9}"/>
    <cellStyle name="60 % - Akzent6" xfId="12750" hidden="1" xr:uid="{5471CD0C-EB39-47EF-8B64-87EED05FD18B}"/>
    <cellStyle name="60 % - Akzent6" xfId="11532" hidden="1" xr:uid="{89480F76-10C9-414D-8C52-047AF27A66C5}"/>
    <cellStyle name="60 % - Akzent6" xfId="13722" hidden="1" xr:uid="{45B9AE47-7DF9-469A-ADD0-B11BE354E172}"/>
    <cellStyle name="60 % - Akzent6" xfId="13911" hidden="1" xr:uid="{7063EEED-FB6E-46C0-9076-00D8A83C5F64}"/>
    <cellStyle name="60 % - Akzent6" xfId="13871" hidden="1" xr:uid="{0398AD18-3CE0-4522-9270-47F3A409B716}"/>
    <cellStyle name="60 % - Akzent6" xfId="13850" hidden="1" xr:uid="{E407711A-3177-4DEF-BAD3-CB3C631FCEBB}"/>
    <cellStyle name="60 % - Akzent6" xfId="11523" hidden="1" xr:uid="{E4BBEE84-64C6-43B7-9018-EAD673E73079}"/>
    <cellStyle name="60 % - Akzent6" xfId="14671" hidden="1" xr:uid="{A5BB9B35-605D-4516-B9AA-99F5C59F87A4}"/>
    <cellStyle name="60 % - Akzent6" xfId="14429" hidden="1" xr:uid="{DCFF5E15-2F0D-40ED-A241-46AD89CC5532}"/>
    <cellStyle name="60 % - Akzent6" xfId="15088" hidden="1" xr:uid="{31A71D8D-E819-4BB5-9298-8C822A72680B}"/>
    <cellStyle name="60 % - Akzent6" xfId="14828" hidden="1" xr:uid="{47B86D9A-25A1-4A77-9287-1C5F902E7E81}"/>
    <cellStyle name="60 % - Akzent6" xfId="14758" hidden="1" xr:uid="{DB320A7E-65C4-4CD4-B476-7D65A3262BB8}"/>
    <cellStyle name="60 % - Akzent6" xfId="15245" hidden="1" xr:uid="{0A160F9A-FA7F-4B7F-AD34-4BB3D63A06C8}"/>
    <cellStyle name="60 % - Akzent6" xfId="15186" hidden="1" xr:uid="{59C2B826-FEA1-4A8C-A395-9C1A45574B70}"/>
    <cellStyle name="60 % - Akzent6" xfId="15535" hidden="1" xr:uid="{C4180F24-CCD4-48CF-A83B-98FCEABD87DB}"/>
    <cellStyle name="60 % - Akzent6" xfId="15512" hidden="1" xr:uid="{1AEC099B-A7FC-4428-BF45-560CF41FD0C1}"/>
    <cellStyle name="60 % - Akzent6" xfId="15642" hidden="1" xr:uid="{90BC376B-F909-4364-97B3-63AE2C550BA0}"/>
    <cellStyle name="60 % - Akzent6" xfId="15146" hidden="1" xr:uid="{FBA9E1FC-BA01-49BB-8E1D-9F8046CE73AF}"/>
    <cellStyle name="60 % - Akzent6" xfId="15282" hidden="1" xr:uid="{9FE3B0B0-E63B-4519-B78A-B2430CD581B7}"/>
    <cellStyle name="60 % - Akzent6" xfId="15894" hidden="1" xr:uid="{FA78A129-E8E2-44F9-9664-EA0D5C1A3FDA}"/>
    <cellStyle name="60 % - Akzent6" xfId="15757" hidden="1" xr:uid="{A52B7D63-AB00-4DB1-87B4-86D8C845912F}"/>
    <cellStyle name="60 % - Akzent6" xfId="16028" hidden="1" xr:uid="{B3684CE3-ED3C-429C-B1C9-821F010FCB4F}"/>
    <cellStyle name="60 % - Akzent6" xfId="16119" hidden="1" xr:uid="{A3DD4306-19F7-4693-8413-4A4B7A231401}"/>
    <cellStyle name="60 % - Akzent6" xfId="16536" hidden="1" xr:uid="{E3619941-B690-48CB-BA12-132EA3C81D5F}"/>
    <cellStyle name="60 % - Akzent6" xfId="17099" hidden="1" xr:uid="{7A65905C-684B-4749-969D-513A63A76F26}"/>
    <cellStyle name="60 % - Akzent6" xfId="17183" hidden="1" xr:uid="{55FB0BE3-64DB-458A-8F0F-F5EF063697DB}"/>
    <cellStyle name="60 % - Akzent6" xfId="17547" hidden="1" xr:uid="{CB8513B8-518F-44F4-AF43-7157E6C4C9D3}"/>
    <cellStyle name="60 % - Akzent6" xfId="17034" hidden="1" xr:uid="{806D1781-7672-48CE-B356-DB3D171881C8}"/>
    <cellStyle name="60 % - Akzent6" xfId="17974" hidden="1" xr:uid="{DF4547C1-6E3F-42C2-94D2-706B4C8498BF}"/>
    <cellStyle name="60 % - Akzent6" xfId="18149" hidden="1" xr:uid="{B688F9DF-369A-4A35-8E64-A903193ADEFD}"/>
    <cellStyle name="60 % - Akzent6" xfId="16266" hidden="1" xr:uid="{CF30CDA0-E370-4F91-BDF9-0A5193BBC4EF}"/>
    <cellStyle name="60 % - Akzent6" xfId="17445" hidden="1" xr:uid="{DC0B077A-7E9E-4653-A2AC-D0B27F8D9B67}"/>
    <cellStyle name="60 % - Akzent6" xfId="17711" hidden="1" xr:uid="{3B9F3138-0AA9-424D-BA3D-DB89AC68EA0B}"/>
    <cellStyle name="60 % - Akzent6" xfId="18357" hidden="1" xr:uid="{8DAFA77B-B4D9-420C-90FF-264D12621D9D}"/>
    <cellStyle name="60 % - Akzent6" xfId="18858" hidden="1" xr:uid="{516DE8B1-AD2C-4C40-9D01-EA0DB2E31ECF}"/>
    <cellStyle name="60 % - Akzent6" xfId="18999" hidden="1" xr:uid="{B9453D9F-D2C9-4A26-812E-721912E7DFFF}"/>
    <cellStyle name="60 % - Akzent6" xfId="17675" hidden="1" xr:uid="{401A6CA3-52B7-4EE6-AC61-267308AB5047}"/>
    <cellStyle name="60 % - Akzent6" xfId="18833" hidden="1" xr:uid="{82355E46-5C1F-4622-802F-AC429A0D7605}"/>
    <cellStyle name="60 % - Akzent6" xfId="19215" hidden="1" xr:uid="{6BDA9D74-90DC-44AD-8675-9CD8604DF343}"/>
    <cellStyle name="60 % - Akzent6" xfId="19314" hidden="1" xr:uid="{F87CBD44-0878-46C0-AC35-B134CB8983E6}"/>
    <cellStyle name="60 % - Akzent6" xfId="19452" hidden="1" xr:uid="{C009B7C2-3FC3-49B9-8BAF-6FD3CC89CA23}"/>
    <cellStyle name="60 % - Akzent6" xfId="19873" hidden="1" xr:uid="{C68806ED-171A-4A90-B58F-3DFEF6BB5057}"/>
    <cellStyle name="60 % - Akzent6" xfId="20453" hidden="1" xr:uid="{19A382CC-557B-48F6-A86E-D87ADC36BB6E}"/>
    <cellStyle name="60 % - Akzent6" xfId="20534" hidden="1" xr:uid="{E24682D7-C7D1-4FC2-B429-48FCCD16882B}"/>
    <cellStyle name="60 % - Akzent6" xfId="20905" hidden="1" xr:uid="{94B44435-0FD1-41DB-8D1E-1CCD023257E2}"/>
    <cellStyle name="60 % - Akzent6" xfId="20313" hidden="1" xr:uid="{585FE1EF-70D1-4CC0-B7A1-E2DF62581AC5}"/>
    <cellStyle name="60 % - Akzent6" xfId="21533" hidden="1" xr:uid="{C8305A87-DDAF-492C-B138-04C27414AD1D}"/>
    <cellStyle name="60 % - Akzent6" xfId="21365" hidden="1" xr:uid="{D607B7ED-64DA-43DB-A98D-F5B61CD2DC75}"/>
    <cellStyle name="60 % - Akzent6" xfId="19378" hidden="1" xr:uid="{7244EA62-B2B1-41C0-80BC-529C231EC1D4}"/>
    <cellStyle name="60 % - Akzent6" xfId="21511" hidden="1" xr:uid="{90849715-A9FC-40B5-9B54-72DED820EA67}"/>
    <cellStyle name="60 % - Akzent6" xfId="21835" hidden="1" xr:uid="{9F059175-1304-469A-9ACA-97E26E3FF0C2}"/>
    <cellStyle name="60 % - Akzent6" xfId="21618" hidden="1" xr:uid="{CE25F425-9756-42A1-820A-4C08C4F2B604}"/>
    <cellStyle name="60 % - Akzent6" xfId="22271" hidden="1" xr:uid="{0F8C44BD-C45B-43C8-9EC6-C869E658FF4A}"/>
    <cellStyle name="60 % - Akzent6" xfId="22196" hidden="1" xr:uid="{AA344303-AB4E-4B8F-9D54-E135B0769AE0}"/>
    <cellStyle name="60 % - Akzent6" xfId="22718" hidden="1" xr:uid="{4A56F0E0-650C-44DC-AD1D-C471495BB784}"/>
    <cellStyle name="60 % - Akzent6" xfId="22889" hidden="1" xr:uid="{71E1C585-FD0C-4DF8-98F1-7E30AD1D4F86}"/>
    <cellStyle name="60 % - Akzent6" xfId="22667" hidden="1" xr:uid="{7992589F-2523-4F43-82E5-12DF358740E4}"/>
    <cellStyle name="60 % - Akzent6" xfId="23135" hidden="1" xr:uid="{93914280-4F4D-40CB-9519-22D3FCD473CD}"/>
    <cellStyle name="60 % - Akzent6" xfId="23281" hidden="1" xr:uid="{05C698F6-D851-4159-AB7C-4A9A6BE60C9D}"/>
    <cellStyle name="60 % - Akzent6" xfId="22651" hidden="1" xr:uid="{0079C10A-9F83-4821-B1DD-A43201C34517}"/>
    <cellStyle name="60 % - Akzent6" xfId="22833" hidden="1" xr:uid="{1BDF9E2A-07F0-443B-9EE7-6A6C5E40D3B3}"/>
    <cellStyle name="60 % - Akzent6" xfId="23603" hidden="1" xr:uid="{BB0E1AC2-641A-4EE9-B03B-5810F61433D0}"/>
    <cellStyle name="60 % - Akzent6" xfId="23510" hidden="1" xr:uid="{67D465E1-0A37-440E-9108-27DD141405B4}"/>
    <cellStyle name="60 % - Akzent6" xfId="23323" hidden="1" xr:uid="{E9FE7B48-9D8D-4818-9E53-2439C12761A0}"/>
    <cellStyle name="60 % - Akzent6" xfId="23695" hidden="1" xr:uid="{04E2312B-D968-4E91-8B74-75202E4F4D30}"/>
    <cellStyle name="60 % - Akzent6" xfId="24080" hidden="1" xr:uid="{6E736014-71CF-442D-B3D1-644FCB456C11}"/>
    <cellStyle name="60 % - Akzent6" xfId="24091" hidden="1" xr:uid="{2973B7C9-62EE-4672-B340-CD50DE87AD5B}"/>
    <cellStyle name="60 % - Akzent6" xfId="24173" hidden="1" xr:uid="{6C666F66-5CEB-4A81-8A7F-712ABE663A8E}"/>
    <cellStyle name="60 % - Akzent6" xfId="24492" hidden="1" xr:uid="{9D47E69B-71AD-4BD0-82D0-908B273C9F9F}"/>
    <cellStyle name="60 % - Akzent6" xfId="25253" hidden="1" xr:uid="{14E478D8-7C00-432C-A916-2553B7EBDC6E}"/>
    <cellStyle name="60 % - Akzent6" xfId="24404" hidden="1" xr:uid="{1E67AAF2-FE50-4416-95C0-B3EF9197CD97}"/>
    <cellStyle name="60 % - Akzent6" xfId="25507" hidden="1" xr:uid="{2DD18C45-9F92-432B-BFEC-F022676407DB}"/>
    <cellStyle name="60 % - Akzent6" xfId="26106" hidden="1" xr:uid="{AFB15E14-4718-404C-8D7D-199290908EA0}"/>
    <cellStyle name="60 % - Akzent6" xfId="26079" hidden="1" xr:uid="{3DFEA587-512F-4E3E-AB45-CEF26719292A}"/>
    <cellStyle name="60 % - Akzent6" xfId="25947" hidden="1" xr:uid="{8FB993B7-A8C7-4C39-AEDC-914D3524B0A1}"/>
    <cellStyle name="60 % - Akzent6" xfId="26478" hidden="1" xr:uid="{B78F208E-37D9-4AEF-9FCB-DE39F901C942}"/>
    <cellStyle name="60 % - Akzent6" xfId="26636" hidden="1" xr:uid="{BB0EF64B-337E-4EE3-9765-5D861503524E}"/>
    <cellStyle name="60 % - Akzent6" xfId="25398" hidden="1" xr:uid="{A8CFE6AE-FA93-44D5-BD04-33635E5E9137}"/>
    <cellStyle name="60 % - Akzent6" xfId="26517" hidden="1" xr:uid="{C7E023CD-8B59-4152-A5A7-E5E2E882AD27}"/>
    <cellStyle name="60 % - Akzent6" xfId="26508" hidden="1" xr:uid="{AFA20DC4-3C6A-4143-9F1C-F08BE136AA8A}"/>
    <cellStyle name="60 % - Akzent6" xfId="24290" hidden="1" xr:uid="{949EED33-9210-476D-A10C-1095B09FB9AA}"/>
    <cellStyle name="60 % - Akzent6" xfId="27652" hidden="1" xr:uid="{0395D08C-C4C1-4F9D-BC49-E444F4DFEB1E}"/>
    <cellStyle name="60 % - Akzent6" xfId="26082" hidden="1" xr:uid="{457127FB-3C05-4222-88C9-657FA32C026A}"/>
    <cellStyle name="60 % - Akzent6" xfId="27858" hidden="1" xr:uid="{DDB2B6C5-2CC0-48D7-9C42-EC108E50CD88}"/>
    <cellStyle name="60 % - Akzent6" xfId="27878" hidden="1" xr:uid="{B60C11B5-42D0-46EA-B86E-495159E457DA}"/>
    <cellStyle name="60 % - Akzent6" xfId="26050" hidden="1" xr:uid="{5D16D725-96FD-4E5B-910B-0FF22EAF560E}"/>
    <cellStyle name="60 % - Akzent6" xfId="26493" hidden="1" xr:uid="{A9382991-95C4-4463-A95D-7A63183E5388}"/>
    <cellStyle name="60 % - Akzent6" xfId="27966" hidden="1" xr:uid="{B4AB3C25-F921-4DDF-9CA4-B64AE77B2962}"/>
    <cellStyle name="60 % - Akzent6" xfId="28334" hidden="1" xr:uid="{602C00D7-A61D-4C2B-A6CE-0B02071BEA6F}"/>
    <cellStyle name="60 % - Akzent6" xfId="28003" hidden="1" xr:uid="{C5CF01DC-A97A-4DE8-B9E3-CA3AEF3A8ADF}"/>
    <cellStyle name="60 % - Akzent6" xfId="29309" hidden="1" xr:uid="{C323E4F3-EB40-4AD8-BCDA-694924C369F6}"/>
    <cellStyle name="60 % - Akzent6" xfId="28031" hidden="1" xr:uid="{6F6F3CFA-E58E-439C-97C6-B828E1623EBE}"/>
    <cellStyle name="60 % - Akzent6" xfId="29518" hidden="1" xr:uid="{78990D93-F78E-4401-91CE-6ABB3631A5B8}"/>
    <cellStyle name="60 % - Akzent6" xfId="30008" hidden="1" xr:uid="{589C45A2-E737-4948-BDE0-993F831257FA}"/>
    <cellStyle name="60 % - Akzent6" xfId="30415" hidden="1" xr:uid="{13B0A503-B252-4761-93A3-9B984AB887C5}"/>
    <cellStyle name="60 % - Akzent6" xfId="30912" hidden="1" xr:uid="{4D117B9E-8B1A-4D49-AC18-B43D1A62D0C5}"/>
    <cellStyle name="60 % - Akzent6" xfId="29368" hidden="1" xr:uid="{7AB994E6-DC68-4F81-B89A-DAF22F412D29}"/>
    <cellStyle name="60 % - Akzent6 2" xfId="390" xr:uid="{ED38029A-1F32-4A55-A543-CE31F5A2AEE6}"/>
    <cellStyle name="60 % - Akzent6 3" xfId="259" xr:uid="{339666D8-D348-4A67-ABD3-E7E3947954EE}"/>
    <cellStyle name="60% - Accent1 2" xfId="97" xr:uid="{F671E5EB-2223-4B55-8E9E-71665E539F5A}"/>
    <cellStyle name="60% - Accent1 3" xfId="211" xr:uid="{19180E92-D422-457F-AEB7-01F1FE79809E}"/>
    <cellStyle name="60% - Accent2 2" xfId="98" xr:uid="{3FA07E09-F688-4C67-87C9-964F2F391B2C}"/>
    <cellStyle name="60% - Accent2 3" xfId="212" xr:uid="{F2F533CA-74D0-4181-83FA-EC20ADBA2042}"/>
    <cellStyle name="60% - Accent3 2" xfId="99" xr:uid="{C386BA72-F2FB-4B34-9E9C-3F66F1B70446}"/>
    <cellStyle name="60% - Accent3 3" xfId="213" xr:uid="{64F7F714-15B3-4776-92AD-5D8F97404597}"/>
    <cellStyle name="60% - Accent4 2" xfId="100" xr:uid="{4AD8EF6C-AD1C-4382-A933-C7E56E31B38D}"/>
    <cellStyle name="60% - Accent4 3" xfId="214" xr:uid="{6DDC0C25-2C7C-47FA-8769-996ED3ECE077}"/>
    <cellStyle name="60% - Accent5 2" xfId="101" xr:uid="{48848F6B-5E09-4BFA-B453-E352BB97E1B1}"/>
    <cellStyle name="60% - Accent5 3" xfId="215" xr:uid="{85B62436-2873-44BF-BFC7-D460DB720E81}"/>
    <cellStyle name="60% - Accent6 2" xfId="102" xr:uid="{2438BFCC-2584-4169-9A49-9ED858DFDD85}"/>
    <cellStyle name="60% - Accent6 3" xfId="216" xr:uid="{F253D282-5120-4135-A02C-BB49C14492F4}"/>
    <cellStyle name="Accent1 2" xfId="103" xr:uid="{4644432D-E8A9-4C99-B0A2-C098E01EF40C}"/>
    <cellStyle name="Accent1 3" xfId="217" xr:uid="{E66D2875-3E78-4A98-9851-C847517E15DC}"/>
    <cellStyle name="Accent1 4" xfId="350" xr:uid="{EA8B0187-D8F3-425C-8633-56220D696D7C}"/>
    <cellStyle name="Accent2 2" xfId="104" xr:uid="{9B4DD576-CEE6-4542-A8D8-BF106841E155}"/>
    <cellStyle name="Accent2 3" xfId="218" xr:uid="{AB7EEFCE-8646-438F-AA2B-B7069CFAACA3}"/>
    <cellStyle name="Accent2 4" xfId="351" xr:uid="{2D40B2FB-46C8-4CB5-8CA4-28331A7B7678}"/>
    <cellStyle name="Accent3 2" xfId="105" xr:uid="{E882D0ED-4B10-49F4-8442-12414EE61A38}"/>
    <cellStyle name="Accent3 3" xfId="219" xr:uid="{BAB48B74-4017-42F2-AC06-5E61E4483344}"/>
    <cellStyle name="Accent3 4" xfId="352" xr:uid="{3E1E25CE-638F-477A-9264-1F6511451003}"/>
    <cellStyle name="Accent4 2" xfId="106" xr:uid="{10FC07CE-9CFA-4DAA-A58A-CDA5A6A0C982}"/>
    <cellStyle name="Accent4 3" xfId="220" xr:uid="{37A1C33B-95AC-4C73-926E-B7FAC49EC28F}"/>
    <cellStyle name="Accent4 4" xfId="353" xr:uid="{10682EF0-88EA-4F80-8574-E1619334F174}"/>
    <cellStyle name="Accent5 2" xfId="107" xr:uid="{289BC1C2-D641-41E7-AF4D-4102C26E72D3}"/>
    <cellStyle name="Accent5 3" xfId="221" xr:uid="{AEA28261-2288-48FC-A5B4-D877C1384C4E}"/>
    <cellStyle name="Accent5 4" xfId="354" xr:uid="{760B3EB4-EA45-448C-82D6-54DE23E728AA}"/>
    <cellStyle name="Accent6 2" xfId="108" xr:uid="{73054212-2C7F-4EE6-8D08-32958EE3B8E7}"/>
    <cellStyle name="Accent6 3" xfId="222" xr:uid="{C73A00F3-4D54-46BE-8D6E-74549833B506}"/>
    <cellStyle name="Accent6 4" xfId="355" xr:uid="{E3D5935D-DFD8-49A5-8C09-F3CB8692F8FD}"/>
    <cellStyle name="AggblueBoldCels" xfId="109" xr:uid="{7D98279E-2B36-4BB5-A7DA-3E1370E63B70}"/>
    <cellStyle name="AggblueBoldCels 2" xfId="110" xr:uid="{EAE765CD-2E53-41CB-81AB-7C30115DE771}"/>
    <cellStyle name="AggblueCels" xfId="34" xr:uid="{CC62676A-58BA-411B-9F13-98D4251778A9}"/>
    <cellStyle name="AggblueCels 2" xfId="111" xr:uid="{ACB74AEE-9A93-423C-A545-ED7E2EC84477}"/>
    <cellStyle name="AggblueCels_1x" xfId="33" xr:uid="{62C9F8B1-1FDC-4CB5-BACF-B503E53A4584}"/>
    <cellStyle name="AggBoldCells" xfId="7" xr:uid="{ECE90527-38B7-4EDE-86E5-CD066C7444DA}"/>
    <cellStyle name="AggBoldCells 2" xfId="112" xr:uid="{38074CF8-6358-4969-8D6F-678F804F8846}"/>
    <cellStyle name="AggBoldCells 3" xfId="192" xr:uid="{7BE98330-DFF1-4803-BB23-AB0BE726EAEA}"/>
    <cellStyle name="AggBoldCells 4" xfId="344" xr:uid="{E4708E72-8C9F-452F-8D5C-9739C63D8800}"/>
    <cellStyle name="AggCels" xfId="10" xr:uid="{F2E58BDF-C996-4301-9038-C15ABD52A2FD}"/>
    <cellStyle name="AggCels 2" xfId="113" xr:uid="{5569A551-3E3D-4C4B-9EDE-4067016F40EF}"/>
    <cellStyle name="AggCels 3" xfId="193" xr:uid="{7134E7D4-5410-4346-AB07-CB7EAA2F35E6}"/>
    <cellStyle name="AggCels 4" xfId="345" xr:uid="{75B0E38B-1AAD-4166-A221-774ED8FEE653}"/>
    <cellStyle name="AggCels_T(2)" xfId="8" xr:uid="{2B1C0887-C83B-4D98-BAD0-82542FE26652}"/>
    <cellStyle name="AggGreen" xfId="24" xr:uid="{D7E77597-1EA6-4E3B-981C-CD40285B9ABC}"/>
    <cellStyle name="AggGreen 2" xfId="114" xr:uid="{5F268720-4959-4378-85EE-DFB7DAB0A84C}"/>
    <cellStyle name="AggGreen 2 2" xfId="403" xr:uid="{3FB5F721-1F69-4FB9-BEEA-66CAA4BAFA3A}"/>
    <cellStyle name="AggGreen 2 2 2" xfId="580" xr:uid="{20B86D32-EFC1-4333-8E5F-D3BBDE1198BC}"/>
    <cellStyle name="AggGreen 2 2 2 10" xfId="4993" xr:uid="{6513F2B4-948A-4BD2-9950-9DA6F32BCE2D}"/>
    <cellStyle name="AggGreen 2 2 2 11" xfId="5228" xr:uid="{3CE2FC68-E5CD-49C2-A6AE-FA8329385433}"/>
    <cellStyle name="AggGreen 2 2 2 12" xfId="5763" xr:uid="{F9CF2B82-A2B6-41B4-8AC4-F9BAAB9A0CFE}"/>
    <cellStyle name="AggGreen 2 2 2 13" xfId="3803" xr:uid="{D7918364-952E-439F-8A8B-62634F3A95E2}"/>
    <cellStyle name="AggGreen 2 2 2 14" xfId="5864" xr:uid="{ABAF340A-82C5-411C-9742-22A8EC387CEE}"/>
    <cellStyle name="AggGreen 2 2 2 15" xfId="7300" xr:uid="{6895CBAD-92BC-4889-99C8-383B9C551C50}"/>
    <cellStyle name="AggGreen 2 2 2 16" xfId="8020" xr:uid="{88F4C0F9-E1B7-4754-9476-B23F339EA340}"/>
    <cellStyle name="AggGreen 2 2 2 17" xfId="7184" xr:uid="{6811978A-F82C-4367-8FE7-038F8F1CFDFE}"/>
    <cellStyle name="AggGreen 2 2 2 18" xfId="8247" xr:uid="{5A3C223D-0961-4A0C-A96E-D19C43F8EAE6}"/>
    <cellStyle name="AggGreen 2 2 2 19" xfId="9514" xr:uid="{5DF3C190-71B3-4BB7-9405-7696048D3BCA}"/>
    <cellStyle name="AggGreen 2 2 2 2" xfId="795" xr:uid="{6E4C33D3-6149-41D4-8D20-DAD9A51DE70A}"/>
    <cellStyle name="AggGreen 2 2 2 2 10" xfId="5443" xr:uid="{42BA3E57-2FCA-4407-AC48-B2141194F9D6}"/>
    <cellStyle name="AggGreen 2 2 2 2 11" xfId="3717" xr:uid="{509859D7-EA1D-4A1B-AE04-F1573007860E}"/>
    <cellStyle name="AggGreen 2 2 2 2 12" xfId="6168" xr:uid="{E252643C-E03D-453D-B2C5-6D9A89E19E38}"/>
    <cellStyle name="AggGreen 2 2 2 2 13" xfId="6685" xr:uid="{8EE2EF94-352B-469E-9181-8F35A514EB92}"/>
    <cellStyle name="AggGreen 2 2 2 2 14" xfId="7515" xr:uid="{FCBA744C-FED4-4C77-987E-0422B4E3A40F}"/>
    <cellStyle name="AggGreen 2 2 2 2 15" xfId="7966" xr:uid="{40C6CBE8-0344-4D0F-8E17-812759C0B959}"/>
    <cellStyle name="AggGreen 2 2 2 2 16" xfId="8117" xr:uid="{EF9B6B55-BF68-48D7-B93E-8FA40FB1D624}"/>
    <cellStyle name="AggGreen 2 2 2 2 17" xfId="8891" xr:uid="{8C0E17B1-17D7-4940-9C29-E0AD142C4A94}"/>
    <cellStyle name="AggGreen 2 2 2 2 18" xfId="9729" xr:uid="{DEBBF4CA-557C-4DF0-8734-23BCB6C8B82B}"/>
    <cellStyle name="AggGreen 2 2 2 2 19" xfId="10182" xr:uid="{7810C334-AF92-4087-BF40-0D30EE85BADB}"/>
    <cellStyle name="AggGreen 2 2 2 2 2" xfId="1269" xr:uid="{BB215E9C-52EB-4F51-B1A5-450D78E6D519}"/>
    <cellStyle name="AggGreen 2 2 2 2 20" xfId="10589" xr:uid="{131AD822-B130-4D88-B4D1-0AEA8AD71AB9}"/>
    <cellStyle name="AggGreen 2 2 2 2 21" xfId="10493" xr:uid="{7C8009EA-6191-4C14-9BE5-13CCA3C4B119}"/>
    <cellStyle name="AggGreen 2 2 2 2 22" xfId="11302" xr:uid="{190F082D-3459-46A6-9B4B-AED93924C023}"/>
    <cellStyle name="AggGreen 2 2 2 2 23" xfId="12148" xr:uid="{BF85FBE2-EF99-482F-B742-D8EE68FD0026}"/>
    <cellStyle name="AggGreen 2 2 2 2 24" xfId="12621" xr:uid="{1C828C0E-98AD-443B-A262-75B66270DEFD}"/>
    <cellStyle name="AggGreen 2 2 2 2 25" xfId="13055" xr:uid="{E84B08B9-FA93-435C-BB5F-11AA97FE549B}"/>
    <cellStyle name="AggGreen 2 2 2 2 26" xfId="13492" xr:uid="{51213143-2E4C-44B9-93BC-DB0BD229696B}"/>
    <cellStyle name="AggGreen 2 2 2 2 27" xfId="13766" xr:uid="{A7C52DEB-CFD7-496C-806F-7B25C88ADC14}"/>
    <cellStyle name="AggGreen 2 2 2 2 28" xfId="13841" xr:uid="{C0B618A6-9CBF-40B0-9203-DA475902F368}"/>
    <cellStyle name="AggGreen 2 2 2 2 29" xfId="14832" xr:uid="{09EF09FC-A642-4805-9B20-B71CD5F3DA4B}"/>
    <cellStyle name="AggGreen 2 2 2 2 3" xfId="1557" xr:uid="{BEFFA260-DA9F-4EFF-8B2C-1949DDD1C0DE}"/>
    <cellStyle name="AggGreen 2 2 2 2 30" xfId="14543" xr:uid="{C0C2BF32-2CA4-45A5-A2F1-4AA532C832FC}"/>
    <cellStyle name="AggGreen 2 2 2 2 31" xfId="15684" xr:uid="{D54C1101-4E15-4304-B452-1274139A5961}"/>
    <cellStyle name="AggGreen 2 2 2 2 32" xfId="15951" xr:uid="{A9119AB1-21F4-40FA-B318-746D5C139C27}"/>
    <cellStyle name="AggGreen 2 2 2 2 33" xfId="16840" xr:uid="{CE7FF91A-129B-401D-9A07-F63066110FD4}"/>
    <cellStyle name="AggGreen 2 2 2 2 34" xfId="17303" xr:uid="{08142BBB-984F-4211-9F14-C213FFA92AD6}"/>
    <cellStyle name="AggGreen 2 2 2 2 35" xfId="17746" xr:uid="{71FBE384-A90D-454F-A2C4-8281F33A81A4}"/>
    <cellStyle name="AggGreen 2 2 2 2 36" xfId="18261" xr:uid="{C5EE9C1F-2F5D-4370-BA84-938B379364CB}"/>
    <cellStyle name="AggGreen 2 2 2 2 37" xfId="18658" xr:uid="{734575D5-2B68-48D6-A57B-8B84B874AB8D}"/>
    <cellStyle name="AggGreen 2 2 2 2 38" xfId="19085" xr:uid="{30B84DF1-1A10-40CA-B34C-F480B06E549C}"/>
    <cellStyle name="AggGreen 2 2 2 2 39" xfId="18821" xr:uid="{00F4DA01-7323-4BD1-AA3A-41ECC1A89707}"/>
    <cellStyle name="AggGreen 2 2 2 2 4" xfId="2617" xr:uid="{17B1051A-54D1-47ED-836E-8FE24AE31D40}"/>
    <cellStyle name="AggGreen 2 2 2 2 40" xfId="20177" xr:uid="{A6A9C04D-04A6-4C35-9C91-6F7EF0AFE19A}"/>
    <cellStyle name="AggGreen 2 2 2 2 41" xfId="20653" xr:uid="{F180EC66-9B44-4FFE-8AC4-A29DC71F18D7}"/>
    <cellStyle name="AggGreen 2 2 2 2 42" xfId="21110" xr:uid="{DD5A39C0-47E0-4D75-9F52-33FBA1131DC7}"/>
    <cellStyle name="AggGreen 2 2 2 2 43" xfId="21361" xr:uid="{51E68354-E931-4DBC-AEB1-AA48C5063A9A}"/>
    <cellStyle name="AggGreen 2 2 2 2 44" xfId="22041" xr:uid="{72EC1C47-3554-41E1-902C-06DA5DAB9149}"/>
    <cellStyle name="AggGreen 2 2 2 2 45" xfId="22470" xr:uid="{4CB50D60-8A14-4FE6-BD15-54B3BDF69FD9}"/>
    <cellStyle name="AggGreen 2 2 2 2 46" xfId="22760" xr:uid="{AA688DA1-D75E-455F-A996-2B016647BD1F}"/>
    <cellStyle name="AggGreen 2 2 2 2 47" xfId="23363" xr:uid="{4E4BBE37-5289-4B69-B1E4-E8BD305F9E23}"/>
    <cellStyle name="AggGreen 2 2 2 2 48" xfId="21801" xr:uid="{95E548B1-2B66-4E68-8723-355DCA8ACF7D}"/>
    <cellStyle name="AggGreen 2 2 2 2 49" xfId="23977" xr:uid="{BFBBD888-0096-42FB-8EE0-BD51B81425D4}"/>
    <cellStyle name="AggGreen 2 2 2 2 5" xfId="2933" xr:uid="{FEB23333-09BC-427D-B8AF-F6A6C2064E51}"/>
    <cellStyle name="AggGreen 2 2 2 2 50" xfId="24885" xr:uid="{C4943596-87A1-47E7-8D71-65CDEFEB7609}"/>
    <cellStyle name="AggGreen 2 2 2 2 51" xfId="25357" xr:uid="{7C193800-3F8A-4AC1-8AFD-F43FF7DAE0C3}"/>
    <cellStyle name="AggGreen 2 2 2 2 52" xfId="25801" xr:uid="{52FB2AE6-5C2B-444F-AC62-42E050646CBF}"/>
    <cellStyle name="AggGreen 2 2 2 2 53" xfId="26065" xr:uid="{417F8AB6-3570-41E1-911B-760EFBB4E8F8}"/>
    <cellStyle name="AggGreen 2 2 2 2 54" xfId="26567" xr:uid="{A5AB7C0F-A108-4931-A45B-480FB9BE4340}"/>
    <cellStyle name="AggGreen 2 2 2 2 55" xfId="27089" xr:uid="{6E879A40-5B6A-4005-8273-CFEB11E358D2}"/>
    <cellStyle name="AggGreen 2 2 2 2 56" xfId="27508" xr:uid="{4A2BC10E-6716-41CC-9C97-06EA8011612D}"/>
    <cellStyle name="AggGreen 2 2 2 2 57" xfId="25994" xr:uid="{9DAECD04-E5B1-4600-A0AF-0E4CC8437145}"/>
    <cellStyle name="AggGreen 2 2 2 2 58" xfId="28635" xr:uid="{02993B16-3771-483C-9CBC-C09176B76EE1}"/>
    <cellStyle name="AggGreen 2 2 2 2 59" xfId="29102" xr:uid="{E13A906D-C4C3-4922-A5D8-37BD92F242EF}"/>
    <cellStyle name="AggGreen 2 2 2 2 6" xfId="1824" xr:uid="{1C78A123-A07F-4F6A-97C9-EA4C1810263A}"/>
    <cellStyle name="AggGreen 2 2 2 2 60" xfId="29481" xr:uid="{ABEF10AC-0853-4DC2-804B-F644288D5269}"/>
    <cellStyle name="AggGreen 2 2 2 2 61" xfId="29891" xr:uid="{EF99BFF1-B4A5-4C7D-B9D2-E1FBA62481E7}"/>
    <cellStyle name="AggGreen 2 2 2 2 62" xfId="30297" xr:uid="{FA7A4F5C-32E0-4A73-9A35-CC937B4993A0}"/>
    <cellStyle name="AggGreen 2 2 2 2 63" xfId="30714" xr:uid="{C6A04B0D-28C9-4485-BE53-9B6836A643E0}"/>
    <cellStyle name="AggGreen 2 2 2 2 64" xfId="30408" xr:uid="{6B0D0B95-C9D7-4AE9-BF7A-3EBC179E6E54}"/>
    <cellStyle name="AggGreen 2 2 2 2 65" xfId="31330" xr:uid="{30FEF42F-518B-410A-AC05-CC91948A75CB}"/>
    <cellStyle name="AggGreen 2 2 2 2 7" xfId="4113" xr:uid="{7D9413EE-241B-4099-A498-D3B0F3E8A855}"/>
    <cellStyle name="AggGreen 2 2 2 2 8" xfId="4550" xr:uid="{B7F4F629-6E6C-4736-AD74-95D6A259E9BB}"/>
    <cellStyle name="AggGreen 2 2 2 2 9" xfId="3029" xr:uid="{058602AE-95AE-4949-89FA-0BADABD7152C}"/>
    <cellStyle name="AggGreen 2 2 2 20" xfId="10239" xr:uid="{E1D0AC4F-8BF4-4B9B-8BEE-0185B58D2871}"/>
    <cellStyle name="AggGreen 2 2 2 21" xfId="10635" xr:uid="{FC99A8B3-D285-4EE7-83F8-8B786A5D7EAF}"/>
    <cellStyle name="AggGreen 2 2 2 22" xfId="9150" xr:uid="{8741F3B7-67DD-41D9-BA52-81065C0AE218}"/>
    <cellStyle name="AggGreen 2 2 2 23" xfId="10839" xr:uid="{0255F208-6C96-4045-B221-24251698C312}"/>
    <cellStyle name="AggGreen 2 2 2 24" xfId="11933" xr:uid="{F923A3FC-FD9A-43C6-9F0A-E0FEDB8CC51E}"/>
    <cellStyle name="AggGreen 2 2 2 25" xfId="12406" xr:uid="{7F0E4B28-640D-46F4-A85F-55C4EEC5F820}"/>
    <cellStyle name="AggGreen 2 2 2 26" xfId="12840" xr:uid="{2B7A2646-2E00-4255-9A98-6B25E4471A10}"/>
    <cellStyle name="AggGreen 2 2 2 27" xfId="13277" xr:uid="{34CD977B-F389-4740-9881-68B1033B9069}"/>
    <cellStyle name="AggGreen 2 2 2 28" xfId="11514" xr:uid="{2A623F3A-3DEE-4682-9E4B-AFF13C499FC1}"/>
    <cellStyle name="AggGreen 2 2 2 29" xfId="14208" xr:uid="{EFCF9EDA-0A9F-496A-81CE-109488022FA4}"/>
    <cellStyle name="AggGreen 2 2 2 3" xfId="1063" xr:uid="{3445CC69-9D11-469D-BF49-390D8BB3999C}"/>
    <cellStyle name="AggGreen 2 2 2 30" xfId="14857" xr:uid="{085FF25F-49C3-4F75-816C-9872E614EBC1}"/>
    <cellStyle name="AggGreen 2 2 2 31" xfId="14946" xr:uid="{F5447753-D5D6-46E9-A089-95FA45FE9C95}"/>
    <cellStyle name="AggGreen 2 2 2 32" xfId="15630" xr:uid="{552D1048-BE98-4B53-B68E-B845567D262A}"/>
    <cellStyle name="AggGreen 2 2 2 33" xfId="15981" xr:uid="{AB0A7EFC-4DE4-4536-A567-657FF1A88C46}"/>
    <cellStyle name="AggGreen 2 2 2 34" xfId="16625" xr:uid="{7BC64EDC-B2AF-4291-93B2-485D4138DFFF}"/>
    <cellStyle name="AggGreen 2 2 2 35" xfId="17360" xr:uid="{E0250DC2-5E33-454C-9721-16DB8092A5CA}"/>
    <cellStyle name="AggGreen 2 2 2 36" xfId="17802" xr:uid="{B6336E47-304D-49BF-AAB4-09233942C5C2}"/>
    <cellStyle name="AggGreen 2 2 2 37" xfId="17736" xr:uid="{FE597B45-DC25-4317-AA37-3EE6D1B8C457}"/>
    <cellStyle name="AggGreen 2 2 2 38" xfId="18443" xr:uid="{6B77E465-2976-4D86-A19C-C128DF9C26B9}"/>
    <cellStyle name="AggGreen 2 2 2 39" xfId="17541" xr:uid="{2006279F-7C80-4738-9DBC-E278A8FC9422}"/>
    <cellStyle name="AggGreen 2 2 2 4" xfId="1711" xr:uid="{D9BC716D-58C0-4E40-8AD0-7A419C2E6CD7}"/>
    <cellStyle name="AggGreen 2 2 2 40" xfId="18215" xr:uid="{86F818B4-5826-4F76-9852-E5DD91237BAC}"/>
    <cellStyle name="AggGreen 2 2 2 41" xfId="19962" xr:uid="{8C2D33B5-7E85-4840-B49D-5BEF020D2E76}"/>
    <cellStyle name="AggGreen 2 2 2 42" xfId="20710" xr:uid="{10F1B4F0-0165-4B26-BB62-1CC685D20412}"/>
    <cellStyle name="AggGreen 2 2 2 43" xfId="21168" xr:uid="{81E4F642-1268-4B91-AFB4-3F3AA7F3ABF1}"/>
    <cellStyle name="AggGreen 2 2 2 44" xfId="20494" xr:uid="{A13C61C3-DE6A-47DA-BCB1-ECE8CE95807E}"/>
    <cellStyle name="AggGreen 2 2 2 45" xfId="22099" xr:uid="{78B7B436-7DA3-4E16-8A71-6203A86C6111}"/>
    <cellStyle name="AggGreen 2 2 2 46" xfId="22527" xr:uid="{3971DE8E-65DC-448F-A463-6EA21C4ACADD}"/>
    <cellStyle name="AggGreen 2 2 2 47" xfId="22180" xr:uid="{E162FD28-61DE-410F-945B-05D52D289DFC}"/>
    <cellStyle name="AggGreen 2 2 2 48" xfId="22786" xr:uid="{AE068009-D56C-4017-B1DA-C35C46C593E9}"/>
    <cellStyle name="AggGreen 2 2 2 49" xfId="23328" xr:uid="{86F20D0F-4EF1-421F-B75D-B85EA0B29F3A}"/>
    <cellStyle name="AggGreen 2 2 2 5" xfId="2402" xr:uid="{5E54BE8F-70E8-4BF0-86E8-1CA8ED23120E}"/>
    <cellStyle name="AggGreen 2 2 2 50" xfId="23771" xr:uid="{DC39D857-CE64-4CCD-9E26-717DBEF17384}"/>
    <cellStyle name="AggGreen 2 2 2 51" xfId="24670" xr:uid="{ED70E45D-BEF0-4E63-9F49-722100AABD4E}"/>
    <cellStyle name="AggGreen 2 2 2 52" xfId="25414" xr:uid="{5A6A4A5F-EB5D-4905-B463-D87CA479B5F0}"/>
    <cellStyle name="AggGreen 2 2 2 53" xfId="25588" xr:uid="{B84834E9-0721-4A25-9296-2E63AC6E80EC}"/>
    <cellStyle name="AggGreen 2 2 2 54" xfId="25389" xr:uid="{D47DC0C3-23BB-478F-87E1-A94FB5AAE200}"/>
    <cellStyle name="AggGreen 2 2 2 55" xfId="24451" xr:uid="{B523D28A-3F91-436D-89CD-4FAE2AF65BB4}"/>
    <cellStyle name="AggGreen 2 2 2 56" xfId="26878" xr:uid="{0CFBF22A-E5DD-4B43-8A0D-AA706F680A55}"/>
    <cellStyle name="AggGreen 2 2 2 57" xfId="27297" xr:uid="{B787D035-2E1B-4BB6-99BF-56977D5F5F2C}"/>
    <cellStyle name="AggGreen 2 2 2 58" xfId="25482" xr:uid="{56550357-CFD7-4FA1-A157-296F01D0AEA6}"/>
    <cellStyle name="AggGreen 2 2 2 59" xfId="28420" xr:uid="{2815EB95-05E0-4BFF-9082-AA08460A538E}"/>
    <cellStyle name="AggGreen 2 2 2 6" xfId="2072" xr:uid="{9DA1312F-E8A9-48A0-939F-2C877BD4E2D0}"/>
    <cellStyle name="AggGreen 2 2 2 60" xfId="28888" xr:uid="{00A508E0-95DB-4375-9E75-66F365B25ABA}"/>
    <cellStyle name="AggGreen 2 2 2 61" xfId="29528" xr:uid="{25FAA32F-0D51-4D96-863A-00B05A0F69B5}"/>
    <cellStyle name="AggGreen 2 2 2 62" xfId="29678" xr:uid="{F46B916F-6817-4B12-B6E0-D8225E942D07}"/>
    <cellStyle name="AggGreen 2 2 2 63" xfId="30086" xr:uid="{E27CC46E-7BCB-4CED-A546-1D0A5FDA0AFD}"/>
    <cellStyle name="AggGreen 2 2 2 64" xfId="30500" xr:uid="{774239D4-C530-405F-8B11-DE2E82A18D32}"/>
    <cellStyle name="AggGreen 2 2 2 65" xfId="28011" xr:uid="{67659F4C-F9D9-4C2A-86C9-4E0CBF6D3593}"/>
    <cellStyle name="AggGreen 2 2 2 66" xfId="31124" xr:uid="{43DBB919-0502-4DDE-A0E8-097121A1C6F2}"/>
    <cellStyle name="AggGreen 2 2 2 7" xfId="3315" xr:uid="{07E1F128-C50D-408A-8382-37C122C80908}"/>
    <cellStyle name="AggGreen 2 2 2 8" xfId="3898" xr:uid="{78AB2706-FC55-48E2-96CD-2E615F5D0ED1}"/>
    <cellStyle name="AggGreen 2 2 2 9" xfId="4336" xr:uid="{BF184313-06FA-43C0-A78A-324162A4EDF4}"/>
    <cellStyle name="AggGreen 2 2 3" xfId="710" xr:uid="{FF87A847-1BB8-4D78-8B2A-CAB92C3B5652}"/>
    <cellStyle name="AggGreen 2 2 3 10" xfId="5358" xr:uid="{97C81AAC-9A00-46E7-8FFF-EDF5745F0028}"/>
    <cellStyle name="AggGreen 2 2 3 11" xfId="5865" xr:uid="{FDDE937E-82FB-4923-A6FD-693A1201AB9B}"/>
    <cellStyle name="AggGreen 2 2 3 12" xfId="6137" xr:uid="{5F03D144-F8B1-44E5-A0D9-951CB1A1C517}"/>
    <cellStyle name="AggGreen 2 2 3 13" xfId="6339" xr:uid="{E0E637D9-2605-4037-80F7-6F7014B3F15C}"/>
    <cellStyle name="AggGreen 2 2 3 14" xfId="7430" xr:uid="{D286055F-CE04-4A0F-A959-3DFB88ACA79F}"/>
    <cellStyle name="AggGreen 2 2 3 15" xfId="7810" xr:uid="{BB2048EE-F037-444C-90AC-0CBB53C76DF2}"/>
    <cellStyle name="AggGreen 2 2 3 16" xfId="8327" xr:uid="{FE169749-4974-4D1D-9A82-F82DD5905AC0}"/>
    <cellStyle name="AggGreen 2 2 3 17" xfId="8164" xr:uid="{FF1DB64D-1129-4E9E-8D97-C09BCF66C0A5}"/>
    <cellStyle name="AggGreen 2 2 3 18" xfId="9644" xr:uid="{9A2F99E3-56B2-4271-B2A9-5E862DFB05F3}"/>
    <cellStyle name="AggGreen 2 2 3 19" xfId="10023" xr:uid="{250F3B2F-B58D-497D-94A0-F48E2F65D57F}"/>
    <cellStyle name="AggGreen 2 2 3 2" xfId="1184" xr:uid="{73913C7B-9CD4-46B3-A408-FD829ED5C211}"/>
    <cellStyle name="AggGreen 2 2 3 20" xfId="10444" xr:uid="{B74D754C-DAC2-4623-B20B-E56D4178E8E6}"/>
    <cellStyle name="AggGreen 2 2 3 21" xfId="10989" xr:uid="{15D847C4-1B8A-470B-9718-A7D12C9B6BA9}"/>
    <cellStyle name="AggGreen 2 2 3 22" xfId="9362" xr:uid="{8468B5AF-8040-4D83-962A-CF196C385153}"/>
    <cellStyle name="AggGreen 2 2 3 23" xfId="12063" xr:uid="{3D613690-6BBF-45B1-A701-21BB4928A834}"/>
    <cellStyle name="AggGreen 2 2 3 24" xfId="12536" xr:uid="{46E74D4F-CB36-4D8C-8895-FD2932A3B211}"/>
    <cellStyle name="AggGreen 2 2 3 25" xfId="12970" xr:uid="{8F31B99A-0D4A-42A5-9B7C-BC14317F9BF7}"/>
    <cellStyle name="AggGreen 2 2 3 26" xfId="13407" xr:uid="{70CD1DFA-DB2E-46E9-97A1-08042590FB90}"/>
    <cellStyle name="AggGreen 2 2 3 27" xfId="13845" xr:uid="{40AF4E1F-3C62-4AC5-BA09-9800B33F5320}"/>
    <cellStyle name="AggGreen 2 2 3 28" xfId="14198" xr:uid="{BCBFBBA9-5268-49EA-AAD1-40AFC2769D6B}"/>
    <cellStyle name="AggGreen 2 2 3 29" xfId="14678" xr:uid="{02ED9EB5-AC4F-498F-8984-ED8DCA35DF20}"/>
    <cellStyle name="AggGreen 2 2 3 3" xfId="1365" xr:uid="{76DFD927-7DC8-4F7E-8EEC-DB83D24B51AA}"/>
    <cellStyle name="AggGreen 2 2 3 30" xfId="15243" xr:uid="{C45A8C1B-1433-41FC-B6E9-108602036BE2}"/>
    <cellStyle name="AggGreen 2 2 3 31" xfId="14898" xr:uid="{56D66371-609B-4A0B-A2DD-79B1C58E2F49}"/>
    <cellStyle name="AggGreen 2 2 3 32" xfId="15863" xr:uid="{3603C86B-E7BB-4976-819E-8C237A464802}"/>
    <cellStyle name="AggGreen 2 2 3 33" xfId="16755" xr:uid="{78EBE237-2BF9-4907-BB17-8B73D23C7BC0}"/>
    <cellStyle name="AggGreen 2 2 3 34" xfId="17140" xr:uid="{76168FA7-481A-462A-B775-82A515E2F3CD}"/>
    <cellStyle name="AggGreen 2 2 3 35" xfId="17587" xr:uid="{2988C429-08B8-44B8-B5CF-AC821498FE7B}"/>
    <cellStyle name="AggGreen 2 2 3 36" xfId="17586" xr:uid="{E374D01F-8A74-41EE-9AD2-CB6C6CF2BDDA}"/>
    <cellStyle name="AggGreen 2 2 3 37" xfId="18573" xr:uid="{EA11FC0C-3F12-4326-B77D-120817CF6BF3}"/>
    <cellStyle name="AggGreen 2 2 3 38" xfId="18754" xr:uid="{446D16E4-F3BE-429F-9396-BCBB0B075386}"/>
    <cellStyle name="AggGreen 2 2 3 39" xfId="19332" xr:uid="{1912ADF1-A649-4D50-B82B-D76D23461283}"/>
    <cellStyle name="AggGreen 2 2 3 4" xfId="2532" xr:uid="{B5D4F049-D5B2-44EC-ACE2-7CA4D0A9B38D}"/>
    <cellStyle name="AggGreen 2 2 3 40" xfId="20092" xr:uid="{9062FEAD-76C5-4F14-B24F-B66D2E5D05E4}"/>
    <cellStyle name="AggGreen 2 2 3 41" xfId="20493" xr:uid="{492AA66F-3C03-4013-80AB-7361B69B98A3}"/>
    <cellStyle name="AggGreen 2 2 3 42" xfId="20947" xr:uid="{7F0A7E11-AA44-48D5-855A-5DB98B9D666E}"/>
    <cellStyle name="AggGreen 2 2 3 43" xfId="21633" xr:uid="{FA7611B6-D25D-4D3E-963C-450DF4F9DCA3}"/>
    <cellStyle name="AggGreen 2 2 3 44" xfId="21876" xr:uid="{ECA1328E-E55A-49B1-A2FE-03458EC64AA4}"/>
    <cellStyle name="AggGreen 2 2 3 45" xfId="22312" xr:uid="{8E62816E-0BDC-41B7-A503-7E45EF3E171B}"/>
    <cellStyle name="AggGreen 2 2 3 46" xfId="22830" xr:uid="{FC9778BE-13DB-4848-A3CA-725625A0C5A7}"/>
    <cellStyle name="AggGreen 2 2 3 47" xfId="22910" xr:uid="{87085E0F-346F-49B2-B8E1-C70DCBA2A39D}"/>
    <cellStyle name="AggGreen 2 2 3 48" xfId="23540" xr:uid="{A3AEFD72-9FC0-4F0C-B5A6-109A3AF3B98A}"/>
    <cellStyle name="AggGreen 2 2 3 49" xfId="23892" xr:uid="{CA308E92-C292-4F11-8984-FA27E114BC54}"/>
    <cellStyle name="AggGreen 2 2 3 5" xfId="3011" xr:uid="{ADAF2871-7CBF-4628-8CF8-1C5AE87AAFBB}"/>
    <cellStyle name="AggGreen 2 2 3 50" xfId="24800" xr:uid="{17D7ED29-5CE3-4D77-ADFB-C021AC34E65A}"/>
    <cellStyle name="AggGreen 2 2 3 51" xfId="25201" xr:uid="{DCF8842D-188E-4905-8CBC-1D36CE5A2A1C}"/>
    <cellStyle name="AggGreen 2 2 3 52" xfId="25716" xr:uid="{62D2790A-F488-4860-A3A5-61247E39C069}"/>
    <cellStyle name="AggGreen 2 2 3 53" xfId="26135" xr:uid="{FA22D297-D5E9-47C9-AC1C-5D707182843F}"/>
    <cellStyle name="AggGreen 2 2 3 54" xfId="26353" xr:uid="{4DA54B76-87F6-40B2-B408-068ED4AFB2AC}"/>
    <cellStyle name="AggGreen 2 2 3 55" xfId="27004" xr:uid="{86935D38-5474-4609-A235-CE4D18A5E2F4}"/>
    <cellStyle name="AggGreen 2 2 3 56" xfId="27423" xr:uid="{6AEEBCF8-F45E-45CB-BC37-6A4FF1D6DA8D}"/>
    <cellStyle name="AggGreen 2 2 3 57" xfId="27657" xr:uid="{E6561064-A4C8-4D69-8BD6-C662E12B0838}"/>
    <cellStyle name="AggGreen 2 2 3 58" xfId="28550" xr:uid="{06090289-0F06-4D84-8EAB-F07EA7754B29}"/>
    <cellStyle name="AggGreen 2 2 3 59" xfId="29017" xr:uid="{2D79BFE0-42D5-43F2-9901-A856C3C292BD}"/>
    <cellStyle name="AggGreen 2 2 3 6" xfId="3685" xr:uid="{0F26CE9E-65CE-481D-8068-CBB306F87C3D}"/>
    <cellStyle name="AggGreen 2 2 3 60" xfId="29344" xr:uid="{B899B55D-2BA3-49E1-8FF7-C3F2D1C43346}"/>
    <cellStyle name="AggGreen 2 2 3 61" xfId="29806" xr:uid="{A843F3D9-B220-4D71-8C77-2FC75E17A2E2}"/>
    <cellStyle name="AggGreen 2 2 3 62" xfId="30212" xr:uid="{703DEB87-BA40-4F91-9BB2-820C4C3D0CA8}"/>
    <cellStyle name="AggGreen 2 2 3 63" xfId="30629" xr:uid="{37597706-DCDD-4B5A-9910-C06D89FFDC19}"/>
    <cellStyle name="AggGreen 2 2 3 64" xfId="30830" xr:uid="{7961E245-19C5-4999-8044-C2767827A0F6}"/>
    <cellStyle name="AggGreen 2 2 3 65" xfId="31245" xr:uid="{A787E3FA-4D2B-4B70-B2AE-1C414E1A3AB6}"/>
    <cellStyle name="AggGreen 2 2 3 7" xfId="4028" xr:uid="{D10D1643-C66D-4570-8DF2-766C6525FD3B}"/>
    <cellStyle name="AggGreen 2 2 3 8" xfId="4465" xr:uid="{7C1D53A9-9246-41D2-BBCC-86B41549F554}"/>
    <cellStyle name="AggGreen 2 2 3 9" xfId="4983" xr:uid="{15E921AB-F132-4352-9DD5-1D7933E6CE3A}"/>
    <cellStyle name="AggGreen 2 3" xfId="261" xr:uid="{0E3E3B2A-8D19-45B0-8700-2C9C5497068E}"/>
    <cellStyle name="AggGreen 2 3 10" xfId="2856" xr:uid="{BB0D0F71-F367-44E2-A29E-3B9442416301}"/>
    <cellStyle name="AggGreen 2 3 11" xfId="3827" xr:uid="{3A8BF893-D90B-4EAF-B3BE-20A5F9CEB53C}"/>
    <cellStyle name="AggGreen 2 3 12" xfId="3807" xr:uid="{49C2C410-046A-4DFB-85E8-AD2CC8439FD3}"/>
    <cellStyle name="AggGreen 2 3 13" xfId="4660" xr:uid="{C040EB15-5596-41F4-806B-D928E1573FD7}"/>
    <cellStyle name="AggGreen 2 3 14" xfId="4754" xr:uid="{1A7BDA48-2FFF-47FA-BA73-913B1107C140}"/>
    <cellStyle name="AggGreen 2 3 15" xfId="4695" xr:uid="{DCB730A8-D830-41BD-9B67-D4B8208E8FB3}"/>
    <cellStyle name="AggGreen 2 3 16" xfId="4716" xr:uid="{741CEB32-50DD-4BD0-B25E-2C53AB210447}"/>
    <cellStyle name="AggGreen 2 3 17" xfId="6991" xr:uid="{5D183B60-6C8E-4468-9200-6F7F86EE5A1B}"/>
    <cellStyle name="AggGreen 2 3 18" xfId="7646" xr:uid="{F0684BF9-5E18-45D4-99E6-AA274D3269FE}"/>
    <cellStyle name="AggGreen 2 3 19" xfId="8123" xr:uid="{56761A98-BECA-4D48-B391-D22F4AA507A2}"/>
    <cellStyle name="AggGreen 2 3 2" xfId="600" xr:uid="{0B092B21-96D7-4EF8-BDDB-FCAB125E63A5}"/>
    <cellStyle name="AggGreen 2 3 2 10" xfId="4756" xr:uid="{F30B3033-9912-4429-BD10-BD036C8B0475}"/>
    <cellStyle name="AggGreen 2 3 2 11" xfId="5248" xr:uid="{96E4F923-2CC1-4A1D-B52C-44291AF3D1BE}"/>
    <cellStyle name="AggGreen 2 3 2 12" xfId="5115" xr:uid="{97F72A38-396D-4E32-A584-02D5D312966F}"/>
    <cellStyle name="AggGreen 2 3 2 13" xfId="6129" xr:uid="{C246BAE7-4F34-4E96-8439-C21EDAC9A7B9}"/>
    <cellStyle name="AggGreen 2 3 2 14" xfId="3800" xr:uid="{ED3551F2-1B62-49C6-9E20-60E253D8F89C}"/>
    <cellStyle name="AggGreen 2 3 2 15" xfId="7320" xr:uid="{9DFD6DEF-3C32-408F-8EE4-54065D8BA22A}"/>
    <cellStyle name="AggGreen 2 3 2 16" xfId="7186" xr:uid="{FE27E0CC-B4ED-48B2-871B-A011CA6EECEE}"/>
    <cellStyle name="AggGreen 2 3 2 17" xfId="8087" xr:uid="{2A62A4C5-C643-4BDB-AAD6-EA4DFF778FDF}"/>
    <cellStyle name="AggGreen 2 3 2 18" xfId="8806" xr:uid="{46F62AC3-3B40-406C-B8F5-A78E2A9D32F0}"/>
    <cellStyle name="AggGreen 2 3 2 19" xfId="9534" xr:uid="{C5EB87E8-EA48-4907-A325-88B1735BEAE4}"/>
    <cellStyle name="AggGreen 2 3 2 2" xfId="815" xr:uid="{F14051DB-90D9-4AE6-BD78-CB0BDA3E601F}"/>
    <cellStyle name="AggGreen 2 3 2 2 10" xfId="5463" xr:uid="{5BCA5153-048C-46B9-ABA0-215D5B65B23A}"/>
    <cellStyle name="AggGreen 2 3 2 2 11" xfId="5694" xr:uid="{C7532B95-DCA5-48CE-9766-19DAE5BB9A22}"/>
    <cellStyle name="AggGreen 2 3 2 2 12" xfId="6043" xr:uid="{0FAAC5E8-0819-4715-B486-FAFACE21A4C0}"/>
    <cellStyle name="AggGreen 2 3 2 2 13" xfId="6517" xr:uid="{026CB334-E494-4837-AA6A-CCEB10715D3E}"/>
    <cellStyle name="AggGreen 2 3 2 2 14" xfId="7535" xr:uid="{DA9104CC-381D-4B02-936E-0AC29CE20171}"/>
    <cellStyle name="AggGreen 2 3 2 2 15" xfId="6880" xr:uid="{DF692543-2266-46B8-80B2-BABF94956208}"/>
    <cellStyle name="AggGreen 2 3 2 2 16" xfId="6850" xr:uid="{F1574935-C6DB-44DD-B14F-6DEEE86D6BC5}"/>
    <cellStyle name="AggGreen 2 3 2 2 17" xfId="7691" xr:uid="{B688C591-79D0-4921-8D2A-038335FA0DC3}"/>
    <cellStyle name="AggGreen 2 3 2 2 18" xfId="9749" xr:uid="{77FB398F-A6B5-4DA7-A8B6-0DA93C5149E1}"/>
    <cellStyle name="AggGreen 2 3 2 2 19" xfId="9093" xr:uid="{70C3ABBC-08FD-435E-99E0-04E6F4CB9773}"/>
    <cellStyle name="AggGreen 2 3 2 2 2" xfId="1289" xr:uid="{2EEA54D4-8400-49D6-87D1-32BE1002E9DE}"/>
    <cellStyle name="AggGreen 2 3 2 2 20" xfId="9050" xr:uid="{44E281CF-5B42-4F73-ADBE-469550B6AEA6}"/>
    <cellStyle name="AggGreen 2 3 2 2 21" xfId="10573" xr:uid="{442FEDE6-F3B7-4D31-BDE8-E1F12D54516E}"/>
    <cellStyle name="AggGreen 2 3 2 2 22" xfId="11181" xr:uid="{8C526082-2216-4A46-A4A5-0BECADA6A154}"/>
    <cellStyle name="AggGreen 2 3 2 2 23" xfId="12168" xr:uid="{164E5FD8-67D8-4268-BF5E-90452A18636A}"/>
    <cellStyle name="AggGreen 2 3 2 2 24" xfId="12641" xr:uid="{051587B7-6639-4A2E-AD64-12F056FDB01B}"/>
    <cellStyle name="AggGreen 2 3 2 2 25" xfId="13075" xr:uid="{D7251237-8CA5-4A86-A3E3-37C2968F5E80}"/>
    <cellStyle name="AggGreen 2 3 2 2 26" xfId="13512" xr:uid="{EFACD4D1-4A96-43DA-A485-36917D3C8157}"/>
    <cellStyle name="AggGreen 2 3 2 2 27" xfId="12733" xr:uid="{C4C3BDDB-2731-4D16-B614-6869922FE814}"/>
    <cellStyle name="AggGreen 2 3 2 2 28" xfId="14136" xr:uid="{440DEE28-D771-4C77-B16F-D7B37FEB44B3}"/>
    <cellStyle name="AggGreen 2 3 2 2 29" xfId="13154" xr:uid="{C398EAB5-A525-4BB4-95B5-C463260CFE72}"/>
    <cellStyle name="AggGreen 2 3 2 2 3" xfId="1476" xr:uid="{E7C8CC29-3419-4D73-911F-18269297935C}"/>
    <cellStyle name="AggGreen 2 3 2 2 30" xfId="14213" xr:uid="{2B7F0469-F325-44BB-8260-A953DF74C2CB}"/>
    <cellStyle name="AggGreen 2 3 2 2 31" xfId="15497" xr:uid="{A4E22C40-DEAC-43E9-BE03-1DF4FE525D7A}"/>
    <cellStyle name="AggGreen 2 3 2 2 32" xfId="14863" xr:uid="{0415DAF0-25EE-4A7F-B6AE-2E8D7D653708}"/>
    <cellStyle name="AggGreen 2 3 2 2 33" xfId="16860" xr:uid="{07FF0FFC-0F3B-486A-9F42-61A524E37CE5}"/>
    <cellStyle name="AggGreen 2 3 2 2 34" xfId="16196" xr:uid="{8B55F64E-2D16-4102-B5E9-7748E6932788}"/>
    <cellStyle name="AggGreen 2 3 2 2 35" xfId="16147" xr:uid="{DBDC19C3-EE99-4CED-AAFE-AA288523DAD1}"/>
    <cellStyle name="AggGreen 2 3 2 2 36" xfId="18217" xr:uid="{EAC720A6-E6F4-41D0-8EFF-28BFAD9104F2}"/>
    <cellStyle name="AggGreen 2 3 2 2 37" xfId="18678" xr:uid="{53395AD9-7EBB-4BA7-A5B8-AF440263E46F}"/>
    <cellStyle name="AggGreen 2 3 2 2 38" xfId="18335" xr:uid="{ABC07F16-ED30-4C7B-B728-9BE61A1BC09D}"/>
    <cellStyle name="AggGreen 2 3 2 2 39" xfId="18920" xr:uid="{A2F27919-1241-4513-B73C-D59BFAC1F56F}"/>
    <cellStyle name="AggGreen 2 3 2 2 4" xfId="2637" xr:uid="{619619B1-3895-4B13-8ED9-D5C7801589AE}"/>
    <cellStyle name="AggGreen 2 3 2 2 40" xfId="20197" xr:uid="{EA8E0D2D-BE70-45B2-A15A-0670452EB3EC}"/>
    <cellStyle name="AggGreen 2 3 2 2 41" xfId="19528" xr:uid="{119ACA60-2FCD-4E51-96FD-8CDD614C27BF}"/>
    <cellStyle name="AggGreen 2 3 2 2 42" xfId="20552" xr:uid="{74DF5760-89B5-448D-B28D-C4C14463C8D0}"/>
    <cellStyle name="AggGreen 2 3 2 2 43" xfId="20355" xr:uid="{58BBEA8A-56DA-4B22-BFC7-C7B973275A57}"/>
    <cellStyle name="AggGreen 2 3 2 2 44" xfId="20649" xr:uid="{5397179F-1612-49A8-97EB-93340C0AE5DB}"/>
    <cellStyle name="AggGreen 2 3 2 2 45" xfId="21783" xr:uid="{55609DBC-B150-4F4C-B1EF-30921153F58B}"/>
    <cellStyle name="AggGreen 2 3 2 2 46" xfId="22298" xr:uid="{6D6E3F67-8F4A-4CD4-BBE1-2E2D3BB1F088}"/>
    <cellStyle name="AggGreen 2 3 2 2 47" xfId="22831" xr:uid="{AE8C1AF6-71F1-4D97-B878-8A65C6FD0D4D}"/>
    <cellStyle name="AggGreen 2 3 2 2 48" xfId="23438" xr:uid="{46F325D8-FC14-4732-8762-56AF5821ADB0}"/>
    <cellStyle name="AggGreen 2 3 2 2 49" xfId="23997" xr:uid="{FE6B6E44-72CB-40A0-AB95-EA8BB07785E4}"/>
    <cellStyle name="AggGreen 2 3 2 2 5" xfId="2173" xr:uid="{EA2EF93D-5C85-4A1A-8B49-AED5BA5C673A}"/>
    <cellStyle name="AggGreen 2 3 2 2 50" xfId="24905" xr:uid="{F7A3D30B-A433-4130-BA2D-46D6A0862D20}"/>
    <cellStyle name="AggGreen 2 3 2 2 51" xfId="24465" xr:uid="{12FC38AB-13B8-4940-AE3F-471216967AB0}"/>
    <cellStyle name="AggGreen 2 3 2 2 52" xfId="25821" xr:uid="{137EB754-B707-4949-8402-C5BC86C1071F}"/>
    <cellStyle name="AggGreen 2 3 2 2 53" xfId="25927" xr:uid="{2A4F6D58-3814-436C-90B7-BAF58745A798}"/>
    <cellStyle name="AggGreen 2 3 2 2 54" xfId="24200" xr:uid="{754ECD9E-A1F0-4373-BB5C-4128740F40F5}"/>
    <cellStyle name="AggGreen 2 3 2 2 55" xfId="27109" xr:uid="{56E065E4-DFA3-4A94-B0B9-9F866EE787F9}"/>
    <cellStyle name="AggGreen 2 3 2 2 56" xfId="27528" xr:uid="{00C1743F-5BB5-4861-842A-DE2EBA1015D2}"/>
    <cellStyle name="AggGreen 2 3 2 2 57" xfId="26701" xr:uid="{241FAA69-672F-41BF-AFE0-255BCF5AC9C4}"/>
    <cellStyle name="AggGreen 2 3 2 2 58" xfId="28655" xr:uid="{ACFA14AB-2F42-4770-B65B-48D6D8041686}"/>
    <cellStyle name="AggGreen 2 3 2 2 59" xfId="29122" xr:uid="{1603A4D5-0A38-4BF4-BD6B-B4DAD5BA0BB8}"/>
    <cellStyle name="AggGreen 2 3 2 2 6" xfId="1939" xr:uid="{D5E7F60E-DF2D-439A-96EB-9A13FDFCF81E}"/>
    <cellStyle name="AggGreen 2 3 2 2 60" xfId="27963" xr:uid="{B600E8E2-2C43-4717-B528-E2614BD0B5E4}"/>
    <cellStyle name="AggGreen 2 3 2 2 61" xfId="29911" xr:uid="{5FFD76E6-742F-4EC4-802B-4521C84A3562}"/>
    <cellStyle name="AggGreen 2 3 2 2 62" xfId="30317" xr:uid="{5412204B-7DC3-4079-BF53-407C8E7C5BEC}"/>
    <cellStyle name="AggGreen 2 3 2 2 63" xfId="30734" xr:uid="{5686C868-08FE-4030-8758-B63103A36918}"/>
    <cellStyle name="AggGreen 2 3 2 2 64" xfId="29265" xr:uid="{F474FC79-A58C-4800-89E6-E0AB1268C373}"/>
    <cellStyle name="AggGreen 2 3 2 2 65" xfId="31350" xr:uid="{F9D58A7D-3B3A-457C-A0B7-3E557C617DA2}"/>
    <cellStyle name="AggGreen 2 3 2 2 7" xfId="4133" xr:uid="{1092CF68-F895-49D1-B202-F42197D0655F}"/>
    <cellStyle name="AggGreen 2 3 2 2 8" xfId="4570" xr:uid="{D26E802E-7D60-4699-8A5B-1C2AE2BDB78F}"/>
    <cellStyle name="AggGreen 2 3 2 2 9" xfId="4921" xr:uid="{D234285B-AB7B-4774-8675-E882C6C89DCA}"/>
    <cellStyle name="AggGreen 2 3 2 20" xfId="9399" xr:uid="{129B22C2-C330-4230-AC49-5B016C77B9C7}"/>
    <cellStyle name="AggGreen 2 3 2 21" xfId="9003" xr:uid="{8FA02BFB-11A3-4FDB-BB57-CC02BA136568}"/>
    <cellStyle name="AggGreen 2 3 2 22" xfId="10874" xr:uid="{C6BBAAA7-898B-4C60-8944-08E50E25ED6E}"/>
    <cellStyle name="AggGreen 2 3 2 23" xfId="10557" xr:uid="{34B934FD-EF49-40A3-AE61-3F0F1C10405F}"/>
    <cellStyle name="AggGreen 2 3 2 24" xfId="11953" xr:uid="{28E57FA2-A89F-4E37-B501-6A986D907523}"/>
    <cellStyle name="AggGreen 2 3 2 25" xfId="12426" xr:uid="{EB6B1887-C171-42CD-939B-EDE94714E650}"/>
    <cellStyle name="AggGreen 2 3 2 26" xfId="12860" xr:uid="{4E58474D-ABAE-4C66-AEC7-D0B7CAA3DC7E}"/>
    <cellStyle name="AggGreen 2 3 2 27" xfId="13297" xr:uid="{FE9B11B5-B452-44D2-86C3-67657BD88E76}"/>
    <cellStyle name="AggGreen 2 3 2 28" xfId="13672" xr:uid="{267CCBC2-D588-47AF-8512-4D82740BC1C8}"/>
    <cellStyle name="AggGreen 2 3 2 29" xfId="14347" xr:uid="{90DCC17C-CC9D-45BF-9C12-BFA95B0EB94D}"/>
    <cellStyle name="AggGreen 2 3 2 3" xfId="1083" xr:uid="{99D9CCB7-6923-4806-9BE0-A7AFE0E9A698}"/>
    <cellStyle name="AggGreen 2 3 2 30" xfId="14369" xr:uid="{67D9B29B-128E-46DF-BACC-33B564592CD6}"/>
    <cellStyle name="AggGreen 2 3 2 31" xfId="14796" xr:uid="{09D60FC7-DB4D-49D7-827F-31ED20618057}"/>
    <cellStyle name="AggGreen 2 3 2 32" xfId="15239" xr:uid="{EE180D19-E776-4F9F-AF65-5957A84ED208}"/>
    <cellStyle name="AggGreen 2 3 2 33" xfId="15489" xr:uid="{7BBC4616-505E-4B4F-BC96-61D6C8BF9CFF}"/>
    <cellStyle name="AggGreen 2 3 2 34" xfId="16645" xr:uid="{54BAFEBE-E51F-4FB7-8CEC-31310BF0FE9E}"/>
    <cellStyle name="AggGreen 2 3 2 35" xfId="16508" xr:uid="{081C2663-F1A5-4893-A512-BCB3CD23AA88}"/>
    <cellStyle name="AggGreen 2 3 2 36" xfId="16100" xr:uid="{4DB7DFAC-96B7-432D-80A2-A4B6BA0A160A}"/>
    <cellStyle name="AggGreen 2 3 2 37" xfId="17581" xr:uid="{EDE37D5D-D8F6-4AC4-B6D7-467D752ACA6C}"/>
    <cellStyle name="AggGreen 2 3 2 38" xfId="18463" xr:uid="{BE9E5E92-1C15-426A-B335-0C2B73D434D6}"/>
    <cellStyle name="AggGreen 2 3 2 39" xfId="18873" xr:uid="{5E792E7D-2C01-41E1-AC72-0C9E91C7AF9E}"/>
    <cellStyle name="AggGreen 2 3 2 4" xfId="1409" xr:uid="{1C77F209-2AF9-443D-8F4A-9195D7EA9B90}"/>
    <cellStyle name="AggGreen 2 3 2 40" xfId="19192" xr:uid="{01F33EBB-0C37-49DD-8751-EAEEE01C4C8A}"/>
    <cellStyle name="AggGreen 2 3 2 41" xfId="19982" xr:uid="{435A8983-AF9B-44F9-97EC-540180402056}"/>
    <cellStyle name="AggGreen 2 3 2 42" xfId="19844" xr:uid="{9DEEC60F-D1E2-495F-A350-D0DC6F125179}"/>
    <cellStyle name="AggGreen 2 3 2 43" xfId="20743" xr:uid="{82251DD7-1533-4BB2-AAE7-CE936B7BFFE0}"/>
    <cellStyle name="AggGreen 2 3 2 44" xfId="21483" xr:uid="{4B78B022-9330-4035-AFB3-B74C51226174}"/>
    <cellStyle name="AggGreen 2 3 2 45" xfId="19482" xr:uid="{A4A529D2-FA72-4C5B-9B11-486C12C0E4BB}"/>
    <cellStyle name="AggGreen 2 3 2 46" xfId="20052" xr:uid="{D5A06299-9E72-4D05-AE47-321940D5292A}"/>
    <cellStyle name="AggGreen 2 3 2 47" xfId="22672" xr:uid="{AB00D907-FE00-4007-AF8D-07290F4AC32F}"/>
    <cellStyle name="AggGreen 2 3 2 48" xfId="23150" xr:uid="{D6E9EDBD-A7F4-4E63-AA7B-CB4DB07AB3CC}"/>
    <cellStyle name="AggGreen 2 3 2 49" xfId="23612" xr:uid="{1E237069-3EB9-4A9E-990F-80C8B7DF4BA9}"/>
    <cellStyle name="AggGreen 2 3 2 5" xfId="2422" xr:uid="{5DA80A21-97C9-4844-B87F-B488A3AD2A55}"/>
    <cellStyle name="AggGreen 2 3 2 50" xfId="23791" xr:uid="{95C119CF-DA01-4E72-9F40-A7BA8438D05F}"/>
    <cellStyle name="AggGreen 2 3 2 51" xfId="24690" xr:uid="{56A17C49-69C5-4547-98F9-F15E9C1BDB0F}"/>
    <cellStyle name="AggGreen 2 3 2 52" xfId="24393" xr:uid="{270FAE8C-A193-4EF7-BD81-E46097ABB67D}"/>
    <cellStyle name="AggGreen 2 3 2 53" xfId="25608" xr:uid="{0CFEA44B-AD4F-4F31-8688-31CE3E19550E}"/>
    <cellStyle name="AggGreen 2 3 2 54" xfId="26239" xr:uid="{0378234B-29C7-4D2D-885D-977962D7232E}"/>
    <cellStyle name="AggGreen 2 3 2 55" xfId="26435" xr:uid="{D73A84F7-3185-4364-AF82-0792DCBBE93D}"/>
    <cellStyle name="AggGreen 2 3 2 56" xfId="26898" xr:uid="{45E967BF-531E-43ED-8E95-35ADB5899B44}"/>
    <cellStyle name="AggGreen 2 3 2 57" xfId="27317" xr:uid="{24CDB863-073D-43E6-955F-25F2C1E4ECD1}"/>
    <cellStyle name="AggGreen 2 3 2 58" xfId="27772" xr:uid="{D54FE030-4698-4D2E-A199-BE0BC713DB21}"/>
    <cellStyle name="AggGreen 2 3 2 59" xfId="28440" xr:uid="{6F8920CE-294F-4593-8563-E8216D9BEEE7}"/>
    <cellStyle name="AggGreen 2 3 2 6" xfId="2838" xr:uid="{64E4830B-7EDD-4844-9DCA-DF16EF61E553}"/>
    <cellStyle name="AggGreen 2 3 2 60" xfId="28908" xr:uid="{826D8DDF-B1C9-4749-9C09-34E30D3E9771}"/>
    <cellStyle name="AggGreen 2 3 2 61" xfId="28782" xr:uid="{CEC380B3-3C76-4459-A0E2-86C993C07255}"/>
    <cellStyle name="AggGreen 2 3 2 62" xfId="29698" xr:uid="{CCE251A7-932E-4519-8818-118ED5E1392C}"/>
    <cellStyle name="AggGreen 2 3 2 63" xfId="30106" xr:uid="{AC9E9D3D-DAAC-45EA-B856-02E16F3477F9}"/>
    <cellStyle name="AggGreen 2 3 2 64" xfId="30520" xr:uid="{C8C1F8E1-4652-4411-8E76-1ED5680227B0}"/>
    <cellStyle name="AggGreen 2 3 2 65" xfId="30985" xr:uid="{13E2A2DB-8BFB-4AD9-A92B-5B50D829CF83}"/>
    <cellStyle name="AggGreen 2 3 2 66" xfId="31144" xr:uid="{0B927ACB-6571-4929-9C37-4B5DFA066CED}"/>
    <cellStyle name="AggGreen 2 3 2 7" xfId="3388" xr:uid="{749FCF6C-8C36-4D8C-9355-A9263320B4EC}"/>
    <cellStyle name="AggGreen 2 3 2 8" xfId="3918" xr:uid="{EE08EBDA-FA4C-4AE9-A9F7-2E1E6D710690}"/>
    <cellStyle name="AggGreen 2 3 2 9" xfId="4356" xr:uid="{97E00389-FF4A-40F7-B99A-A19530A0ACD1}"/>
    <cellStyle name="AggGreen 2 3 20" xfId="6832" xr:uid="{B2ED0291-0586-4C58-84D3-1D9221736DC4}"/>
    <cellStyle name="AggGreen 2 3 21" xfId="9205" xr:uid="{48B24E07-B33B-48F7-A554-34FEFBB7BA3D}"/>
    <cellStyle name="AggGreen 2 3 22" xfId="9856" xr:uid="{B87091E1-F309-4624-B21A-F19A68808489}"/>
    <cellStyle name="AggGreen 2 3 23" xfId="10299" xr:uid="{B8239D92-DC7B-4520-BCEF-FE5DBD1721B2}"/>
    <cellStyle name="AggGreen 2 3 24" xfId="10862" xr:uid="{60E52DF1-E5C1-4B08-A5C9-7F38BB0EA9E3}"/>
    <cellStyle name="AggGreen 2 3 25" xfId="10339" xr:uid="{D470D14E-C142-47FA-986F-ADAE22CDDFCF}"/>
    <cellStyle name="AggGreen 2 3 26" xfId="11617" xr:uid="{B80B63B3-C448-45DD-AB85-20CB5F8AEC49}"/>
    <cellStyle name="AggGreen 2 3 27" xfId="11485" xr:uid="{AD57549F-B2CE-47ED-B032-7E2F8A3EA6E7}"/>
    <cellStyle name="AggGreen 2 3 28" xfId="12525" xr:uid="{0CE1C8DC-6F3A-4FAF-830F-5100295924FD}"/>
    <cellStyle name="AggGreen 2 3 29" xfId="12769" xr:uid="{87733F9A-0345-446B-8AE5-4B51B40A478F}"/>
    <cellStyle name="AggGreen 2 3 3" xfId="669" xr:uid="{EAED8A06-CCE3-437D-AF64-3CACD89B8B01}"/>
    <cellStyle name="AggGreen 2 3 3 10" xfId="4841" xr:uid="{3F911AA2-CCAA-40E2-8255-A0CCA0B3B86B}"/>
    <cellStyle name="AggGreen 2 3 3 11" xfId="5317" xr:uid="{E15A7E1E-C0D1-4E26-9132-E986990817F6}"/>
    <cellStyle name="AggGreen 2 3 3 12" xfId="5836" xr:uid="{99915F15-716A-4552-9B8D-8B486A5B763B}"/>
    <cellStyle name="AggGreen 2 3 3 13" xfId="6195" xr:uid="{3A2F5215-3718-47A9-966B-5AC203300009}"/>
    <cellStyle name="AggGreen 2 3 3 14" xfId="3419" xr:uid="{9925880E-6638-452B-86CC-531989FFC8CE}"/>
    <cellStyle name="AggGreen 2 3 3 15" xfId="7389" xr:uid="{40CE117F-D3B7-4626-BFE6-CCE2D685B9AA}"/>
    <cellStyle name="AggGreen 2 3 3 16" xfId="7709" xr:uid="{A18F886F-20B2-41D2-9C29-BB7AE09084D6}"/>
    <cellStyle name="AggGreen 2 3 3 17" xfId="8565" xr:uid="{D7B76748-282A-4F70-81DF-34960007EF1C}"/>
    <cellStyle name="AggGreen 2 3 3 18" xfId="8896" xr:uid="{811BE8BF-C3B4-468E-9FF3-03BB0485ACED}"/>
    <cellStyle name="AggGreen 2 3 3 19" xfId="9603" xr:uid="{E6486985-A91C-4C13-8131-7E603732F605}"/>
    <cellStyle name="AggGreen 2 3 3 2" xfId="884" xr:uid="{B0F9F1A4-1E57-4692-B0B0-A6B3EEC22B5E}"/>
    <cellStyle name="AggGreen 2 3 3 2 10" xfId="5532" xr:uid="{A8F7E65F-04AF-444F-8DE4-59BC89595714}"/>
    <cellStyle name="AggGreen 2 3 3 2 11" xfId="6026" xr:uid="{7420C036-7A80-4AF7-A867-DA7A98A839B8}"/>
    <cellStyle name="AggGreen 2 3 3 2 12" xfId="6385" xr:uid="{D11F470A-7EBE-4055-8F47-1C2CE1A58A11}"/>
    <cellStyle name="AggGreen 2 3 3 2 13" xfId="6723" xr:uid="{C2D4C8B4-7361-4CF6-8E2B-D934E42D03DF}"/>
    <cellStyle name="AggGreen 2 3 3 2 14" xfId="7604" xr:uid="{18B277C0-F71D-46F2-8882-2D825568A37A}"/>
    <cellStyle name="AggGreen 2 3 3 2 15" xfId="8068" xr:uid="{447181ED-4040-4EAE-BFDE-2D6CB82C26D2}"/>
    <cellStyle name="AggGreen 2 3 3 2 16" xfId="8677" xr:uid="{1D99954D-3AD1-447B-885E-E9FFB9F6A180}"/>
    <cellStyle name="AggGreen 2 3 3 2 17" xfId="8936" xr:uid="{647D2E78-B64D-4149-8266-D585565973CA}"/>
    <cellStyle name="AggGreen 2 3 3 2 18" xfId="9818" xr:uid="{7FCF9C12-E98F-49DE-BEB5-77F8F3B3BEC3}"/>
    <cellStyle name="AggGreen 2 3 3 2 19" xfId="10287" xr:uid="{FCCA64B8-B93F-445A-91D0-54251A9F7ACF}"/>
    <cellStyle name="AggGreen 2 3 3 2 2" xfId="1358" xr:uid="{37517B14-F1D4-46E7-A6CF-CAA8F45DECF4}"/>
    <cellStyle name="AggGreen 2 3 3 2 20" xfId="10681" xr:uid="{39EAD892-0028-4E04-B3B8-E8953821348D}"/>
    <cellStyle name="AggGreen 2 3 3 2 21" xfId="11030" xr:uid="{DE0CA376-0D92-4577-8CB5-078579E7F404}"/>
    <cellStyle name="AggGreen 2 3 3 2 22" xfId="11340" xr:uid="{3BA485D1-0686-4A45-AC17-DEBCEF862A52}"/>
    <cellStyle name="AggGreen 2 3 3 2 23" xfId="12237" xr:uid="{8850EE60-EAB2-4188-8ED7-B94EF6CA1843}"/>
    <cellStyle name="AggGreen 2 3 3 2 24" xfId="12710" xr:uid="{40CCF939-8EC3-40D6-8BFB-966BF120C71B}"/>
    <cellStyle name="AggGreen 2 3 3 2 25" xfId="13144" xr:uid="{C6BE2840-FC97-47BF-B327-B7D4C612EE69}"/>
    <cellStyle name="AggGreen 2 3 3 2 26" xfId="13581" xr:uid="{45434478-A5F0-41BC-885A-08844A025FAF}"/>
    <cellStyle name="AggGreen 2 3 3 2 27" xfId="14053" xr:uid="{159EDE21-D715-4121-A818-81EF180DD55A}"/>
    <cellStyle name="AggGreen 2 3 3 2 28" xfId="14500" xr:uid="{54A4BE31-4C6F-4BDE-B0F3-76164E391E7F}"/>
    <cellStyle name="AggGreen 2 3 3 2 29" xfId="14934" xr:uid="{361024FA-4325-4725-97B1-F872C55567A3}"/>
    <cellStyle name="AggGreen 2 3 3 2 3" xfId="1807" xr:uid="{D7677D58-F2E3-48EA-A512-BDC97993A79E}"/>
    <cellStyle name="AggGreen 2 3 3 2 30" xfId="15404" xr:uid="{189F703E-7B2A-4127-9034-0ACC14C4ECD6}"/>
    <cellStyle name="AggGreen 2 3 3 2 31" xfId="15794" xr:uid="{218EA195-E407-4FFB-8863-7F0D38A1E8C3}"/>
    <cellStyle name="AggGreen 2 3 3 2 32" xfId="16016" xr:uid="{EDDD2285-72B2-4BAE-8629-96F41D61571B}"/>
    <cellStyle name="AggGreen 2 3 3 2 33" xfId="16929" xr:uid="{1D3BF6AF-FE27-43F7-BE10-DED29DB1FC7D}"/>
    <cellStyle name="AggGreen 2 3 3 2 34" xfId="17410" xr:uid="{A89F5458-8296-4945-B29A-845AB4368CF1}"/>
    <cellStyle name="AggGreen 2 3 3 2 35" xfId="17851" xr:uid="{3A6C4825-1EA1-4AB2-B8DB-BA5815AE8F5B}"/>
    <cellStyle name="AggGreen 2 3 3 2 36" xfId="18326" xr:uid="{3383A012-4042-4A42-B9D3-1C5ED5F1302D}"/>
    <cellStyle name="AggGreen 2 3 3 2 37" xfId="18747" xr:uid="{603F3C2F-A189-468E-B02B-53B9F23A6638}"/>
    <cellStyle name="AggGreen 2 3 3 2 38" xfId="19134" xr:uid="{0C2F3F54-CE15-4CEF-8C31-B5F69C141E55}"/>
    <cellStyle name="AggGreen 2 3 3 2 39" xfId="19364" xr:uid="{C06AD6D6-5E2C-47D5-A381-FE097D95D048}"/>
    <cellStyle name="AggGreen 2 3 3 2 4" xfId="2706" xr:uid="{33259FF5-ED42-4679-B9D9-EB0CF2AA6F2C}"/>
    <cellStyle name="AggGreen 2 3 3 2 40" xfId="20266" xr:uid="{A380F2D2-1E81-46E4-B31A-B062AA30A1CA}"/>
    <cellStyle name="AggGreen 2 3 3 2 41" xfId="20759" xr:uid="{EF720DC6-1A3A-492B-A811-D100AB1A29AA}"/>
    <cellStyle name="AggGreen 2 3 3 2 42" xfId="21218" xr:uid="{7BCADA70-6282-4C03-831D-233AEE628496}"/>
    <cellStyle name="AggGreen 2 3 3 2 43" xfId="21710" xr:uid="{5FB31478-334F-4464-BA9C-C1E90ADB571A}"/>
    <cellStyle name="AggGreen 2 3 3 2 44" xfId="22149" xr:uid="{04F0CD95-A971-4805-8E09-3F7A95CD32C4}"/>
    <cellStyle name="AggGreen 2 3 3 2 45" xfId="22576" xr:uid="{090725CD-04D8-40BE-A0F4-F79ADE6CDE69}"/>
    <cellStyle name="AggGreen 2 3 3 2 46" xfId="23021" xr:uid="{2F327C8E-914C-4FE9-9ADE-E6E7B5BAC629}"/>
    <cellStyle name="AggGreen 2 3 3 2 47" xfId="23423" xr:uid="{D52D3A46-6CD2-4B5A-8ADC-A03ED9F62DE5}"/>
    <cellStyle name="AggGreen 2 3 3 2 48" xfId="23686" xr:uid="{C2924062-1A7E-42B9-BA7A-6667751B3FC3}"/>
    <cellStyle name="AggGreen 2 3 3 2 49" xfId="24066" xr:uid="{0A1F2279-CA19-41EC-8D32-30087AFAB400}"/>
    <cellStyle name="AggGreen 2 3 3 2 5" xfId="3226" xr:uid="{6932EF36-3259-4F93-9A9F-A304CB78ADD4}"/>
    <cellStyle name="AggGreen 2 3 3 2 50" xfId="24974" xr:uid="{1C918815-502E-49AC-B9E0-27B065DF68DE}"/>
    <cellStyle name="AggGreen 2 3 3 2 51" xfId="25462" xr:uid="{537D787B-585D-4C3F-819E-AA530C27DCE7}"/>
    <cellStyle name="AggGreen 2 3 3 2 52" xfId="25890" xr:uid="{EF5F8EE4-985D-4009-AA6F-2DD23F29C232}"/>
    <cellStyle name="AggGreen 2 3 3 2 53" xfId="26328" xr:uid="{721986AA-AAD6-4F97-92B5-5615B0EBD223}"/>
    <cellStyle name="AggGreen 2 3 3 2 54" xfId="26757" xr:uid="{977E7954-2813-450C-8AF1-4468B904324C}"/>
    <cellStyle name="AggGreen 2 3 3 2 55" xfId="27178" xr:uid="{C14DEA21-DFEC-4CCD-905F-4BC076BA2839}"/>
    <cellStyle name="AggGreen 2 3 3 2 56" xfId="27597" xr:uid="{FD66E14F-8D5B-442C-9FF3-E3353BEBEED9}"/>
    <cellStyle name="AggGreen 2 3 3 2 57" xfId="27835" xr:uid="{87D18ADC-6FDD-42E6-AFB4-8F4073E83627}"/>
    <cellStyle name="AggGreen 2 3 3 2 58" xfId="28724" xr:uid="{AAA973CC-0530-4509-8F70-00769AC9E3E7}"/>
    <cellStyle name="AggGreen 2 3 3 2 59" xfId="29191" xr:uid="{EEFFF8A3-304B-4AA1-9F38-48660D23ECDD}"/>
    <cellStyle name="AggGreen 2 3 3 2 6" xfId="3781" xr:uid="{E6A19551-EE17-4C0E-B742-046C208BDAE2}"/>
    <cellStyle name="AggGreen 2 3 3 2 60" xfId="29573" xr:uid="{9F5A5300-743C-48DA-895F-DE6DCC1F1FA3}"/>
    <cellStyle name="AggGreen 2 3 3 2 61" xfId="29980" xr:uid="{FE91E297-55CE-4C9A-B2E3-A1123F783CE0}"/>
    <cellStyle name="AggGreen 2 3 3 2 62" xfId="30386" xr:uid="{1429DDED-EB18-438B-B95C-176825012324}"/>
    <cellStyle name="AggGreen 2 3 3 2 63" xfId="30803" xr:uid="{757E8854-B709-4B9A-8613-3CFF0E6D2632}"/>
    <cellStyle name="AggGreen 2 3 3 2 64" xfId="31048" xr:uid="{5CE58463-752B-403F-B1D5-3CBE87EF0087}"/>
    <cellStyle name="AggGreen 2 3 3 2 65" xfId="31419" xr:uid="{55A0F36B-9DDD-45A0-93CF-478AD05A060B}"/>
    <cellStyle name="AggGreen 2 3 3 2 7" xfId="4202" xr:uid="{C419C06F-59E4-4A83-8649-75AFF7D0B3C0}"/>
    <cellStyle name="AggGreen 2 3 3 2 8" xfId="4639" xr:uid="{50F353B3-E3DB-47F7-AD2E-0266CCCE48FB}"/>
    <cellStyle name="AggGreen 2 3 3 2 9" xfId="5085" xr:uid="{3A623AC9-E8EE-4C3E-82FF-64CC0F0F421F}"/>
    <cellStyle name="AggGreen 2 3 3 20" xfId="9923" xr:uid="{CAC7A9EC-5550-48F3-8D54-24DC6A3055C8}"/>
    <cellStyle name="AggGreen 2 3 3 21" xfId="10354" xr:uid="{33418EAB-B91A-40B2-A65B-5C9A2A447AEF}"/>
    <cellStyle name="AggGreen 2 3 3 22" xfId="10832" xr:uid="{2F943C7A-80E9-4731-9EA8-AB7DEAC95272}"/>
    <cellStyle name="AggGreen 2 3 3 23" xfId="11189" xr:uid="{F330F7A0-184C-4F03-9F3F-E798D456C12D}"/>
    <cellStyle name="AggGreen 2 3 3 24" xfId="12022" xr:uid="{A7BBCABC-4D98-4185-BFE1-13E60E8D9E9A}"/>
    <cellStyle name="AggGreen 2 3 3 25" xfId="12495" xr:uid="{7590EF55-8997-4651-856B-738019D59182}"/>
    <cellStyle name="AggGreen 2 3 3 26" xfId="12929" xr:uid="{D55CC7A2-D213-44B1-8881-4433B3CF79AB}"/>
    <cellStyle name="AggGreen 2 3 3 27" xfId="13366" xr:uid="{F60E8DD0-7F01-4314-A12C-6C566FF351C1}"/>
    <cellStyle name="AggGreen 2 3 3 28" xfId="13809" xr:uid="{FD0087C8-5E89-44D1-B6E0-FCD595212181}"/>
    <cellStyle name="AggGreen 2 3 3 29" xfId="14446" xr:uid="{F3213FFA-C8D0-4E1B-BB2C-6852793D193F}"/>
    <cellStyle name="AggGreen 2 3 3 3" xfId="1152" xr:uid="{472978E8-98EA-418E-9E38-C621FD525C27}"/>
    <cellStyle name="AggGreen 2 3 3 30" xfId="14575" xr:uid="{51956155-CE6F-4732-A80A-EDFAB0CC6D30}"/>
    <cellStyle name="AggGreen 2 3 3 31" xfId="11368" xr:uid="{DA968348-9EFB-471F-A4CC-7A7A2CD15B79}"/>
    <cellStyle name="AggGreen 2 3 3 32" xfId="14636" xr:uid="{47F765D0-7800-4D62-9E6D-E9B4D874444E}"/>
    <cellStyle name="AggGreen 2 3 3 33" xfId="15811" xr:uid="{68DEC2DA-0692-4327-84C5-AC9F7FE7DC99}"/>
    <cellStyle name="AggGreen 2 3 3 34" xfId="16714" xr:uid="{2C10BF71-868D-464E-8A73-343E9EEFEDEC}"/>
    <cellStyle name="AggGreen 2 3 3 35" xfId="17037" xr:uid="{DE5CE633-DA67-4F8E-93A6-34F76F209C2C}"/>
    <cellStyle name="AggGreen 2 3 3 36" xfId="17485" xr:uid="{CD1F1BBC-93A9-4454-B652-9EAC25358B18}"/>
    <cellStyle name="AggGreen 2 3 3 37" xfId="18205" xr:uid="{89E7ADD8-5755-4EC0-A9A4-947911A226E9}"/>
    <cellStyle name="AggGreen 2 3 3 38" xfId="18532" xr:uid="{C83CA218-078A-4580-9F0A-A01862CE72B2}"/>
    <cellStyle name="AggGreen 2 3 3 39" xfId="18344" xr:uid="{69355FC0-10CF-4225-853C-4F324F84A5E0}"/>
    <cellStyle name="AggGreen 2 3 3 4" xfId="1519" xr:uid="{6EC2FF48-20CC-4CBB-9B36-0EE46F1A9D9A}"/>
    <cellStyle name="AggGreen 2 3 3 40" xfId="19328" xr:uid="{299EDB24-6AD3-4A84-AEBC-8806236D98AE}"/>
    <cellStyle name="AggGreen 2 3 3 41" xfId="20051" xr:uid="{C1624CFE-470E-4793-8009-7D7539A2B312}"/>
    <cellStyle name="AggGreen 2 3 3 42" xfId="20389" xr:uid="{AAF2E9D7-12F0-4C04-A759-65E92F276CBF}"/>
    <cellStyle name="AggGreen 2 3 3 43" xfId="20842" xr:uid="{6274A7C7-6F91-44D3-A395-017092856BBA}"/>
    <cellStyle name="AggGreen 2 3 3 44" xfId="21621" xr:uid="{6C4284C6-BB55-4D2E-A59F-B87B79834293}"/>
    <cellStyle name="AggGreen 2 3 3 45" xfId="21775" xr:uid="{E7F21870-5C47-47C2-8C8C-3A24D37C452A}"/>
    <cellStyle name="AggGreen 2 3 3 46" xfId="22212" xr:uid="{26BC429B-8E45-4D79-9E3F-C83CBB956808}"/>
    <cellStyle name="AggGreen 2 3 3 47" xfId="22798" xr:uid="{0A5CA018-4EEC-41FA-AB0D-114B46E6C825}"/>
    <cellStyle name="AggGreen 2 3 3 48" xfId="23003" xr:uid="{C16A3002-8EC2-43AB-9FCA-6FEF466C81A2}"/>
    <cellStyle name="AggGreen 2 3 3 49" xfId="23593" xr:uid="{74D19494-DC21-4E06-95AB-5E71C17EE1AE}"/>
    <cellStyle name="AggGreen 2 3 3 5" xfId="2491" xr:uid="{13DFC970-1134-423D-ABEA-C23590EF60DE}"/>
    <cellStyle name="AggGreen 2 3 3 50" xfId="23860" xr:uid="{241511AB-1274-4C25-8881-CD0E2A4A9C70}"/>
    <cellStyle name="AggGreen 2 3 3 51" xfId="24759" xr:uid="{4125BCEE-9E71-4B33-BCC4-1FA222D156BE}"/>
    <cellStyle name="AggGreen 2 3 3 52" xfId="25099" xr:uid="{57CC1F57-96D7-4EDA-9889-AF550B96B0BF}"/>
    <cellStyle name="AggGreen 2 3 3 53" xfId="25677" xr:uid="{7C028674-33A0-417F-AE72-625E45E214E6}"/>
    <cellStyle name="AggGreen 2 3 3 54" xfId="26102" xr:uid="{F1FE1563-053B-4D7F-AFD8-839507F848E5}"/>
    <cellStyle name="AggGreen 2 3 3 55" xfId="26571" xr:uid="{157815E7-B163-412C-AB7C-A723880FE0BA}"/>
    <cellStyle name="AggGreen 2 3 3 56" xfId="26967" xr:uid="{B5052EE7-37E4-4FA8-99C0-AF127B85CA63}"/>
    <cellStyle name="AggGreen 2 3 3 57" xfId="27386" xr:uid="{A2A76FCC-AAE9-48BE-A11C-45D750913C2D}"/>
    <cellStyle name="AggGreen 2 3 3 58" xfId="27781" xr:uid="{D15A541E-17CB-49D6-8FA3-8836426A7497}"/>
    <cellStyle name="AggGreen 2 3 3 59" xfId="28509" xr:uid="{83001C59-4A0E-4E94-B2BE-8EFCA70C1DD7}"/>
    <cellStyle name="AggGreen 2 3 3 6" xfId="2975" xr:uid="{1DC18CC0-D972-42A4-BA53-0CE36294EE17}"/>
    <cellStyle name="AggGreen 2 3 3 60" xfId="28977" xr:uid="{87FD909C-DA1F-400C-8954-2EC7C843856E}"/>
    <cellStyle name="AggGreen 2 3 3 61" xfId="29253" xr:uid="{878D5C42-4B93-45D5-B940-053B5751F317}"/>
    <cellStyle name="AggGreen 2 3 3 62" xfId="29767" xr:uid="{E1EDC5E4-1895-43E8-826E-D5EB023589C8}"/>
    <cellStyle name="AggGreen 2 3 3 63" xfId="30175" xr:uid="{C01AA2CB-803A-4295-B4E3-6AB1130D58C4}"/>
    <cellStyle name="AggGreen 2 3 3 64" xfId="30589" xr:uid="{ADC7448B-DA17-4343-98A4-7FFF9E28FAB9}"/>
    <cellStyle name="AggGreen 2 3 3 65" xfId="30828" xr:uid="{FE2B7C3F-EBBB-433F-ADC1-EF44CFAB5D3A}"/>
    <cellStyle name="AggGreen 2 3 3 66" xfId="31213" xr:uid="{C8F5F602-7E50-45B9-BEB6-28463F69DABD}"/>
    <cellStyle name="AggGreen 2 3 3 7" xfId="1841" xr:uid="{028D2642-C89B-4662-A7AB-92298A9297CE}"/>
    <cellStyle name="AggGreen 2 3 3 8" xfId="3987" xr:uid="{6E4ABEF1-050B-4A19-94F6-A7EF89C4C0E5}"/>
    <cellStyle name="AggGreen 2 3 3 9" xfId="4425" xr:uid="{BCD7C12B-7160-48DE-92EC-2E1A68B9212A}"/>
    <cellStyle name="AggGreen 2 3 30" xfId="11675" xr:uid="{1192E159-665F-4548-BEBD-4AADAA0BF9A3}"/>
    <cellStyle name="AggGreen 2 3 31" xfId="13675" xr:uid="{9C83E0E5-D092-41D1-882F-EA571FCCA3FE}"/>
    <cellStyle name="AggGreen 2 3 32" xfId="14509" xr:uid="{CB27CD14-F96D-4037-A27F-ED531A04F5BF}"/>
    <cellStyle name="AggGreen 2 3 33" xfId="14090" xr:uid="{DBAF3CA5-21AA-46E5-B485-D42B7365A0CB}"/>
    <cellStyle name="AggGreen 2 3 34" xfId="14670" xr:uid="{8BDC8035-C576-41B1-91D8-192F13F73137}"/>
    <cellStyle name="AggGreen 2 3 35" xfId="14109" xr:uid="{C2F61C92-7370-40A5-AF70-BF3CC8FBA890}"/>
    <cellStyle name="AggGreen 2 3 36" xfId="16312" xr:uid="{7CB11349-128F-4054-A866-63EDAE6ED149}"/>
    <cellStyle name="AggGreen 2 3 37" xfId="16972" xr:uid="{E1D5918D-ECB4-40EA-991A-5B2DAD8E8853}"/>
    <cellStyle name="AggGreen 2 3 38" xfId="17423" xr:uid="{E5F169AC-12CC-43AD-84B2-07AF78CE4CA8}"/>
    <cellStyle name="AggGreen 2 3 39" xfId="18244" xr:uid="{B026A8BD-061E-4D84-A8BE-729E76C53C67}"/>
    <cellStyle name="AggGreen 2 3 4" xfId="665" xr:uid="{AB15F646-F093-415D-8F00-A7E7D4F74A97}"/>
    <cellStyle name="AggGreen 2 3 4 10" xfId="4229" xr:uid="{DD989E76-F68C-483B-9F02-A0F82B1CDBE8}"/>
    <cellStyle name="AggGreen 2 3 4 11" xfId="5313" xr:uid="{6DC1D69F-2BFC-44E9-9777-D136EA059433}"/>
    <cellStyle name="AggGreen 2 3 4 12" xfId="5549" xr:uid="{A6AC08BB-A146-4C26-904E-106150F9B2BC}"/>
    <cellStyle name="AggGreen 2 3 4 13" xfId="5569" xr:uid="{D7E8CB87-A512-4A23-A737-3E9CD5A0161E}"/>
    <cellStyle name="AggGreen 2 3 4 14" xfId="6565" xr:uid="{D8215080-D797-4049-9F2E-3EEDE0FEBA98}"/>
    <cellStyle name="AggGreen 2 3 4 15" xfId="7385" xr:uid="{D1BE6F8A-DF3E-47E3-8E53-8AD49AED3E39}"/>
    <cellStyle name="AggGreen 2 3 4 16" xfId="8024" xr:uid="{E2C9B69A-B400-4B19-A608-069A6D773EB6}"/>
    <cellStyle name="AggGreen 2 3 4 17" xfId="6836" xr:uid="{A8A242E0-BCEE-49BD-BB14-C646708A7A40}"/>
    <cellStyle name="AggGreen 2 3 4 18" xfId="8027" xr:uid="{C788EED3-B54B-4411-8123-DCF81FCDCF2D}"/>
    <cellStyle name="AggGreen 2 3 4 19" xfId="9599" xr:uid="{A9444A8E-4A4A-41F0-941A-6E784B4C00FE}"/>
    <cellStyle name="AggGreen 2 3 4 2" xfId="880" xr:uid="{FFC7D059-E429-4763-8207-0B368921C360}"/>
    <cellStyle name="AggGreen 2 3 4 2 10" xfId="5528" xr:uid="{59F6F7DE-C56F-4F72-B5A3-2B4530448818}"/>
    <cellStyle name="AggGreen 2 3 4 2 11" xfId="6022" xr:uid="{D8968E4E-1A0D-4326-9A14-A0B9EF815C5A}"/>
    <cellStyle name="AggGreen 2 3 4 2 12" xfId="6381" xr:uid="{BE0C959B-A26B-4117-A2D8-46132D59A14A}"/>
    <cellStyle name="AggGreen 2 3 4 2 13" xfId="6719" xr:uid="{09BF9A80-57FF-4B4C-804C-249458CA3B86}"/>
    <cellStyle name="AggGreen 2 3 4 2 14" xfId="7600" xr:uid="{3B7CF25D-0ECF-4D2C-A9E2-620AEC4ED74C}"/>
    <cellStyle name="AggGreen 2 3 4 2 15" xfId="8064" xr:uid="{5DF6ADE7-00FC-46F0-BAF9-8987C479F875}"/>
    <cellStyle name="AggGreen 2 3 4 2 16" xfId="8673" xr:uid="{2E92BA00-ABFA-43BD-BFA0-02658FF51799}"/>
    <cellStyle name="AggGreen 2 3 4 2 17" xfId="8932" xr:uid="{A7C88081-2525-44D5-8A52-54C1C47D02E3}"/>
    <cellStyle name="AggGreen 2 3 4 2 18" xfId="9814" xr:uid="{7D925AE5-7D6D-4986-9C02-427B3FD1001E}"/>
    <cellStyle name="AggGreen 2 3 4 2 19" xfId="10283" xr:uid="{A474C62D-3DC1-43C5-9A7F-B8BD8892569F}"/>
    <cellStyle name="AggGreen 2 3 4 2 2" xfId="1354" xr:uid="{59D77F2A-11B8-4871-A8E3-DFF975CF2A93}"/>
    <cellStyle name="AggGreen 2 3 4 2 20" xfId="10677" xr:uid="{D5F09B9E-C997-45FB-AA9B-955F6818174F}"/>
    <cellStyle name="AggGreen 2 3 4 2 21" xfId="11026" xr:uid="{DCCFF740-A746-4AF8-BB61-C3FD9962F29F}"/>
    <cellStyle name="AggGreen 2 3 4 2 22" xfId="11336" xr:uid="{F83A5EA4-2168-4A3E-B670-E37F14B04F38}"/>
    <cellStyle name="AggGreen 2 3 4 2 23" xfId="12233" xr:uid="{A86736F9-FB8E-4A5F-B58D-4C9CF75661B3}"/>
    <cellStyle name="AggGreen 2 3 4 2 24" xfId="12706" xr:uid="{43AAA3EB-1DD5-42E0-A3C0-C539921124C7}"/>
    <cellStyle name="AggGreen 2 3 4 2 25" xfId="13140" xr:uid="{24FF5431-57DB-41A6-A552-22A7C0753853}"/>
    <cellStyle name="AggGreen 2 3 4 2 26" xfId="13577" xr:uid="{6A99F693-75E5-4420-A5B4-FAB84E2EEADF}"/>
    <cellStyle name="AggGreen 2 3 4 2 27" xfId="14049" xr:uid="{12DFFC50-5A47-449E-89DB-6EC6FDA2EB32}"/>
    <cellStyle name="AggGreen 2 3 4 2 28" xfId="14496" xr:uid="{3749B0B6-38EF-462C-B41B-CA124EB47C5F}"/>
    <cellStyle name="AggGreen 2 3 4 2 29" xfId="14930" xr:uid="{E3BB7327-45DA-4138-8A45-3A7A988194C5}"/>
    <cellStyle name="AggGreen 2 3 4 2 3" xfId="1803" xr:uid="{EC9BF55B-BABB-411F-898F-24908E033AFB}"/>
    <cellStyle name="AggGreen 2 3 4 2 30" xfId="15400" xr:uid="{6938B0EB-E3C5-4394-B5AF-337F2C9E25C6}"/>
    <cellStyle name="AggGreen 2 3 4 2 31" xfId="15790" xr:uid="{0DC5F4E3-7E11-4043-9114-32CB775A117E}"/>
    <cellStyle name="AggGreen 2 3 4 2 32" xfId="16012" xr:uid="{FE7A1C65-02F4-45BE-A0B3-603D2A301F47}"/>
    <cellStyle name="AggGreen 2 3 4 2 33" xfId="16925" xr:uid="{5951960B-7821-4D1C-8F83-A822B7FAFB9A}"/>
    <cellStyle name="AggGreen 2 3 4 2 34" xfId="17406" xr:uid="{70A07837-BB94-44E2-ADD2-A488457E4009}"/>
    <cellStyle name="AggGreen 2 3 4 2 35" xfId="17847" xr:uid="{8265802D-E615-496D-B7B0-A656159490A7}"/>
    <cellStyle name="AggGreen 2 3 4 2 36" xfId="18322" xr:uid="{1FA7440F-4BF7-4872-81D3-2DFB078B0462}"/>
    <cellStyle name="AggGreen 2 3 4 2 37" xfId="18743" xr:uid="{E64858DA-7701-481A-BB9E-BCFC6F9FF752}"/>
    <cellStyle name="AggGreen 2 3 4 2 38" xfId="19130" xr:uid="{5BA24F51-5448-489D-964C-1BEABF190CBF}"/>
    <cellStyle name="AggGreen 2 3 4 2 39" xfId="19360" xr:uid="{218CEC00-C75A-4496-B772-F46C58DBBA10}"/>
    <cellStyle name="AggGreen 2 3 4 2 4" xfId="2702" xr:uid="{D615F18E-04CE-4312-8D6D-A6CF5C6AEC60}"/>
    <cellStyle name="AggGreen 2 3 4 2 40" xfId="20262" xr:uid="{C00B769C-22AA-4F9D-B1F9-F92626A13221}"/>
    <cellStyle name="AggGreen 2 3 4 2 41" xfId="20755" xr:uid="{60FFBBB9-83EC-403B-9BE8-21FE22B06B93}"/>
    <cellStyle name="AggGreen 2 3 4 2 42" xfId="21214" xr:uid="{E7C6E0FF-E9BF-40DF-BBBE-4B3BDF3C51F6}"/>
    <cellStyle name="AggGreen 2 3 4 2 43" xfId="21706" xr:uid="{71A7B95D-BD1C-4238-BEDD-1679E6AD7AD4}"/>
    <cellStyle name="AggGreen 2 3 4 2 44" xfId="22145" xr:uid="{05922741-560A-4A25-86B6-24E398D049EA}"/>
    <cellStyle name="AggGreen 2 3 4 2 45" xfId="22572" xr:uid="{F83A4638-E68E-4AF6-ACE3-91D1799D9DFC}"/>
    <cellStyle name="AggGreen 2 3 4 2 46" xfId="23017" xr:uid="{0E7F738C-629B-44D3-B0D2-C024ACF29272}"/>
    <cellStyle name="AggGreen 2 3 4 2 47" xfId="23419" xr:uid="{6D339786-6575-4B35-9FC4-6667900AFB5C}"/>
    <cellStyle name="AggGreen 2 3 4 2 48" xfId="23682" xr:uid="{380B9755-B940-415C-B94E-C32431F482E1}"/>
    <cellStyle name="AggGreen 2 3 4 2 49" xfId="24062" xr:uid="{A6ECE80E-0153-4A96-B6F7-A7456124485F}"/>
    <cellStyle name="AggGreen 2 3 4 2 5" xfId="3222" xr:uid="{B067357F-9BE3-45F1-8E70-62CDC9632AE4}"/>
    <cellStyle name="AggGreen 2 3 4 2 50" xfId="24970" xr:uid="{2AC17153-65BD-4AE2-BAA7-024BD1386A5A}"/>
    <cellStyle name="AggGreen 2 3 4 2 51" xfId="25458" xr:uid="{93617B83-D4F1-4705-BF0C-3F8C654363B7}"/>
    <cellStyle name="AggGreen 2 3 4 2 52" xfId="25886" xr:uid="{D5CA1647-EC1B-4731-8148-713CEE68BA00}"/>
    <cellStyle name="AggGreen 2 3 4 2 53" xfId="26324" xr:uid="{97EC6281-8F11-46D6-BE17-6026B7AF0C7C}"/>
    <cellStyle name="AggGreen 2 3 4 2 54" xfId="26753" xr:uid="{4A001C62-09A2-4585-AE24-9EBEA5064623}"/>
    <cellStyle name="AggGreen 2 3 4 2 55" xfId="27174" xr:uid="{60532939-B5E8-476F-8D8F-89820FB4D318}"/>
    <cellStyle name="AggGreen 2 3 4 2 56" xfId="27593" xr:uid="{58A379C2-D9EB-4E71-A5F4-1A985B39C467}"/>
    <cellStyle name="AggGreen 2 3 4 2 57" xfId="27831" xr:uid="{8B4BFAE1-091F-476F-A8BB-D101D87B1450}"/>
    <cellStyle name="AggGreen 2 3 4 2 58" xfId="28720" xr:uid="{2F8EE456-A3F9-4C53-9BC4-7BD88E9CB131}"/>
    <cellStyle name="AggGreen 2 3 4 2 59" xfId="29187" xr:uid="{F39CD8B0-8771-49CB-A3EC-600A8AA3D264}"/>
    <cellStyle name="AggGreen 2 3 4 2 6" xfId="3777" xr:uid="{09B2F3EF-DA58-4925-9B35-744991A9F591}"/>
    <cellStyle name="AggGreen 2 3 4 2 60" xfId="29569" xr:uid="{D532980F-AB24-4066-B150-0F9FD4F28E56}"/>
    <cellStyle name="AggGreen 2 3 4 2 61" xfId="29976" xr:uid="{92BC319E-8807-4E49-B63C-56354CB74375}"/>
    <cellStyle name="AggGreen 2 3 4 2 62" xfId="30382" xr:uid="{83F2DBFF-C8BC-4256-9019-0FD8C29451D7}"/>
    <cellStyle name="AggGreen 2 3 4 2 63" xfId="30799" xr:uid="{FE9E172A-2E15-49B6-8458-8E84D60C0FB7}"/>
    <cellStyle name="AggGreen 2 3 4 2 64" xfId="31044" xr:uid="{FF237C54-E590-471C-8B7F-6650864A57E9}"/>
    <cellStyle name="AggGreen 2 3 4 2 65" xfId="31415" xr:uid="{4B9AA5E7-42C8-4071-8F07-70CC488D9A98}"/>
    <cellStyle name="AggGreen 2 3 4 2 7" xfId="4198" xr:uid="{876F40E5-B4A9-433D-BE98-832B191A8396}"/>
    <cellStyle name="AggGreen 2 3 4 2 8" xfId="4635" xr:uid="{50A4D745-533E-4530-9DF6-18A2C3912E43}"/>
    <cellStyle name="AggGreen 2 3 4 2 9" xfId="5081" xr:uid="{BFD108B6-9A3C-4FCB-B3D3-61A81C4F0599}"/>
    <cellStyle name="AggGreen 2 3 4 20" xfId="10243" xr:uid="{86D7DB93-801A-46D4-A820-D99D6AB7E3CA}"/>
    <cellStyle name="AggGreen 2 3 4 21" xfId="10638" xr:uid="{CC9EBEC0-752F-4970-A8FA-FFBB792BEF1D}"/>
    <cellStyle name="AggGreen 2 3 4 22" xfId="9887" xr:uid="{F7B59888-95DA-4FA9-B3A8-6912D29B12C0}"/>
    <cellStyle name="AggGreen 2 3 4 23" xfId="11185" xr:uid="{9A0989CF-4D7A-4974-879A-2AAFA7FF722F}"/>
    <cellStyle name="AggGreen 2 3 4 24" xfId="12018" xr:uid="{53D5452D-7FCE-4420-9C25-96372AC6AEBF}"/>
    <cellStyle name="AggGreen 2 3 4 25" xfId="12491" xr:uid="{0B7C63E3-A903-4698-94B3-2002EFE0C12C}"/>
    <cellStyle name="AggGreen 2 3 4 26" xfId="12925" xr:uid="{88942BEB-E19F-48DC-A89B-0F08BD0BD547}"/>
    <cellStyle name="AggGreen 2 3 4 27" xfId="13362" xr:uid="{8885CA29-4DF0-43DC-96F8-CAAF594725C9}"/>
    <cellStyle name="AggGreen 2 3 4 28" xfId="11764" xr:uid="{E66AFE0F-B954-417E-82F2-63F3B84659C3}"/>
    <cellStyle name="AggGreen 2 3 4 29" xfId="11361" xr:uid="{4E603F1D-DC0A-460F-B5AC-A93C6B805AAB}"/>
    <cellStyle name="AggGreen 2 3 4 3" xfId="1148" xr:uid="{0BE5076B-0024-4A29-8D19-46534362A2AB}"/>
    <cellStyle name="AggGreen 2 3 4 30" xfId="14890" xr:uid="{440457CA-6637-469D-AA1F-6E4231772B7A}"/>
    <cellStyle name="AggGreen 2 3 4 31" xfId="15010" xr:uid="{950890D4-963C-4569-90F2-F7F890A8398D}"/>
    <cellStyle name="AggGreen 2 3 4 32" xfId="15710" xr:uid="{C0062589-943B-41D7-9F08-7142C9674261}"/>
    <cellStyle name="AggGreen 2 3 4 33" xfId="15984" xr:uid="{0913FF8A-BF0C-4DB7-9840-7DACFE64174B}"/>
    <cellStyle name="AggGreen 2 3 4 34" xfId="16710" xr:uid="{826F90A3-C938-46C3-ADB5-59D292939C95}"/>
    <cellStyle name="AggGreen 2 3 4 35" xfId="17364" xr:uid="{972B6F6C-EB23-4FBA-AE69-FF1AEEEDDD7E}"/>
    <cellStyle name="AggGreen 2 3 4 36" xfId="17806" xr:uid="{23E4F12A-25D8-4917-A9E3-35A3B5C7283F}"/>
    <cellStyle name="AggGreen 2 3 4 37" xfId="17509" xr:uid="{CAE8E664-F804-42A4-AB8B-4E08B8489549}"/>
    <cellStyle name="AggGreen 2 3 4 38" xfId="18528" xr:uid="{A4076952-1AAE-47FC-BC42-D706FAE6B4F5}"/>
    <cellStyle name="AggGreen 2 3 4 39" xfId="18227" xr:uid="{C2EB6733-81A2-437A-A1D5-2664F0E99B87}"/>
    <cellStyle name="AggGreen 2 3 4 4" xfId="1706" xr:uid="{750C245B-D85E-4C29-AE4F-42E54F485977}"/>
    <cellStyle name="AggGreen 2 3 4 40" xfId="18272" xr:uid="{E739EFBD-1311-4384-A210-40812EE61523}"/>
    <cellStyle name="AggGreen 2 3 4 41" xfId="20047" xr:uid="{663C4DFA-878C-4AA4-B932-6CEAF6A009C8}"/>
    <cellStyle name="AggGreen 2 3 4 42" xfId="20714" xr:uid="{BCB8F763-1B04-419C-B6A6-588598A9EABD}"/>
    <cellStyle name="AggGreen 2 3 4 43" xfId="21172" xr:uid="{4BBCCCB1-6BE8-44D4-A3B9-7A55B2357EE3}"/>
    <cellStyle name="AggGreen 2 3 4 44" xfId="20856" xr:uid="{E37DEF94-20F8-4625-A5B4-D0C3A6C88E84}"/>
    <cellStyle name="AggGreen 2 3 4 45" xfId="22103" xr:uid="{3044066C-2A8D-4728-A5CC-D5E08EFD8BFF}"/>
    <cellStyle name="AggGreen 2 3 4 46" xfId="22531" xr:uid="{90B717A8-AFD0-478D-A316-F3597ECF6955}"/>
    <cellStyle name="AggGreen 2 3 4 47" xfId="22047" xr:uid="{CCDE2CA9-7CFB-4484-98EE-B0136CFCED46}"/>
    <cellStyle name="AggGreen 2 3 4 48" xfId="22917" xr:uid="{8DDBCD09-9D21-44DF-8C62-72839967A888}"/>
    <cellStyle name="AggGreen 2 3 4 49" xfId="23116" xr:uid="{2BD415A6-B9F9-41A2-A212-BCEE8FFC772C}"/>
    <cellStyle name="AggGreen 2 3 4 5" xfId="2487" xr:uid="{EF678FDB-0AF0-406B-B1A2-D01585DBC8BB}"/>
    <cellStyle name="AggGreen 2 3 4 50" xfId="23856" xr:uid="{0812A2BF-71DC-4D37-A416-E69676BA1A47}"/>
    <cellStyle name="AggGreen 2 3 4 51" xfId="24755" xr:uid="{9389E5F4-2AF5-4C26-B49F-306ABDD33383}"/>
    <cellStyle name="AggGreen 2 3 4 52" xfId="25418" xr:uid="{C2A0EB6A-A69A-447B-A9BC-D2A17DFD23E6}"/>
    <cellStyle name="AggGreen 2 3 4 53" xfId="25673" xr:uid="{BB51E945-A65B-41F0-9009-52A6A2D16FEE}"/>
    <cellStyle name="AggGreen 2 3 4 54" xfId="24538" xr:uid="{5C1176B8-1C65-4A9D-AF57-1AD7B790B8E9}"/>
    <cellStyle name="AggGreen 2 3 4 55" xfId="25059" xr:uid="{22CE4DFE-9B0A-4E14-B088-B58A01B72A10}"/>
    <cellStyle name="AggGreen 2 3 4 56" xfId="26963" xr:uid="{23EF2AA4-FACC-46FE-A5A5-B21C26ABC4BC}"/>
    <cellStyle name="AggGreen 2 3 4 57" xfId="27382" xr:uid="{614FFFD5-D92F-43F1-A8C3-9B9A8741E785}"/>
    <cellStyle name="AggGreen 2 3 4 58" xfId="27761" xr:uid="{124F6520-5DF4-4891-925A-83886CA8877E}"/>
    <cellStyle name="AggGreen 2 3 4 59" xfId="28505" xr:uid="{0BB64C0B-7315-4E96-8442-66C25303DAF9}"/>
    <cellStyle name="AggGreen 2 3 4 6" xfId="2073" xr:uid="{0897648D-7D52-4028-8D89-FCB242578C0F}"/>
    <cellStyle name="AggGreen 2 3 4 60" xfId="28973" xr:uid="{D66FE89C-7494-405A-A169-50B3FB36B923}"/>
    <cellStyle name="AggGreen 2 3 4 61" xfId="29532" xr:uid="{1AE2F610-19E7-41EC-9B4B-A7C179FE57F6}"/>
    <cellStyle name="AggGreen 2 3 4 62" xfId="29763" xr:uid="{8D0CAE10-5103-43D6-BAF3-6C9963A98B80}"/>
    <cellStyle name="AggGreen 2 3 4 63" xfId="30171" xr:uid="{DEF0D92D-E7F1-4C79-BBDA-ACAB2013B578}"/>
    <cellStyle name="AggGreen 2 3 4 64" xfId="30585" xr:uid="{DA0035EE-05B9-4B15-A808-926EED504006}"/>
    <cellStyle name="AggGreen 2 3 4 65" xfId="30869" xr:uid="{A0168D1A-8B53-4222-BE14-9B864F8CEABB}"/>
    <cellStyle name="AggGreen 2 3 4 66" xfId="31209" xr:uid="{B3487BDB-C088-40A3-B192-758FC8617FEF}"/>
    <cellStyle name="AggGreen 2 3 4 7" xfId="3267" xr:uid="{669993BD-F24B-4CC7-AD08-329B70B95112}"/>
    <cellStyle name="AggGreen 2 3 4 8" xfId="3983" xr:uid="{5387ACF0-210E-4C6C-ADE2-1CBC716B2AFE}"/>
    <cellStyle name="AggGreen 2 3 4 9" xfId="4421" xr:uid="{F485BDFA-CAC5-421C-BB4C-27A0915308DC}"/>
    <cellStyle name="AggGreen 2 3 40" xfId="16082" xr:uid="{44B3163F-70D3-4944-91F0-A66BAB9864D1}"/>
    <cellStyle name="AggGreen 2 3 41" xfId="17779" xr:uid="{002D3B94-94FA-4E55-8611-83E3AE1BA001}"/>
    <cellStyle name="AggGreen 2 3 42" xfId="18992" xr:uid="{F06F4E76-D012-4C8C-AB75-D717F3DD8FAA}"/>
    <cellStyle name="AggGreen 2 3 43" xfId="19645" xr:uid="{39DFF6FA-7A47-46E1-BAB6-0E4B518941D1}"/>
    <cellStyle name="AggGreen 2 3 44" xfId="20319" xr:uid="{CCFF1FB6-6739-48D1-B5A6-7337993C123C}"/>
    <cellStyle name="AggGreen 2 3 45" xfId="20775" xr:uid="{D026434A-A146-4873-9168-5630D294147B}"/>
    <cellStyle name="AggGreen 2 3 46" xfId="20869" xr:uid="{4C275175-E201-4896-B9CB-289B59E164BA}"/>
    <cellStyle name="AggGreen 2 3 47" xfId="21082" xr:uid="{08CDCCB5-6D9F-4F94-968E-A9EC4DFF9EE6}"/>
    <cellStyle name="AggGreen 2 3 48" xfId="21244" xr:uid="{A1E1126D-995F-49BE-A2D8-4741BFB73A46}"/>
    <cellStyle name="AggGreen 2 3 49" xfId="22259" xr:uid="{52684852-204F-4B92-8E4C-07ACB200ED0D}"/>
    <cellStyle name="AggGreen 2 3 5" xfId="938" xr:uid="{85131384-7FA2-4FBA-9B4F-5A45B931865E}"/>
    <cellStyle name="AggGreen 2 3 50" xfId="21694" xr:uid="{FF940C85-5C03-48C3-9123-E03D9885085D}"/>
    <cellStyle name="AggGreen 2 3 51" xfId="23601" xr:uid="{F5A0F61B-F6B0-4F4B-B2A1-252116893994}"/>
    <cellStyle name="AggGreen 2 3 52" xfId="23394" xr:uid="{55DB013C-DBD7-4A9B-B6C1-C4B19313A2EB}"/>
    <cellStyle name="AggGreen 2 3 53" xfId="24365" xr:uid="{D2B9F474-BB21-43A4-A71B-8DDFC5BE6DC8}"/>
    <cellStyle name="AggGreen 2 3 54" xfId="25035" xr:uid="{96F33A09-97CC-41E4-B906-A16215DCEC5A}"/>
    <cellStyle name="AggGreen 2 3 55" xfId="24503" xr:uid="{835C7554-1073-4FF2-BE88-1F19BB2C341B}"/>
    <cellStyle name="AggGreen 2 3 56" xfId="24484" xr:uid="{29A39460-074F-44B3-8174-50DEBC3B827F}"/>
    <cellStyle name="AggGreen 2 3 57" xfId="26705" xr:uid="{61CAF3EE-A4C1-4995-BFDB-AB1AB97A62F3}"/>
    <cellStyle name="AggGreen 2 3 58" xfId="26614" xr:uid="{37F51CCD-4CC1-482B-855C-C23494172C55}"/>
    <cellStyle name="AggGreen 2 3 59" xfId="26531" xr:uid="{AC935B58-8766-4D02-A4CA-2211449EFF70}"/>
    <cellStyle name="AggGreen 2 3 6" xfId="1591" xr:uid="{81C00B2B-0C17-4C56-A7C4-283A24D0D07A}"/>
    <cellStyle name="AggGreen 2 3 60" xfId="26028" xr:uid="{9EDBD306-D843-48FE-821C-92CE5043BE25}"/>
    <cellStyle name="AggGreen 2 3 61" xfId="28136" xr:uid="{C95EEE68-A74B-4210-9647-156B42FF2005}"/>
    <cellStyle name="AggGreen 2 3 62" xfId="28020" xr:uid="{90091778-9676-4847-BD8C-4A7A09A3B154}"/>
    <cellStyle name="AggGreen 2 3 63" xfId="29199" xr:uid="{7A2BD140-B81A-4090-9234-2281D2B164F7}"/>
    <cellStyle name="AggGreen 2 3 64" xfId="29359" xr:uid="{2C6F461B-FF41-494A-893A-9D40F6403950}"/>
    <cellStyle name="AggGreen 2 3 65" xfId="29796" xr:uid="{7266BC01-08ED-4320-835E-A1EC9476A5E5}"/>
    <cellStyle name="AggGreen 2 3 66" xfId="29212" xr:uid="{EABA99AB-403C-4E01-B7B1-E9C39D83A0D9}"/>
    <cellStyle name="AggGreen 2 3 67" xfId="30812" xr:uid="{E473331D-AB80-4EC5-89A1-B6586697B71D}"/>
    <cellStyle name="AggGreen 2 3 68" xfId="29581" xr:uid="{7BAE49AA-26B2-45DB-BC84-CC3E2BED1210}"/>
    <cellStyle name="AggGreen 2 3 7" xfId="2085" xr:uid="{9D3EAA73-46F8-4825-8203-4333091E95AC}"/>
    <cellStyle name="AggGreen 2 3 8" xfId="1842" xr:uid="{4F7ACDC9-E3B1-4EDF-9580-025622C2BB23}"/>
    <cellStyle name="AggGreen 2 3 9" xfId="3692" xr:uid="{DAB35A3A-80A6-453C-8D35-06D82CDBA132}"/>
    <cellStyle name="AggGreen 3" xfId="402" xr:uid="{C1CA799E-509A-43B9-9C0C-EBFE30F0D853}"/>
    <cellStyle name="AggGreen 3 2" xfId="529" xr:uid="{B02C68B2-1F5F-4556-AC6C-86A6174002B4}"/>
    <cellStyle name="AggGreen 3 2 10" xfId="4752" xr:uid="{674A3DFC-7C06-4E0E-8148-453901664D92}"/>
    <cellStyle name="AggGreen 3 2 11" xfId="5177" xr:uid="{F626B23A-B08E-4BB2-A1E8-E5C24D57AC2D}"/>
    <cellStyle name="AggGreen 3 2 12" xfId="3811" xr:uid="{9C15452A-B565-4591-A169-1A01CB52519C}"/>
    <cellStyle name="AggGreen 3 2 13" xfId="5979" xr:uid="{56C0A939-A769-41E9-A83A-695E69E0815B}"/>
    <cellStyle name="AggGreen 3 2 14" xfId="6698" xr:uid="{35453363-208E-4BAB-9022-FCA6ED69DC41}"/>
    <cellStyle name="AggGreen 3 2 15" xfId="7249" xr:uid="{60F90A94-93F9-4E2C-8C54-6005BDFF17B2}"/>
    <cellStyle name="AggGreen 3 2 16" xfId="8038" xr:uid="{1C9316B2-FCA1-453C-8360-4B21778EF720}"/>
    <cellStyle name="AggGreen 3 2 17" xfId="7121" xr:uid="{60599BEA-D545-4E8F-ADE6-6523E6052065}"/>
    <cellStyle name="AggGreen 3 2 18" xfId="8911" xr:uid="{FDEA7CCB-4135-4FDB-9054-3F8B18B32A12}"/>
    <cellStyle name="AggGreen 3 2 19" xfId="9463" xr:uid="{D6829BA4-507F-495F-9AE4-5A6C2588E481}"/>
    <cellStyle name="AggGreen 3 2 2" xfId="744" xr:uid="{D934068F-A725-4503-89A1-C72881D53159}"/>
    <cellStyle name="AggGreen 3 2 2 10" xfId="5392" xr:uid="{B13FA9C5-EF01-4669-86F1-746E98EEB7F5}"/>
    <cellStyle name="AggGreen 3 2 2 11" xfId="4833" xr:uid="{63B2C60A-701E-44D6-A541-2C131672DAA5}"/>
    <cellStyle name="AggGreen 3 2 2 12" xfId="6066" xr:uid="{D96E09D6-94FB-4A68-885C-0C2D730E3F4A}"/>
    <cellStyle name="AggGreen 3 2 2 13" xfId="6155" xr:uid="{3398B4B4-B302-43BF-B51D-12E0699A4766}"/>
    <cellStyle name="AggGreen 3 2 2 14" xfId="7464" xr:uid="{05B7B05C-53AD-4527-96C8-8D5D1194B3B1}"/>
    <cellStyle name="AggGreen 3 2 2 15" xfId="6755" xr:uid="{72EFAA06-E81D-468A-88BB-7BFD97CF712C}"/>
    <cellStyle name="AggGreen 3 2 2 16" xfId="8286" xr:uid="{32C3C80F-825F-415E-9800-A796585AAD4F}"/>
    <cellStyle name="AggGreen 3 2 2 17" xfId="8660" xr:uid="{DBD4CCE4-F6B4-4909-B753-8E05985A51D8}"/>
    <cellStyle name="AggGreen 3 2 2 18" xfId="9678" xr:uid="{DB7320B2-8ECC-400F-88D8-C5505AF88A7D}"/>
    <cellStyle name="AggGreen 3 2 2 19" xfId="8967" xr:uid="{8FC3FD89-E388-441F-8F34-AAA672EA9CAB}"/>
    <cellStyle name="AggGreen 3 2 2 2" xfId="1218" xr:uid="{187C69C2-2133-413E-A4FD-D6607043959C}"/>
    <cellStyle name="AggGreen 3 2 2 20" xfId="10221" xr:uid="{FAF1CC6F-7A0D-4395-BA2F-5B3CFB6C972D}"/>
    <cellStyle name="AggGreen 3 2 2 21" xfId="10718" xr:uid="{EAA9EEDB-D07B-492A-A651-AE535069A54D}"/>
    <cellStyle name="AggGreen 3 2 2 22" xfId="9283" xr:uid="{44312A9B-0184-49CB-BDAF-FFAB8AAC2F43}"/>
    <cellStyle name="AggGreen 3 2 2 23" xfId="12097" xr:uid="{80A726C8-56AE-4FA4-820B-9EAA995FADBA}"/>
    <cellStyle name="AggGreen 3 2 2 24" xfId="12570" xr:uid="{8AE8DC30-2BF3-4C22-AA0C-D203AE612141}"/>
    <cellStyle name="AggGreen 3 2 2 25" xfId="13004" xr:uid="{D677835F-F3BF-4BAD-A7A9-B3E731CC6709}"/>
    <cellStyle name="AggGreen 3 2 2 26" xfId="13441" xr:uid="{841F1553-4679-473D-A73E-7F8BFC91E1C1}"/>
    <cellStyle name="AggGreen 3 2 2 27" xfId="13699" xr:uid="{9F7B3D5C-611A-400A-8BCF-AF82F68DF343}"/>
    <cellStyle name="AggGreen 3 2 2 28" xfId="11358" xr:uid="{D3696BBE-7556-4D3A-8283-31CFB1F0AEA9}"/>
    <cellStyle name="AggGreen 3 2 2 29" xfId="13637" xr:uid="{CE0054F8-2F95-4687-979E-45BA0D9AD455}"/>
    <cellStyle name="AggGreen 3 2 2 3" xfId="1485" xr:uid="{BF3FC57B-F38B-4916-BC4F-3282694DF4B2}"/>
    <cellStyle name="AggGreen 3 2 2 30" xfId="14694" xr:uid="{8E8AC623-633F-43C6-AFFB-5D011255A0CF}"/>
    <cellStyle name="AggGreen 3 2 2 31" xfId="15658" xr:uid="{F10E87F4-AD86-4C27-AF27-5CF103162905}"/>
    <cellStyle name="AggGreen 3 2 2 32" xfId="15749" xr:uid="{8DAA68B5-DA1A-4669-B96A-9DCF5EA58842}"/>
    <cellStyle name="AggGreen 3 2 2 33" xfId="16789" xr:uid="{A37A6D60-CA29-4F5C-B513-AD28792CCF8C}"/>
    <cellStyle name="AggGreen 3 2 2 34" xfId="16064" xr:uid="{4D5ADB7F-42C4-4882-BE5F-D04344EB793D}"/>
    <cellStyle name="AggGreen 3 2 2 35" xfId="17342" xr:uid="{D491A402-8F5F-494D-BD90-62002AFDE604}"/>
    <cellStyle name="AggGreen 3 2 2 36" xfId="17480" xr:uid="{0710F3F1-A349-44D1-8AF3-2A4011525B59}"/>
    <cellStyle name="AggGreen 3 2 2 37" xfId="18607" xr:uid="{628D715E-181B-423E-995F-6C1D5C3EC42A}"/>
    <cellStyle name="AggGreen 3 2 2 38" xfId="18902" xr:uid="{CE2318BC-4CCD-4505-9464-FC6B1A79918A}"/>
    <cellStyle name="AggGreen 3 2 2 39" xfId="19205" xr:uid="{5731DB9E-9C10-4B31-B8A2-FD984A444E1A}"/>
    <cellStyle name="AggGreen 3 2 2 4" xfId="2566" xr:uid="{2486C707-089F-44EB-A28A-E15BAB9C5AAB}"/>
    <cellStyle name="AggGreen 3 2 2 40" xfId="20126" xr:uid="{46E6E10D-E051-4EC1-9CF4-F46C330E7B1A}"/>
    <cellStyle name="AggGreen 3 2 2 41" xfId="19397" xr:uid="{3A369A6D-E8AF-48D9-AF07-6513FC066DE2}"/>
    <cellStyle name="AggGreen 3 2 2 42" xfId="19537" xr:uid="{360ECA25-44E3-4276-B8CC-62DE14AD452F}"/>
    <cellStyle name="AggGreen 3 2 2 43" xfId="21042" xr:uid="{D3CB216D-86BE-4506-8B0E-A608CCA6A62F}"/>
    <cellStyle name="AggGreen 3 2 2 44" xfId="21626" xr:uid="{D3C0A573-CE6C-4D3E-A751-B7C09592915A}"/>
    <cellStyle name="AggGreen 3 2 2 45" xfId="21412" xr:uid="{E6937A23-3B9A-4185-A857-62B7EEAC84EA}"/>
    <cellStyle name="AggGreen 3 2 2 46" xfId="22696" xr:uid="{584AD4EA-468A-4FD5-B124-853F3F996BA1}"/>
    <cellStyle name="AggGreen 3 2 2 47" xfId="23177" xr:uid="{1F052504-ADEB-4A26-A6FF-B33029D611DF}"/>
    <cellStyle name="AggGreen 3 2 2 48" xfId="23454" xr:uid="{206769FC-12B7-402C-AD87-F9E20C98FE41}"/>
    <cellStyle name="AggGreen 3 2 2 49" xfId="23926" xr:uid="{C58A979F-A75A-4997-8579-0B5A34B5A1B5}"/>
    <cellStyle name="AggGreen 3 2 2 5" xfId="2864" xr:uid="{A49D84FB-71B9-40B8-ADF0-97BFD2470371}"/>
    <cellStyle name="AggGreen 3 2 2 50" xfId="24834" xr:uid="{0B9A8CFC-133F-4622-843B-74F816A83033}"/>
    <cellStyle name="AggGreen 3 2 2 51" xfId="24122" xr:uid="{9F6947E4-9F16-45A1-9F7A-445FD4A0D934}"/>
    <cellStyle name="AggGreen 3 2 2 52" xfId="25750" xr:uid="{32992E3C-D83B-4E2D-A982-ADC8FBA58CD1}"/>
    <cellStyle name="AggGreen 3 2 2 53" xfId="26001" xr:uid="{00B8E8B6-E2B2-4E45-B96E-BB784A73FADD}"/>
    <cellStyle name="AggGreen 3 2 2 54" xfId="25949" xr:uid="{2148C38E-BFB6-4D7B-B618-E8CB6BB8FA5D}"/>
    <cellStyle name="AggGreen 3 2 2 55" xfId="27038" xr:uid="{E72E35AF-0AAC-4D05-A691-598471E99203}"/>
    <cellStyle name="AggGreen 3 2 2 56" xfId="27457" xr:uid="{88D7770E-66D0-443C-AFB5-475562405EC9}"/>
    <cellStyle name="AggGreen 3 2 2 57" xfId="27199" xr:uid="{3304FACB-2CF2-4FD8-80BF-5C10CC88166A}"/>
    <cellStyle name="AggGreen 3 2 2 58" xfId="28584" xr:uid="{9473E255-18C4-4896-A7D2-65A050EC7874}"/>
    <cellStyle name="AggGreen 3 2 2 59" xfId="29051" xr:uid="{AB22BBA4-47D2-4847-9507-5989572DEBBD}"/>
    <cellStyle name="AggGreen 3 2 2 6" xfId="2939" xr:uid="{1C7C0FD8-30A6-45CE-9467-6EE45AA48D4C}"/>
    <cellStyle name="AggGreen 3 2 2 60" xfId="28328" xr:uid="{1C205579-84AC-4B38-AC00-E474DBEBB8E6}"/>
    <cellStyle name="AggGreen 3 2 2 61" xfId="29840" xr:uid="{4E2CF54C-D841-4519-AA51-5CFC2A644DB4}"/>
    <cellStyle name="AggGreen 3 2 2 62" xfId="30246" xr:uid="{74418BE5-A920-4257-AF53-99B7FA0DC84C}"/>
    <cellStyle name="AggGreen 3 2 2 63" xfId="30663" xr:uid="{5332FD42-7558-4799-9170-208F92252C42}"/>
    <cellStyle name="AggGreen 3 2 2 64" xfId="29554" xr:uid="{ECBEB395-77EE-47E5-BB2E-2949F0D37E1B}"/>
    <cellStyle name="AggGreen 3 2 2 65" xfId="31279" xr:uid="{0B71839F-8A4A-4AD4-8421-9494C6F0BCBF}"/>
    <cellStyle name="AggGreen 3 2 2 7" xfId="4062" xr:uid="{D148EC23-C2DD-4973-9153-7508CA191970}"/>
    <cellStyle name="AggGreen 3 2 2 8" xfId="4499" xr:uid="{18E2D733-21D3-4053-990B-47F2C8609514}"/>
    <cellStyle name="AggGreen 3 2 2 9" xfId="3325" xr:uid="{C93992C3-A608-418E-8906-A6D9EF7BE6EC}"/>
    <cellStyle name="AggGreen 3 2 20" xfId="10257" xr:uid="{464111F4-6281-40B4-B208-9FB6BED2E4E8}"/>
    <cellStyle name="AggGreen 3 2 21" xfId="10650" xr:uid="{BCE5DFC7-C237-474C-91CF-00CD12FBDFB6}"/>
    <cellStyle name="AggGreen 3 2 22" xfId="11003" xr:uid="{8508DB6D-98F2-4459-AA88-587922424228}"/>
    <cellStyle name="AggGreen 3 2 23" xfId="11315" xr:uid="{B41CAEEB-9611-47F8-BAA8-173D3601A745}"/>
    <cellStyle name="AggGreen 3 2 24" xfId="11882" xr:uid="{C398FE28-E5FB-4A87-8CB3-D86241BD5504}"/>
    <cellStyle name="AggGreen 3 2 25" xfId="12355" xr:uid="{5E76C622-077A-4559-9164-67BA701B104E}"/>
    <cellStyle name="AggGreen 3 2 26" xfId="12789" xr:uid="{7F74BF72-9611-433B-A4CF-CA8BD74D7FEE}"/>
    <cellStyle name="AggGreen 3 2 27" xfId="13226" xr:uid="{2729EC08-8FB0-4493-9722-6FC3D1AAF43E}"/>
    <cellStyle name="AggGreen 3 2 28" xfId="14022" xr:uid="{5249EDDB-0750-4337-8A26-4DA32E131DFC}"/>
    <cellStyle name="AggGreen 3 2 29" xfId="14314" xr:uid="{D3318C4A-37EC-4530-974D-CF88A430BA0F}"/>
    <cellStyle name="AggGreen 3 2 3" xfId="1012" xr:uid="{DD1851D3-B167-48DF-8899-ED2063E9BE15}"/>
    <cellStyle name="AggGreen 3 2 30" xfId="14795" xr:uid="{039B9915-6719-478C-B722-0EFFDCF22A86}"/>
    <cellStyle name="AggGreen 3 2 31" xfId="15120" xr:uid="{9ABF9FEE-0939-4636-AA51-93AF056F5F90}"/>
    <cellStyle name="AggGreen 3 2 32" xfId="15766" xr:uid="{CC33CA27-B017-479F-90DC-FA7B132FEF3D}"/>
    <cellStyle name="AggGreen 3 2 33" xfId="15991" xr:uid="{1042F8F3-DF0D-428B-8552-EB30387791BA}"/>
    <cellStyle name="AggGreen 3 2 34" xfId="16574" xr:uid="{860A7951-5551-4756-8AD4-1A0CCF0B303C}"/>
    <cellStyle name="AggGreen 3 2 35" xfId="17379" xr:uid="{86D11446-9D7B-4E26-B954-13EF63ED059D}"/>
    <cellStyle name="AggGreen 3 2 36" xfId="17821" xr:uid="{375CF965-24E4-42D6-9DFE-A5D37A2DB2E2}"/>
    <cellStyle name="AggGreen 3 2 37" xfId="18297" xr:uid="{1D2C419A-1C8D-40A2-97E8-D69D4AA0A173}"/>
    <cellStyle name="AggGreen 3 2 38" xfId="18392" xr:uid="{411AD8B3-8F15-45D1-B315-2F8875AB6DEE}"/>
    <cellStyle name="AggGreen 3 2 39" xfId="19108" xr:uid="{10D9E28B-5C56-4F7B-BA84-B53646B0B0ED}"/>
    <cellStyle name="AggGreen 3 2 4" xfId="1751" xr:uid="{3105A556-EA98-4B59-A8AE-2969B6A14424}"/>
    <cellStyle name="AggGreen 3 2 40" xfId="19340" xr:uid="{30F79445-EAB2-431D-B0C3-F2F9E39D1026}"/>
    <cellStyle name="AggGreen 3 2 41" xfId="19911" xr:uid="{6DAF8376-8FE5-4F0D-8294-150DC1F93C9E}"/>
    <cellStyle name="AggGreen 3 2 42" xfId="20728" xr:uid="{C7A649AD-918E-4D3D-8EC1-2DC54C0D0F30}"/>
    <cellStyle name="AggGreen 3 2 43" xfId="21187" xr:uid="{CE317167-23E7-45AF-BFC4-AB6A3E5C52AE}"/>
    <cellStyle name="AggGreen 3 2 44" xfId="21679" xr:uid="{80BD10ED-BE2D-4362-B88D-E63A0FCFFC81}"/>
    <cellStyle name="AggGreen 3 2 45" xfId="22118" xr:uid="{A417D8FF-033A-4477-B507-FC2C20C1A7C6}"/>
    <cellStyle name="AggGreen 3 2 46" xfId="22545" xr:uid="{2F900742-6809-44CB-973B-81B309BDAD5E}"/>
    <cellStyle name="AggGreen 3 2 47" xfId="22991" xr:uid="{7A02267B-3F9D-4FF4-8BBD-2737483DAC79}"/>
    <cellStyle name="AggGreen 3 2 48" xfId="23395" xr:uid="{8EF44504-A9E2-416C-9460-5D6CA7FAF482}"/>
    <cellStyle name="AggGreen 3 2 49" xfId="23661" xr:uid="{1CDBD390-019F-4DBB-9780-665541221EAF}"/>
    <cellStyle name="AggGreen 3 2 5" xfId="2351" xr:uid="{0A4EA942-E2C2-430B-B8A9-14C32F88ABE1}"/>
    <cellStyle name="AggGreen 3 2 50" xfId="23720" xr:uid="{4701E9A5-C1B2-4717-8298-3EFEEBCBCF59}"/>
    <cellStyle name="AggGreen 3 2 51" xfId="24619" xr:uid="{48419D78-E42E-420B-B312-F2C7E862B109}"/>
    <cellStyle name="AggGreen 3 2 52" xfId="25433" xr:uid="{43990189-25C6-487E-81E1-A6D903BCEB6A}"/>
    <cellStyle name="AggGreen 3 2 53" xfId="25537" xr:uid="{A4209AD8-1301-4504-85B8-1F8850169B6A}"/>
    <cellStyle name="AggGreen 3 2 54" xfId="26299" xr:uid="{D78A95E3-6DCD-45C5-B3CB-1BD258E6A515}"/>
    <cellStyle name="AggGreen 3 2 55" xfId="26612" xr:uid="{35750C67-9BF1-410E-BFFB-2ABFF3DFBD82}"/>
    <cellStyle name="AggGreen 3 2 56" xfId="26827" xr:uid="{3BFEA6E0-96B7-46BE-8BAA-B51AD14CACBD}"/>
    <cellStyle name="AggGreen 3 2 57" xfId="27246" xr:uid="{7053E0A9-B94D-43AD-A270-00C3659BBE30}"/>
    <cellStyle name="AggGreen 3 2 58" xfId="27674" xr:uid="{CAC91043-D8FF-4C53-85F0-A55E37AFC240}"/>
    <cellStyle name="AggGreen 3 2 59" xfId="28369" xr:uid="{C3CBC8B6-2A7F-4CDD-A678-E0E461463FE1}"/>
    <cellStyle name="AggGreen 3 2 6" xfId="3195" xr:uid="{FE68BF9E-17DE-4F6B-BAFB-BC4D199E9ED7}"/>
    <cellStyle name="AggGreen 3 2 60" xfId="28837" xr:uid="{37A4F0E9-89D2-48B3-84FA-8411A45DEF0F}"/>
    <cellStyle name="AggGreen 3 2 61" xfId="29542" xr:uid="{FA69BC10-8D69-42CB-85E9-59B7BF850B73}"/>
    <cellStyle name="AggGreen 3 2 62" xfId="29627" xr:uid="{3C653F21-1C4C-40B7-972E-0E6A151D0742}"/>
    <cellStyle name="AggGreen 3 2 63" xfId="30035" xr:uid="{5C4BB266-F1AC-4316-B217-95830DF002D6}"/>
    <cellStyle name="AggGreen 3 2 64" xfId="30449" xr:uid="{B886D355-A623-4084-B194-0BE79B8148D5}"/>
    <cellStyle name="AggGreen 3 2 65" xfId="30841" xr:uid="{8837D1F9-AE83-4A6A-89FC-3A74B33AFDB5}"/>
    <cellStyle name="AggGreen 3 2 66" xfId="31073" xr:uid="{48E88B49-B831-4A2D-A09D-09009D09B988}"/>
    <cellStyle name="AggGreen 3 2 7" xfId="2151" xr:uid="{DEA52590-66CB-4001-AB22-9FA268A181D7}"/>
    <cellStyle name="AggGreen 3 2 8" xfId="3847" xr:uid="{B9F4B781-D82C-4B3D-A4EF-1CABB11806CE}"/>
    <cellStyle name="AggGreen 3 2 9" xfId="4285" xr:uid="{4A34758E-7F4E-4B51-9592-40B3C04BE7DF}"/>
    <cellStyle name="AggGreen 3 3" xfId="709" xr:uid="{FBEA734C-D946-4456-A448-C15C24639246}"/>
    <cellStyle name="AggGreen 3 3 10" xfId="5357" xr:uid="{0024F2F3-D179-417F-B8E5-1ACD9004F117}"/>
    <cellStyle name="AggGreen 3 3 11" xfId="5837" xr:uid="{E2D7B99E-E624-4531-97E8-0223C1B35D01}"/>
    <cellStyle name="AggGreen 3 3 12" xfId="5760" xr:uid="{4B5E95AE-CF6E-425D-BB22-202037A250E4}"/>
    <cellStyle name="AggGreen 3 3 13" xfId="6488" xr:uid="{72130FE6-AFB5-4534-A601-C2BC874691CC}"/>
    <cellStyle name="AggGreen 3 3 14" xfId="7429" xr:uid="{1841CA0E-8A60-4AB3-B20C-31A8C01E03B7}"/>
    <cellStyle name="AggGreen 3 3 15" xfId="8011" xr:uid="{1F6BAE48-4A96-44AA-BEBD-68F9787B145F}"/>
    <cellStyle name="AggGreen 3 3 16" xfId="7951" xr:uid="{DAB074BD-EC8A-421A-A404-E2F458996D28}"/>
    <cellStyle name="AggGreen 3 3 17" xfId="8796" xr:uid="{5237FF97-3878-47DF-985F-B25260F054C6}"/>
    <cellStyle name="AggGreen 3 3 18" xfId="9643" xr:uid="{D579CD6A-FE56-40DE-8312-E226C8C414EC}"/>
    <cellStyle name="AggGreen 3 3 19" xfId="10229" xr:uid="{D5FFC141-4454-483B-98DC-51BD9B4ED2F5}"/>
    <cellStyle name="AggGreen 3 3 2" xfId="1183" xr:uid="{76F306E9-6371-4D71-A2C6-D387BEC4D37A}"/>
    <cellStyle name="AggGreen 3 3 20" xfId="10627" xr:uid="{DA2F4323-D77E-4E96-B5A6-1C980443FC22}"/>
    <cellStyle name="AggGreen 3 3 21" xfId="10467" xr:uid="{51596609-86AA-4715-B084-812C5926D298}"/>
    <cellStyle name="AggGreen 3 3 22" xfId="11283" xr:uid="{4CC2352E-FB26-4056-ACEF-A67070D79D5B}"/>
    <cellStyle name="AggGreen 3 3 23" xfId="12062" xr:uid="{C1105E57-D982-42B3-AF14-8A1703A25446}"/>
    <cellStyle name="AggGreen 3 3 24" xfId="12535" xr:uid="{E4301851-B162-4B9A-A633-8DA49B1784C3}"/>
    <cellStyle name="AggGreen 3 3 25" xfId="12969" xr:uid="{54D9F913-2E7F-4DA6-8164-B40A9EDC7484}"/>
    <cellStyle name="AggGreen 3 3 26" xfId="13406" xr:uid="{0B84764D-1023-4E8F-842A-0013F74D08E3}"/>
    <cellStyle name="AggGreen 3 3 27" xfId="11443" xr:uid="{FBF8A12D-4D2E-4414-B4E5-9D47399FF97E}"/>
    <cellStyle name="AggGreen 3 3 28" xfId="14396" xr:uid="{811BCA09-6638-4382-9C63-34ABFD67828A}"/>
    <cellStyle name="AggGreen 3 3 29" xfId="14877" xr:uid="{A0A33C6C-F161-4F63-8C1E-B1911C84B239}"/>
    <cellStyle name="AggGreen 3 3 3" xfId="1449" xr:uid="{418B5F6E-F671-4694-90BF-DA6412EB9342}"/>
    <cellStyle name="AggGreen 3 3 30" xfId="14808" xr:uid="{21B6020A-36BD-477E-802E-66072A4AAC11}"/>
    <cellStyle name="AggGreen 3 3 31" xfId="14998" xr:uid="{5EEBF3C5-31F2-4E58-97D4-590C5B97543C}"/>
    <cellStyle name="AggGreen 3 3 32" xfId="15976" xr:uid="{7CE595E7-AB6D-4FFD-8FA7-D613A0DE6BB1}"/>
    <cellStyle name="AggGreen 3 3 33" xfId="16754" xr:uid="{EEBADB54-4311-46AE-8563-E6C91B33DE11}"/>
    <cellStyle name="AggGreen 3 3 34" xfId="17350" xr:uid="{4634DDEE-5127-41A4-A0A3-0208149F97F1}"/>
    <cellStyle name="AggGreen 3 3 35" xfId="17792" xr:uid="{C208FC60-3766-412B-9C77-2BD492898170}"/>
    <cellStyle name="AggGreen 3 3 36" xfId="18111" xr:uid="{01B3E128-E799-488B-A62A-3EA11EEFD011}"/>
    <cellStyle name="AggGreen 3 3 37" xfId="18572" xr:uid="{0D1014D8-FC89-414F-B0AE-0FAAA52753F7}"/>
    <cellStyle name="AggGreen 3 3 38" xfId="18928" xr:uid="{D1661294-0E7C-4CC5-B705-E8D466304ED7}"/>
    <cellStyle name="AggGreen 3 3 39" xfId="19015" xr:uid="{9EBCF192-ACDA-4F27-9491-3D3FEA1AFF71}"/>
    <cellStyle name="AggGreen 3 3 4" xfId="2531" xr:uid="{6BA52C32-6AE3-4501-A099-892A759A786E}"/>
    <cellStyle name="AggGreen 3 3 40" xfId="20091" xr:uid="{56789F0B-ED52-4F68-AD7D-BDE899CB785D}"/>
    <cellStyle name="AggGreen 3 3 41" xfId="20701" xr:uid="{15D412D3-7D38-4614-96F0-DB422CBBF424}"/>
    <cellStyle name="AggGreen 3 3 42" xfId="21158" xr:uid="{DC1A5CB0-BC38-413A-9631-25209CC5A8E5}"/>
    <cellStyle name="AggGreen 3 3 43" xfId="21559" xr:uid="{03D9F112-2D46-436A-A945-91F9F77F3D77}"/>
    <cellStyle name="AggGreen 3 3 44" xfId="22089" xr:uid="{13094BB0-B455-4583-B34C-B7E6F10E0421}"/>
    <cellStyle name="AggGreen 3 3 45" xfId="22517" xr:uid="{72A6C025-D3F3-4FF3-B50A-7CAEAC60CA96}"/>
    <cellStyle name="AggGreen 3 3 46" xfId="20663" xr:uid="{6B566D64-163B-4939-8DB6-7241ABA2D567}"/>
    <cellStyle name="AggGreen 3 3 47" xfId="23214" xr:uid="{44C89A32-0B86-4E08-99C6-3CF3EB328AE0}"/>
    <cellStyle name="AggGreen 3 3 48" xfId="23255" xr:uid="{975D71B7-6251-4A72-9583-5EA057706D84}"/>
    <cellStyle name="AggGreen 3 3 49" xfId="23891" xr:uid="{7EFC04A2-5899-44CB-BB7B-8358FE5640C5}"/>
    <cellStyle name="AggGreen 3 3 5" xfId="2303" xr:uid="{65DFFBCF-617A-4D5A-A0AC-F331319EC42B}"/>
    <cellStyle name="AggGreen 3 3 50" xfId="24799" xr:uid="{E221A4AB-3186-4F03-8893-7F05F473A37E}"/>
    <cellStyle name="AggGreen 3 3 51" xfId="25404" xr:uid="{009E6E5B-A83B-4578-8CAB-AF0EEBC056B4}"/>
    <cellStyle name="AggGreen 3 3 52" xfId="25715" xr:uid="{2B1EDF41-87DE-477E-9B93-417C7D54333D}"/>
    <cellStyle name="AggGreen 3 3 53" xfId="25197" xr:uid="{C22A5E84-255F-401A-9BA9-88729141A4F8}"/>
    <cellStyle name="AggGreen 3 3 54" xfId="26507" xr:uid="{823C34F9-BF9C-47F4-AEB5-B6C946E45161}"/>
    <cellStyle name="AggGreen 3 3 55" xfId="27003" xr:uid="{687044C2-B9EF-4036-A669-739280258361}"/>
    <cellStyle name="AggGreen 3 3 56" xfId="27422" xr:uid="{F8DD3A82-CF17-4404-9EF8-B5A9BA0BB3CE}"/>
    <cellStyle name="AggGreen 3 3 57" xfId="27777" xr:uid="{756BA733-E2AB-498B-8B38-EF03C337E5CB}"/>
    <cellStyle name="AggGreen 3 3 58" xfId="28549" xr:uid="{106F1473-F814-4D79-8DCF-ED50DDEE271C}"/>
    <cellStyle name="AggGreen 3 3 59" xfId="29016" xr:uid="{23D4F693-6640-4183-9586-00B0C9642DC4}"/>
    <cellStyle name="AggGreen 3 3 6" xfId="2283" xr:uid="{D3FBBAAC-8EA8-491E-A87E-475EFE228FBF}"/>
    <cellStyle name="AggGreen 3 3 60" xfId="29519" xr:uid="{60B3E0C7-1EDD-434F-9696-C5556F7E0DF5}"/>
    <cellStyle name="AggGreen 3 3 61" xfId="29805" xr:uid="{6514B839-FE97-473D-88BE-598CC13C23FB}"/>
    <cellStyle name="AggGreen 3 3 62" xfId="30211" xr:uid="{36525D02-CD76-42DF-90FF-761DD07AD0A5}"/>
    <cellStyle name="AggGreen 3 3 63" xfId="30628" xr:uid="{BCF6225C-8DAA-4744-86D7-F05ED9131A1E}"/>
    <cellStyle name="AggGreen 3 3 64" xfId="30947" xr:uid="{49017E77-7AAE-4D87-8631-43923812C4FE}"/>
    <cellStyle name="AggGreen 3 3 65" xfId="31244" xr:uid="{E1F24EA3-4564-40D1-89BE-372657198770}"/>
    <cellStyle name="AggGreen 3 3 7" xfId="4027" xr:uid="{41C5C2D6-0EFE-485D-A56C-C97475091EF4}"/>
    <cellStyle name="AggGreen 3 3 8" xfId="4464" xr:uid="{C906CB77-0253-402A-AB62-4AE62DC136EC}"/>
    <cellStyle name="AggGreen 3 3 9" xfId="4846" xr:uid="{9D0117DE-0EE3-4A4F-BCEA-07526D4127FA}"/>
    <cellStyle name="AggGreen 4" xfId="260" xr:uid="{00FC83E1-1D75-438F-AFCC-2394AAFB8A1A}"/>
    <cellStyle name="AggGreen 4 10" xfId="3270" xr:uid="{7A2D2173-C94F-4CCF-8860-2C93686F63F3}"/>
    <cellStyle name="AggGreen 4 11" xfId="4209" xr:uid="{B957283D-43BF-4A61-B8F1-4EFFC0D5350E}"/>
    <cellStyle name="AggGreen 4 12" xfId="3171" xr:uid="{B8BA4FE3-4DE0-4EF5-BE3B-5E8825728944}"/>
    <cellStyle name="AggGreen 4 13" xfId="3416" xr:uid="{4322C9EA-0335-41F2-A78E-B1089E531C00}"/>
    <cellStyle name="AggGreen 4 14" xfId="4827" xr:uid="{3B92FE8A-1EEB-4E20-80DA-6721E2BAFDC3}"/>
    <cellStyle name="AggGreen 4 15" xfId="6307" xr:uid="{96370CAE-7E7D-43FF-B31E-58A636B76431}"/>
    <cellStyle name="AggGreen 4 16" xfId="6427" xr:uid="{3BF830D2-089F-403B-989D-6026174F7892}"/>
    <cellStyle name="AggGreen 4 17" xfId="6990" xr:uid="{B2313747-E7AB-4A48-AA95-45952EA56566}"/>
    <cellStyle name="AggGreen 4 18" xfId="7082" xr:uid="{2AE7D591-8486-4D8E-A647-A75F71CD3C4A}"/>
    <cellStyle name="AggGreen 4 19" xfId="8601" xr:uid="{C713BCE8-0748-45FE-B54A-62A83437D101}"/>
    <cellStyle name="AggGreen 4 2" xfId="599" xr:uid="{909419BC-9DE0-46FB-B1DE-7E686EFA637E}"/>
    <cellStyle name="AggGreen 4 2 10" xfId="4958" xr:uid="{27EE805D-C850-412A-A5F2-69B8062F1563}"/>
    <cellStyle name="AggGreen 4 2 11" xfId="5247" xr:uid="{D089DA28-4E69-49C3-AF81-DB0514BCDE94}"/>
    <cellStyle name="AggGreen 4 2 12" xfId="5003" xr:uid="{8F6FF977-5DA1-4E08-955D-C636597D99A0}"/>
    <cellStyle name="AggGreen 4 2 13" xfId="5582" xr:uid="{94D4F330-BB99-459C-9782-42D83D6EB7AA}"/>
    <cellStyle name="AggGreen 4 2 14" xfId="4689" xr:uid="{086414B6-88AE-473B-AC94-26AD0691935C}"/>
    <cellStyle name="AggGreen 4 2 15" xfId="7319" xr:uid="{FBD9BE4C-81D1-4FDD-8B77-A935F129F68A}"/>
    <cellStyle name="AggGreen 4 2 16" xfId="7101" xr:uid="{11FAB550-9241-4FDA-8BB2-E2E80CBFD10E}"/>
    <cellStyle name="AggGreen 4 2 17" xfId="7863" xr:uid="{C698C68D-2D3E-4EE1-BDEB-9E16814DD438}"/>
    <cellStyle name="AggGreen 4 2 18" xfId="8804" xr:uid="{584A4BF7-F26E-4775-81F4-F0FCB95512D4}"/>
    <cellStyle name="AggGreen 4 2 19" xfId="9533" xr:uid="{D5EE9CD4-A2F7-46C7-914C-BE4D9F270E7F}"/>
    <cellStyle name="AggGreen 4 2 2" xfId="814" xr:uid="{4132A7C0-7354-4DE9-B909-0A64F2FE9636}"/>
    <cellStyle name="AggGreen 4 2 2 10" xfId="5462" xr:uid="{C071BE16-2219-4EAC-BA96-0F8D90F5613B}"/>
    <cellStyle name="AggGreen 4 2 2 11" xfId="5814" xr:uid="{5B5A6071-65B0-45EA-BD0D-1AEC94716781}"/>
    <cellStyle name="AggGreen 4 2 2 12" xfId="4221" xr:uid="{005E2B76-3772-4D6A-ADD7-2C77E7C4C901}"/>
    <cellStyle name="AggGreen 4 2 2 13" xfId="6568" xr:uid="{3CD9CCD3-DDEC-4215-B7C1-B8D547E8BD0E}"/>
    <cellStyle name="AggGreen 4 2 2 14" xfId="7534" xr:uid="{A6D52CDD-0342-4781-8228-C3C351F3136A}"/>
    <cellStyle name="AggGreen 4 2 2 15" xfId="7203" xr:uid="{76894B68-ED74-4AA8-A299-472626A3288B}"/>
    <cellStyle name="AggGreen 4 2 2 16" xfId="8331" xr:uid="{88D6244C-CC84-4598-8B66-5AD08F37E5A6}"/>
    <cellStyle name="AggGreen 4 2 2 17" xfId="8747" xr:uid="{4C46D908-AB47-4AD9-AFE0-09F5970994F8}"/>
    <cellStyle name="AggGreen 4 2 2 18" xfId="9748" xr:uid="{5E1D9F5C-5808-4F60-8180-41B12367A686}"/>
    <cellStyle name="AggGreen 4 2 2 19" xfId="9416" xr:uid="{D9929CD0-7B16-4C4C-9695-F9BEE3ED528A}"/>
    <cellStyle name="AggGreen 4 2 2 2" xfId="1288" xr:uid="{F8ED2C57-2B86-4AB6-8C9C-3AAAA8088C6C}"/>
    <cellStyle name="AggGreen 4 2 2 20" xfId="9032" xr:uid="{BE21210D-8391-4A5C-B1EC-A47613EA0FB2}"/>
    <cellStyle name="AggGreen 4 2 2 21" xfId="10729" xr:uid="{F1804967-44D2-4174-968B-C5732D12CD18}"/>
    <cellStyle name="AggGreen 4 2 2 22" xfId="10317" xr:uid="{D828F07C-A345-46F4-B63B-945A2C8AB590}"/>
    <cellStyle name="AggGreen 4 2 2 23" xfId="12167" xr:uid="{3F9EB27F-E342-496E-BE37-F9E3E28DF0D5}"/>
    <cellStyle name="AggGreen 4 2 2 24" xfId="12640" xr:uid="{9C42C84D-E95B-47CC-AAA3-4774A1F137F7}"/>
    <cellStyle name="AggGreen 4 2 2 25" xfId="13074" xr:uid="{27CBBEEC-B392-4DF5-8A3A-19C6FD983837}"/>
    <cellStyle name="AggGreen 4 2 2 26" xfId="13511" xr:uid="{ADB9822F-4C3F-4BB6-B4A3-335925D14AB0}"/>
    <cellStyle name="AggGreen 4 2 2 27" xfId="13721" xr:uid="{54C32B85-C9A3-49D7-96D9-BD27886F79B5}"/>
    <cellStyle name="AggGreen 4 2 2 28" xfId="14332" xr:uid="{597E47B6-AE13-4B23-B691-D3374C73173D}"/>
    <cellStyle name="AggGreen 4 2 2 29" xfId="14111" xr:uid="{402DAD01-9C14-4540-B624-5E616040B454}"/>
    <cellStyle name="AggGreen 4 2 2 3" xfId="1420" xr:uid="{F4DD594D-5050-46F2-9931-BCA57F84F6BB}"/>
    <cellStyle name="AggGreen 4 2 2 30" xfId="14125" xr:uid="{C8B3418B-1C6D-47EB-AA03-EF679F7D1FB0}"/>
    <cellStyle name="AggGreen 4 2 2 31" xfId="14976" xr:uid="{1C752E85-6E5C-41C7-AEDE-2BE27AD853C8}"/>
    <cellStyle name="AggGreen 4 2 2 32" xfId="15581" xr:uid="{38C42A74-B310-46B9-AB70-EAC4B2AA9E3D}"/>
    <cellStyle name="AggGreen 4 2 2 33" xfId="16859" xr:uid="{FF9FEBF1-6B36-4988-833B-210581ECC9C0}"/>
    <cellStyle name="AggGreen 4 2 2 34" xfId="16525" xr:uid="{E1852517-00A8-4ED3-9DCF-A5AD77C21FC0}"/>
    <cellStyle name="AggGreen 4 2 2 35" xfId="16738" xr:uid="{521E6E14-5BE2-4051-80A4-7040F426C5E4}"/>
    <cellStyle name="AggGreen 4 2 2 36" xfId="17939" xr:uid="{460839E9-6EE5-4A47-9B47-D9C9FAA91A88}"/>
    <cellStyle name="AggGreen 4 2 2 37" xfId="18677" xr:uid="{2C2C1B67-19A1-45E6-AD26-B0ABED3CECC7}"/>
    <cellStyle name="AggGreen 4 2 2 38" xfId="18932" xr:uid="{B3579674-DAD0-47AB-8CCB-F3DD3B91EFBF}"/>
    <cellStyle name="AggGreen 4 2 2 39" xfId="19214" xr:uid="{8BF5F517-E6DA-4BE9-A1B9-2BD1E3368076}"/>
    <cellStyle name="AggGreen 4 2 2 4" xfId="2636" xr:uid="{84005D87-22C6-438E-85EE-C4D26F5E9602}"/>
    <cellStyle name="AggGreen 4 2 2 40" xfId="20196" xr:uid="{30B9E928-A1C4-4761-9423-E90B1CC784DE}"/>
    <cellStyle name="AggGreen 4 2 2 41" xfId="19861" xr:uid="{A3650326-C3CA-4F59-AD61-57B06218F225}"/>
    <cellStyle name="AggGreen 4 2 2 42" xfId="20617" xr:uid="{6C7EAE5D-C9F0-4F53-9928-28541BAB0E0B}"/>
    <cellStyle name="AggGreen 4 2 2 43" xfId="21580" xr:uid="{5DF4FC2B-5818-468E-8E4D-D0A49DEE15E3}"/>
    <cellStyle name="AggGreen 4 2 2 44" xfId="21043" xr:uid="{80730668-AE67-4B4C-B031-223C8B8970AC}"/>
    <cellStyle name="AggGreen 4 2 2 45" xfId="21756" xr:uid="{E89D7B44-09BA-42EA-A338-320932809A96}"/>
    <cellStyle name="AggGreen 4 2 2 46" xfId="22717" xr:uid="{5E7E24AF-C003-48D7-82EA-1432C86E0FB2}"/>
    <cellStyle name="AggGreen 4 2 2 47" xfId="23219" xr:uid="{84A9021D-9D8B-4E83-8FF7-C4E81CCEEBB1}"/>
    <cellStyle name="AggGreen 4 2 2 48" xfId="23634" xr:uid="{5F797E8C-316B-4A8D-BDF2-A2AF6B9815D8}"/>
    <cellStyle name="AggGreen 4 2 2 49" xfId="23996" xr:uid="{999B0188-3EE0-4651-BD71-26C0BE65BE18}"/>
    <cellStyle name="AggGreen 4 2 2 5" xfId="2886" xr:uid="{299702F1-4833-4E45-9AFA-8235B0652016}"/>
    <cellStyle name="AggGreen 4 2 2 50" xfId="24904" xr:uid="{05B70A90-946C-4136-A4A7-EED9F4B9ECEF}"/>
    <cellStyle name="AggGreen 4 2 2 51" xfId="24565" xr:uid="{AEC5F209-1303-4B70-A819-6E59991E7084}"/>
    <cellStyle name="AggGreen 4 2 2 52" xfId="25820" xr:uid="{1C8478A7-5F7C-4EC5-B6B3-E59D49E045CB}"/>
    <cellStyle name="AggGreen 4 2 2 53" xfId="25995" xr:uid="{F02A84F5-5BE3-4ACB-A707-075DD5A78F85}"/>
    <cellStyle name="AggGreen 4 2 2 54" xfId="26403" xr:uid="{59A9B5CC-D084-47EA-8768-C2D09B64A0D9}"/>
    <cellStyle name="AggGreen 4 2 2 55" xfId="27108" xr:uid="{F9BD7457-EF8D-4E4D-A332-9A18EC55CCA6}"/>
    <cellStyle name="AggGreen 4 2 2 56" xfId="27527" xr:uid="{C749B08C-4BE5-49F1-9474-4482163D0061}"/>
    <cellStyle name="AggGreen 4 2 2 57" xfId="27208" xr:uid="{F3427754-DA93-472A-8E43-6AE96AF5ED92}"/>
    <cellStyle name="AggGreen 4 2 2 58" xfId="28654" xr:uid="{1B828796-976A-4F08-AED3-8058408E26C3}"/>
    <cellStyle name="AggGreen 4 2 2 59" xfId="29121" xr:uid="{5F59491C-B786-4750-83C7-4FA565E491D8}"/>
    <cellStyle name="AggGreen 4 2 2 6" xfId="3446" xr:uid="{204BB699-7A23-4EAA-BB40-0DF5D92FF7AA}"/>
    <cellStyle name="AggGreen 4 2 2 60" xfId="27978" xr:uid="{4BDFA8D8-72DE-4A59-B156-370354E7F26F}"/>
    <cellStyle name="AggGreen 4 2 2 61" xfId="29910" xr:uid="{F781EACB-A480-47DA-812C-DA07D2A89069}"/>
    <cellStyle name="AggGreen 4 2 2 62" xfId="30316" xr:uid="{011B1D4B-FBFD-4ED3-9830-25F281EAD72A}"/>
    <cellStyle name="AggGreen 4 2 2 63" xfId="30733" xr:uid="{90B3F198-0726-4F7C-98F0-1279A2DEB5D0}"/>
    <cellStyle name="AggGreen 4 2 2 64" xfId="29207" xr:uid="{219A7588-8CC3-4EFA-B9E9-9B6DB63D7631}"/>
    <cellStyle name="AggGreen 4 2 2 65" xfId="31349" xr:uid="{ADC31152-4274-4BC0-8698-983580ACBF4B}"/>
    <cellStyle name="AggGreen 4 2 2 7" xfId="4132" xr:uid="{EC447489-C40D-463F-8A3C-5C4D0562CA6D}"/>
    <cellStyle name="AggGreen 4 2 2 8" xfId="4569" xr:uid="{3F4EE4D1-0F0A-45F6-AAAC-FD019E31428E}"/>
    <cellStyle name="AggGreen 4 2 2 9" xfId="4017" xr:uid="{25E6A711-B7DE-4DA3-B8A1-2798F1C4DAC9}"/>
    <cellStyle name="AggGreen 4 2 20" xfId="9187" xr:uid="{F3B6F22A-E972-49CB-A5D8-29DA79B1C287}"/>
    <cellStyle name="AggGreen 4 2 21" xfId="9047" xr:uid="{AC75CF4A-C024-4052-BCA7-96287F04AA11}"/>
    <cellStyle name="AggGreen 4 2 22" xfId="10977" xr:uid="{1DC46D3E-C4A5-4C48-885C-5AED4C4FE996}"/>
    <cellStyle name="AggGreen 4 2 23" xfId="10859" xr:uid="{2E387733-9DC1-4FF6-9B68-B0ADAD93ADDD}"/>
    <cellStyle name="AggGreen 4 2 24" xfId="11952" xr:uid="{BB3E27BB-6C62-4E99-A044-72CC62461E85}"/>
    <cellStyle name="AggGreen 4 2 25" xfId="12425" xr:uid="{4314E611-ED26-4863-9ED8-C996853D3495}"/>
    <cellStyle name="AggGreen 4 2 26" xfId="12859" xr:uid="{E63E2F30-A2D1-4575-8858-507D8544CE16}"/>
    <cellStyle name="AggGreen 4 2 27" xfId="13296" xr:uid="{4DE20FB0-470C-4AFA-8CCE-668A528B4013}"/>
    <cellStyle name="AggGreen 4 2 28" xfId="13915" xr:uid="{C2DCED1F-4DB8-4573-83A9-0432825BC6D4}"/>
    <cellStyle name="AggGreen 4 2 29" xfId="14173" xr:uid="{6B1CD1A8-298D-4885-83A2-6B8096AC3836}"/>
    <cellStyle name="AggGreen 4 2 3" xfId="1082" xr:uid="{DDB74BDE-3BDE-4207-95E4-22E863CB481B}"/>
    <cellStyle name="AggGreen 4 2 30" xfId="11579" xr:uid="{893DEF76-6F42-43C1-8154-604F8C51DC7B}"/>
    <cellStyle name="AggGreen 4 2 31" xfId="15210" xr:uid="{F0AFE372-A2AC-439B-B1F5-89F0ABC55AEB}"/>
    <cellStyle name="AggGreen 4 2 32" xfId="15472" xr:uid="{A476A1AA-4D75-4C27-A130-78187428028A}"/>
    <cellStyle name="AggGreen 4 2 33" xfId="14143" xr:uid="{ABBC23BA-CAB8-45E4-A58A-575051D8E35B}"/>
    <cellStyle name="AggGreen 4 2 34" xfId="16644" xr:uid="{99A64E81-5FD9-40D2-B845-02ED7BAE75AD}"/>
    <cellStyle name="AggGreen 4 2 35" xfId="16423" xr:uid="{954BC724-5171-470B-B599-CF7E77A0901A}"/>
    <cellStyle name="AggGreen 4 2 36" xfId="16168" xr:uid="{9A22DAAC-C445-45FB-B7A3-790E6FC767DD}"/>
    <cellStyle name="AggGreen 4 2 37" xfId="16257" xr:uid="{B0563D15-D6ED-402B-B61D-56A271F079B0}"/>
    <cellStyle name="AggGreen 4 2 38" xfId="18462" xr:uid="{CF83F06F-8971-4DFF-9DF6-9B0772CB613B}"/>
    <cellStyle name="AggGreen 4 2 39" xfId="18563" xr:uid="{42B4F491-9A76-4D35-8114-346A94DDEFF6}"/>
    <cellStyle name="AggGreen 4 2 4" xfId="1376" xr:uid="{A677C579-7EF1-4A42-876F-3C7B0D7CB1BF}"/>
    <cellStyle name="AggGreen 4 2 40" xfId="19212" xr:uid="{32F2234C-43A9-4287-B999-121ADEAD5F85}"/>
    <cellStyle name="AggGreen 4 2 41" xfId="19981" xr:uid="{01DE1493-E3A9-48D4-B23E-F8031908ACE8}"/>
    <cellStyle name="AggGreen 4 2 42" xfId="20276" xr:uid="{B61B4AE8-B443-4D18-B00F-A3A746A49385}"/>
    <cellStyle name="AggGreen 4 2 43" xfId="19519" xr:uid="{209D341C-363A-453C-A15B-C33F8BC750F2}"/>
    <cellStyle name="AggGreen 4 2 44" xfId="21459" xr:uid="{3C9227AE-FAE6-4009-8977-147B5C6EFD28}"/>
    <cellStyle name="AggGreen 4 2 45" xfId="19486" xr:uid="{8216D96C-0CC1-4EA4-BB02-9DF7EE4303FD}"/>
    <cellStyle name="AggGreen 4 2 46" xfId="19682" xr:uid="{0283DFA7-39E3-464F-8627-7D15E11B6EDC}"/>
    <cellStyle name="AggGreen 4 2 47" xfId="22891" xr:uid="{0249364A-86E7-4976-BB0A-F816896FD29A}"/>
    <cellStyle name="AggGreen 4 2 48" xfId="22937" xr:uid="{9C7E88BA-2C5C-4CC8-8A5B-ADDE72D21ED6}"/>
    <cellStyle name="AggGreen 4 2 49" xfId="23529" xr:uid="{028E86A2-3FE7-4CBC-850B-AD1B7CF07D31}"/>
    <cellStyle name="AggGreen 4 2 5" xfId="2421" xr:uid="{602E1353-D263-4D44-BF66-BAB2117D6EA8}"/>
    <cellStyle name="AggGreen 4 2 50" xfId="23790" xr:uid="{EB144D19-9CBD-43B2-95DD-F1EC79B7255A}"/>
    <cellStyle name="AggGreen 4 2 51" xfId="24689" xr:uid="{06AE86EC-9100-412E-8871-760EC0FCA8D1}"/>
    <cellStyle name="AggGreen 4 2 52" xfId="24992" xr:uid="{997A3F65-C102-4D17-9548-A325142C0483}"/>
    <cellStyle name="AggGreen 4 2 53" xfId="25607" xr:uid="{6DED6D1E-3127-45CD-9597-BCE37242FE51}"/>
    <cellStyle name="AggGreen 4 2 54" xfId="26198" xr:uid="{9DFBDEEE-3738-4DD2-B77A-EFCA1BB1A5F4}"/>
    <cellStyle name="AggGreen 4 2 55" xfId="26338" xr:uid="{DDC2F014-D395-4C8A-B102-7E23845F4426}"/>
    <cellStyle name="AggGreen 4 2 56" xfId="26897" xr:uid="{9E2F577F-0651-4A1B-BCF3-32206E4522CC}"/>
    <cellStyle name="AggGreen 4 2 57" xfId="27316" xr:uid="{4974033B-D60B-4E4F-9292-47EBC49DC311}"/>
    <cellStyle name="AggGreen 4 2 58" xfId="27640" xr:uid="{BBC10C63-1C9F-48C5-B55E-6C2F4881FBB1}"/>
    <cellStyle name="AggGreen 4 2 59" xfId="28439" xr:uid="{660DC6A7-27CA-4D55-97A9-CD8FD3ECB452}"/>
    <cellStyle name="AggGreen 4 2 6" xfId="3083" xr:uid="{D91C1130-BAFF-4363-ABC2-8EA00B03426E}"/>
    <cellStyle name="AggGreen 4 2 60" xfId="28907" xr:uid="{29378B12-65C1-4E71-BEEB-9C2891CAA265}"/>
    <cellStyle name="AggGreen 4 2 61" xfId="28197" xr:uid="{DBE42C23-9D79-4346-B78B-ADD89FEF706B}"/>
    <cellStyle name="AggGreen 4 2 62" xfId="29697" xr:uid="{D10FBC6D-C7DE-4546-ADD7-1D18EA77EADB}"/>
    <cellStyle name="AggGreen 4 2 63" xfId="30105" xr:uid="{4447F704-5985-4D05-A9E3-B982570D8F69}"/>
    <cellStyle name="AggGreen 4 2 64" xfId="30519" xr:uid="{AA60349E-7452-429C-AB12-3FEFE52FE75B}"/>
    <cellStyle name="AggGreen 4 2 65" xfId="30843" xr:uid="{A65EF9B4-8DDE-40F3-80E1-E12FDB14B9D4}"/>
    <cellStyle name="AggGreen 4 2 66" xfId="31143" xr:uid="{6A9DBBAC-C05A-4137-823C-3A7EC6F0AAF8}"/>
    <cellStyle name="AggGreen 4 2 7" xfId="3596" xr:uid="{EBDDB30C-82E8-48B1-BC09-1D7DC5DAA650}"/>
    <cellStyle name="AggGreen 4 2 8" xfId="3917" xr:uid="{0B2C0EC9-2AF7-4D9D-94C8-F827C2644BC3}"/>
    <cellStyle name="AggGreen 4 2 9" xfId="4355" xr:uid="{0419026D-0731-4146-9320-F6CFC31C7391}"/>
    <cellStyle name="AggGreen 4 20" xfId="8741" xr:uid="{D4705D71-3B15-410A-BB41-FA5222BFDE10}"/>
    <cellStyle name="AggGreen 4 21" xfId="9204" xr:uid="{A1B9F52B-DF29-42A2-BDBD-348B46D9E085}"/>
    <cellStyle name="AggGreen 4 22" xfId="9060" xr:uid="{59303903-A36A-4C0E-A084-3987CCA0597C}"/>
    <cellStyle name="AggGreen 4 23" xfId="9154" xr:uid="{8713E1F2-CC3A-4B1C-8F44-ED370374A2FC}"/>
    <cellStyle name="AggGreen 4 24" xfId="10090" xr:uid="{86390CF8-F6D1-47F2-A764-9C9DF2C8E2B2}"/>
    <cellStyle name="AggGreen 4 25" xfId="11114" xr:uid="{44E7D0DA-C914-40F2-B1E1-4455DE0B8699}"/>
    <cellStyle name="AggGreen 4 26" xfId="11616" xr:uid="{A9539303-11B5-4F68-8B30-EFEB5B03F493}"/>
    <cellStyle name="AggGreen 4 27" xfId="11486" xr:uid="{F42A32E3-9117-4DC8-B3DC-12362721C350}"/>
    <cellStyle name="AggGreen 4 28" xfId="11653" xr:uid="{7F3DD19E-3B60-4C5B-904C-3AA268D08642}"/>
    <cellStyle name="AggGreen 4 29" xfId="13151" xr:uid="{CF2D7B3F-7A8A-4E31-8F3D-A78E5335FFA2}"/>
    <cellStyle name="AggGreen 4 3" xfId="514" xr:uid="{639012D1-F55E-4DEF-AC95-C2E4AFACCBAD}"/>
    <cellStyle name="AggGreen 4 3 10" xfId="4850" xr:uid="{F026DD21-4EE4-4C42-B826-7AAF988C48CF}"/>
    <cellStyle name="AggGreen 4 3 11" xfId="5162" xr:uid="{E7F3F59E-AB2A-4A9B-A24F-5BA22B95D3A2}"/>
    <cellStyle name="AggGreen 4 3 12" xfId="5790" xr:uid="{5CB5BC20-400C-4558-824A-0F44C699A9C1}"/>
    <cellStyle name="AggGreen 4 3 13" xfId="6038" xr:uid="{CBB7E678-DA3E-4A24-B6F0-52580F0F6F7C}"/>
    <cellStyle name="AggGreen 4 3 14" xfId="6161" xr:uid="{640B093F-FB78-40D7-A09F-D6A4CE787A2C}"/>
    <cellStyle name="AggGreen 4 3 15" xfId="7234" xr:uid="{FD8FEA10-B6B3-4A9B-9788-A4FF510783B5}"/>
    <cellStyle name="AggGreen 4 3 16" xfId="7968" xr:uid="{21C06279-6EFF-43B1-AFD9-1ACFB34A83D2}"/>
    <cellStyle name="AggGreen 4 3 17" xfId="6843" xr:uid="{9BB61236-57F2-4BCB-8C4C-AC574B4A917A}"/>
    <cellStyle name="AggGreen 4 3 18" xfId="8740" xr:uid="{1CEA7EDD-2929-473F-AC64-A718896AE873}"/>
    <cellStyle name="AggGreen 4 3 19" xfId="9448" xr:uid="{861ADA53-4DAE-455F-A19F-8B3A2C2E3E9B}"/>
    <cellStyle name="AggGreen 4 3 2" xfId="729" xr:uid="{B4654C8C-FBB2-424E-BCC2-C1C402A09DA7}"/>
    <cellStyle name="AggGreen 4 3 2 10" xfId="5377" xr:uid="{F12B164F-CC32-4D91-A70A-B1D9D7DBA83A}"/>
    <cellStyle name="AggGreen 4 3 2 11" xfId="3331" xr:uid="{6CEA1015-F2D3-4C29-808F-E0B802A61A57}"/>
    <cellStyle name="AggGreen 4 3 2 12" xfId="6302" xr:uid="{E7B887C6-D629-4DDA-85FF-74ECC01C2241}"/>
    <cellStyle name="AggGreen 4 3 2 13" xfId="6571" xr:uid="{EFFA8881-3BBA-49F2-BEA3-DAEEC3EF97A9}"/>
    <cellStyle name="AggGreen 4 3 2 14" xfId="7449" xr:uid="{44EEE425-F171-457E-A442-BBA8FC527A84}"/>
    <cellStyle name="AggGreen 4 3 2 15" xfId="7761" xr:uid="{FCAF985E-17AA-4188-9790-77D4EE512243}"/>
    <cellStyle name="AggGreen 4 3 2 16" xfId="8611" xr:uid="{0F9B09EA-CF17-4977-9BD2-868AEE6D7B53}"/>
    <cellStyle name="AggGreen 4 3 2 17" xfId="7223" xr:uid="{C1461557-ECB4-4E60-B989-3928E323F7A1}"/>
    <cellStyle name="AggGreen 4 3 2 18" xfId="9663" xr:uid="{B5E04DA0-6867-466F-9AD9-26D05136592C}"/>
    <cellStyle name="AggGreen 4 3 2 19" xfId="9974" xr:uid="{FEA9AF58-E9B2-49D1-AE7A-48D1B791CB2B}"/>
    <cellStyle name="AggGreen 4 3 2 2" xfId="1203" xr:uid="{5A3842F8-0948-43FD-81B3-9AEED38D462E}"/>
    <cellStyle name="AggGreen 4 3 2 20" xfId="10402" xr:uid="{94C5AE30-CF9B-40CE-B5A6-0CF259D2DF9F}"/>
    <cellStyle name="AggGreen 4 3 2 21" xfId="10688" xr:uid="{C92F77F0-D1AA-4A83-907B-68605074A2BB}"/>
    <cellStyle name="AggGreen 4 3 2 22" xfId="11144" xr:uid="{9D8072F1-26BF-4C7C-9760-17265CEA0F87}"/>
    <cellStyle name="AggGreen 4 3 2 23" xfId="12082" xr:uid="{A59C8846-595B-4D56-BA71-AC9162FC6090}"/>
    <cellStyle name="AggGreen 4 3 2 24" xfId="12555" xr:uid="{6592B4F9-A8D8-492F-BAFC-4E428EE00761}"/>
    <cellStyle name="AggGreen 4 3 2 25" xfId="12989" xr:uid="{572D4121-78A4-4D50-B45F-77A3795C23AE}"/>
    <cellStyle name="AggGreen 4 3 2 26" xfId="13426" xr:uid="{F262DA14-4F30-4231-9ACC-1695F07E3211}"/>
    <cellStyle name="AggGreen 4 3 2 27" xfId="13982" xr:uid="{5DB2299E-433E-4A92-914A-95850E06305C}"/>
    <cellStyle name="AggGreen 4 3 2 28" xfId="11374" xr:uid="{1D3DD44F-94C6-4414-9FDB-B8C5CF46D349}"/>
    <cellStyle name="AggGreen 4 3 2 29" xfId="14627" xr:uid="{9FA2F14C-BAE4-40E6-AEE5-81C888B56D5B}"/>
    <cellStyle name="AggGreen 4 3 2 3" xfId="1492" xr:uid="{0E69793D-8000-46ED-84DD-8CA462EDFB4C}"/>
    <cellStyle name="AggGreen 4 3 2 30" xfId="11444" xr:uid="{5E91AB16-33AB-4449-BD4A-26516D080AE8}"/>
    <cellStyle name="AggGreen 4 3 2 31" xfId="15050" xr:uid="{F5C89B8D-0ACD-4C82-B430-D46D97AA4235}"/>
    <cellStyle name="AggGreen 4 3 2 32" xfId="15838" xr:uid="{DBA0C6BC-448D-4FC4-8689-487ACB4D3D02}"/>
    <cellStyle name="AggGreen 4 3 2 33" xfId="16774" xr:uid="{5A27DB3A-4733-4EE9-9F25-B3FC57B6CDB4}"/>
    <cellStyle name="AggGreen 4 3 2 34" xfId="17089" xr:uid="{50318CB9-FA9D-4C36-96FE-059444DA8F6B}"/>
    <cellStyle name="AggGreen 4 3 2 35" xfId="17537" xr:uid="{0E489E20-C488-43CA-87A9-C3FDC96695E5}"/>
    <cellStyle name="AggGreen 4 3 2 36" xfId="16053" xr:uid="{09E05FE7-A2CE-4B7E-BCF2-B556A7510C30}"/>
    <cellStyle name="AggGreen 4 3 2 37" xfId="18592" xr:uid="{C19C82DD-EBF0-4C5A-AF58-FFD23E15B8D6}"/>
    <cellStyle name="AggGreen 4 3 2 38" xfId="18125" xr:uid="{D80C986F-E14F-47BF-BA38-825784500552}"/>
    <cellStyle name="AggGreen 4 3 2 39" xfId="18853" xr:uid="{DB813C3F-E6D3-42E2-8B0C-33DCFE98EA9A}"/>
    <cellStyle name="AggGreen 4 3 2 4" xfId="2551" xr:uid="{2D087E8E-1320-4533-9811-3F64F7BF3A18}"/>
    <cellStyle name="AggGreen 4 3 2 40" xfId="20111" xr:uid="{CB6420D6-FC64-4965-8C49-83D1918DC914}"/>
    <cellStyle name="AggGreen 4 3 2 41" xfId="20443" xr:uid="{ABE7D071-31A6-4072-9EAA-E6908FD2DCF4}"/>
    <cellStyle name="AggGreen 4 3 2 42" xfId="20895" xr:uid="{5794885C-D4E0-4ED0-8435-E88032D51C0A}"/>
    <cellStyle name="AggGreen 4 3 2 43" xfId="21114" xr:uid="{3367B46C-6B7D-47AD-A3BA-D7C4C91AF85F}"/>
    <cellStyle name="AggGreen 4 3 2 44" xfId="21825" xr:uid="{3648E51D-A548-4BBE-93C8-26827ED63867}"/>
    <cellStyle name="AggGreen 4 3 2 45" xfId="22261" xr:uid="{9DBCB74F-6405-450E-BAEB-3753A8481D53}"/>
    <cellStyle name="AggGreen 4 3 2 46" xfId="22954" xr:uid="{4DF5BEF7-E27D-4A74-8721-46DEF085E46A}"/>
    <cellStyle name="AggGreen 4 3 2 47" xfId="22913" xr:uid="{D5D97370-C570-498E-8B10-A3DD9C252CA6}"/>
    <cellStyle name="AggGreen 4 3 2 48" xfId="23644" xr:uid="{A3E92ED4-0A92-40BB-9036-6B8D2F860238}"/>
    <cellStyle name="AggGreen 4 3 2 49" xfId="23911" xr:uid="{0A42CC3A-7CB6-43B4-97A4-B9EAEA16590B}"/>
    <cellStyle name="AggGreen 4 3 2 5" xfId="3153" xr:uid="{269C01F5-CC2F-48A8-A6B7-53546B5060C5}"/>
    <cellStyle name="AggGreen 4 3 2 50" xfId="24819" xr:uid="{0C8CCF06-D396-4DDA-B94E-E29FA5624F5E}"/>
    <cellStyle name="AggGreen 4 3 2 51" xfId="25150" xr:uid="{6F12A1B1-A747-467E-B4F9-658E8B300105}"/>
    <cellStyle name="AggGreen 4 3 2 52" xfId="25735" xr:uid="{794EA4A5-6FFA-4AAF-9288-600086BE5C58}"/>
    <cellStyle name="AggGreen 4 3 2 53" xfId="26261" xr:uid="{4EF560FF-98C1-45D5-89ED-B33366564741}"/>
    <cellStyle name="AggGreen 4 3 2 54" xfId="26368" xr:uid="{16FFDCD1-17F4-4469-B796-0D06FEEAA81A}"/>
    <cellStyle name="AggGreen 4 3 2 55" xfId="27023" xr:uid="{26EF3B09-F666-4467-A5B3-8E9FFB1F8584}"/>
    <cellStyle name="AggGreen 4 3 2 56" xfId="27442" xr:uid="{4F6E9100-FAB8-440D-A03A-348A531A1618}"/>
    <cellStyle name="AggGreen 4 3 2 57" xfId="27696" xr:uid="{E7C1DA7F-B82C-4A41-BC1B-2801808A161B}"/>
    <cellStyle name="AggGreen 4 3 2 58" xfId="28569" xr:uid="{37006222-B9E9-432B-BB98-43DFF41F47AF}"/>
    <cellStyle name="AggGreen 4 3 2 59" xfId="29036" xr:uid="{B90B8312-6E22-416A-9C8A-331E06B5CF15}"/>
    <cellStyle name="AggGreen 4 3 2 6" xfId="3705" xr:uid="{D0D7F705-6061-46B0-89AC-C8FD8472A290}"/>
    <cellStyle name="AggGreen 4 3 2 60" xfId="29300" xr:uid="{170D7635-C033-4667-8E80-B02CCA244416}"/>
    <cellStyle name="AggGreen 4 3 2 61" xfId="29825" xr:uid="{FD4E3B0C-42D3-4CD0-8D2F-47F464791A5E}"/>
    <cellStyle name="AggGreen 4 3 2 62" xfId="30231" xr:uid="{6FBFCED4-6543-423C-8593-9E1EF49566C5}"/>
    <cellStyle name="AggGreen 4 3 2 63" xfId="30648" xr:uid="{0DC9781C-F465-4150-BD90-715BFC2BAACF}"/>
    <cellStyle name="AggGreen 4 3 2 64" xfId="28774" xr:uid="{E1C418C1-A550-4765-9B7C-DE65D37066F9}"/>
    <cellStyle name="AggGreen 4 3 2 65" xfId="31264" xr:uid="{13650907-596E-4324-A829-47F91C62F6CC}"/>
    <cellStyle name="AggGreen 4 3 2 7" xfId="4047" xr:uid="{8F9FD519-3FF6-4115-824E-B643AE232FA8}"/>
    <cellStyle name="AggGreen 4 3 2 8" xfId="4484" xr:uid="{032CE391-52DB-4B69-A644-94CDD79B5516}"/>
    <cellStyle name="AggGreen 4 3 2 9" xfId="3761" xr:uid="{2566BC23-78E1-4A45-9948-760E3172624E}"/>
    <cellStyle name="AggGreen 4 3 20" xfId="10184" xr:uid="{2BF98D02-292D-4CF1-92D5-027F1FAC010F}"/>
    <cellStyle name="AggGreen 4 3 21" xfId="10590" xr:uid="{1B944A23-F6C4-4BBE-B80C-9A1157E6AA1D}"/>
    <cellStyle name="AggGreen 4 3 22" xfId="9068" xr:uid="{A0D19B96-23B4-436A-B73A-76EBFDFB221A}"/>
    <cellStyle name="AggGreen 4 3 23" xfId="11042" xr:uid="{D913DEBF-FE64-4C14-9C50-50C0C5C850FB}"/>
    <cellStyle name="AggGreen 4 3 24" xfId="11867" xr:uid="{5B00121F-07B8-4343-B263-A9DC8483CB06}"/>
    <cellStyle name="AggGreen 4 3 25" xfId="12340" xr:uid="{121E7E74-95A4-480F-A8B4-470704A88B2C}"/>
    <cellStyle name="AggGreen 4 3 26" xfId="12774" xr:uid="{C8FE9B48-6E2D-43CD-8AC2-239D4AD3C555}"/>
    <cellStyle name="AggGreen 4 3 27" xfId="13211" xr:uid="{7A733494-6589-461D-8BA1-82D81A4BED7B}"/>
    <cellStyle name="AggGreen 4 3 28" xfId="12269" xr:uid="{7A498712-C91C-4DD2-AE3E-B588B1B8F677}"/>
    <cellStyle name="AggGreen 4 3 29" xfId="14454" xr:uid="{531153FB-020A-4368-86A8-9AEA0F5B02F9}"/>
    <cellStyle name="AggGreen 4 3 3" xfId="997" xr:uid="{DA03FE0C-F846-4845-BE33-AED7B1FD03BA}"/>
    <cellStyle name="AggGreen 4 3 30" xfId="11847" xr:uid="{23B833B3-F9C7-4C71-8A29-D99EE4B9E449}"/>
    <cellStyle name="AggGreen 4 3 31" xfId="15117" xr:uid="{EE876333-CCA2-42E6-A5DF-CEEC729A1D28}"/>
    <cellStyle name="AggGreen 4 3 32" xfId="15465" xr:uid="{4CEEB57D-C0AD-4759-B2F2-78D4EAB04148}"/>
    <cellStyle name="AggGreen 4 3 33" xfId="15952" xr:uid="{ECE91FA8-56E3-45AE-974C-0E3E44324420}"/>
    <cellStyle name="AggGreen 4 3 34" xfId="16559" xr:uid="{3806DEE8-8689-4C49-9D7C-5AC3C595DD3D}"/>
    <cellStyle name="AggGreen 4 3 35" xfId="17304" xr:uid="{E84B413D-B13C-40AD-9ACF-7F2CE7510B54}"/>
    <cellStyle name="AggGreen 4 3 36" xfId="17747" xr:uid="{DD98BD3F-1422-4DC1-8021-0E030B7190A4}"/>
    <cellStyle name="AggGreen 4 3 37" xfId="18132" xr:uid="{A357B7CF-A646-4ADB-A8A3-BA19ED2D7AC5}"/>
    <cellStyle name="AggGreen 4 3 38" xfId="18377" xr:uid="{3E36C912-46A4-4BCE-93F7-5BD6260461CD}"/>
    <cellStyle name="AggGreen 4 3 39" xfId="18886" xr:uid="{18E83E6D-8D74-45A9-AB08-79C71BD67DE8}"/>
    <cellStyle name="AggGreen 4 3 4" xfId="1733" xr:uid="{35DEDE6E-8D28-4CC0-91A0-6EDABA954195}"/>
    <cellStyle name="AggGreen 4 3 40" xfId="19083" xr:uid="{717CC6F6-A025-49B4-9403-077EABAA8775}"/>
    <cellStyle name="AggGreen 4 3 41" xfId="19896" xr:uid="{A1ECECE1-B98A-4CEC-AA81-FF412564C7CA}"/>
    <cellStyle name="AggGreen 4 3 42" xfId="20655" xr:uid="{C20FCE90-59BD-4852-A543-9C68D0BB7925}"/>
    <cellStyle name="AggGreen 4 3 43" xfId="21112" xr:uid="{77DCEC0A-C066-4397-9DAE-0872F631F12A}"/>
    <cellStyle name="AggGreen 4 3 44" xfId="21321" xr:uid="{E2C806D8-48A8-4A80-810C-C973595182D9}"/>
    <cellStyle name="AggGreen 4 3 45" xfId="22043" xr:uid="{1B827BE4-616D-43F4-8D6F-C885F768479C}"/>
    <cellStyle name="AggGreen 4 3 46" xfId="22472" xr:uid="{DB0D3099-2300-4CD5-B915-2C8048F01A79}"/>
    <cellStyle name="AggGreen 4 3 47" xfId="21599" xr:uid="{34A55336-EE8E-4EAC-A067-820B39D4D7C2}"/>
    <cellStyle name="AggGreen 4 3 48" xfId="23161" xr:uid="{7A02E9B2-E748-49AE-92CC-98456632094E}"/>
    <cellStyle name="AggGreen 4 3 49" xfId="21457" xr:uid="{6C9A61C5-DB03-4377-ABE4-FCE424EF784F}"/>
    <cellStyle name="AggGreen 4 3 5" xfId="2336" xr:uid="{E398E4E5-97ED-48D3-BF39-DD35F6BD0BFE}"/>
    <cellStyle name="AggGreen 4 3 50" xfId="23705" xr:uid="{109F611D-702C-4E44-B790-894AA2B2E288}"/>
    <cellStyle name="AggGreen 4 3 51" xfId="24604" xr:uid="{ECF44D92-2EFC-4A97-BC6A-ED181829EBFA}"/>
    <cellStyle name="AggGreen 4 3 52" xfId="25359" xr:uid="{1CCBD8AD-EC99-47E7-91B3-E81C625D1B76}"/>
    <cellStyle name="AggGreen 4 3 53" xfId="25522" xr:uid="{669B666E-6ADB-4FDE-B8F6-277FCA979793}"/>
    <cellStyle name="AggGreen 4 3 54" xfId="25257" xr:uid="{48F77182-F2A9-4BA5-A128-A3EF4577B850}"/>
    <cellStyle name="AggGreen 4 3 55" xfId="26633" xr:uid="{8F7AA052-B98E-43FC-97A3-6B5B5BD7A8DA}"/>
    <cellStyle name="AggGreen 4 3 56" xfId="26812" xr:uid="{DC8E1FDA-D8BD-4B6C-BB63-81D10CA760CF}"/>
    <cellStyle name="AggGreen 4 3 57" xfId="27231" xr:uid="{9927072F-1708-4680-A581-023D70214645}"/>
    <cellStyle name="AggGreen 4 3 58" xfId="25186" xr:uid="{DA1A75D4-FECC-4DFE-A768-9AA63A27D30E}"/>
    <cellStyle name="AggGreen 4 3 59" xfId="28354" xr:uid="{693BB170-D928-4135-9220-53C03D05817F}"/>
    <cellStyle name="AggGreen 4 3 6" xfId="2070" xr:uid="{D4313F95-23FB-4FFF-8042-763B8A669E3F}"/>
    <cellStyle name="AggGreen 4 3 60" xfId="28822" xr:uid="{8C5E2485-7FB3-4851-98A3-CC89883D7A7A}"/>
    <cellStyle name="AggGreen 4 3 61" xfId="29482" xr:uid="{50DA02DE-6480-40CD-A208-EA7180CDF6BE}"/>
    <cellStyle name="AggGreen 4 3 62" xfId="29612" xr:uid="{EE84E2C4-AF4A-4FC0-8D7B-5BCA79819B3A}"/>
    <cellStyle name="AggGreen 4 3 63" xfId="30020" xr:uid="{C9ED4AD2-D60C-4A5D-8EC2-595ED5B97331}"/>
    <cellStyle name="AggGreen 4 3 64" xfId="30434" xr:uid="{9F7A6FF7-75A3-4419-8CBA-08B003F3BB48}"/>
    <cellStyle name="AggGreen 4 3 65" xfId="30955" xr:uid="{75FED948-F45F-423F-8545-C53BCDDDBB8E}"/>
    <cellStyle name="AggGreen 4 3 66" xfId="31058" xr:uid="{A9649D5A-BC69-46E8-88F1-0BA52ECC84DA}"/>
    <cellStyle name="AggGreen 4 3 7" xfId="3254" xr:uid="{24A96C83-07DA-4E95-A3AE-901000631721}"/>
    <cellStyle name="AggGreen 4 3 8" xfId="3832" xr:uid="{0B9B574F-7BFD-49AC-B731-AD3D212D5DED}"/>
    <cellStyle name="AggGreen 4 3 9" xfId="4270" xr:uid="{9FE883F8-6706-45D7-BC32-9BBC5DCB3D5B}"/>
    <cellStyle name="AggGreen 4 30" xfId="12741" xr:uid="{64514D25-0012-49D7-943D-052BC0402F16}"/>
    <cellStyle name="AggGreen 4 31" xfId="11699" xr:uid="{86C2CF88-31D3-445F-8953-8A3FDFB90AE8}"/>
    <cellStyle name="AggGreen 4 32" xfId="11686" xr:uid="{0A924781-59C9-498B-956C-1F789051EBC0}"/>
    <cellStyle name="AggGreen 4 33" xfId="15028" xr:uid="{3BE3CF2A-53AF-4C01-9FD7-3D1ED5B72DB2}"/>
    <cellStyle name="AggGreen 4 34" xfId="15112" xr:uid="{6E7513C2-2F4D-4A35-9952-D896E34C33F7}"/>
    <cellStyle name="AggGreen 4 35" xfId="15697" xr:uid="{E078E4C2-5189-454F-8115-3E0A7907403F}"/>
    <cellStyle name="AggGreen 4 36" xfId="16311" xr:uid="{D2511AAF-E593-42F8-BA9E-2F4F58B2FA2F}"/>
    <cellStyle name="AggGreen 4 37" xfId="16404" xr:uid="{A74FE9F3-7D1D-4251-87F3-67384510A6D7}"/>
    <cellStyle name="AggGreen 4 38" xfId="17276" xr:uid="{32966673-238E-4F5B-9908-B0DD2F64CA98}"/>
    <cellStyle name="AggGreen 4 39" xfId="17976" xr:uid="{F9DDE20E-5DE8-4590-95C2-8A9E263A3C64}"/>
    <cellStyle name="AggGreen 4 4" xfId="632" xr:uid="{3A7643F8-54FE-40DA-9228-64F66CE5278D}"/>
    <cellStyle name="AggGreen 4 4 10" xfId="3806" xr:uid="{9CD49529-8197-454D-9796-97632361870B}"/>
    <cellStyle name="AggGreen 4 4 11" xfId="5280" xr:uid="{83069777-9E64-4D46-AE6D-30C185F65C70}"/>
    <cellStyle name="AggGreen 4 4 12" xfId="5681" xr:uid="{39737C48-FE4D-408B-9504-666CCAB80229}"/>
    <cellStyle name="AggGreen 4 4 13" xfId="1828" xr:uid="{46718C63-0AD9-4D16-BB6C-8D7F761A6508}"/>
    <cellStyle name="AggGreen 4 4 14" xfId="5145" xr:uid="{FEDBD1DA-2CC2-43FF-9CC5-7F138EDB6B22}"/>
    <cellStyle name="AggGreen 4 4 15" xfId="7352" xr:uid="{DBF12F61-10B8-4F1F-8D0D-1C8D24AF0F89}"/>
    <cellStyle name="AggGreen 4 4 16" xfId="7890" xr:uid="{32006CD1-FB45-4823-95E4-4F160847A7AF}"/>
    <cellStyle name="AggGreen 4 4 17" xfId="8131" xr:uid="{A098D14D-A691-4096-A5E9-B8A243D4A6EE}"/>
    <cellStyle name="AggGreen 4 4 18" xfId="7043" xr:uid="{6FC78A5F-A812-4FE0-9C9B-DF5931A46DC8}"/>
    <cellStyle name="AggGreen 4 4 19" xfId="9566" xr:uid="{0130450F-976F-43C3-BFCD-D9E23E179383}"/>
    <cellStyle name="AggGreen 4 4 2" xfId="847" xr:uid="{A8A79DA9-F94B-4AF5-9A23-E7C8EF805176}"/>
    <cellStyle name="AggGreen 4 4 2 10" xfId="5495" xr:uid="{500A520A-F537-4110-88B6-B306A594EAC7}"/>
    <cellStyle name="AggGreen 4 4 2 11" xfId="4999" xr:uid="{D404F51C-6BAF-4136-B518-5187D40EA75C}"/>
    <cellStyle name="AggGreen 4 4 2 12" xfId="6159" xr:uid="{C7AB55F6-6FCC-4EB2-8C22-AE68EB4EC8FA}"/>
    <cellStyle name="AggGreen 4 4 2 13" xfId="6532" xr:uid="{612B4148-D3BA-4B4E-90F1-F955CF384DEE}"/>
    <cellStyle name="AggGreen 4 4 2 14" xfId="7567" xr:uid="{4B1F996E-6C9E-4477-A32E-CDF3CBD5D3EA}"/>
    <cellStyle name="AggGreen 4 4 2 15" xfId="7207" xr:uid="{B9E2959B-C25D-40E1-AA02-74A1BF98AD26}"/>
    <cellStyle name="AggGreen 4 4 2 16" xfId="8238" xr:uid="{C869D8B1-6996-4509-83FE-1EB63C1516A9}"/>
    <cellStyle name="AggGreen 4 4 2 17" xfId="8881" xr:uid="{F2A35E61-D65A-446B-9D07-1666C65725C1}"/>
    <cellStyle name="AggGreen 4 4 2 18" xfId="9781" xr:uid="{E43E2B42-338E-4911-B944-9AD058B6AA33}"/>
    <cellStyle name="AggGreen 4 4 2 19" xfId="9420" xr:uid="{BBEBA339-626C-4434-9269-4D25228736A1}"/>
    <cellStyle name="AggGreen 4 4 2 2" xfId="1321" xr:uid="{4E4F955C-19CD-4CCA-96EA-056443FC43C2}"/>
    <cellStyle name="AggGreen 4 4 2 20" xfId="9138" xr:uid="{3033CA0E-F421-42FB-9657-D906D5C670B5}"/>
    <cellStyle name="AggGreen 4 4 2 21" xfId="10754" xr:uid="{E59D8250-D396-4843-8372-22BB46AC6CB4}"/>
    <cellStyle name="AggGreen 4 4 2 22" xfId="8961" xr:uid="{0ECDFD52-E4A6-4C7F-885D-8BB738EFED44}"/>
    <cellStyle name="AggGreen 4 4 2 23" xfId="12200" xr:uid="{77608F7E-6120-469F-BC77-8C6BE031EE72}"/>
    <cellStyle name="AggGreen 4 4 2 24" xfId="12673" xr:uid="{BB9616B3-F9F5-40CD-8838-D0B4CF393190}"/>
    <cellStyle name="AggGreen 4 4 2 25" xfId="13107" xr:uid="{1483B3DF-44F3-4437-BF42-D9CBD6DD1E78}"/>
    <cellStyle name="AggGreen 4 4 2 26" xfId="13544" xr:uid="{DE15A720-3577-49BB-8134-4E8AF84B57D7}"/>
    <cellStyle name="AggGreen 4 4 2 27" xfId="13820" xr:uid="{31EAE559-8CA1-46B7-945F-93A1B3C9AB28}"/>
    <cellStyle name="AggGreen 4 4 2 28" xfId="11644" xr:uid="{7CBB2E1D-C35F-41EB-A965-34167D999FE1}"/>
    <cellStyle name="AggGreen 4 4 2 29" xfId="14323" xr:uid="{33ABC988-EBB2-4A4D-9E44-553B721CA054}"/>
    <cellStyle name="AggGreen 4 4 2 3" xfId="1770" xr:uid="{F546BB60-4A71-4CDA-8E46-CAF62618E900}"/>
    <cellStyle name="AggGreen 4 4 2 30" xfId="15137" xr:uid="{4865BEF0-97C2-4317-B4C4-25366366119B}"/>
    <cellStyle name="AggGreen 4 4 2 31" xfId="15164" xr:uid="{5CC57C52-18E2-49FA-9B51-EA2668DDBADE}"/>
    <cellStyle name="AggGreen 4 4 2 32" xfId="15527" xr:uid="{DB4A1C29-2448-4519-842C-64AEA47241A2}"/>
    <cellStyle name="AggGreen 4 4 2 33" xfId="16892" xr:uid="{BDC5ECE7-0A2A-42A0-AB76-BEDFFFD916B8}"/>
    <cellStyle name="AggGreen 4 4 2 34" xfId="16529" xr:uid="{3C2E4759-E823-45A0-B29D-E9A23B48B6FB}"/>
    <cellStyle name="AggGreen 4 4 2 35" xfId="16749" xr:uid="{CA783A26-180F-467E-BFCB-F01E427B0F22}"/>
    <cellStyle name="AggGreen 4 4 2 36" xfId="17777" xr:uid="{0B661438-3B28-4A96-ADCD-23E79C4EC1F0}"/>
    <cellStyle name="AggGreen 4 4 2 37" xfId="18710" xr:uid="{1DAE0954-AD89-408B-B1C1-50B3C50DF704}"/>
    <cellStyle name="AggGreen 4 4 2 38" xfId="18967" xr:uid="{A2D81995-90EF-4680-8AE7-B9F578679F96}"/>
    <cellStyle name="AggGreen 4 4 2 39" xfId="19254" xr:uid="{979ECCAD-8FB8-4FE2-8735-67F2E3092365}"/>
    <cellStyle name="AggGreen 4 4 2 4" xfId="2669" xr:uid="{23795840-8280-456A-9788-AD50D387E7B1}"/>
    <cellStyle name="AggGreen 4 4 2 40" xfId="20229" xr:uid="{40EA3C7C-EE9B-4DF0-9C67-213B5DB21017}"/>
    <cellStyle name="AggGreen 4 4 2 41" xfId="19865" xr:uid="{E30C64A8-F296-4E4E-A079-FAE14CAAEFDF}"/>
    <cellStyle name="AggGreen 4 4 2 42" xfId="19398" xr:uid="{50F120CC-47E3-4409-8A3B-2195C21F8E13}"/>
    <cellStyle name="AggGreen 4 4 2 43" xfId="21521" xr:uid="{F3F80CD7-5840-46A0-9C56-B57B12C695E1}"/>
    <cellStyle name="AggGreen 4 4 2 44" xfId="19677" xr:uid="{78B4AEA3-5BF8-4C8C-B82E-E7AA43D4BAF5}"/>
    <cellStyle name="AggGreen 4 4 2 45" xfId="21822" xr:uid="{04D5099E-8831-4FEC-9E48-558FF7C7B18A}"/>
    <cellStyle name="AggGreen 4 4 2 46" xfId="22808" xr:uid="{9951DF45-C8AB-464B-88DD-53BA9883010B}"/>
    <cellStyle name="AggGreen 4 4 2 47" xfId="23253" xr:uid="{4F97CF0F-EA33-4092-84A5-D8B7E61751EF}"/>
    <cellStyle name="AggGreen 4 4 2 48" xfId="23617" xr:uid="{9B99E5B2-BFA2-4FA3-B1A8-4E979AB9BB70}"/>
    <cellStyle name="AggGreen 4 4 2 49" xfId="24029" xr:uid="{0DCE4964-B7B2-4611-B246-D695862BA9A3}"/>
    <cellStyle name="AggGreen 4 4 2 5" xfId="2986" xr:uid="{B166B574-ED4B-45E6-848B-6847AA750F67}"/>
    <cellStyle name="AggGreen 4 4 2 50" xfId="24937" xr:uid="{2C510ED4-5C81-4767-8617-9CF6CBD4D00C}"/>
    <cellStyle name="AggGreen 4 4 2 51" xfId="24431" xr:uid="{32C508EF-E702-41D9-9F5D-92019DCCD2FE}"/>
    <cellStyle name="AggGreen 4 4 2 52" xfId="25853" xr:uid="{379123D0-6FDF-43D1-95AB-7E6B3AEE00BD}"/>
    <cellStyle name="AggGreen 4 4 2 53" xfId="26105" xr:uid="{19ED74C4-87EB-4CC3-B3E2-F81439E563E6}"/>
    <cellStyle name="AggGreen 4 4 2 54" xfId="24411" xr:uid="{BA6A5CF3-A6D6-4569-99FB-ABC33CABC041}"/>
    <cellStyle name="AggGreen 4 4 2 55" xfId="27141" xr:uid="{DDF31943-844B-466C-8482-742AA0C64A13}"/>
    <cellStyle name="AggGreen 4 4 2 56" xfId="27560" xr:uid="{C509844F-F3A8-4544-A916-1D49097C68E3}"/>
    <cellStyle name="AggGreen 4 4 2 57" xfId="25972" xr:uid="{F38FF766-B8D5-416C-8886-9EA622213747}"/>
    <cellStyle name="AggGreen 4 4 2 58" xfId="28687" xr:uid="{D4535E4F-8A3D-4074-B2B4-E9483EF37E02}"/>
    <cellStyle name="AggGreen 4 4 2 59" xfId="29154" xr:uid="{329DF76C-E24A-46FF-BD2A-5419E2682988}"/>
    <cellStyle name="AggGreen 4 4 2 6" xfId="3544" xr:uid="{4FAE5746-4094-4597-8E75-A6289E6237B7}"/>
    <cellStyle name="AggGreen 4 4 2 60" xfId="28094" xr:uid="{4745E344-9BF8-487C-A63A-33F57D063D43}"/>
    <cellStyle name="AggGreen 4 4 2 61" xfId="29943" xr:uid="{2459AC1A-FE98-402F-8C12-3C93AEB97DAA}"/>
    <cellStyle name="AggGreen 4 4 2 62" xfId="30349" xr:uid="{B721D1C9-843F-4A98-B6DA-77B3BA47BD35}"/>
    <cellStyle name="AggGreen 4 4 2 63" xfId="30766" xr:uid="{14506C6B-CC4F-43EF-A6B5-374B3AAAC612}"/>
    <cellStyle name="AggGreen 4 4 2 64" xfId="30416" xr:uid="{FE06A570-048C-4EA1-B66B-6A36324D4CA3}"/>
    <cellStyle name="AggGreen 4 4 2 65" xfId="31382" xr:uid="{1446F2A9-72E8-429F-B47A-910C55B21B0B}"/>
    <cellStyle name="AggGreen 4 4 2 7" xfId="4165" xr:uid="{7E88B055-3E79-4FE5-97D3-ABA780B2FF59}"/>
    <cellStyle name="AggGreen 4 4 2 8" xfId="4602" xr:uid="{C1F4C817-CD64-4B78-A9E8-1CE7D3AC027B}"/>
    <cellStyle name="AggGreen 4 4 2 9" xfId="3798" xr:uid="{802AA629-A49B-455E-929E-954F34D2696A}"/>
    <cellStyle name="AggGreen 4 4 20" xfId="10103" xr:uid="{E1910387-659F-4625-87D1-0A50698ED23C}"/>
    <cellStyle name="AggGreen 4 4 21" xfId="10519" xr:uid="{2FE5596B-6781-4481-A1A9-3EB1510BB256}"/>
    <cellStyle name="AggGreen 4 4 22" xfId="9438" xr:uid="{AD64BF45-4D8D-4C77-8122-3871631303FF}"/>
    <cellStyle name="AggGreen 4 4 23" xfId="10815" xr:uid="{1F74F17D-D196-45C9-8300-AFC7D7E5610F}"/>
    <cellStyle name="AggGreen 4 4 24" xfId="11985" xr:uid="{E70EB67C-5C8A-45C0-AF45-BBB7E36718CD}"/>
    <cellStyle name="AggGreen 4 4 25" xfId="12458" xr:uid="{56EB6D22-D7D0-4490-9D82-F25B0194422F}"/>
    <cellStyle name="AggGreen 4 4 26" xfId="12892" xr:uid="{C132989A-8ABB-4407-8A29-7FA328BD139C}"/>
    <cellStyle name="AggGreen 4 4 27" xfId="13329" xr:uid="{077AD47A-903F-4FC4-9618-320DA82A39E5}"/>
    <cellStyle name="AggGreen 4 4 28" xfId="13396" xr:uid="{67EC0BDC-5E71-4278-8E23-87D84DFD74DD}"/>
    <cellStyle name="AggGreen 4 4 29" xfId="13698" xr:uid="{5C248D98-416D-4C8C-93F4-095915C183BB}"/>
    <cellStyle name="AggGreen 4 4 3" xfId="1115" xr:uid="{769CEEF6-7D90-4B54-A59C-E195F82B8EBA}"/>
    <cellStyle name="AggGreen 4 4 30" xfId="14644" xr:uid="{1CA630C7-4163-4F9C-A91B-38828A3856DD}"/>
    <cellStyle name="AggGreen 4 4 31" xfId="15075" xr:uid="{23C1D21E-6F6F-4CD7-849F-9A92B294919C}"/>
    <cellStyle name="AggGreen 4 4 32" xfId="15536" xr:uid="{2B2E182E-223D-4B4B-A317-FEE0BC148D21}"/>
    <cellStyle name="AggGreen 4 4 33" xfId="15913" xr:uid="{CB95E37D-9E6E-446B-9020-F0A7BB4965F0}"/>
    <cellStyle name="AggGreen 4 4 34" xfId="16677" xr:uid="{1AF9AA96-EC70-4A61-8542-B9B22FB99F20}"/>
    <cellStyle name="AggGreen 4 4 35" xfId="17222" xr:uid="{86F59BBB-7ADB-49D4-9D05-227BCF059502}"/>
    <cellStyle name="AggGreen 4 4 36" xfId="17667" xr:uid="{B50FD068-0A5C-4896-A267-D6292425CD05}"/>
    <cellStyle name="AggGreen 4 4 37" xfId="17312" xr:uid="{65662373-97F3-4BB7-8AC3-E7CD6813CFAE}"/>
    <cellStyle name="AggGreen 4 4 38" xfId="18495" xr:uid="{1D3A1A72-784B-4922-B4C9-4C22A7CE311A}"/>
    <cellStyle name="AggGreen 4 4 39" xfId="18296" xr:uid="{1ECB196E-6024-44A7-822D-C5EFA59ED0AE}"/>
    <cellStyle name="AggGreen 4 4 4" xfId="1633" xr:uid="{BE0F5E07-021B-4008-9601-4B509749108E}"/>
    <cellStyle name="AggGreen 4 4 40" xfId="19247" xr:uid="{C582343D-EE9C-40F6-8C6F-6EDDF086DAC0}"/>
    <cellStyle name="AggGreen 4 4 41" xfId="20014" xr:uid="{0BDC2216-1C58-4FF3-824A-1FFEC6FF608E}"/>
    <cellStyle name="AggGreen 4 4 42" xfId="20575" xr:uid="{E6FE0411-4CDD-4D78-87C1-6538D0ACABBD}"/>
    <cellStyle name="AggGreen 4 4 43" xfId="21028" xr:uid="{2DCAD772-1A65-48BE-97F7-2517487E531F}"/>
    <cellStyle name="AggGreen 4 4 44" xfId="21089" xr:uid="{17C54648-AB65-4B8C-BA94-DA204E3F61EE}"/>
    <cellStyle name="AggGreen 4 4 45" xfId="21959" xr:uid="{EE25A6F2-25FA-4233-9ED0-2DDD8EC2056F}"/>
    <cellStyle name="AggGreen 4 4 46" xfId="22390" xr:uid="{5B58F699-7CEF-47A4-96E1-C05C0C7D2527}"/>
    <cellStyle name="AggGreen 4 4 47" xfId="22468" xr:uid="{307C908C-F5A6-4AF7-90EF-00CE47CFBEE9}"/>
    <cellStyle name="AggGreen 4 4 48" xfId="22697" xr:uid="{F2B1E7B5-A444-4068-BC94-496199C1F90F}"/>
    <cellStyle name="AggGreen 4 4 49" xfId="23651" xr:uid="{B65DA5CF-0B20-4EBA-B6B0-7B57621A1BF3}"/>
    <cellStyle name="AggGreen 4 4 5" xfId="2454" xr:uid="{FB20EA5E-2C76-47B5-8732-9340FD0C17C8}"/>
    <cellStyle name="AggGreen 4 4 50" xfId="23823" xr:uid="{62AC21DD-0504-4057-90C8-E4D49BD97279}"/>
    <cellStyle name="AggGreen 4 4 51" xfId="24722" xr:uid="{03D3021B-3659-4058-9EC4-90F1BF25C385}"/>
    <cellStyle name="AggGreen 4 4 52" xfId="25283" xr:uid="{4DC4B0C4-8B47-4596-BA3A-92A5B3AD4B96}"/>
    <cellStyle name="AggGreen 4 4 53" xfId="25640" xr:uid="{F5B272D8-0913-4BAD-9A6B-4FA75F8C5E29}"/>
    <cellStyle name="AggGreen 4 4 54" xfId="25897" xr:uid="{95DA9896-B21D-4EC5-AA84-2AEC59E308FD}"/>
    <cellStyle name="AggGreen 4 4 55" xfId="26103" xr:uid="{3E7B7FC2-0661-43D1-94E3-5F03E08A5317}"/>
    <cellStyle name="AggGreen 4 4 56" xfId="26930" xr:uid="{A1EE8B43-4DE4-4C40-8736-A70776163FD4}"/>
    <cellStyle name="AggGreen 4 4 57" xfId="27349" xr:uid="{44BF202D-0734-4648-BDBE-2CD5809BC70D}"/>
    <cellStyle name="AggGreen 4 4 58" xfId="24517" xr:uid="{F607210D-7FFE-4BA3-ACDB-002272BAF8D5}"/>
    <cellStyle name="AggGreen 4 4 59" xfId="28472" xr:uid="{0BD432B0-A8DC-4412-9BEE-F2DA133A6081}"/>
    <cellStyle name="AggGreen 4 4 6" xfId="1900" xr:uid="{842E92EC-DA51-43FC-9BE9-17D6EB070D5D}"/>
    <cellStyle name="AggGreen 4 4 60" xfId="28940" xr:uid="{162A9981-FF63-42BC-9A89-72CE466785D6}"/>
    <cellStyle name="AggGreen 4 4 61" xfId="29411" xr:uid="{0A7C1BBA-D37A-4BF6-BF95-E1013E59AE0B}"/>
    <cellStyle name="AggGreen 4 4 62" xfId="29730" xr:uid="{CAA63B9A-8592-41EA-890C-9CA4866A31EE}"/>
    <cellStyle name="AggGreen 4 4 63" xfId="30138" xr:uid="{2308C0F8-3E43-4F11-87E2-8F72A6A18948}"/>
    <cellStyle name="AggGreen 4 4 64" xfId="30552" xr:uid="{2BE43283-E3AE-4BE0-9CAA-766B51A39BDF}"/>
    <cellStyle name="AggGreen 4 4 65" xfId="30984" xr:uid="{13EA5EF8-A876-476E-AF9A-AC658F908A58}"/>
    <cellStyle name="AggGreen 4 4 66" xfId="31176" xr:uid="{199BBB73-3758-48FC-93C8-BC166F3572C6}"/>
    <cellStyle name="AggGreen 4 4 7" xfId="2811" xr:uid="{D01D7D4F-5569-4A98-A44C-F02ADD2ED8E9}"/>
    <cellStyle name="AggGreen 4 4 8" xfId="3950" xr:uid="{C91C76B3-5A37-4927-AF0F-67EFCAD42DCB}"/>
    <cellStyle name="AggGreen 4 4 9" xfId="4388" xr:uid="{165B7C57-D6D8-48B8-80D1-4547CE4A0213}"/>
    <cellStyle name="AggGreen 4 40" xfId="17717" xr:uid="{D4D24DA4-768A-431A-990C-30BEE0F72629}"/>
    <cellStyle name="AggGreen 4 41" xfId="18910" xr:uid="{E982690F-F78B-4EE7-B6E6-EA504011AD2F}"/>
    <cellStyle name="AggGreen 4 42" xfId="18057" xr:uid="{F39F5D62-B00E-4A0D-9B89-8672045ADD8C}"/>
    <cellStyle name="AggGreen 4 43" xfId="19644" xr:uid="{8AD1D806-5F29-4048-9370-2498FEB30EF4}"/>
    <cellStyle name="AggGreen 4 44" xfId="19737" xr:uid="{F446A490-2E33-4C43-BF89-A130E753BB6A}"/>
    <cellStyle name="AggGreen 4 45" xfId="20609" xr:uid="{8B75CD5B-153E-453A-8FDD-68288A8D2649}"/>
    <cellStyle name="AggGreen 4 46" xfId="21103" xr:uid="{C1598C5A-8D70-4AE1-BAB9-4763C8D1389E}"/>
    <cellStyle name="AggGreen 4 47" xfId="19870" xr:uid="{89A1F68D-F4FE-4F1D-9237-4BEA08B498EC}"/>
    <cellStyle name="AggGreen 4 48" xfId="21867" xr:uid="{9A888B64-6E0C-4F89-89F7-38C9612A5EB7}"/>
    <cellStyle name="AggGreen 4 49" xfId="22097" xr:uid="{A42519E5-E303-4DA7-8BF0-0FAD81346930}"/>
    <cellStyle name="AggGreen 4 5" xfId="937" xr:uid="{8AE992C3-7813-41AD-83CF-C30F2F9E69A1}"/>
    <cellStyle name="AggGreen 4 50" xfId="23188" xr:uid="{0D799067-9B73-4FA0-A2FD-43CFC4139148}"/>
    <cellStyle name="AggGreen 4 51" xfId="23031" xr:uid="{3E289EA1-CF57-4EBE-AB77-57B218D4F895}"/>
    <cellStyle name="AggGreen 4 52" xfId="22929" xr:uid="{8BE192E2-0FF1-4862-B2DA-8C231A839ABA}"/>
    <cellStyle name="AggGreen 4 53" xfId="24364" xr:uid="{4BE8B6CE-87D4-40DA-B577-724D2FA5B03A}"/>
    <cellStyle name="AggGreen 4 54" xfId="25034" xr:uid="{E4D753C0-DD2E-4F2A-A1C6-0691EE6AF5E5}"/>
    <cellStyle name="AggGreen 4 55" xfId="25193" xr:uid="{29608500-3E64-4E77-8878-3225DA91D90A}"/>
    <cellStyle name="AggGreen 4 56" xfId="24215" xr:uid="{4DCF35AE-E839-465D-A671-9A6B6B766F22}"/>
    <cellStyle name="AggGreen 4 57" xfId="26484" xr:uid="{324A3B16-FB71-4E45-9D94-07BEB49BFDAC}"/>
    <cellStyle name="AggGreen 4 58" xfId="26109" xr:uid="{17643FAA-D9DC-4295-8F55-80F9C967D7F0}"/>
    <cellStyle name="AggGreen 4 59" xfId="25476" xr:uid="{D9BA27AD-DE69-42BE-8BE9-A44475D90313}"/>
    <cellStyle name="AggGreen 4 6" xfId="1534" xr:uid="{0122B9DA-813D-419C-9536-94BDC3DDA563}"/>
    <cellStyle name="AggGreen 4 60" xfId="26460" xr:uid="{E73E2D53-D928-46FA-9760-E7262EC65942}"/>
    <cellStyle name="AggGreen 4 61" xfId="28135" xr:uid="{FEA24765-50D0-4251-87E2-B2D7DC54EC02}"/>
    <cellStyle name="AggGreen 4 62" xfId="28021" xr:uid="{2565AC22-B210-42FD-B3A9-9F0A08A024FA}"/>
    <cellStyle name="AggGreen 4 63" xfId="28062" xr:uid="{7CC98BDE-1B8E-4748-AA58-C53DA23AB4C7}"/>
    <cellStyle name="AggGreen 4 64" xfId="27909" xr:uid="{C919EFBB-3DA0-46ED-AA22-2E29CC0559AF}"/>
    <cellStyle name="AggGreen 4 65" xfId="29381" xr:uid="{E4AAD484-F33E-4B6B-A44C-AB608CE24075}"/>
    <cellStyle name="AggGreen 4 66" xfId="29376" xr:uid="{DED619A9-8570-4CD3-9FF4-C56D6209C29A}"/>
    <cellStyle name="AggGreen 4 67" xfId="30811" xr:uid="{9A0FA32E-C437-46D1-ADC6-65DD4D744F52}"/>
    <cellStyle name="AggGreen 4 68" xfId="28274" xr:uid="{BF8F580E-FF40-4D54-A39E-3415F5006727}"/>
    <cellStyle name="AggGreen 4 7" xfId="2084" xr:uid="{07DBCC8C-B61D-4182-8C00-39D5345B12BA}"/>
    <cellStyle name="AggGreen 4 8" xfId="2206" xr:uid="{F2A6FC56-518C-4183-8817-A2116FBCEE6C}"/>
    <cellStyle name="AggGreen 4 9" xfId="2897" xr:uid="{77C74D6E-AD81-4289-B9AA-2B55AF6EF403}"/>
    <cellStyle name="AggGreen 5" xfId="76" xr:uid="{74782D46-EE93-4856-85F0-93DC50C466F2}"/>
    <cellStyle name="AggGreen 5 10" xfId="16128" xr:uid="{7DDE0833-4A27-448D-B654-C1E397EF47E7}"/>
    <cellStyle name="AggGreen 5 11" xfId="18960" xr:uid="{876729EB-8E32-436D-A85A-8B514D77C3DF}"/>
    <cellStyle name="AggGreen 5 12" xfId="19461" xr:uid="{9FEF8616-7DE3-4601-89D3-6C848EA5E90C}"/>
    <cellStyle name="AggGreen 5 13" xfId="22479" xr:uid="{BA51436C-6AFE-4E01-91E0-8B131C0B1BD4}"/>
    <cellStyle name="AggGreen 5 14" xfId="24182" xr:uid="{BC992617-65E1-4DED-9C97-F6EEC6EBA08F}"/>
    <cellStyle name="AggGreen 5 15" xfId="26539" xr:uid="{E0954195-7CB1-43B7-94B3-9C325CC42CD9}"/>
    <cellStyle name="AggGreen 5 16" xfId="27975" xr:uid="{E93165C1-C050-4160-A46E-51BBDB5FA7FE}"/>
    <cellStyle name="AggGreen 5 2" xfId="921" xr:uid="{28E525F4-757E-4A0D-8CA0-C3A867CD0037}"/>
    <cellStyle name="AggGreen 5 3" xfId="1904" xr:uid="{12E9B9C9-64C8-4A7E-B2C1-4E86C160B3E7}"/>
    <cellStyle name="AggGreen 5 4" xfId="3582" xr:uid="{7254A4F0-F86D-4366-971A-6E9261544B18}"/>
    <cellStyle name="AggGreen 5 5" xfId="3328" xr:uid="{A1F3BBA5-1A53-4BBA-AEE3-168ED41815FB}"/>
    <cellStyle name="AggGreen 5 6" xfId="6817" xr:uid="{D8F15E08-A554-4F83-8AEA-D63C69729619}"/>
    <cellStyle name="AggGreen 5 7" xfId="8483" xr:uid="{87D02548-FF44-4EE1-9431-6F7DEA2D8C4E}"/>
    <cellStyle name="AggGreen 5 8" xfId="9031" xr:uid="{B31ABF98-9731-4EBE-BEC0-BC4E6553D899}"/>
    <cellStyle name="AggGreen 5 9" xfId="11436" xr:uid="{79F4AC41-F548-4728-8633-72A14F265E02}"/>
    <cellStyle name="AggGreen_Bbdr" xfId="25" xr:uid="{6AF3ED15-6184-4190-B432-7DD1899DD1D6}"/>
    <cellStyle name="AggGreen12" xfId="22" xr:uid="{7FBA6500-DA27-44F6-BD14-3A6FF781C884}"/>
    <cellStyle name="AggGreen12 2" xfId="115" xr:uid="{EE1B7331-A7DD-45BC-9BC0-7144F65CFB6F}"/>
    <cellStyle name="AggGreen12 2 2" xfId="405" xr:uid="{FE8470F5-6E8E-48DD-82DE-4CC091F37F07}"/>
    <cellStyle name="AggGreen12 2 2 2" xfId="598" xr:uid="{7093A909-17B6-4E06-84D8-E6800D7789A7}"/>
    <cellStyle name="AggGreen12 2 2 2 10" xfId="4871" xr:uid="{9BE8E04B-C4DE-4797-9273-62DE9D7026C5}"/>
    <cellStyle name="AggGreen12 2 2 2 11" xfId="5246" xr:uid="{19C31085-9C49-4696-A6D0-FE799B1391C9}"/>
    <cellStyle name="AggGreen12 2 2 2 12" xfId="5959" xr:uid="{B91951D3-5F80-46B9-A0E6-FF9FC45FD64E}"/>
    <cellStyle name="AggGreen12 2 2 2 13" xfId="6276" xr:uid="{9D2CB6B4-4D96-4E9B-9DA0-BDA0B6006953}"/>
    <cellStyle name="AggGreen12 2 2 2 14" xfId="6132" xr:uid="{6F6B7528-9AEB-4D10-9EAE-1BA0628A9840}"/>
    <cellStyle name="AggGreen12 2 2 2 15" xfId="7318" xr:uid="{85F7A698-C5AD-484B-932B-1E4C0A8D1FD9}"/>
    <cellStyle name="AggGreen12 2 2 2 16" xfId="7708" xr:uid="{04ABD9F0-0C10-449B-A52B-557EC74EE92A}"/>
    <cellStyle name="AggGreen12 2 2 2 17" xfId="8398" xr:uid="{958F311D-C8B7-423B-B350-127A527A12C4}"/>
    <cellStyle name="AggGreen12 2 2 2 18" xfId="7126" xr:uid="{4F4094AA-4026-4F3C-8330-73C21052D1D6}"/>
    <cellStyle name="AggGreen12 2 2 2 19" xfId="9532" xr:uid="{A5F60BB2-9921-4F2F-A036-4CCD66B9EB8C}"/>
    <cellStyle name="AggGreen12 2 2 2 2" xfId="813" xr:uid="{5D8A91BF-D59B-4330-911E-5048781661B4}"/>
    <cellStyle name="AggGreen12 2 2 2 2 10" xfId="5461" xr:uid="{60D789E7-A1DF-4CCC-B7EC-8D8F35EEEBE3}"/>
    <cellStyle name="AggGreen12 2 2 2 2 11" xfId="4013" xr:uid="{73E13D7E-1779-48D6-A79B-E9EA0251EC84}"/>
    <cellStyle name="AggGreen12 2 2 2 2 12" xfId="6046" xr:uid="{FB791855-A64D-449A-9DE0-418D084A653A}"/>
    <cellStyle name="AggGreen12 2 2 2 2 13" xfId="6580" xr:uid="{7BE3E69C-F056-41F3-9B53-B6BCB720E836}"/>
    <cellStyle name="AggGreen12 2 2 2 2 14" xfId="7533" xr:uid="{D826CA6A-4298-4A8E-A54B-AD70BB24884E}"/>
    <cellStyle name="AggGreen12 2 2 2 2 15" xfId="7074" xr:uid="{E44B86E5-7329-46B7-A994-DC4ECC8D2780}"/>
    <cellStyle name="AggGreen12 2 2 2 2 16" xfId="8170" xr:uid="{3F976FDB-003B-47FF-9973-DE9778ADC3DA}"/>
    <cellStyle name="AggGreen12 2 2 2 2 17" xfId="8735" xr:uid="{ED8FF6B0-DC5E-4DFB-89E0-782817D67714}"/>
    <cellStyle name="AggGreen12 2 2 2 2 18" xfId="9747" xr:uid="{BB389EA2-E68C-4A4B-87AE-D2410FD4B596}"/>
    <cellStyle name="AggGreen12 2 2 2 2 19" xfId="9287" xr:uid="{461FC399-5551-4DA3-A47D-46F3FD975967}"/>
    <cellStyle name="AggGreen12 2 2 2 2 2" xfId="1287" xr:uid="{556B5014-CF80-4AA1-8D44-33082B4F9ABB}"/>
    <cellStyle name="AggGreen12 2 2 2 2 20" xfId="9861" xr:uid="{08735BB8-0849-455F-B358-5FA71B70EAF2}"/>
    <cellStyle name="AggGreen12 2 2 2 2 21" xfId="10697" xr:uid="{EB016AD6-6ABB-4CA8-8462-C9B97AAFFF49}"/>
    <cellStyle name="AggGreen12 2 2 2 2 22" xfId="11053" xr:uid="{E1806B37-93D5-4E5D-8057-C5FF89CC8633}"/>
    <cellStyle name="AggGreen12 2 2 2 2 23" xfId="12166" xr:uid="{B30E8A1D-803A-4003-980C-C658680F66A3}"/>
    <cellStyle name="AggGreen12 2 2 2 2 24" xfId="12639" xr:uid="{3D2E7291-6023-4953-9ED3-48D14AF4CCA0}"/>
    <cellStyle name="AggGreen12 2 2 2 2 25" xfId="13073" xr:uid="{3585F08F-DAD0-4E1C-B73A-D09EB6891D41}"/>
    <cellStyle name="AggGreen12 2 2 2 2 26" xfId="13510" xr:uid="{29F2E0E1-53AE-4AD8-8D26-DD2C96977FC3}"/>
    <cellStyle name="AggGreen12 2 2 2 2 27" xfId="13615" xr:uid="{58C3283E-9941-4B61-9A79-09DE347E6DBA}"/>
    <cellStyle name="AggGreen12 2 2 2 2 28" xfId="12297" xr:uid="{99B60D2A-9B62-411F-8266-90CFE8CCAAC3}"/>
    <cellStyle name="AggGreen12 2 2 2 2 29" xfId="14386" xr:uid="{AEF55AEE-11D0-4B19-ADFC-286166E8F32C}"/>
    <cellStyle name="AggGreen12 2 2 2 2 3" xfId="1477" xr:uid="{CEC976EB-858E-4932-80AC-C04A02D8D2B0}"/>
    <cellStyle name="AggGreen12 2 2 2 2 30" xfId="15110" xr:uid="{E150C874-6B43-426B-BEDD-3585F5A74F91}"/>
    <cellStyle name="AggGreen12 2 2 2 2 31" xfId="14272" xr:uid="{FAA41DBB-8678-4064-87EA-E806B7A387F7}"/>
    <cellStyle name="AggGreen12 2 2 2 2 32" xfId="15751" xr:uid="{0A985B00-0CF4-4414-B848-F2B90C6BC31A}"/>
    <cellStyle name="AggGreen12 2 2 2 2 33" xfId="16858" xr:uid="{B1B6D352-C988-4D3B-ABCA-49C289B8C749}"/>
    <cellStyle name="AggGreen12 2 2 2 2 34" xfId="16395" xr:uid="{F5A78369-D611-400C-BD81-02AEB42374CB}"/>
    <cellStyle name="AggGreen12 2 2 2 2 35" xfId="16977" xr:uid="{0D4BD36E-CCDE-49F3-A2E4-902A7AA73B2B}"/>
    <cellStyle name="AggGreen12 2 2 2 2 36" xfId="18121" xr:uid="{90CD1132-7A36-40B0-BBA6-66902F545876}"/>
    <cellStyle name="AggGreen12 2 2 2 2 37" xfId="18676" xr:uid="{D9D0F0B6-8F02-4FBB-B42A-50DA39FC6FE2}"/>
    <cellStyle name="AggGreen12 2 2 2 2 38" xfId="18834" xr:uid="{30FDE097-7546-45A4-ADB6-C7D6B1E54720}"/>
    <cellStyle name="AggGreen12 2 2 2 2 39" xfId="19171" xr:uid="{1CD34DDC-2720-4704-B16C-CDD56B209A17}"/>
    <cellStyle name="AggGreen12 2 2 2 2 4" xfId="2635" xr:uid="{A8819D87-2603-4196-9A62-D1455F7DD729}"/>
    <cellStyle name="AggGreen12 2 2 2 2 40" xfId="20195" xr:uid="{DD6C0F8D-D3AF-49A7-9B57-9F7EDC8D0572}"/>
    <cellStyle name="AggGreen12 2 2 2 2 41" xfId="19730" xr:uid="{97CFEB7E-28A7-43EC-A7D7-26A4C2123BC8}"/>
    <cellStyle name="AggGreen12 2 2 2 2 42" xfId="19464" xr:uid="{95305B0D-DEF0-464F-9C3B-80677E34F383}"/>
    <cellStyle name="AggGreen12 2 2 2 2 43" xfId="19672" xr:uid="{709FB0ED-2F61-4E45-8874-D5255C830643}"/>
    <cellStyle name="AggGreen12 2 2 2 2 44" xfId="21495" xr:uid="{D129FA68-4FA3-4C92-B2BB-F00EB9F427C1}"/>
    <cellStyle name="AggGreen12 2 2 2 2 45" xfId="21904" xr:uid="{FD633071-258C-49D4-81AF-4102A99DF6EC}"/>
    <cellStyle name="AggGreen12 2 2 2 2 46" xfId="22624" xr:uid="{39E7568F-325F-4C7F-8536-E562DAE1A30D}"/>
    <cellStyle name="AggGreen12 2 2 2 2 47" xfId="23108" xr:uid="{A8EDFCD9-524F-445F-80A5-C29D6E7BFBE7}"/>
    <cellStyle name="AggGreen12 2 2 2 2 48" xfId="23441" xr:uid="{876401AD-54DA-4192-A8F8-893676C65A48}"/>
    <cellStyle name="AggGreen12 2 2 2 2 49" xfId="23995" xr:uid="{E9CA9BAB-2B13-4A4D-9DD2-0336CC143E20}"/>
    <cellStyle name="AggGreen12 2 2 2 2 5" xfId="2782" xr:uid="{015E2C87-536C-4299-9E9B-71D05EF94D3B}"/>
    <cellStyle name="AggGreen12 2 2 2 2 50" xfId="24903" xr:uid="{276527BB-9EC5-48B1-89C0-445F1AE0CA3E}"/>
    <cellStyle name="AggGreen12 2 2 2 2 51" xfId="24336" xr:uid="{BD4806AE-0ECB-4C7C-A06E-33205DCBDD1E}"/>
    <cellStyle name="AggGreen12 2 2 2 2 52" xfId="25819" xr:uid="{45790369-C4F3-4C5F-9396-A4FE1FBBAD1E}"/>
    <cellStyle name="AggGreen12 2 2 2 2 53" xfId="25928" xr:uid="{AF03BB90-6D85-4038-A651-A191F0F1667E}"/>
    <cellStyle name="AggGreen12 2 2 2 2 54" xfId="26559" xr:uid="{6B0B84F0-D47B-4054-801B-4699D914899D}"/>
    <cellStyle name="AggGreen12 2 2 2 2 55" xfId="27107" xr:uid="{74053065-1E87-40FD-BDA3-B1C836A42AE3}"/>
    <cellStyle name="AggGreen12 2 2 2 2 56" xfId="27526" xr:uid="{69DF5F35-44A7-437C-A7B8-99C90BF7E8A8}"/>
    <cellStyle name="AggGreen12 2 2 2 2 57" xfId="26777" xr:uid="{F280621D-956F-4ED8-AA42-63E246607323}"/>
    <cellStyle name="AggGreen12 2 2 2 2 58" xfId="28653" xr:uid="{253BA738-80E5-44B0-A294-91AA56E33251}"/>
    <cellStyle name="AggGreen12 2 2 2 2 59" xfId="29120" xr:uid="{4FE65D98-AD2F-448C-9251-F98E56184FF9}"/>
    <cellStyle name="AggGreen12 2 2 2 2 6" xfId="1862" xr:uid="{5888174B-C32A-475F-B7DC-41E4B3CFA982}"/>
    <cellStyle name="AggGreen12 2 2 2 2 60" xfId="28300" xr:uid="{865256E3-3A0F-4DD2-B0FF-734A54C5D5C1}"/>
    <cellStyle name="AggGreen12 2 2 2 2 61" xfId="29909" xr:uid="{F82D9CE0-3B04-4C22-B332-B0950EA3B970}"/>
    <cellStyle name="AggGreen12 2 2 2 2 62" xfId="30315" xr:uid="{E6DE3B13-1164-4179-B3C4-1D9891494192}"/>
    <cellStyle name="AggGreen12 2 2 2 2 63" xfId="30732" xr:uid="{7D015979-5687-4428-92BA-915BB16C54BE}"/>
    <cellStyle name="AggGreen12 2 2 2 2 64" xfId="29419" xr:uid="{24BF8397-EC97-4B2E-9CD4-7076B3D30D6A}"/>
    <cellStyle name="AggGreen12 2 2 2 2 65" xfId="31348" xr:uid="{DA7AE5EA-2920-4E29-949C-5BED39460BD2}"/>
    <cellStyle name="AggGreen12 2 2 2 2 7" xfId="4131" xr:uid="{7258A890-AF01-4DF8-9C74-D7AA1869521C}"/>
    <cellStyle name="AggGreen12 2 2 2 2 8" xfId="4568" xr:uid="{970E4232-D282-4AC1-A30E-AA3978E2E163}"/>
    <cellStyle name="AggGreen12 2 2 2 2 9" xfId="3484" xr:uid="{E08C37AD-0C2D-4589-A555-840CD7DC6FBB}"/>
    <cellStyle name="AggGreen12 2 2 2 20" xfId="9922" xr:uid="{9929455C-4C3B-42E0-ACFE-B74F011CF0E4}"/>
    <cellStyle name="AggGreen12 2 2 2 21" xfId="10353" xr:uid="{6C82A95B-BB99-4815-9932-2A69BEEDD273}"/>
    <cellStyle name="AggGreen12 2 2 2 22" xfId="10984" xr:uid="{25C66927-4018-4451-9FED-7A987C2E1E4A}"/>
    <cellStyle name="AggGreen12 2 2 2 23" xfId="10526" xr:uid="{75A3F214-61F3-4AD4-A4FB-873E8A61520B}"/>
    <cellStyle name="AggGreen12 2 2 2 24" xfId="11951" xr:uid="{88250C85-EECD-4371-8599-E0046B1CF762}"/>
    <cellStyle name="AggGreen12 2 2 2 25" xfId="12424" xr:uid="{827D4654-70DC-4460-A2FB-27D1974AFDC0}"/>
    <cellStyle name="AggGreen12 2 2 2 26" xfId="12858" xr:uid="{878B8725-4599-4155-8F46-025C631D9BCF}"/>
    <cellStyle name="AggGreen12 2 2 2 27" xfId="13295" xr:uid="{928CBD00-ECAE-4DC3-8D22-457D21143FD7}"/>
    <cellStyle name="AggGreen12 2 2 2 28" xfId="11664" xr:uid="{870D5D9E-97CE-48AE-A21F-E83A3665F8D2}"/>
    <cellStyle name="AggGreen12 2 2 2 29" xfId="14371" xr:uid="{6CA0584F-9185-48D7-AD9E-E8C8A25CD663}"/>
    <cellStyle name="AggGreen12 2 2 2 3" xfId="1081" xr:uid="{529B8053-34D2-4BAB-AC86-7E0E55484BDE}"/>
    <cellStyle name="AggGreen12 2 2 2 30" xfId="14248" xr:uid="{D2A06395-5274-4A3B-A8C8-B28FAAC8F2AB}"/>
    <cellStyle name="AggGreen12 2 2 2 31" xfId="14533" xr:uid="{84DD33F8-B94B-4A20-8E13-919B7E1DAD50}"/>
    <cellStyle name="AggGreen12 2 2 2 32" xfId="14966" xr:uid="{8F78E2D1-D5D7-4F04-9AD1-ABFFE54CF58E}"/>
    <cellStyle name="AggGreen12 2 2 2 33" xfId="15810" xr:uid="{F8C21387-FE8C-456B-B340-2CA191866B64}"/>
    <cellStyle name="AggGreen12 2 2 2 34" xfId="16643" xr:uid="{1EE2ACC7-87C2-4AFC-B61A-6B43B45274AF}"/>
    <cellStyle name="AggGreen12 2 2 2 35" xfId="17036" xr:uid="{80D437E6-46B0-40B9-8DB3-F873DB3C202A}"/>
    <cellStyle name="AggGreen12 2 2 2 36" xfId="17484" xr:uid="{CF558671-6EB9-409C-BD8B-71900CAC58C2}"/>
    <cellStyle name="AggGreen12 2 2 2 37" xfId="16043" xr:uid="{E2BBA6BF-9444-49E9-8394-D2FDCC52FC16}"/>
    <cellStyle name="AggGreen12 2 2 2 38" xfId="18461" xr:uid="{0EBADAF8-8514-4D71-9708-5E90CD5EDE4F}"/>
    <cellStyle name="AggGreen12 2 2 2 39" xfId="17016" xr:uid="{46EDCE93-159F-46CE-851F-43F62F7B0150}"/>
    <cellStyle name="AggGreen12 2 2 2 4" xfId="1378" xr:uid="{D48B82FA-B0FF-4C93-AD7D-52D6E440F885}"/>
    <cellStyle name="AggGreen12 2 2 2 40" xfId="19249" xr:uid="{D620BF10-BB5F-4CF4-9598-5E02A7A3E4A1}"/>
    <cellStyle name="AggGreen12 2 2 2 41" xfId="19980" xr:uid="{6918B49F-6604-4840-9001-E17453551BE0}"/>
    <cellStyle name="AggGreen12 2 2 2 42" xfId="20388" xr:uid="{B4898125-8473-44E2-8900-4425E90BCBE3}"/>
    <cellStyle name="AggGreen12 2 2 2 43" xfId="20841" xr:uid="{BFA38743-D823-4336-A277-0FCF355D6BDF}"/>
    <cellStyle name="AggGreen12 2 2 2 44" xfId="21608" xr:uid="{89D87259-20C1-458A-B16B-A3152212B60B}"/>
    <cellStyle name="AggGreen12 2 2 2 45" xfId="21774" xr:uid="{A4FF3F5C-4D73-41BE-9D00-E3A644C6B5A8}"/>
    <cellStyle name="AggGreen12 2 2 2 46" xfId="22211" xr:uid="{41DE7BF3-5476-4BCE-87BE-EFB3F1BC02E4}"/>
    <cellStyle name="AggGreen12 2 2 2 47" xfId="20897" xr:uid="{6B44527C-8967-4B22-AE75-B27B0C822880}"/>
    <cellStyle name="AggGreen12 2 2 2 48" xfId="21820" xr:uid="{B7743485-8D9C-49C2-9B4E-2F32BBB952DE}"/>
    <cellStyle name="AggGreen12 2 2 2 49" xfId="23535" xr:uid="{73BE1099-CA4A-460A-A3DD-F12AABE9E353}"/>
    <cellStyle name="AggGreen12 2 2 2 5" xfId="2420" xr:uid="{D9EDA0FC-A78A-4714-8DBB-2FFED064CFAF}"/>
    <cellStyle name="AggGreen12 2 2 2 50" xfId="23789" xr:uid="{517A1281-891C-4696-9CE8-3FDD510117C6}"/>
    <cellStyle name="AggGreen12 2 2 2 51" xfId="24688" xr:uid="{4F9F3AA5-F036-4331-856D-5E6BDBF2631F}"/>
    <cellStyle name="AggGreen12 2 2 2 52" xfId="25098" xr:uid="{ABC62125-6451-4FBD-BAEC-FE501C40820F}"/>
    <cellStyle name="AggGreen12 2 2 2 53" xfId="25606" xr:uid="{325F304A-812F-480D-9715-157E7A0A523D}"/>
    <cellStyle name="AggGreen12 2 2 2 54" xfId="25479" xr:uid="{3A14FDC4-7AEE-43C9-BA25-DF926EB05A7F}"/>
    <cellStyle name="AggGreen12 2 2 2 55" xfId="26237" xr:uid="{5D6CEDF0-E3ED-48C1-9451-490741E1A90F}"/>
    <cellStyle name="AggGreen12 2 2 2 56" xfId="26896" xr:uid="{3B4E589F-6A22-4C01-B548-9B693D20F789}"/>
    <cellStyle name="AggGreen12 2 2 2 57" xfId="27315" xr:uid="{DEF6BA64-0B6F-4630-B61F-6A2D71367705}"/>
    <cellStyle name="AggGreen12 2 2 2 58" xfId="27762" xr:uid="{EDA2BCA3-27B1-4341-B1CF-B22AED3AC517}"/>
    <cellStyle name="AggGreen12 2 2 2 59" xfId="28438" xr:uid="{BEBDC5E0-8521-469B-97CE-C7AF6B4EBE8F}"/>
    <cellStyle name="AggGreen12 2 2 2 6" xfId="1986" xr:uid="{B1C031A1-3375-45FB-A048-058184920ACA}"/>
    <cellStyle name="AggGreen12 2 2 2 60" xfId="28906" xr:uid="{F5E65C78-5E61-4CFF-92DE-665B7A580C04}"/>
    <cellStyle name="AggGreen12 2 2 2 61" xfId="29252" xr:uid="{8F6A0B78-7113-4A42-8A74-84C8CFA6B887}"/>
    <cellStyle name="AggGreen12 2 2 2 62" xfId="29696" xr:uid="{BF6BA17B-F279-4538-AD9A-D17971446F93}"/>
    <cellStyle name="AggGreen12 2 2 2 63" xfId="30104" xr:uid="{3405B57A-D0B9-4D95-814C-35AA9619B201}"/>
    <cellStyle name="AggGreen12 2 2 2 64" xfId="30518" xr:uid="{A3D485E6-3490-4C82-9908-EE93D24B92A2}"/>
    <cellStyle name="AggGreen12 2 2 2 65" xfId="30958" xr:uid="{2417168C-D805-40C1-8CF8-86196364024E}"/>
    <cellStyle name="AggGreen12 2 2 2 66" xfId="31142" xr:uid="{5C0A7974-B127-4BA3-8BD5-6BE7FA1EC4F3}"/>
    <cellStyle name="AggGreen12 2 2 2 7" xfId="2305" xr:uid="{256697ED-58BC-4F6A-B9BF-632433DF664A}"/>
    <cellStyle name="AggGreen12 2 2 2 8" xfId="3916" xr:uid="{EF95FEEF-6A23-4B22-A1A8-5A4E13BFFB63}"/>
    <cellStyle name="AggGreen12 2 2 2 9" xfId="4354" xr:uid="{178F5176-B7C5-4089-9D0E-656D774BD31F}"/>
    <cellStyle name="AggGreen12 2 2 3" xfId="712" xr:uid="{B3163420-C6FC-4683-8480-07DAFA446AE5}"/>
    <cellStyle name="AggGreen12 2 2 3 10" xfId="5360" xr:uid="{D0DAD2C8-0650-48B7-885F-0F4EFA44FEDF}"/>
    <cellStyle name="AggGreen12 2 2 3 11" xfId="5758" xr:uid="{A3B1BA5A-0493-4E77-9A98-2E1892D5F120}"/>
    <cellStyle name="AggGreen12 2 2 3 12" xfId="4928" xr:uid="{8F0D98AF-6F12-4EF2-8C9A-B6CF61AA285E}"/>
    <cellStyle name="AggGreen12 2 2 3 13" xfId="6545" xr:uid="{4C48B605-36C2-4FDE-BB2E-3EDC2B505139}"/>
    <cellStyle name="AggGreen12 2 2 3 14" xfId="7432" xr:uid="{661A2C49-034F-497E-B932-D9119C7E2CFA}"/>
    <cellStyle name="AggGreen12 2 2 3 15" xfId="7698" xr:uid="{C76A5A34-495A-4910-BBA1-3707D19B0096}"/>
    <cellStyle name="AggGreen12 2 2 3 16" xfId="8169" xr:uid="{BD185D73-E60C-4162-A6A2-767EFD5C655F}"/>
    <cellStyle name="AggGreen12 2 2 3 17" xfId="7666" xr:uid="{78FD2B1C-622C-4C22-8046-CB8E8C28315D}"/>
    <cellStyle name="AggGreen12 2 2 3 18" xfId="9646" xr:uid="{690FA0CD-EA54-41EC-86BD-681DD85506A8}"/>
    <cellStyle name="AggGreen12 2 2 3 19" xfId="9913" xr:uid="{3ECDA328-A55E-4E3A-A34A-A8C65BED8C63}"/>
    <cellStyle name="AggGreen12 2 2 3 2" xfId="1186" xr:uid="{7F6053C8-0CB2-408D-9C9D-28DC851C6F2D}"/>
    <cellStyle name="AggGreen12 2 2 3 20" xfId="10344" xr:uid="{16D1C070-7E7B-4B2C-9031-F461BFAA38FC}"/>
    <cellStyle name="AggGreen12 2 2 3 21" xfId="10894" xr:uid="{81C59C96-0F3D-4D5A-9ACF-93E95A924E9A}"/>
    <cellStyle name="AggGreen12 2 2 3 22" xfId="11250" xr:uid="{7DA845F9-74BC-4F6D-A7C2-F899FCFD200E}"/>
    <cellStyle name="AggGreen12 2 2 3 23" xfId="12065" xr:uid="{F5AB66CB-2967-4A05-93C1-C13F684ED20A}"/>
    <cellStyle name="AggGreen12 2 2 3 24" xfId="12538" xr:uid="{D1A1D2D7-31E9-4636-94D1-F8CE65E105C2}"/>
    <cellStyle name="AggGreen12 2 2 3 25" xfId="12972" xr:uid="{A92AD388-4E6A-4F86-93D1-EFAAB3C18E2C}"/>
    <cellStyle name="AggGreen12 2 2 3 26" xfId="13409" xr:uid="{6B67AFD6-C73E-40FB-9F5E-5AA4C9D1C781}"/>
    <cellStyle name="AggGreen12 2 2 3 27" xfId="13928" xr:uid="{6B4BF06F-8AA0-4D45-A7FE-086ECB5849B5}"/>
    <cellStyle name="AggGreen12 2 2 3 28" xfId="14299" xr:uid="{9327B942-E00F-43E8-9B2B-7D36426C5AA5}"/>
    <cellStyle name="AggGreen12 2 2 3 29" xfId="14564" xr:uid="{9915E051-4F9D-40B8-84AF-905B775FAAC9}"/>
    <cellStyle name="AggGreen12 2 2 3 3" xfId="1448" xr:uid="{7B33E0B4-3DB1-421D-91F3-46D72369229F}"/>
    <cellStyle name="AggGreen12 2 2 3 30" xfId="15275" xr:uid="{99964E5C-191A-4E8E-B627-306DD64F045B}"/>
    <cellStyle name="AggGreen12 2 2 3 31" xfId="15750" xr:uid="{55B882A4-1B7C-4E99-8E31-82C738674D3D}"/>
    <cellStyle name="AggGreen12 2 2 3 32" xfId="15808" xr:uid="{A4D1712B-722B-47CD-92D1-6EF7136171D5}"/>
    <cellStyle name="AggGreen12 2 2 3 33" xfId="16757" xr:uid="{9C156898-191D-4D1C-9EE1-C7CC56D91383}"/>
    <cellStyle name="AggGreen12 2 2 3 34" xfId="17026" xr:uid="{CF6E2346-D307-4A71-B276-CBE92E29962E}"/>
    <cellStyle name="AggGreen12 2 2 3 35" xfId="17473" xr:uid="{CB212194-DAA7-4279-8F5F-D43628E3ACC2}"/>
    <cellStyle name="AggGreen12 2 2 3 36" xfId="18009" xr:uid="{87E2F00E-3FEE-4433-82C5-E7B8ADF42EC3}"/>
    <cellStyle name="AggGreen12 2 2 3 37" xfId="18575" xr:uid="{CD4267F0-E94A-4681-8A96-22B18B7D13EB}"/>
    <cellStyle name="AggGreen12 2 2 3 38" xfId="17625" xr:uid="{8DEAAEBF-B0F2-4BC0-9CD8-BCF96A58AF55}"/>
    <cellStyle name="AggGreen12 2 2 3 39" xfId="19251" xr:uid="{EA315897-5D1A-46B6-862F-FE215E3B330D}"/>
    <cellStyle name="AggGreen12 2 2 3 4" xfId="2534" xr:uid="{D67DC2E1-9FF0-41DA-92CF-C8FC091D5A05}"/>
    <cellStyle name="AggGreen12 2 2 3 40" xfId="20094" xr:uid="{5DFB6B37-927B-4274-8C28-807CFCC75C4E}"/>
    <cellStyle name="AggGreen12 2 2 3 41" xfId="20377" xr:uid="{38010BA1-DD4B-48A6-9CA7-CA12BF680B5F}"/>
    <cellStyle name="AggGreen12 2 2 3 42" xfId="20831" xr:uid="{9FCE610A-A193-47A2-A966-78DB6C22AD82}"/>
    <cellStyle name="AggGreen12 2 2 3 43" xfId="20780" xr:uid="{D2A71F35-E5C5-4BF0-B77F-F929575A55AD}"/>
    <cellStyle name="AggGreen12 2 2 3 44" xfId="21763" xr:uid="{6AA8A6F9-61A9-472B-9828-1F3C996A6D37}"/>
    <cellStyle name="AggGreen12 2 2 3 45" xfId="22202" xr:uid="{7D30D76C-7764-4BBE-B361-B2DD06F2FF8C}"/>
    <cellStyle name="AggGreen12 2 2 3 46" xfId="22904" xr:uid="{61A5A1E8-82C1-4B7E-8D11-63178488180D}"/>
    <cellStyle name="AggGreen12 2 2 3 47" xfId="22240" xr:uid="{C14BC6F7-0EB8-4A9C-A7DC-ECB137E4AE4D}"/>
    <cellStyle name="AggGreen12 2 2 3 48" xfId="23466" xr:uid="{26572F2C-D368-4627-B3BB-C8CC9EE956EA}"/>
    <cellStyle name="AggGreen12 2 2 3 49" xfId="23894" xr:uid="{75552E28-5AB2-49F2-873B-6327F0C4DFBB}"/>
    <cellStyle name="AggGreen12 2 2 3 5" xfId="3096" xr:uid="{FD5231A4-E551-42DB-A522-58AF367A3829}"/>
    <cellStyle name="AggGreen12 2 2 3 50" xfId="24802" xr:uid="{2FDDF093-FEEB-4684-9B14-C0318009DDA5}"/>
    <cellStyle name="AggGreen12 2 2 3 51" xfId="25088" xr:uid="{2C59B976-B1DF-4904-AC39-8B5820A2984D}"/>
    <cellStyle name="AggGreen12 2 2 3 52" xfId="25718" xr:uid="{6DCD1BF7-24B3-4CD9-9598-FD87BC06E7E3}"/>
    <cellStyle name="AggGreen12 2 2 3 53" xfId="26209" xr:uid="{3850917A-B8AD-4F32-9D73-1217CC89E769}"/>
    <cellStyle name="AggGreen12 2 2 3 54" xfId="26538" xr:uid="{218047F8-7F09-45F8-88D5-B185B92711C7}"/>
    <cellStyle name="AggGreen12 2 2 3 55" xfId="27006" xr:uid="{4FA099D9-B934-4F11-8E9A-7C8A950C26E5}"/>
    <cellStyle name="AggGreen12 2 2 3 56" xfId="27425" xr:uid="{1F49EB2C-C022-4E2C-8E72-D71D9A2AD5C2}"/>
    <cellStyle name="AggGreen12 2 2 3 57" xfId="26461" xr:uid="{3E12F252-3138-44D3-B47E-34C11499C32B}"/>
    <cellStyle name="AggGreen12 2 2 3 58" xfId="28552" xr:uid="{A6FE60F8-1DA9-4E53-83E9-81E6F2978F85}"/>
    <cellStyle name="AggGreen12 2 2 3 59" xfId="29019" xr:uid="{3ABAB81E-E66C-49AF-92B8-961ABEE1A31D}"/>
    <cellStyle name="AggGreen12 2 2 3 6" xfId="2907" xr:uid="{B06777E7-FF14-49D5-967C-E1114954D4A2}"/>
    <cellStyle name="AggGreen12 2 2 3 60" xfId="29243" xr:uid="{CAD70EA0-5252-4293-9EFF-C9B3E0A7619C}"/>
    <cellStyle name="AggGreen12 2 2 3 61" xfId="29808" xr:uid="{A59125B3-E439-46B3-AEB3-69F077EFE2A5}"/>
    <cellStyle name="AggGreen12 2 2 3 62" xfId="30214" xr:uid="{61F9729B-B7DD-42EE-9218-EECE97F296B3}"/>
    <cellStyle name="AggGreen12 2 2 3 63" xfId="30631" xr:uid="{8B2D2E6C-AA3D-43B6-982E-7EEAE1A83A9C}"/>
    <cellStyle name="AggGreen12 2 2 3 64" xfId="31019" xr:uid="{DAC1416F-C4EE-4C45-B418-325A5F4F765C}"/>
    <cellStyle name="AggGreen12 2 2 3 65" xfId="31247" xr:uid="{57393ADA-268E-43DD-A44C-715458704DE7}"/>
    <cellStyle name="AggGreen12 2 2 3 7" xfId="4030" xr:uid="{7EDF04AA-9323-450A-8CA8-DE6CF287BADC}"/>
    <cellStyle name="AggGreen12 2 2 3 8" xfId="4467" xr:uid="{628DA683-E691-4BA9-81A3-E38DE6D448BE}"/>
    <cellStyle name="AggGreen12 2 2 3 9" xfId="4265" xr:uid="{A6417FDE-0B90-4F60-9AA2-30673FF3BB40}"/>
    <cellStyle name="AggGreen12 2 3" xfId="263" xr:uid="{FB690A81-7D2F-468E-8D98-74D7821A2FD2}"/>
    <cellStyle name="AggGreen12 2 3 10" xfId="3551" xr:uid="{07F55A49-5B17-4336-80CF-ED380829BAE5}"/>
    <cellStyle name="AggGreen12 2 3 11" xfId="2730" xr:uid="{4CA7F284-E990-45CD-BD50-9ABA245742C7}"/>
    <cellStyle name="AggGreen12 2 3 12" xfId="3825" xr:uid="{A4DF5911-37DE-4B4D-AC05-A80F2692440E}"/>
    <cellStyle name="AggGreen12 2 3 13" xfId="3458" xr:uid="{0A26B013-E5EB-4662-AD7D-08CDBF013919}"/>
    <cellStyle name="AggGreen12 2 3 14" xfId="4794" xr:uid="{C2557F91-1CB7-4649-8F5B-284434097EAC}"/>
    <cellStyle name="AggGreen12 2 3 15" xfId="6150" xr:uid="{6FA04B25-21D1-46AB-AD6D-8787BF03F9D9}"/>
    <cellStyle name="AggGreen12 2 3 16" xfId="6095" xr:uid="{A780920C-599D-424B-8CB4-D8102A65585C}"/>
    <cellStyle name="AggGreen12 2 3 17" xfId="6993" xr:uid="{0A9AC4AA-D28B-4783-94A4-013DB424E530}"/>
    <cellStyle name="AggGreen12 2 3 18" xfId="6952" xr:uid="{6E88F788-4E96-43FA-AD04-A141BFCDFC29}"/>
    <cellStyle name="AggGreen12 2 3 19" xfId="8518" xr:uid="{13B2DDD0-2202-40DB-B7C7-C77B84D79832}"/>
    <cellStyle name="AggGreen12 2 3 2" xfId="602" xr:uid="{5CD3E4F8-C7D0-4A90-80F4-EEE361081FD9}"/>
    <cellStyle name="AggGreen12 2 3 2 10" xfId="4733" xr:uid="{6143BD6A-476D-4582-975F-749021523EAB}"/>
    <cellStyle name="AggGreen12 2 3 2 11" xfId="5250" xr:uid="{9B9AB669-CC6C-4284-B99C-F20E0E049D3D}"/>
    <cellStyle name="AggGreen12 2 3 2 12" xfId="4817" xr:uid="{9350EFFF-F73D-4BC0-A9A0-1AC57DB5A6E6}"/>
    <cellStyle name="AggGreen12 2 3 2 13" xfId="5545" xr:uid="{A1331A4F-BAED-4B24-99D6-EDB3C9CA432D}"/>
    <cellStyle name="AggGreen12 2 3 2 14" xfId="6152" xr:uid="{5D652DF7-97B6-4DA5-85BF-037E31B84E2D}"/>
    <cellStyle name="AggGreen12 2 3 2 15" xfId="7322" xr:uid="{B0B79458-8DA0-457C-B39D-CAD5442FBE71}"/>
    <cellStyle name="AggGreen12 2 3 2 16" xfId="7122" xr:uid="{0F7EC19B-9A2D-4091-858F-24C7AAFE7979}"/>
    <cellStyle name="AggGreen12 2 3 2 17" xfId="8287" xr:uid="{351592E3-16EF-4BC9-B33A-90F5325895D6}"/>
    <cellStyle name="AggGreen12 2 3 2 18" xfId="8761" xr:uid="{EBDA7B0C-82CE-421E-8F1B-85E43A53CB36}"/>
    <cellStyle name="AggGreen12 2 3 2 19" xfId="9536" xr:uid="{9215B63F-131A-474A-A458-F76B48F90359}"/>
    <cellStyle name="AggGreen12 2 3 2 2" xfId="817" xr:uid="{EC637064-10AF-47AC-B0BC-7F6FF8747A8C}"/>
    <cellStyle name="AggGreen12 2 3 2 2 10" xfId="5465" xr:uid="{FD86384F-9C83-4ED0-B0E3-00469573A50C}"/>
    <cellStyle name="AggGreen12 2 3 2 2 11" xfId="4674" xr:uid="{6ECFFDE1-A4BF-43DF-9966-B8666A5C72C1}"/>
    <cellStyle name="AggGreen12 2 3 2 2 12" xfId="5583" xr:uid="{EC24DFCA-5C35-4D36-A1EA-2812AB253F49}"/>
    <cellStyle name="AggGreen12 2 3 2 2 13" xfId="3061" xr:uid="{C4C0420F-F7EF-450C-BF8D-C6B6AF78E89F}"/>
    <cellStyle name="AggGreen12 2 3 2 2 14" xfId="7537" xr:uid="{C3C0AC06-F4AF-4404-95B6-F199B29E60CD}"/>
    <cellStyle name="AggGreen12 2 3 2 2 15" xfId="7096" xr:uid="{24AF1A81-A37A-445B-9C14-A1E002F05630}"/>
    <cellStyle name="AggGreen12 2 3 2 2 16" xfId="8210" xr:uid="{5B5CAD71-B060-4FC0-9DD1-578BFBD1E183}"/>
    <cellStyle name="AggGreen12 2 3 2 2 17" xfId="8743" xr:uid="{DC254A98-2BE3-4A72-8B29-57103C638C64}"/>
    <cellStyle name="AggGreen12 2 3 2 2 18" xfId="9751" xr:uid="{B86947FC-B66E-47AD-B8ED-0A93812EE86B}"/>
    <cellStyle name="AggGreen12 2 3 2 2 19" xfId="9081" xr:uid="{A9A7D65C-ABAE-4516-871F-E88BE73C699D}"/>
    <cellStyle name="AggGreen12 2 3 2 2 2" xfId="1291" xr:uid="{0F118FBE-EF25-4CDA-BBD3-C87078A2B8CE}"/>
    <cellStyle name="AggGreen12 2 3 2 2 20" xfId="9439" xr:uid="{388325E7-0B3D-454F-8E9E-1D329A6D6DD5}"/>
    <cellStyle name="AggGreen12 2 3 2 2 21" xfId="9634" xr:uid="{69E17296-2699-47A9-AEC5-C5505C7B8341}"/>
    <cellStyle name="AggGreen12 2 3 2 2 22" xfId="10772" xr:uid="{67C951C0-D37B-49A8-8ED5-9E36716ED268}"/>
    <cellStyle name="AggGreen12 2 3 2 2 23" xfId="12170" xr:uid="{C7C25EF4-07BA-47BE-ACE8-2A67C7A465B9}"/>
    <cellStyle name="AggGreen12 2 3 2 2 24" xfId="12643" xr:uid="{9FAB4961-D6E4-47D3-9D08-DF68C30F37C8}"/>
    <cellStyle name="AggGreen12 2 3 2 2 25" xfId="13077" xr:uid="{426ECE36-FB69-4CAA-A6F8-1DA7539706D1}"/>
    <cellStyle name="AggGreen12 2 3 2 2 26" xfId="13514" xr:uid="{1AB317D4-5F0B-4ED5-9761-46F9598595F9}"/>
    <cellStyle name="AggGreen12 2 3 2 2 27" xfId="13594" xr:uid="{2DEC5069-4A2B-4C74-ADFD-88E608E5F4D4}"/>
    <cellStyle name="AggGreen12 2 3 2 2 28" xfId="14232" xr:uid="{F8483871-0BE2-46C7-B3B7-8EAE0BFB43DF}"/>
    <cellStyle name="AggGreen12 2 3 2 2 29" xfId="13885" xr:uid="{43BB5648-ABB6-4EF8-9604-125D7E62F189}"/>
    <cellStyle name="AggGreen12 2 3 2 2 3" xfId="1475" xr:uid="{1B383BEA-6831-43E8-AA00-FD0F22350672}"/>
    <cellStyle name="AggGreen12 2 3 2 2 30" xfId="15156" xr:uid="{3EE66BB2-F144-4842-87EF-34AC364D4C74}"/>
    <cellStyle name="AggGreen12 2 3 2 2 31" xfId="15331" xr:uid="{412D2CAC-6362-4BFB-833C-6B821B03858C}"/>
    <cellStyle name="AggGreen12 2 3 2 2 32" xfId="15625" xr:uid="{C9F906D5-868E-47F7-8CCE-7CF1F19B81D5}"/>
    <cellStyle name="AggGreen12 2 3 2 2 33" xfId="16862" xr:uid="{39C4CAD7-B351-41B6-83E6-07A2091D29F8}"/>
    <cellStyle name="AggGreen12 2 3 2 2 34" xfId="16418" xr:uid="{F2577450-69FF-4754-A37C-254833409E0A}"/>
    <cellStyle name="AggGreen12 2 3 2 2 35" xfId="16549" xr:uid="{93FE4A1A-6BDC-490E-A3A5-8FE6157003EC}"/>
    <cellStyle name="AggGreen12 2 3 2 2 36" xfId="17226" xr:uid="{557FEE32-F674-4F9E-A5FD-3E6E5C8B123A}"/>
    <cellStyle name="AggGreen12 2 3 2 2 37" xfId="18680" xr:uid="{A313B9F3-5FFD-4947-9263-474582F05E7B}"/>
    <cellStyle name="AggGreen12 2 3 2 2 38" xfId="18934" xr:uid="{12C0CBD1-B592-4824-B131-7B15E7D80A6A}"/>
    <cellStyle name="AggGreen12 2 3 2 2 39" xfId="19158" xr:uid="{EE796031-CBB3-4E15-AC13-A4FEAD812B88}"/>
    <cellStyle name="AggGreen12 2 3 2 2 4" xfId="2639" xr:uid="{712F28F5-7FCB-4A0B-BB6F-3DFECDC3F262}"/>
    <cellStyle name="AggGreen12 2 3 2 2 40" xfId="20199" xr:uid="{FF559089-FADD-4AD1-943A-DB4620290CFC}"/>
    <cellStyle name="AggGreen12 2 3 2 2 41" xfId="19513" xr:uid="{32442B9B-EC6E-4F02-ADF9-53DD31DA1CC8}"/>
    <cellStyle name="AggGreen12 2 3 2 2 42" xfId="19504" xr:uid="{18DF3C1A-F48F-4909-9E00-A1F9026DE15A}"/>
    <cellStyle name="AggGreen12 2 3 2 2 43" xfId="21583" xr:uid="{72E3494B-489A-4BEE-BF72-F7DC0B87AC2E}"/>
    <cellStyle name="AggGreen12 2 3 2 2 44" xfId="20891" xr:uid="{9262CD28-9A0C-4431-9DC7-D4A5736E5ECC}"/>
    <cellStyle name="AggGreen12 2 3 2 2 45" xfId="21066" xr:uid="{E269EAE8-317D-48C9-ACC1-2AFCD0223EA0}"/>
    <cellStyle name="AggGreen12 2 3 2 2 46" xfId="22603" xr:uid="{BE30FB52-124E-429B-9BD1-4BA86F93EDBB}"/>
    <cellStyle name="AggGreen12 2 3 2 2 47" xfId="23221" xr:uid="{74F22032-B1CE-4A2C-A479-141628B468C5}"/>
    <cellStyle name="AggGreen12 2 3 2 2 48" xfId="23198" xr:uid="{2D67C3CE-E870-458C-91D9-316105688703}"/>
    <cellStyle name="AggGreen12 2 3 2 2 49" xfId="23999" xr:uid="{AC32429E-591E-4856-9B90-0AE397BCADFE}"/>
    <cellStyle name="AggGreen12 2 3 2 2 5" xfId="2760" xr:uid="{43859014-B5F7-4545-9D54-3525BD6186F7}"/>
    <cellStyle name="AggGreen12 2 3 2 2 50" xfId="24907" xr:uid="{7491CF0A-B6BD-438B-9CA0-20FFAA2E5778}"/>
    <cellStyle name="AggGreen12 2 3 2 2 51" xfId="24227" xr:uid="{4B565498-65F8-4C8D-9CC9-7BB2CC7AE1CA}"/>
    <cellStyle name="AggGreen12 2 3 2 2 52" xfId="25823" xr:uid="{D67DD9F8-A186-4657-83F2-18EEAD58C8F7}"/>
    <cellStyle name="AggGreen12 2 3 2 2 53" xfId="25001" xr:uid="{CD38CB6F-B1BD-492F-AAA7-615A3D73F749}"/>
    <cellStyle name="AggGreen12 2 3 2 2 54" xfId="25303" xr:uid="{24D4CED3-18F2-451F-AA24-C8929072190B}"/>
    <cellStyle name="AggGreen12 2 3 2 2 55" xfId="27111" xr:uid="{17BAA88C-F681-4D0B-8D8B-499827884B1B}"/>
    <cellStyle name="AggGreen12 2 3 2 2 56" xfId="27530" xr:uid="{0622BACB-22B9-4A8F-AE69-D0C0EF821544}"/>
    <cellStyle name="AggGreen12 2 3 2 2 57" xfId="26451" xr:uid="{62BCFF47-5708-4BFB-9DBA-C4AEC2F57048}"/>
    <cellStyle name="AggGreen12 2 3 2 2 58" xfId="28657" xr:uid="{D5B53A4B-10F2-43C1-B656-0051C14E9070}"/>
    <cellStyle name="AggGreen12 2 3 2 2 59" xfId="29124" xr:uid="{39B8EAA5-3BE6-46F7-9845-AF578C5FFF78}"/>
    <cellStyle name="AggGreen12 2 3 2 2 6" xfId="3381" xr:uid="{390858FF-1D49-4B92-ABBD-873F83266CB1}"/>
    <cellStyle name="AggGreen12 2 3 2 2 60" xfId="28162" xr:uid="{1863BD24-7679-4C32-AEE1-3DAE059E9D9A}"/>
    <cellStyle name="AggGreen12 2 3 2 2 61" xfId="29913" xr:uid="{E1970DC8-8D56-429A-B60E-65F94B1CBFC7}"/>
    <cellStyle name="AggGreen12 2 3 2 2 62" xfId="30319" xr:uid="{88C12AE5-D2F4-4181-ACDA-994C0B69F552}"/>
    <cellStyle name="AggGreen12 2 3 2 2 63" xfId="30736" xr:uid="{8544F965-BE10-4521-ABAF-082EBBAD8404}"/>
    <cellStyle name="AggGreen12 2 3 2 2 64" xfId="28189" xr:uid="{D1F0B613-671D-4193-B579-B9F44756F200}"/>
    <cellStyle name="AggGreen12 2 3 2 2 65" xfId="31352" xr:uid="{6D96C004-0D73-4D9A-A029-965C22C5F913}"/>
    <cellStyle name="AggGreen12 2 3 2 2 7" xfId="4135" xr:uid="{5BD3767B-1F2F-4B46-BD1D-42B6133670D7}"/>
    <cellStyle name="AggGreen12 2 3 2 2 8" xfId="4572" xr:uid="{87AC3AA3-EAA3-4BAC-9E18-1C797723F986}"/>
    <cellStyle name="AggGreen12 2 3 2 2 9" xfId="5017" xr:uid="{DE3C0327-553B-4A1D-AB76-72F675BEAF39}"/>
    <cellStyle name="AggGreen12 2 3 2 20" xfId="9335" xr:uid="{77668001-1AEE-4ABF-BAFF-94F1581CC8D0}"/>
    <cellStyle name="AggGreen12 2 3 2 21" xfId="10047" xr:uid="{A37117C0-3D0E-4E97-9C04-BDE53EC9E345}"/>
    <cellStyle name="AggGreen12 2 3 2 22" xfId="10759" xr:uid="{CB667EA8-2CBE-41C8-A08A-0DEBFB960863}"/>
    <cellStyle name="AggGreen12 2 3 2 23" xfId="10016" xr:uid="{55BD08CB-232A-4FC2-A8A6-F046C2BE6BBA}"/>
    <cellStyle name="AggGreen12 2 3 2 24" xfId="11955" xr:uid="{2C51BC05-DF53-44CF-9F3E-50401BC3C209}"/>
    <cellStyle name="AggGreen12 2 3 2 25" xfId="12428" xr:uid="{E7C0E5F3-F0AF-4BD2-BCD8-16504DA95F0B}"/>
    <cellStyle name="AggGreen12 2 3 2 26" xfId="12862" xr:uid="{780051AB-14F0-49AC-A06A-1BBB2DDFF4C6}"/>
    <cellStyle name="AggGreen12 2 3 2 27" xfId="13299" xr:uid="{E2D7348C-009B-44CA-BEA2-99CB4F1C774C}"/>
    <cellStyle name="AggGreen12 2 3 2 28" xfId="13725" xr:uid="{4CF60B6A-2DC0-4E86-8D3C-C2FE06BD04EC}"/>
    <cellStyle name="AggGreen12 2 3 2 29" xfId="14404" xr:uid="{165AA6EF-8118-4C03-8EBD-286AA2041A38}"/>
    <cellStyle name="AggGreen12 2 3 2 3" xfId="1085" xr:uid="{A19FD46A-4F94-45B2-B32E-889D93D6EF5D}"/>
    <cellStyle name="AggGreen12 2 3 2 30" xfId="14819" xr:uid="{18C2011B-5BDA-49C7-9E1B-80DC928E3BA3}"/>
    <cellStyle name="AggGreen12 2 3 2 31" xfId="14791" xr:uid="{B725FC08-0CA2-473F-9A14-202B4AD3DD38}"/>
    <cellStyle name="AggGreen12 2 3 2 32" xfId="14321" xr:uid="{DFD6F94A-0782-46AD-845B-FA15E745DBF0}"/>
    <cellStyle name="AggGreen12 2 3 2 33" xfId="15644" xr:uid="{0C8E3A35-B456-45F6-8983-D53A546F33E0}"/>
    <cellStyle name="AggGreen12 2 3 2 34" xfId="16647" xr:uid="{E28F342C-605E-4222-BDB1-0CFBB3F5FD19}"/>
    <cellStyle name="AggGreen12 2 3 2 35" xfId="16444" xr:uid="{457FAF3B-CABB-4C6C-84FD-26A4A7E17F22}"/>
    <cellStyle name="AggGreen12 2 3 2 36" xfId="17165" xr:uid="{4076A8D9-1E5E-4BA3-871C-011F4CAD4705}"/>
    <cellStyle name="AggGreen12 2 3 2 37" xfId="18022" xr:uid="{6772E909-A997-4DE4-9AA6-383058F85EE7}"/>
    <cellStyle name="AggGreen12 2 3 2 38" xfId="18465" xr:uid="{8612F3E8-928E-40FC-851D-D1B452B98BB2}"/>
    <cellStyle name="AggGreen12 2 3 2 39" xfId="18854" xr:uid="{39E8FB9B-B446-4E3C-8923-EDFA1191FFE6}"/>
    <cellStyle name="AggGreen12 2 3 2 4" xfId="1627" xr:uid="{EDEA5592-5180-4CE4-AACA-8B2E5853E5FB}"/>
    <cellStyle name="AggGreen12 2 3 2 40" xfId="19218" xr:uid="{27221518-7CB7-462C-B70F-E01E120A7C82}"/>
    <cellStyle name="AggGreen12 2 3 2 41" xfId="19984" xr:uid="{4B3A7E30-6FCE-4E49-BC31-366110420453}"/>
    <cellStyle name="AggGreen12 2 3 2 42" xfId="19778" xr:uid="{D42A7E18-28BF-47AA-988E-44FF414BFF89}"/>
    <cellStyle name="AggGreen12 2 3 2 43" xfId="19594" xr:uid="{3BD5CC99-6923-4DB9-882A-450F630B6C78}"/>
    <cellStyle name="AggGreen12 2 3 2 44" xfId="21282" xr:uid="{E4ACC5AB-38E0-4DDE-8CFD-E148569EA18E}"/>
    <cellStyle name="AggGreen12 2 3 2 45" xfId="20999" xr:uid="{8D2C89AA-9700-4632-A91E-4126F22B1C22}"/>
    <cellStyle name="AggGreen12 2 3 2 46" xfId="21918" xr:uid="{99D471DC-0D75-4909-9A54-AEB6AC4ADB2D}"/>
    <cellStyle name="AggGreen12 2 3 2 47" xfId="22721" xr:uid="{37BE4B9F-D29E-4DC3-82E1-DCEA183A47E8}"/>
    <cellStyle name="AggGreen12 2 3 2 48" xfId="23131" xr:uid="{3474A60C-B491-46AF-92A0-26F36F218D73}"/>
    <cellStyle name="AggGreen12 2 3 2 49" xfId="23278" xr:uid="{5FEF927B-43FD-47DB-8691-7BD803B691F1}"/>
    <cellStyle name="AggGreen12 2 3 2 5" xfId="2424" xr:uid="{F96426B4-722B-4A76-9D61-23BEB38FE40C}"/>
    <cellStyle name="AggGreen12 2 3 2 50" xfId="23793" xr:uid="{3B300368-C446-4AAE-9FBC-D118E290D2BC}"/>
    <cellStyle name="AggGreen12 2 3 2 51" xfId="24692" xr:uid="{E50C6A5E-70B0-4A30-92CE-3D78ADED970A}"/>
    <cellStyle name="AggGreen12 2 3 2 52" xfId="24405" xr:uid="{EE3F29BC-FE84-47FA-8FFD-E63A00F3D2FB}"/>
    <cellStyle name="AggGreen12 2 3 2 53" xfId="25610" xr:uid="{DBC6D884-57E2-412B-808D-B6C9BF58C473}"/>
    <cellStyle name="AggGreen12 2 3 2 54" xfId="26007" xr:uid="{A71B0295-C126-4E1B-909B-0558C35E65AF}"/>
    <cellStyle name="AggGreen12 2 3 2 55" xfId="24595" xr:uid="{CD6231CF-2BC5-414A-BB31-73A7834319C3}"/>
    <cellStyle name="AggGreen12 2 3 2 56" xfId="26900" xr:uid="{ACA1C7A1-D8D1-4B28-A928-099ADBE56560}"/>
    <cellStyle name="AggGreen12 2 3 2 57" xfId="27319" xr:uid="{16E24DC3-A8E1-4EB8-86B8-8DA5BB548574}"/>
    <cellStyle name="AggGreen12 2 3 2 58" xfId="27788" xr:uid="{B8EFDF3C-12C4-437E-93A3-1ADB4400C118}"/>
    <cellStyle name="AggGreen12 2 3 2 59" xfId="28442" xr:uid="{0FFC0A5A-4751-44F7-A30A-B697513641B6}"/>
    <cellStyle name="AggGreen12 2 3 2 6" xfId="2890" xr:uid="{38232749-2B36-4637-8E25-50A8E19E0FD0}"/>
    <cellStyle name="AggGreen12 2 3 2 60" xfId="28910" xr:uid="{DC410AF5-4D1D-4EB9-97E2-6F0EDB90D205}"/>
    <cellStyle name="AggGreen12 2 3 2 61" xfId="28219" xr:uid="{B55D62B4-7787-410F-A82A-1F02E3F3258B}"/>
    <cellStyle name="AggGreen12 2 3 2 62" xfId="29700" xr:uid="{EBCDDEBA-1B98-4165-A2EB-705836A40E63}"/>
    <cellStyle name="AggGreen12 2 3 2 63" xfId="30108" xr:uid="{278D39DD-6E46-4DE0-9188-3EB6AEA87AD6}"/>
    <cellStyle name="AggGreen12 2 3 2 64" xfId="30522" xr:uid="{4BA64EB0-0DD5-411C-A366-FC8A2E10339E}"/>
    <cellStyle name="AggGreen12 2 3 2 65" xfId="27938" xr:uid="{946CD759-5BB4-475F-AD27-006BDB193F51}"/>
    <cellStyle name="AggGreen12 2 3 2 66" xfId="31146" xr:uid="{6F276CF7-EA1F-4982-B645-080CDD41DDF3}"/>
    <cellStyle name="AggGreen12 2 3 2 7" xfId="3535" xr:uid="{E30D547C-470A-407E-B843-3DF7D34AB184}"/>
    <cellStyle name="AggGreen12 2 3 2 8" xfId="3920" xr:uid="{A7E156BD-11C6-44D6-A773-FEC39C22D50C}"/>
    <cellStyle name="AggGreen12 2 3 2 9" xfId="4358" xr:uid="{66EB17C4-E079-4E1D-8BBB-995ED0D23568}"/>
    <cellStyle name="AggGreen12 2 3 20" xfId="8281" xr:uid="{2EE436B6-BD8E-4F82-8595-2D632437E2F8}"/>
    <cellStyle name="AggGreen12 2 3 21" xfId="9207" xr:uid="{AB836030-7A4A-4221-8396-D91F2D151224}"/>
    <cellStyle name="AggGreen12 2 3 22" xfId="9294" xr:uid="{249143AD-84FF-40A9-8A6A-5CCB48286A77}"/>
    <cellStyle name="AggGreen12 2 3 23" xfId="9104" xr:uid="{D1C51640-D0F5-4DDE-9BB7-9D055A5B4434}"/>
    <cellStyle name="AggGreen12 2 3 24" xfId="10480" xr:uid="{B8B02BBC-B121-4697-B1C8-EF431D6BAAD0}"/>
    <cellStyle name="AggGreen12 2 3 25" xfId="11056" xr:uid="{F14E7CC9-21C5-4767-8692-D21DABF35B7E}"/>
    <cellStyle name="AggGreen12 2 3 26" xfId="11619" xr:uid="{CD4B6074-A569-4D6D-9C4C-C48FEF18144D}"/>
    <cellStyle name="AggGreen12 2 3 27" xfId="11483" xr:uid="{1CA12D68-5042-4A69-BAC9-FEE78C166E33}"/>
    <cellStyle name="AggGreen12 2 3 28" xfId="12335" xr:uid="{31530978-47CF-4B43-BF0A-C90D58B73DDE}"/>
    <cellStyle name="AggGreen12 2 3 29" xfId="11393" xr:uid="{B15F0BEC-41B4-47B3-B23A-B9406BC9740A}"/>
    <cellStyle name="AggGreen12 2 3 3" xfId="551" xr:uid="{4C123CD4-E1D9-448C-B5E7-C1CD179A2BC8}"/>
    <cellStyle name="AggGreen12 2 3 3 10" xfId="4717" xr:uid="{9D261982-8108-4041-8C5F-3A0DE1E0674A}"/>
    <cellStyle name="AggGreen12 2 3 3 11" xfId="5199" xr:uid="{56DE24D2-813D-4811-B831-61E4DED88B7B}"/>
    <cellStyle name="AggGreen12 2 3 3 12" xfId="5997" xr:uid="{5A88E9CA-B5BF-4EA4-B332-D73F95868BB9}"/>
    <cellStyle name="AggGreen12 2 3 3 13" xfId="6359" xr:uid="{333B7AB4-6ABE-405B-BCFC-140DBB4BEB4D}"/>
    <cellStyle name="AggGreen12 2 3 3 14" xfId="3824" xr:uid="{970D2A1C-F349-4AE2-A200-B370B0BF0698}"/>
    <cellStyle name="AggGreen12 2 3 3 15" xfId="7271" xr:uid="{99021FEF-04E8-4B24-B620-132F87EE03F2}"/>
    <cellStyle name="AggGreen12 2 3 3 16" xfId="7026" xr:uid="{17F685C5-F2E9-4D26-813A-935D4147CD57}"/>
    <cellStyle name="AggGreen12 2 3 3 17" xfId="7873" xr:uid="{0D6A7608-2DEB-4B26-8BE8-986CCF046CA1}"/>
    <cellStyle name="AggGreen12 2 3 3 18" xfId="8733" xr:uid="{1E0A553F-EA26-4AD3-9482-90C5FAF53C75}"/>
    <cellStyle name="AggGreen12 2 3 3 19" xfId="9485" xr:uid="{01140836-8934-4476-85C2-D195D6B2D9EE}"/>
    <cellStyle name="AggGreen12 2 3 3 2" xfId="766" xr:uid="{98A57A07-A801-48EF-A21F-31D1497301A1}"/>
    <cellStyle name="AggGreen12 2 3 3 2 10" xfId="5414" xr:uid="{9AFEFDBF-6E31-4FB1-B66F-1DE3EE6E6322}"/>
    <cellStyle name="AggGreen12 2 3 3 2 11" xfId="5645" xr:uid="{AD5C7206-9E3E-4969-AADC-62B98AAEDEDF}"/>
    <cellStyle name="AggGreen12 2 3 3 2 12" xfId="2738" xr:uid="{44B358F8-487B-4746-873C-C2DA27459E1D}"/>
    <cellStyle name="AggGreen12 2 3 3 2 13" xfId="5704" xr:uid="{1A74D739-A9E8-4A2C-84CC-97783FA6A9AD}"/>
    <cellStyle name="AggGreen12 2 3 3 2 14" xfId="7486" xr:uid="{4F49F51B-03C9-4AEB-8581-712BCDCCF3E0}"/>
    <cellStyle name="AggGreen12 2 3 3 2 15" xfId="7056" xr:uid="{D93AA536-6EA7-4670-9FFA-0CF61C55875C}"/>
    <cellStyle name="AggGreen12 2 3 3 2 16" xfId="8508" xr:uid="{63EB97B5-14D2-4371-9C66-52C98D219031}"/>
    <cellStyle name="AggGreen12 2 3 3 2 17" xfId="8858" xr:uid="{CA4D02EA-1143-4945-9E4A-A5748CBC72BE}"/>
    <cellStyle name="AggGreen12 2 3 3 2 18" xfId="9700" xr:uid="{F1CADE31-38D2-44CD-9FC1-610A245CCDEA}"/>
    <cellStyle name="AggGreen12 2 3 3 2 19" xfId="9269" xr:uid="{0E1B4686-778B-492E-8EBD-7FAE8F127EC1}"/>
    <cellStyle name="AggGreen12 2 3 3 2 2" xfId="1240" xr:uid="{B77DD33F-81A9-49F0-B3B6-1F6DF0F9F987}"/>
    <cellStyle name="AggGreen12 2 3 3 2 20" xfId="9938" xr:uid="{45B4F558-FFDA-4AA1-B6C8-EEE5B0EC7ABD}"/>
    <cellStyle name="AggGreen12 2 3 3 2 21" xfId="10238" xr:uid="{6EAB350D-0A20-4CE8-935E-A39231BACAED}"/>
    <cellStyle name="AggGreen12 2 3 3 2 22" xfId="11078" xr:uid="{E21866BC-45E8-4286-8A15-B22DA49DD574}"/>
    <cellStyle name="AggGreen12 2 3 3 2 23" xfId="12119" xr:uid="{1420BB87-8E25-4200-9572-B6F294703BB6}"/>
    <cellStyle name="AggGreen12 2 3 3 2 24" xfId="12592" xr:uid="{76B9A45C-EEED-4ED4-A6C3-60F95A4E0CCC}"/>
    <cellStyle name="AggGreen12 2 3 3 2 25" xfId="13026" xr:uid="{BD2DFECB-E596-449D-8783-05DDDD3C92C2}"/>
    <cellStyle name="AggGreen12 2 3 3 2 26" xfId="13463" xr:uid="{14A06789-1E35-4851-80AA-65F6A3761339}"/>
    <cellStyle name="AggGreen12 2 3 3 2 27" xfId="11679" xr:uid="{7BE2A9FD-CCAB-4328-9BFE-3EAB76510265}"/>
    <cellStyle name="AggGreen12 2 3 3 2 28" xfId="13935" xr:uid="{86C573AC-2AB0-4999-930B-658D06FB1527}"/>
    <cellStyle name="AggGreen12 2 3 3 2 29" xfId="14210" xr:uid="{549CB966-7338-48DD-B1FA-BC38CD4A570A}"/>
    <cellStyle name="AggGreen12 2 3 3 2 3" xfId="1541" xr:uid="{6FD51C54-DE68-433A-B379-DB8E04250954}"/>
    <cellStyle name="AggGreen12 2 3 3 2 30" xfId="14812" xr:uid="{1034744C-956C-476A-8EBD-28B6F981CEC9}"/>
    <cellStyle name="AggGreen12 2 3 3 2 31" xfId="15431" xr:uid="{27D2F357-AABC-4F10-A30C-CC82AEF0BA77}"/>
    <cellStyle name="AggGreen12 2 3 3 2 32" xfId="15469" xr:uid="{616A11FF-F26D-4B13-A466-0372AAADAD4D}"/>
    <cellStyle name="AggGreen12 2 3 3 2 33" xfId="16811" xr:uid="{037CD74E-E08A-46E2-BFC6-01EFFCD5FCEA}"/>
    <cellStyle name="AggGreen12 2 3 3 2 34" xfId="16378" xr:uid="{702BA521-12D4-4F7A-B245-A6F8D2371541}"/>
    <cellStyle name="AggGreen12 2 3 3 2 35" xfId="17052" xr:uid="{34C13B85-F06E-468A-9040-462B60CA231B}"/>
    <cellStyle name="AggGreen12 2 3 3 2 36" xfId="16080" xr:uid="{C22D0CFF-B79C-4D39-88F9-C588E9B2EB80}"/>
    <cellStyle name="AggGreen12 2 3 3 2 37" xfId="18629" xr:uid="{DB42B704-3FD9-445C-82F5-B97AF57B2FAD}"/>
    <cellStyle name="AggGreen12 2 3 3 2 38" xfId="19020" xr:uid="{68D33BA0-226B-44F3-8ACB-CA449D7D720C}"/>
    <cellStyle name="AggGreen12 2 3 3 2 39" xfId="18094" xr:uid="{E2EF2829-7D31-4F00-8CF8-636394A431E1}"/>
    <cellStyle name="AggGreen12 2 3 3 2 4" xfId="2588" xr:uid="{5A4392AB-37A2-4526-9C80-58A69E9ED04D}"/>
    <cellStyle name="AggGreen12 2 3 3 2 40" xfId="20148" xr:uid="{F722C652-4986-4413-976E-CFE4E89EBB3E}"/>
    <cellStyle name="AggGreen12 2 3 3 2 41" xfId="19712" xr:uid="{BBF1422F-7CCB-4519-BC67-0D3ECC50C9A1}"/>
    <cellStyle name="AggGreen12 2 3 3 2 42" xfId="20535" xr:uid="{15E2E09B-F601-4939-8B98-891278A2B00F}"/>
    <cellStyle name="AggGreen12 2 3 3 2 43" xfId="21273" xr:uid="{349010D3-56EA-4725-A981-249EC8FFF919}"/>
    <cellStyle name="AggGreen12 2 3 3 2 44" xfId="21228" xr:uid="{985537DE-91A8-4074-9D0F-E281C5F61ABF}"/>
    <cellStyle name="AggGreen12 2 3 3 2 45" xfId="22016" xr:uid="{E2E37DB4-851B-4E44-9F6A-20D5BB0C6102}"/>
    <cellStyle name="AggGreen12 2 3 3 2 46" xfId="22535" xr:uid="{9BF96679-7264-4ED0-9CD9-224BC17E4A43}"/>
    <cellStyle name="AggGreen12 2 3 3 2 47" xfId="23299" xr:uid="{FC5B3F59-A34A-422A-948E-00C72285E73F}"/>
    <cellStyle name="AggGreen12 2 3 3 2 48" xfId="21748" xr:uid="{5AD2ED28-870F-4B13-A136-B50E49526E09}"/>
    <cellStyle name="AggGreen12 2 3 3 2 49" xfId="23948" xr:uid="{16AA37B5-A35F-4EE4-AC63-04DACEB3A886}"/>
    <cellStyle name="AggGreen12 2 3 3 2 5" xfId="2259" xr:uid="{2C317E9B-9BDD-4ACF-8146-D59D6A23E07A}"/>
    <cellStyle name="AggGreen12 2 3 3 2 50" xfId="24856" xr:uid="{18CF2B84-2A39-49F7-899B-21C17AAA75DC}"/>
    <cellStyle name="AggGreen12 2 3 3 2 51" xfId="24559" xr:uid="{A4E663C4-33EF-49A7-8F31-C5B65028150B}"/>
    <cellStyle name="AggGreen12 2 3 3 2 52" xfId="25772" xr:uid="{AD4B71ED-4128-4AB9-9638-DD0181C7E871}"/>
    <cellStyle name="AggGreen12 2 3 3 2 53" xfId="24324" xr:uid="{11B35ADA-32B5-447D-9A5E-C5AECD20F744}"/>
    <cellStyle name="AggGreen12 2 3 3 2 54" xfId="26573" xr:uid="{1A28D2EE-3F78-4573-81D1-2CF1F843B506}"/>
    <cellStyle name="AggGreen12 2 3 3 2 55" xfId="27060" xr:uid="{C7E39A8B-25D3-4C01-A421-44B510674D18}"/>
    <cellStyle name="AggGreen12 2 3 3 2 56" xfId="27479" xr:uid="{92C533A9-B7F5-41B1-907E-C6EEEBECDDC2}"/>
    <cellStyle name="AggGreen12 2 3 3 2 57" xfId="25116" xr:uid="{6098E7DE-1C8B-45F2-A19A-A44746043901}"/>
    <cellStyle name="AggGreen12 2 3 3 2 58" xfId="28606" xr:uid="{C24D7E6D-1C41-41E9-B678-2088886E8B44}"/>
    <cellStyle name="AggGreen12 2 3 3 2 59" xfId="29073" xr:uid="{E9E904CF-74FB-4556-B9B6-B8F8A08DE986}"/>
    <cellStyle name="AggGreen12 2 3 3 2 6" xfId="2742" xr:uid="{B57730FE-9D49-4D99-B762-F15FE358EDD7}"/>
    <cellStyle name="AggGreen12 2 3 3 2 60" xfId="28788" xr:uid="{EEE723ED-F239-4A6B-BAAF-223AEEE390A5}"/>
    <cellStyle name="AggGreen12 2 3 3 2 61" xfId="29862" xr:uid="{E4553C3E-AC7D-4422-B88C-D1896254399D}"/>
    <cellStyle name="AggGreen12 2 3 3 2 62" xfId="30268" xr:uid="{2A3E2531-A9E1-47BA-AFD2-AB0FB1743EF1}"/>
    <cellStyle name="AggGreen12 2 3 3 2 63" xfId="30685" xr:uid="{C1848FE5-17F8-4261-A741-A5637E9EA0C9}"/>
    <cellStyle name="AggGreen12 2 3 3 2 64" xfId="30407" xr:uid="{D844A86E-851C-48CB-97D4-973CCF73C114}"/>
    <cellStyle name="AggGreen12 2 3 3 2 65" xfId="31301" xr:uid="{C28A68CD-D6A8-4116-A3F8-0C0353D458F5}"/>
    <cellStyle name="AggGreen12 2 3 3 2 7" xfId="4084" xr:uid="{06369C9E-9053-4C68-9CCF-94B828CCDEFF}"/>
    <cellStyle name="AggGreen12 2 3 3 2 8" xfId="4521" xr:uid="{DC535542-2B19-4301-83F5-596F33BA9841}"/>
    <cellStyle name="AggGreen12 2 3 3 2 9" xfId="3378" xr:uid="{791DD60D-5B48-44EB-88A1-127136211183}"/>
    <cellStyle name="AggGreen12 2 3 3 20" xfId="9238" xr:uid="{D463F61E-29CD-4FAA-B625-6C3410E77561}"/>
    <cellStyle name="AggGreen12 2 3 3 21" xfId="9337" xr:uid="{15792E70-09A4-4393-8273-EF03EC5AF76E}"/>
    <cellStyle name="AggGreen12 2 3 3 22" xfId="10929" xr:uid="{A19734BB-D15C-4438-8ECC-B6E1C6EE4D6F}"/>
    <cellStyle name="AggGreen12 2 3 3 23" xfId="10337" xr:uid="{D832E7D3-F33B-4EB8-B0BF-D70970EEE850}"/>
    <cellStyle name="AggGreen12 2 3 3 24" xfId="11904" xr:uid="{03183E75-859A-4854-8078-0163B8B1F0C9}"/>
    <cellStyle name="AggGreen12 2 3 3 25" xfId="12377" xr:uid="{2C31DE35-2686-458F-91A7-1EBDF96F2ABE}"/>
    <cellStyle name="AggGreen12 2 3 3 26" xfId="12811" xr:uid="{44B0D006-67F2-4381-91ED-38DDBE12C96E}"/>
    <cellStyle name="AggGreen12 2 3 3 27" xfId="13248" xr:uid="{57444BE6-CA98-4805-BB6A-CC28AD4A228D}"/>
    <cellStyle name="AggGreen12 2 3 3 28" xfId="11858" xr:uid="{BAC1368F-7D5A-45E9-895E-76116D54EEFB}"/>
    <cellStyle name="AggGreen12 2 3 3 29" xfId="14442" xr:uid="{6E25E015-D886-42D3-85F5-A73977C050AC}"/>
    <cellStyle name="AggGreen12 2 3 3 3" xfId="1034" xr:uid="{C0DCE4C1-9AA2-4C80-9893-74E7DE54A11B}"/>
    <cellStyle name="AggGreen12 2 3 3 30" xfId="14904" xr:uid="{89D5E0A1-8015-4319-8609-DA1BA8C9CB6D}"/>
    <cellStyle name="AggGreen12 2 3 3 31" xfId="15375" xr:uid="{F76E9B43-16DB-45D4-A5A1-5D038E4158E5}"/>
    <cellStyle name="AggGreen12 2 3 3 32" xfId="11708" xr:uid="{D6E62893-6A5A-4017-B8F9-06BD4A0B95B9}"/>
    <cellStyle name="AggGreen12 2 3 3 33" xfId="14244" xr:uid="{1037AECA-9FA1-45D3-B30D-ACC7A7FE2E35}"/>
    <cellStyle name="AggGreen12 2 3 3 34" xfId="16596" xr:uid="{B8818C80-106D-4B13-BC2E-01EF835F6818}"/>
    <cellStyle name="AggGreen12 2 3 3 35" xfId="16348" xr:uid="{5DAF5DCB-8223-49FB-8D16-5B7522202457}"/>
    <cellStyle name="AggGreen12 2 3 3 36" xfId="16446" xr:uid="{D4831851-7B8D-4764-ACE1-29B8D6FD1552}"/>
    <cellStyle name="AggGreen12 2 3 3 37" xfId="18119" xr:uid="{623CE670-8608-4225-BD2F-3676912A7975}"/>
    <cellStyle name="AggGreen12 2 3 3 38" xfId="18414" xr:uid="{B1C8FEF2-7E6D-4FD5-8BC9-84C1A50E9E52}"/>
    <cellStyle name="AggGreen12 2 3 3 39" xfId="18805" xr:uid="{4C0F8D9C-46B7-4B27-8DF5-9886428A4981}"/>
    <cellStyle name="AggGreen12 2 3 3 4" xfId="1379" xr:uid="{4F81F0FA-7DCE-4205-BB5B-ECF79EC19885}"/>
    <cellStyle name="AggGreen12 2 3 3 40" xfId="19142" xr:uid="{8B740B0C-2D90-4E01-AAC9-E0138E2250C8}"/>
    <cellStyle name="AggGreen12 2 3 3 41" xfId="19933" xr:uid="{827B2285-A79F-499A-B891-8EC714629094}"/>
    <cellStyle name="AggGreen12 2 3 3 42" xfId="19681" xr:uid="{8F448D6F-D64F-4E56-BC12-36C05C4898BF}"/>
    <cellStyle name="AggGreen12 2 3 3 43" xfId="20683" xr:uid="{01C35044-8191-499C-96A8-7915CC40BBF3}"/>
    <cellStyle name="AggGreen12 2 3 3 44" xfId="20954" xr:uid="{566A52DA-5C88-4E85-AB9F-0FEDF6E0AE1C}"/>
    <cellStyle name="AggGreen12 2 3 3 45" xfId="20634" xr:uid="{4F978E43-E2A5-4C8A-9B3C-2B6502252456}"/>
    <cellStyle name="AggGreen12 2 3 3 46" xfId="22018" xr:uid="{CBBE239B-B4A8-487B-889B-D5FA9AF998C5}"/>
    <cellStyle name="AggGreen12 2 3 3 47" xfId="21044" xr:uid="{DC173A52-8A48-4354-A1A1-DB4289178CC6}"/>
    <cellStyle name="AggGreen12 2 3 3 48" xfId="23078" xr:uid="{0651F582-5836-4945-AAF2-6E50D3B6F963}"/>
    <cellStyle name="AggGreen12 2 3 3 49" xfId="23495" xr:uid="{433F8649-51D1-4775-9CD0-DE50945612D7}"/>
    <cellStyle name="AggGreen12 2 3 3 5" xfId="2373" xr:uid="{1AB5906B-C5B1-4AAA-8395-0349B014D778}"/>
    <cellStyle name="AggGreen12 2 3 3 50" xfId="23742" xr:uid="{11644E62-A22F-479F-8423-5BFF258148BB}"/>
    <cellStyle name="AggGreen12 2 3 3 51" xfId="24641" xr:uid="{1DD3B13B-4D2A-482E-91DE-4DA24ED3FB0D}"/>
    <cellStyle name="AggGreen12 2 3 3 52" xfId="24456" xr:uid="{68E37167-B38A-4DAC-A901-7711AE98F04E}"/>
    <cellStyle name="AggGreen12 2 3 3 53" xfId="25559" xr:uid="{36E1FA10-3948-4EAB-9D30-AE0CB4859DC9}"/>
    <cellStyle name="AggGreen12 2 3 3 54" xfId="24199" xr:uid="{2E03AAC1-D99B-41FC-BDCA-20EB404D1BA3}"/>
    <cellStyle name="AggGreen12 2 3 3 55" xfId="26211" xr:uid="{4A3E3AE4-EBF6-46F3-9469-0C615574CD44}"/>
    <cellStyle name="AggGreen12 2 3 3 56" xfId="26849" xr:uid="{7C3A527F-9E55-40B9-AAE4-D0AF14C6AD67}"/>
    <cellStyle name="AggGreen12 2 3 3 57" xfId="27268" xr:uid="{63EC36D6-4A58-47D4-BC0B-C440B550727F}"/>
    <cellStyle name="AggGreen12 2 3 3 58" xfId="27641" xr:uid="{6770F042-43C9-40D6-A5DB-ECF2439ABA66}"/>
    <cellStyle name="AggGreen12 2 3 3 59" xfId="28391" xr:uid="{F0434830-3E4F-41AF-8F47-480D1F55D2B2}"/>
    <cellStyle name="AggGreen12 2 3 3 6" xfId="2733" xr:uid="{5428FD88-959F-4F1A-9CB2-5E96C5433650}"/>
    <cellStyle name="AggGreen12 2 3 3 60" xfId="28859" xr:uid="{CDC2926B-52C4-4582-8159-3DADF7230D11}"/>
    <cellStyle name="AggGreen12 2 3 3 61" xfId="28741" xr:uid="{2AD27C4E-7088-4D30-AE42-B6B9DCB7CB4B}"/>
    <cellStyle name="AggGreen12 2 3 3 62" xfId="29649" xr:uid="{EC08EA12-2DE9-4C15-9C31-11AFE80B8340}"/>
    <cellStyle name="AggGreen12 2 3 3 63" xfId="30057" xr:uid="{248DB156-485E-47BB-BBA3-162F7FF4F33A}"/>
    <cellStyle name="AggGreen12 2 3 3 64" xfId="30471" xr:uid="{DE6C2C24-1B51-4825-8640-074DB426DEF6}"/>
    <cellStyle name="AggGreen12 2 3 3 65" xfId="30836" xr:uid="{CAE8EE3E-65A7-426B-80AE-253191F85C47}"/>
    <cellStyle name="AggGreen12 2 3 3 66" xfId="31095" xr:uid="{5B4243A2-1D7A-4380-807D-454AB28ACE7C}"/>
    <cellStyle name="AggGreen12 2 3 3 7" xfId="2074" xr:uid="{08E72D6F-E45C-4875-8F85-66385D56622B}"/>
    <cellStyle name="AggGreen12 2 3 3 8" xfId="3869" xr:uid="{9D3E64E9-6AA9-43BF-8758-F39A07A435C2}"/>
    <cellStyle name="AggGreen12 2 3 3 9" xfId="4307" xr:uid="{F8CAD078-C843-4D39-BC36-B2021D2B8270}"/>
    <cellStyle name="AggGreen12 2 3 30" xfId="12305" xr:uid="{101B5D0D-80C5-4588-8D18-01310F54D77E}"/>
    <cellStyle name="AggGreen12 2 3 31" xfId="11583" xr:uid="{FD7CBB3C-1ED2-4C2F-A95C-0EBAEF66572E}"/>
    <cellStyle name="AggGreen12 2 3 32" xfId="14218" xr:uid="{517C5EA1-0403-41DB-AF1E-D98D6B25F59B}"/>
    <cellStyle name="AggGreen12 2 3 33" xfId="13910" xr:uid="{3334167A-851D-4ACD-9EF2-49B26B81C8F6}"/>
    <cellStyle name="AggGreen12 2 3 34" xfId="15729" xr:uid="{014E955A-E73F-4781-9C27-9C011096C538}"/>
    <cellStyle name="AggGreen12 2 3 35" xfId="14993" xr:uid="{181D82F4-175B-4DEA-954B-667DF03F792A}"/>
    <cellStyle name="AggGreen12 2 3 36" xfId="16314" xr:uid="{2FCAC2E3-E30B-4DAA-A2F0-210EC2471782}"/>
    <cellStyle name="AggGreen12 2 3 37" xfId="16271" xr:uid="{1BA821E2-A0EC-4441-A80E-E350337C3FB9}"/>
    <cellStyle name="AggGreen12 2 3 38" xfId="17210" xr:uid="{4FC9479F-9011-43FB-B19D-AE9783926EDB}"/>
    <cellStyle name="AggGreen12 2 3 39" xfId="17285" xr:uid="{E202B532-32ED-468C-9F7F-D2591EFAF86B}"/>
    <cellStyle name="AggGreen12 2 3 4" xfId="631" xr:uid="{618E212C-5964-4C75-8A95-2B58C6B84CC8}"/>
    <cellStyle name="AggGreen12 2 3 4 10" xfId="4823" xr:uid="{E3C7905C-E857-4B63-9D9F-73FBA6A32671}"/>
    <cellStyle name="AggGreen12 2 3 4 11" xfId="5279" xr:uid="{8FE6287F-6809-4BB0-9A7D-19C8A892262E}"/>
    <cellStyle name="AggGreen12 2 3 4 12" xfId="5850" xr:uid="{7B386501-2755-4A9C-9CDF-924066E6E112}"/>
    <cellStyle name="AggGreen12 2 3 4 13" xfId="2860" xr:uid="{9A038BCE-27E3-4BFC-BBC7-C73687BF5773}"/>
    <cellStyle name="AggGreen12 2 3 4 14" xfId="6675" xr:uid="{E5BEF997-519A-48B6-845C-5BC236DD22D0}"/>
    <cellStyle name="AggGreen12 2 3 4 15" xfId="7351" xr:uid="{1D2990EB-4CCA-4CB5-A68A-F7B6D319F89D}"/>
    <cellStyle name="AggGreen12 2 3 4 16" xfId="6759" xr:uid="{2AF49FF6-1683-4D44-93A6-E6F345A0891B}"/>
    <cellStyle name="AggGreen12 2 3 4 17" xfId="8216" xr:uid="{B2DBA330-A3C8-4EA5-94D2-5B1DCB0EC4E6}"/>
    <cellStyle name="AggGreen12 2 3 4 18" xfId="7930" xr:uid="{811917C9-4816-4234-A101-66200728A3CA}"/>
    <cellStyle name="AggGreen12 2 3 4 19" xfId="9565" xr:uid="{78C5EFED-E7F0-4BED-9CF8-C1405A9FFE10}"/>
    <cellStyle name="AggGreen12 2 3 4 2" xfId="846" xr:uid="{B3E68385-607E-4942-B875-22ECFA2CD40B}"/>
    <cellStyle name="AggGreen12 2 3 4 2 10" xfId="5494" xr:uid="{159F1E57-F72A-44BA-9FEA-FE00A14CCC1E}"/>
    <cellStyle name="AggGreen12 2 3 4 2 11" xfId="3514" xr:uid="{E5DAAD88-668F-410C-AAE7-54A205C9D48F}"/>
    <cellStyle name="AggGreen12 2 3 4 2 12" xfId="3731" xr:uid="{FD441F55-FB46-4207-AD74-11B34ECC56E2}"/>
    <cellStyle name="AggGreen12 2 3 4 2 13" xfId="6628" xr:uid="{E56A191B-888A-4EB1-A971-AF16A176E957}"/>
    <cellStyle name="AggGreen12 2 3 4 2 14" xfId="7566" xr:uid="{84678BC1-D9DC-4FCE-80F0-AF4BAFA1811A}"/>
    <cellStyle name="AggGreen12 2 3 4 2 15" xfId="6881" xr:uid="{5B2E7458-0B4D-4C9F-93AF-0F6F2978DFB5}"/>
    <cellStyle name="AggGreen12 2 3 4 2 16" xfId="7944" xr:uid="{15F7AA52-BB9C-4A7F-888B-51ED60CEE034}"/>
    <cellStyle name="AggGreen12 2 3 4 2 17" xfId="8726" xr:uid="{5C7A327E-5EC5-498F-B13A-094315CC5F24}"/>
    <cellStyle name="AggGreen12 2 3 4 2 18" xfId="9780" xr:uid="{629A2D7E-F83F-4D24-8690-5979CA4382FC}"/>
    <cellStyle name="AggGreen12 2 3 4 2 19" xfId="9094" xr:uid="{7941BCFB-EBCF-4368-B0AD-9A4FE407E1A0}"/>
    <cellStyle name="AggGreen12 2 3 4 2 2" xfId="1320" xr:uid="{265309A4-9A6A-45EC-AD66-26BC566E3AF3}"/>
    <cellStyle name="AggGreen12 2 3 4 2 20" xfId="9440" xr:uid="{DC177CC8-BBCD-42C3-AE00-246DB40BD8D9}"/>
    <cellStyle name="AggGreen12 2 3 4 2 21" xfId="10702" xr:uid="{60B87606-8CC8-4DCC-82F5-4E777D3DACB7}"/>
    <cellStyle name="AggGreen12 2 3 4 2 22" xfId="11132" xr:uid="{086A8558-3587-4C77-94BB-8237EAEFBEE5}"/>
    <cellStyle name="AggGreen12 2 3 4 2 23" xfId="12199" xr:uid="{26BA5716-48E7-4968-A41B-3887E602B951}"/>
    <cellStyle name="AggGreen12 2 3 4 2 24" xfId="12672" xr:uid="{F76A6923-5D15-4C18-93C5-1CF7D0AD940B}"/>
    <cellStyle name="AggGreen12 2 3 4 2 25" xfId="13106" xr:uid="{0340E457-7FEE-4E9E-A5E7-768472428B52}"/>
    <cellStyle name="AggGreen12 2 3 4 2 26" xfId="13543" xr:uid="{2A6A1F0C-E3DC-4107-B1D8-12ADD57BFE5B}"/>
    <cellStyle name="AggGreen12 2 3 4 2 27" xfId="11506" xr:uid="{5CCCC969-23C9-4F41-887C-05710C4099E0}"/>
    <cellStyle name="AggGreen12 2 3 4 2 28" xfId="13631" xr:uid="{49BCBE63-2BD4-4787-97DB-302F75DDFD28}"/>
    <cellStyle name="AggGreen12 2 3 4 2 29" xfId="12747" xr:uid="{9A212134-45C9-45C6-A379-5BE9099274F5}"/>
    <cellStyle name="AggGreen12 2 3 4 2 3" xfId="1769" xr:uid="{6D664288-09E4-4E0C-8BFF-A55D857DAC38}"/>
    <cellStyle name="AggGreen12 2 3 4 2 30" xfId="15138" xr:uid="{2EA49DE7-8E5E-40D7-94B4-9CA4062AC36D}"/>
    <cellStyle name="AggGreen12 2 3 4 2 31" xfId="15280" xr:uid="{C0A1D7D8-4EFF-4E44-BA71-D4B782627326}"/>
    <cellStyle name="AggGreen12 2 3 4 2 32" xfId="15388" xr:uid="{027EC01E-51F6-4B7F-A511-B258A7DFB27A}"/>
    <cellStyle name="AggGreen12 2 3 4 2 33" xfId="16891" xr:uid="{91CB402D-BE3E-4DEA-9644-9091092A8A55}"/>
    <cellStyle name="AggGreen12 2 3 4 2 34" xfId="16197" xr:uid="{27F10A16-D82A-4264-9B0F-C905A2EA65C8}"/>
    <cellStyle name="AggGreen12 2 3 4 2 35" xfId="16550" xr:uid="{137131D5-EAC1-46BD-9C81-03C3FF50BBC5}"/>
    <cellStyle name="AggGreen12 2 3 4 2 36" xfId="18084" xr:uid="{36281B8C-FDD6-45E6-9062-3E4C1FAE3A24}"/>
    <cellStyle name="AggGreen12 2 3 4 2 37" xfId="18709" xr:uid="{A5DD5AD1-F144-4D35-BF99-AFC81C23E257}"/>
    <cellStyle name="AggGreen12 2 3 4 2 38" xfId="18927" xr:uid="{1AE9213C-88C9-4645-9F74-4045B035AFCA}"/>
    <cellStyle name="AggGreen12 2 3 4 2 39" xfId="19087" xr:uid="{9FE0B4CF-7045-485F-9450-4AF04486A6C8}"/>
    <cellStyle name="AggGreen12 2 3 4 2 4" xfId="2668" xr:uid="{127E9604-5F68-4F4C-99D8-8D53018B1C54}"/>
    <cellStyle name="AggGreen12 2 3 4 2 40" xfId="20228" xr:uid="{6C45810C-49D3-4BC4-805D-E7BD8EE090F2}"/>
    <cellStyle name="AggGreen12 2 3 4 2 41" xfId="19529" xr:uid="{155ED968-A2E6-49D2-9A67-94B44F68FCC1}"/>
    <cellStyle name="AggGreen12 2 3 4 2 42" xfId="19786" xr:uid="{B59EFE77-2F0D-4F84-93EE-6D5C217FFCBC}"/>
    <cellStyle name="AggGreen12 2 3 4 2 43" xfId="21558" xr:uid="{94B08646-0503-42AD-A917-0EB1E53B997C}"/>
    <cellStyle name="AggGreen12 2 3 4 2 44" xfId="20700" xr:uid="{B37D9FED-F512-4E0D-B536-634E33C675B6}"/>
    <cellStyle name="AggGreen12 2 3 4 2 45" xfId="22100" xr:uid="{91DEE5D4-BD7E-4D05-BE6A-7F72C714DAED}"/>
    <cellStyle name="AggGreen12 2 3 4 2 46" xfId="19568" xr:uid="{B3F0E850-0D71-44DA-A9A6-5FB6ECF7FAAA}"/>
    <cellStyle name="AggGreen12 2 3 4 2 47" xfId="23213" xr:uid="{30527744-16EB-4A91-B4C8-B0A044988DC0}"/>
    <cellStyle name="AggGreen12 2 3 4 2 48" xfId="21812" xr:uid="{0E2EBFAB-8738-4946-B2E6-630A046CDAA9}"/>
    <cellStyle name="AggGreen12 2 3 4 2 49" xfId="24028" xr:uid="{D4F4DBC5-1DA5-4782-9226-67991A54847D}"/>
    <cellStyle name="AggGreen12 2 3 4 2 5" xfId="1919" xr:uid="{FF47B89A-9D71-47EC-AA6B-8B03E69FB845}"/>
    <cellStyle name="AggGreen12 2 3 4 2 50" xfId="24936" xr:uid="{4B80892C-9916-4C48-B8BD-FAABE5755383}"/>
    <cellStyle name="AggGreen12 2 3 4 2 51" xfId="24134" xr:uid="{658C44B2-EDE9-497D-86BA-6DBEC283F53C}"/>
    <cellStyle name="AggGreen12 2 3 4 2 52" xfId="25852" xr:uid="{A4238045-8D05-45B0-A11C-856E44F7CFD8}"/>
    <cellStyle name="AggGreen12 2 3 4 2 53" xfId="25929" xr:uid="{E713BD38-B867-4942-91D6-92AC2AD4DDEE}"/>
    <cellStyle name="AggGreen12 2 3 4 2 54" xfId="26310" xr:uid="{007268DC-ECBC-47A1-BB77-FA0CF351D645}"/>
    <cellStyle name="AggGreen12 2 3 4 2 55" xfId="27140" xr:uid="{91A156F8-B80F-4EAA-803D-53FB86FCB073}"/>
    <cellStyle name="AggGreen12 2 3 4 2 56" xfId="27559" xr:uid="{783DD872-0D95-4860-A43D-E2EEA3C2795C}"/>
    <cellStyle name="AggGreen12 2 3 4 2 57" xfId="27623" xr:uid="{6844C628-EDE0-468A-B9CF-51B260EAA1E3}"/>
    <cellStyle name="AggGreen12 2 3 4 2 58" xfId="28686" xr:uid="{242A387E-FA16-4BAA-81E8-A007ECB7337D}"/>
    <cellStyle name="AggGreen12 2 3 4 2 59" xfId="29153" xr:uid="{20EF566E-5463-415F-9515-47413B6697AC}"/>
    <cellStyle name="AggGreen12 2 3 4 2 6" xfId="2014" xr:uid="{5390CA29-1EE3-42CD-BA45-7AC500E08954}"/>
    <cellStyle name="AggGreen12 2 3 4 2 60" xfId="28754" xr:uid="{D5576011-03BD-419E-ACB1-BA0593154586}"/>
    <cellStyle name="AggGreen12 2 3 4 2 61" xfId="29942" xr:uid="{6707656C-BFC7-4F0F-B7F6-62BBCABA362A}"/>
    <cellStyle name="AggGreen12 2 3 4 2 62" xfId="30348" xr:uid="{F1ED3254-B0D6-47A5-8737-7D3C21D5595D}"/>
    <cellStyle name="AggGreen12 2 3 4 2 63" xfId="30765" xr:uid="{C863413B-3E7D-4F5A-8999-08DE194F077C}"/>
    <cellStyle name="AggGreen12 2 3 4 2 64" xfId="29477" xr:uid="{F136AE91-BEFC-41DD-8DAF-19313DE14B13}"/>
    <cellStyle name="AggGreen12 2 3 4 2 65" xfId="31381" xr:uid="{932D6D9F-E072-437D-A96C-29387D439DC4}"/>
    <cellStyle name="AggGreen12 2 3 4 2 7" xfId="4164" xr:uid="{92AD2CD0-4886-48A8-8B20-3E9F82561D57}"/>
    <cellStyle name="AggGreen12 2 3 4 2 8" xfId="4601" xr:uid="{35F9EADE-15A7-4CA9-AB6C-50D71D8F90AE}"/>
    <cellStyle name="AggGreen12 2 3 4 2 9" xfId="3433" xr:uid="{833578E9-2210-4A29-A5A9-5580E7603938}"/>
    <cellStyle name="AggGreen12 2 3 4 20" xfId="9070" xr:uid="{CB22CB08-FB39-4C51-841C-DB3A7FEC4075}"/>
    <cellStyle name="AggGreen12 2 3 4 21" xfId="10181" xr:uid="{26882FBB-EB36-443C-8A32-92370274D478}"/>
    <cellStyle name="AggGreen12 2 3 4 22" xfId="10490" xr:uid="{D1ABE3FD-0F0D-4419-B422-B4783C9410F0}"/>
    <cellStyle name="AggGreen12 2 3 4 23" xfId="11292" xr:uid="{305EDD74-2204-4855-831B-15040D916748}"/>
    <cellStyle name="AggGreen12 2 3 4 24" xfId="11984" xr:uid="{707D9E77-9619-404C-BA48-D8DF00A1A124}"/>
    <cellStyle name="AggGreen12 2 3 4 25" xfId="12457" xr:uid="{837648AC-127C-4383-BB48-F33570D385DB}"/>
    <cellStyle name="AggGreen12 2 3 4 26" xfId="12891" xr:uid="{BFE75BA5-98E0-468F-9889-854F0BDD162F}"/>
    <cellStyle name="AggGreen12 2 3 4 27" xfId="13328" xr:uid="{BC2DC4A2-6500-4DB2-956D-682266F21454}"/>
    <cellStyle name="AggGreen12 2 3 4 28" xfId="13589" xr:uid="{9804A683-2427-42A3-AF28-BF412773A345}"/>
    <cellStyle name="AggGreen12 2 3 4 29" xfId="11352" xr:uid="{053CB1C9-4DA8-4556-A804-4CAA927A24FF}"/>
    <cellStyle name="AggGreen12 2 3 4 3" xfId="1114" xr:uid="{A04B3E37-54AE-4CB7-8A1D-226814EE3E09}"/>
    <cellStyle name="AggGreen12 2 3 4 30" xfId="14845" xr:uid="{62FBDD95-FF88-4385-AD80-51C9DAA5E668}"/>
    <cellStyle name="AggGreen12 2 3 4 31" xfId="15151" xr:uid="{E4A3E8BA-722F-45F1-8941-6A9F96B9CBE4}"/>
    <cellStyle name="AggGreen12 2 3 4 32" xfId="15621" xr:uid="{8D4990DC-3341-42B8-BA6B-77BEF8B96115}"/>
    <cellStyle name="AggGreen12 2 3 4 33" xfId="14987" xr:uid="{201DABF3-D30A-4BBE-85FA-DBCF98F22DB4}"/>
    <cellStyle name="AggGreen12 2 3 4 34" xfId="16676" xr:uid="{63F000B3-28A1-4E08-B39F-97EEFF96217D}"/>
    <cellStyle name="AggGreen12 2 3 4 35" xfId="16068" xr:uid="{147E6819-4377-496F-A68D-8FF7F6BC6BB6}"/>
    <cellStyle name="AggGreen12 2 3 4 36" xfId="17147" xr:uid="{07901028-F28F-4B32-8D12-0E96EEEF2D65}"/>
    <cellStyle name="AggGreen12 2 3 4 37" xfId="17961" xr:uid="{AE71F221-A4D3-4637-8A44-CC2200D2262D}"/>
    <cellStyle name="AggGreen12 2 3 4 38" xfId="18494" xr:uid="{35EA4679-856B-4EC2-83BF-3303CF51F919}"/>
    <cellStyle name="AggGreen12 2 3 4 39" xfId="18876" xr:uid="{86F843CC-A41D-434D-BE5E-2BB6350A4039}"/>
    <cellStyle name="AggGreen12 2 3 4 4" xfId="1725" xr:uid="{A4EFEE12-59BF-45BB-AA09-785B166AECB6}"/>
    <cellStyle name="AggGreen12 2 3 4 40" xfId="19153" xr:uid="{F20CB2E1-9AAE-48CF-BCD7-951FDD0E6E62}"/>
    <cellStyle name="AggGreen12 2 3 4 41" xfId="20013" xr:uid="{787E05B2-4718-4ACF-A9E8-3DF99A513394}"/>
    <cellStyle name="AggGreen12 2 3 4 42" xfId="19796" xr:uid="{62E41705-2D98-4B78-AB19-D641577EE852}"/>
    <cellStyle name="AggGreen12 2 3 4 43" xfId="20445" xr:uid="{51F6F3E5-C041-45D2-B13D-3F9A6FE65658}"/>
    <cellStyle name="AggGreen12 2 3 4 44" xfId="21454" xr:uid="{F14B6960-F1FB-43A1-8C65-2CA95902817A}"/>
    <cellStyle name="AggGreen12 2 3 4 45" xfId="20833" xr:uid="{AFCD599A-C620-4779-9466-F9B72CE78563}"/>
    <cellStyle name="AggGreen12 2 3 4 46" xfId="22106" xr:uid="{67E6AE63-204C-4260-83BD-F0265D5B01E8}"/>
    <cellStyle name="AggGreen12 2 3 4 47" xfId="22598" xr:uid="{B14B2C18-38F4-4F56-BF2D-C4F38A1D9F40}"/>
    <cellStyle name="AggGreen12 2 3 4 48" xfId="23153" xr:uid="{F0D154E6-BB51-4F76-9366-9815F6892BAD}"/>
    <cellStyle name="AggGreen12 2 3 4 49" xfId="22854" xr:uid="{C676A403-F1EA-4073-9251-62D18D16E8A4}"/>
    <cellStyle name="AggGreen12 2 3 4 5" xfId="2453" xr:uid="{214BFAD6-DAB0-4535-BC21-D12038A8A6BE}"/>
    <cellStyle name="AggGreen12 2 3 4 50" xfId="23822" xr:uid="{F8E08736-3A2D-42BE-BB3B-C6F272CE0D6D}"/>
    <cellStyle name="AggGreen12 2 3 4 51" xfId="24721" xr:uid="{51442ED4-4489-4778-A644-E03A7797E965}"/>
    <cellStyle name="AggGreen12 2 3 4 52" xfId="24223" xr:uid="{68D15BB6-CC35-48D9-A154-5CD33D388790}"/>
    <cellStyle name="AggGreen12 2 3 4 53" xfId="25639" xr:uid="{03F1579F-4FB1-410B-A22F-FEA8BF5B277F}"/>
    <cellStyle name="AggGreen12 2 3 4 54" xfId="24421" xr:uid="{8E86B900-DBC1-4D8A-9920-10870D1A9500}"/>
    <cellStyle name="AggGreen12 2 3 4 55" xfId="24280" xr:uid="{2836CF52-B0C7-4456-ADB1-608307DDE316}"/>
    <cellStyle name="AggGreen12 2 3 4 56" xfId="26929" xr:uid="{61E03CEE-B015-493B-B086-CD7078805C1D}"/>
    <cellStyle name="AggGreen12 2 3 4 57" xfId="27348" xr:uid="{36D7FD90-F2F5-4C30-A80B-9DD7AE2678E8}"/>
    <cellStyle name="AggGreen12 2 3 4 58" xfId="26452" xr:uid="{AC36644B-11F7-449C-BAB4-A0C6545C94F9}"/>
    <cellStyle name="AggGreen12 2 3 4 59" xfId="28471" xr:uid="{E00791AF-62F2-43ED-95D0-D1BCC0CB226B}"/>
    <cellStyle name="AggGreen12 2 3 4 6" xfId="2755" xr:uid="{FD7933FD-6E4D-45FC-AD1D-FD4429180951}"/>
    <cellStyle name="AggGreen12 2 3 4 60" xfId="28939" xr:uid="{A740FC7E-5667-4E2A-84FA-7B1507E767AB}"/>
    <cellStyle name="AggGreen12 2 3 4 61" xfId="29005" xr:uid="{67CB8719-E3BA-486B-90A0-C828FD905F02}"/>
    <cellStyle name="AggGreen12 2 3 4 62" xfId="29729" xr:uid="{9F8A0B12-6BAB-4DC3-8CBD-4A878466791A}"/>
    <cellStyle name="AggGreen12 2 3 4 63" xfId="30137" xr:uid="{971F42C4-3777-4711-B174-79760F26DD76}"/>
    <cellStyle name="AggGreen12 2 3 4 64" xfId="30551" xr:uid="{204FBE5D-8452-4F44-A0E2-D672C7461E78}"/>
    <cellStyle name="AggGreen12 2 3 4 65" xfId="30895" xr:uid="{DDCF3A1B-6B09-4FC2-9ED3-5753A99631D6}"/>
    <cellStyle name="AggGreen12 2 3 4 66" xfId="31175" xr:uid="{2D71326A-E2CC-481B-876B-D69691C1A27A}"/>
    <cellStyle name="AggGreen12 2 3 4 7" xfId="3243" xr:uid="{EB88EE00-C3ED-4A91-A123-D8BD4F738BFA}"/>
    <cellStyle name="AggGreen12 2 3 4 8" xfId="3949" xr:uid="{7565FB31-5C4C-4BF8-9568-CD53070B6DAE}"/>
    <cellStyle name="AggGreen12 2 3 4 9" xfId="4387" xr:uid="{2E49F277-8693-4715-A5C6-156FC391CD67}"/>
    <cellStyle name="AggGreen12 2 3 40" xfId="17126" xr:uid="{F9BFCEAB-2D79-433D-8C30-A03EF82967CD}"/>
    <cellStyle name="AggGreen12 2 3 41" xfId="18559" xr:uid="{80FA9C88-2672-4F14-B710-A8383A467CA2}"/>
    <cellStyle name="AggGreen12 2 3 42" xfId="18946" xr:uid="{B598D3DE-970E-4BC2-93A4-04E55305303A}"/>
    <cellStyle name="AggGreen12 2 3 43" xfId="19647" xr:uid="{89CDDCB1-DCE0-4AE0-871C-39EE7C28362E}"/>
    <cellStyle name="AggGreen12 2 3 44" xfId="19602" xr:uid="{62802EBF-8CE1-454D-B227-5382C30EFF39}"/>
    <cellStyle name="AggGreen12 2 3 45" xfId="19782" xr:uid="{4751C135-369C-4E36-98C2-C8D4BC60A312}"/>
    <cellStyle name="AggGreen12 2 3 46" xfId="20941" xr:uid="{87BAA0FA-78E7-45AC-88C4-ADED1544F906}"/>
    <cellStyle name="AggGreen12 2 3 47" xfId="21433" xr:uid="{8E4B0FAA-1667-4F3B-8C43-27D5CAE50076}"/>
    <cellStyle name="AggGreen12 2 3 48" xfId="21786" xr:uid="{336D7C23-477E-4EDA-A763-B949FD3B094C}"/>
    <cellStyle name="AggGreen12 2 3 49" xfId="22161" xr:uid="{5B7CDBFE-8780-4668-BD4E-92A39E34510D}"/>
    <cellStyle name="AggGreen12 2 3 5" xfId="940" xr:uid="{D97E27E1-8D8F-4472-AAFF-920C29B9CB5B}"/>
    <cellStyle name="AggGreen12 2 3 50" xfId="22430" xr:uid="{2F993EB6-FCDB-4931-979A-8BB4F045B758}"/>
    <cellStyle name="AggGreen12 2 3 51" xfId="23087" xr:uid="{8550B3E6-488B-4808-88A8-9B1C45003637}"/>
    <cellStyle name="AggGreen12 2 3 52" xfId="23632" xr:uid="{58110163-91E6-488A-BD62-DB72496A56B8}"/>
    <cellStyle name="AggGreen12 2 3 53" xfId="24367" xr:uid="{B5A2216D-AA39-4455-84DE-3E96E53E85BC}"/>
    <cellStyle name="AggGreen12 2 3 54" xfId="24453" xr:uid="{CE8D01DF-F87D-447F-9FAD-947068C31A81}"/>
    <cellStyle name="AggGreen12 2 3 55" xfId="25256" xr:uid="{D4B0BAA9-6689-47A4-8680-2722A726C101}"/>
    <cellStyle name="AggGreen12 2 3 56" xfId="25331" xr:uid="{585B0396-E4E4-407E-A5D6-D5E6D0C3B1BE}"/>
    <cellStyle name="AggGreen12 2 3 57" xfId="25122" xr:uid="{D2117AAA-7681-4287-9DB3-D420CA54ABE2}"/>
    <cellStyle name="AggGreen12 2 3 58" xfId="26722" xr:uid="{D2EF292D-D886-4BD4-AEA3-806DAC5A09E3}"/>
    <cellStyle name="AggGreen12 2 3 59" xfId="26994" xr:uid="{DC8C1FB4-05C5-471D-8AB5-932873B4C293}"/>
    <cellStyle name="AggGreen12 2 3 6" xfId="1537" xr:uid="{E85D206E-687A-4D9D-B6BF-792C36616F3B}"/>
    <cellStyle name="AggGreen12 2 3 60" xfId="26779" xr:uid="{C511236E-70DA-4DD0-B148-3FE973F5D38F}"/>
    <cellStyle name="AggGreen12 2 3 61" xfId="28138" xr:uid="{2D99BE02-6614-4C57-8A08-991C2983FA54}"/>
    <cellStyle name="AggGreen12 2 3 62" xfId="28018" xr:uid="{37EE0971-8B32-4D20-88D6-C5EC59DD0B7C}"/>
    <cellStyle name="AggGreen12 2 3 63" xfId="28236" xr:uid="{484AAEFB-6EF2-4B68-800B-BEFE2413902D}"/>
    <cellStyle name="AggGreen12 2 3 64" xfId="28745" xr:uid="{910BB5DC-6713-4139-9F37-A983F812CEE5}"/>
    <cellStyle name="AggGreen12 2 3 65" xfId="29608" xr:uid="{59D69836-DCC6-42B2-B405-081AA4EAEF28}"/>
    <cellStyle name="AggGreen12 2 3 66" xfId="29414" xr:uid="{10ECB747-B278-4C8D-A077-E332E69E8227}"/>
    <cellStyle name="AggGreen12 2 3 67" xfId="28047" xr:uid="{CC979769-E34F-4B47-8B4B-09AFA1630D70}"/>
    <cellStyle name="AggGreen12 2 3 68" xfId="29461" xr:uid="{519345D6-8A39-4D2F-8F4A-9C72E0556206}"/>
    <cellStyle name="AggGreen12 2 3 7" xfId="2087" xr:uid="{040C1086-798B-4404-9630-484BC2F772EA}"/>
    <cellStyle name="AggGreen12 2 3 8" xfId="1961" xr:uid="{C347DD5E-717B-4356-996D-5494931B13BA}"/>
    <cellStyle name="AggGreen12 2 3 9" xfId="3537" xr:uid="{C93FA67A-9754-4B12-AF49-5E843DCF66B4}"/>
    <cellStyle name="AggGreen12 3" xfId="404" xr:uid="{83396624-5A8E-48EF-9C44-A992673DB914}"/>
    <cellStyle name="AggGreen12 3 2" xfId="528" xr:uid="{68985DA6-95E4-4C82-B9FD-7ECFB67D5EFB}"/>
    <cellStyle name="AggGreen12 3 2 10" xfId="4953" xr:uid="{1101CDAA-79F1-4B87-AA84-EBBC8E307B5F}"/>
    <cellStyle name="AggGreen12 3 2 11" xfId="5176" xr:uid="{4BEF2CD0-D8E1-480E-BF42-9DDB448A5808}"/>
    <cellStyle name="AggGreen12 3 2 12" xfId="4757" xr:uid="{4EACC40F-D335-4F2B-AF64-0E2EAF27DF10}"/>
    <cellStyle name="AggGreen12 3 2 13" xfId="6298" xr:uid="{00DBA62C-3FB6-47D0-850C-DBC4AE2A8116}"/>
    <cellStyle name="AggGreen12 3 2 14" xfId="6528" xr:uid="{2ACB17B0-FDA5-4955-A1D6-EDB97CA02822}"/>
    <cellStyle name="AggGreen12 3 2 15" xfId="7248" xr:uid="{1A7D3E72-2A03-4F73-B191-5FC08AE74CA3}"/>
    <cellStyle name="AggGreen12 3 2 16" xfId="7851" xr:uid="{12B2DBB0-76C3-4352-9FCB-0F9869D9091D}"/>
    <cellStyle name="AggGreen12 3 2 17" xfId="8647" xr:uid="{8AB256C0-18F2-498F-AE2D-5632FBDB165F}"/>
    <cellStyle name="AggGreen12 3 2 18" xfId="8840" xr:uid="{36E87396-44FD-421F-AA60-51280C470110}"/>
    <cellStyle name="AggGreen12 3 2 19" xfId="9462" xr:uid="{879B524D-B802-47AD-B0DC-85E2BD42251B}"/>
    <cellStyle name="AggGreen12 3 2 2" xfId="743" xr:uid="{98BD573D-D526-4FCF-9EFF-79440AA82A94}"/>
    <cellStyle name="AggGreen12 3 2 2 10" xfId="5391" xr:uid="{23564D61-A3CE-4DC1-920C-AAE49B6E1731}"/>
    <cellStyle name="AggGreen12 3 2 2 11" xfId="5094" xr:uid="{70B21828-020A-4843-BA82-69174420A194}"/>
    <cellStyle name="AggGreen12 3 2 2 12" xfId="5641" xr:uid="{736856CF-DE73-42CB-99D7-FA6081D174C1}"/>
    <cellStyle name="AggGreen12 3 2 2 13" xfId="6450" xr:uid="{2730EDDA-ED70-4C70-85E8-5A75B9EB37B6}"/>
    <cellStyle name="AggGreen12 3 2 2 14" xfId="7463" xr:uid="{F3032AB1-FF3C-4F3D-A44C-213D4D080C40}"/>
    <cellStyle name="AggGreen12 3 2 2 15" xfId="6903" xr:uid="{FD705554-0998-4EA1-BCB7-89221480C62C}"/>
    <cellStyle name="AggGreen12 3 2 2 16" xfId="7994" xr:uid="{FFE89F51-228D-4428-A5EC-27158003972B}"/>
    <cellStyle name="AggGreen12 3 2 2 17" xfId="8704" xr:uid="{7EF2C7B5-FCDC-4931-B891-6D0912306DEA}"/>
    <cellStyle name="AggGreen12 3 2 2 18" xfId="9677" xr:uid="{71BA72AE-8248-4B71-A0BB-CD08201079B8}"/>
    <cellStyle name="AggGreen12 3 2 2 19" xfId="9116" xr:uid="{A5F34ACA-9F9C-4F70-A7AF-DF7B40F2B9F5}"/>
    <cellStyle name="AggGreen12 3 2 2 2" xfId="1217" xr:uid="{A8CFF091-CFA7-4627-88B9-D4DAC50846B2}"/>
    <cellStyle name="AggGreen12 3 2 2 20" xfId="9939" xr:uid="{3E1A99C3-B354-4880-A9AC-04EF11252849}"/>
    <cellStyle name="AggGreen12 3 2 2 21" xfId="10625" xr:uid="{2F59E8F2-1765-4147-878E-B66AF337F3FC}"/>
    <cellStyle name="AggGreen12 3 2 2 22" xfId="10879" xr:uid="{46580E70-0F15-4BE5-B82B-BEB961F4A5DF}"/>
    <cellStyle name="AggGreen12 3 2 2 23" xfId="12096" xr:uid="{EBA4FA51-4E4A-42D6-8FD7-A841F877EFB6}"/>
    <cellStyle name="AggGreen12 3 2 2 24" xfId="12569" xr:uid="{6AE416AB-87C6-4651-A6C4-8ADFAE9C36F3}"/>
    <cellStyle name="AggGreen12 3 2 2 25" xfId="13003" xr:uid="{9976A9DE-B7F7-4AC7-9147-3B70081FE37B}"/>
    <cellStyle name="AggGreen12 3 2 2 26" xfId="13440" xr:uid="{D3A2A13E-9450-4CD8-B651-4B6E0F38E1D2}"/>
    <cellStyle name="AggGreen12 3 2 2 27" xfId="12955" xr:uid="{444F878F-AB6F-4713-ADDA-FA424BB126AD}"/>
    <cellStyle name="AggGreen12 3 2 2 28" xfId="12306" xr:uid="{0DE610BC-29CB-4B6A-BE3B-266B2F0495F7}"/>
    <cellStyle name="AggGreen12 3 2 2 29" xfId="14067" xr:uid="{4042AD92-BDA0-4201-8A30-452D71F20DD5}"/>
    <cellStyle name="AggGreen12 3 2 2 3" xfId="1435" xr:uid="{68E54D82-B66D-4345-9703-EA830CB85521}"/>
    <cellStyle name="AggGreen12 3 2 2 30" xfId="15317" xr:uid="{80BDEB16-6C02-4F85-AFAA-AA0E4C6B12D3}"/>
    <cellStyle name="AggGreen12 3 2 2 31" xfId="15440" xr:uid="{08E6C309-E813-4DD5-A0E9-DD5FC71D5835}"/>
    <cellStyle name="AggGreen12 3 2 2 32" xfId="15578" xr:uid="{8782FA79-13D3-413F-9D98-FA6DC0738098}"/>
    <cellStyle name="AggGreen12 3 2 2 33" xfId="16788" xr:uid="{F121BEB9-9C7B-434F-8A64-8BC25E7CFD9F}"/>
    <cellStyle name="AggGreen12 3 2 2 34" xfId="16220" xr:uid="{45B0A108-BD52-4C44-8295-6D9F66383DA7}"/>
    <cellStyle name="AggGreen12 3 2 2 35" xfId="17053" xr:uid="{5940A3A5-0184-4C43-878F-FFAA96182707}"/>
    <cellStyle name="AggGreen12 3 2 2 36" xfId="18052" xr:uid="{11E31690-1F70-493B-BB29-C455270F9590}"/>
    <cellStyle name="AggGreen12 3 2 2 37" xfId="18606" xr:uid="{A729DD9B-3616-40B2-8DCA-5194826F61F4}"/>
    <cellStyle name="AggGreen12 3 2 2 38" xfId="18783" xr:uid="{977824F6-581D-4CDE-AC41-1C017BC048BC}"/>
    <cellStyle name="AggGreen12 3 2 2 39" xfId="18785" xr:uid="{034CDDA3-1BBB-4700-A9FB-DD4AEE981360}"/>
    <cellStyle name="AggGreen12 3 2 2 4" xfId="2565" xr:uid="{A5A11E76-1CD4-4805-BCB5-3F8C50B86D58}"/>
    <cellStyle name="AggGreen12 3 2 2 40" xfId="20125" xr:uid="{4AE9F8C8-30BE-45BD-A1BF-95941FDF769A}"/>
    <cellStyle name="AggGreen12 3 2 2 41" xfId="19553" xr:uid="{7EC4EAF2-D89A-4F36-898C-91738597A6D1}"/>
    <cellStyle name="AggGreen12 3 2 2 42" xfId="20661" xr:uid="{91B50089-0E6D-4333-A69A-C67DFA88F554}"/>
    <cellStyle name="AggGreen12 3 2 2 43" xfId="21251" xr:uid="{77731666-AEF8-4ECE-82A7-E587BF4B5967}"/>
    <cellStyle name="AggGreen12 3 2 2 44" xfId="21581" xr:uid="{A80D1F2C-818B-46B1-BA57-9B1400662DEB}"/>
    <cellStyle name="AggGreen12 3 2 2 45" xfId="22073" xr:uid="{CB70EAE0-B7EB-415C-B7CD-9883FE7083E3}"/>
    <cellStyle name="AggGreen12 3 2 2 46" xfId="21743" xr:uid="{2085E137-11F9-4A7F-9B83-7284970161F3}"/>
    <cellStyle name="AggGreen12 3 2 2 47" xfId="23055" xr:uid="{FDD545D5-F0BD-4CF4-B34D-DC279CDD8EDD}"/>
    <cellStyle name="AggGreen12 3 2 2 48" xfId="22801" xr:uid="{FA6461EE-9358-4817-9183-5CC97F3B0A69}"/>
    <cellStyle name="AggGreen12 3 2 2 49" xfId="23925" xr:uid="{465E3483-F87D-45A6-A0C9-398B89130C14}"/>
    <cellStyle name="AggGreen12 3 2 2 5" xfId="2492" xr:uid="{9D86D795-E004-4BBE-9488-9585EB57E4AA}"/>
    <cellStyle name="AggGreen12 3 2 2 50" xfId="24833" xr:uid="{53C87AC2-1FD2-4C35-BD03-0737F2DEF080}"/>
    <cellStyle name="AggGreen12 3 2 2 51" xfId="24274" xr:uid="{56D2BBD9-4112-41C0-8F89-A3A629344AD2}"/>
    <cellStyle name="AggGreen12 3 2 2 52" xfId="25749" xr:uid="{2C365305-F201-4CBC-909F-9832DFBC221D}"/>
    <cellStyle name="AggGreen12 3 2 2 53" xfId="24477" xr:uid="{BAF18700-E813-4987-8319-CB0A40B6BDB8}"/>
    <cellStyle name="AggGreen12 3 2 2 54" xfId="26374" xr:uid="{C3BE0BB7-46A4-4E65-AC16-416CEC8A02D4}"/>
    <cellStyle name="AggGreen12 3 2 2 55" xfId="27037" xr:uid="{7E67F535-DFC4-41E1-87FC-50F4AAE18C89}"/>
    <cellStyle name="AggGreen12 3 2 2 56" xfId="27456" xr:uid="{18EE1691-993E-4F53-9C3E-3A6800DA23BE}"/>
    <cellStyle name="AggGreen12 3 2 2 57" xfId="26270" xr:uid="{905CC16B-31DD-4BC8-AFB7-F68E6CFD1E73}"/>
    <cellStyle name="AggGreen12 3 2 2 58" xfId="28583" xr:uid="{C4D88BC4-43CB-4638-B01C-9F1220B1582A}"/>
    <cellStyle name="AggGreen12 3 2 2 59" xfId="29050" xr:uid="{00D748BB-A73A-4DDE-840E-20D6DFD92211}"/>
    <cellStyle name="AggGreen12 3 2 2 6" xfId="3103" xr:uid="{0B6587FF-94AF-4A1B-8823-7FC5B6BC4282}"/>
    <cellStyle name="AggGreen12 3 2 2 60" xfId="28748" xr:uid="{65EA18AD-C4CC-4CE6-AA52-17B774B9B692}"/>
    <cellStyle name="AggGreen12 3 2 2 61" xfId="29839" xr:uid="{D1C6E7E0-9712-48B2-83CC-8EF27CD54787}"/>
    <cellStyle name="AggGreen12 3 2 2 62" xfId="30245" xr:uid="{DB62901B-7ECA-432B-88E6-33FAF941294B}"/>
    <cellStyle name="AggGreen12 3 2 2 63" xfId="30662" xr:uid="{B3A92074-A833-4063-9B4C-CE99ED0F8433}"/>
    <cellStyle name="AggGreen12 3 2 2 64" xfId="28309" xr:uid="{575C6701-8202-4805-B8C2-6C6E5DA52842}"/>
    <cellStyle name="AggGreen12 3 2 2 65" xfId="31278" xr:uid="{EE01B268-4399-427D-A4BC-4E5FD4EAEE94}"/>
    <cellStyle name="AggGreen12 3 2 2 7" xfId="4061" xr:uid="{6727BBFD-3D94-46C9-B98C-E29BC785CFA5}"/>
    <cellStyle name="AggGreen12 3 2 2 8" xfId="4498" xr:uid="{B82A6386-9410-4AE9-A98C-D87B31669A1E}"/>
    <cellStyle name="AggGreen12 3 2 2 9" xfId="4227" xr:uid="{030FF000-5B57-45BD-964E-FD685213C9D4}"/>
    <cellStyle name="AggGreen12 3 2 20" xfId="10063" xr:uid="{4EA72C10-8006-4F35-989B-D3875EE25B9A}"/>
    <cellStyle name="AggGreen12 3 2 21" xfId="10481" xr:uid="{FDDB8B63-016A-4B5E-89D7-987F615F67D0}"/>
    <cellStyle name="AggGreen12 3 2 22" xfId="10736" xr:uid="{6BC7C8A8-C870-4F5F-A32F-3380958A2144}"/>
    <cellStyle name="AggGreen12 3 2 23" xfId="11141" xr:uid="{9EF4F8BA-AAB1-4606-B4AC-BDD8E508F7B3}"/>
    <cellStyle name="AggGreen12 3 2 24" xfId="11881" xr:uid="{070C5E42-8A3A-4000-923B-56650B06C7C6}"/>
    <cellStyle name="AggGreen12 3 2 25" xfId="12354" xr:uid="{A3BBEB18-F046-4789-BE2C-181C783351DA}"/>
    <cellStyle name="AggGreen12 3 2 26" xfId="12788" xr:uid="{19F7E8EF-2B11-4BA6-B21A-646993919B17}"/>
    <cellStyle name="AggGreen12 3 2 27" xfId="13225" xr:uid="{52721374-620D-45D6-AB49-C6DF76922A8E}"/>
    <cellStyle name="AggGreen12 3 2 28" xfId="13736" xr:uid="{84D1386D-315E-4254-AC2B-38A1DCBE1CCD}"/>
    <cellStyle name="AggGreen12 3 2 29" xfId="14168" xr:uid="{66559F41-3547-46A3-AC8B-3E44A6024645}"/>
    <cellStyle name="AggGreen12 3 2 3" xfId="1011" xr:uid="{55DEB196-726D-4E42-8460-165014DA6C75}"/>
    <cellStyle name="AggGreen12 3 2 30" xfId="14705" xr:uid="{7EDAF73F-A4AE-48EE-BE49-5BC73AB9B1E3}"/>
    <cellStyle name="AggGreen12 3 2 31" xfId="14728" xr:uid="{E4BD87C6-FEB3-4FD8-8CA1-F07D4111093E}"/>
    <cellStyle name="AggGreen12 3 2 32" xfId="15525" xr:uid="{075DDC11-F5A6-4959-8200-5C805E097D00}"/>
    <cellStyle name="AggGreen12 3 2 33" xfId="15889" xr:uid="{9EE6C3E4-BCF6-4A44-AFAA-A61333B7A542}"/>
    <cellStyle name="AggGreen12 3 2 34" xfId="16573" xr:uid="{FF10DC80-94E8-4FBD-AFB1-06D4B650A7CC}"/>
    <cellStyle name="AggGreen12 3 2 35" xfId="17180" xr:uid="{B87D4CED-0E91-42D2-A324-1CDE529F78B4}"/>
    <cellStyle name="AggGreen12 3 2 36" xfId="17626" xr:uid="{D7AE50E5-FCA0-4F3B-AD92-1DA1F1F4160E}"/>
    <cellStyle name="AggGreen12 3 2 37" xfId="17051" xr:uid="{248EC23A-1C58-4095-A532-D435A0A92A34}"/>
    <cellStyle name="AggGreen12 3 2 38" xfId="18391" xr:uid="{F0F317E9-59A2-4CE7-8AA9-C6640B498B99}"/>
    <cellStyle name="AggGreen12 3 2 39" xfId="19001" xr:uid="{C7494DB7-B1C1-4762-B13D-B12F465D8E44}"/>
    <cellStyle name="AggGreen12 3 2 4" xfId="1667" xr:uid="{C17E92AC-9E8E-4EA0-ADEF-B7B3A7B98AC5}"/>
    <cellStyle name="AggGreen12 3 2 40" xfId="16129" xr:uid="{EAAEA303-A5BB-4D56-A97E-FFD92649374F}"/>
    <cellStyle name="AggGreen12 3 2 41" xfId="19910" xr:uid="{0BFCB4FA-8F68-4B76-92ED-0EB435DC485A}"/>
    <cellStyle name="AggGreen12 3 2 42" xfId="20533" xr:uid="{EFD8EA8F-DD61-4CCB-AADB-4DC57A90ACB3}"/>
    <cellStyle name="AggGreen12 3 2 43" xfId="20986" xr:uid="{20B71930-3432-451F-9E1B-8B250B233315}"/>
    <cellStyle name="AggGreen12 3 2 44" xfId="21362" xr:uid="{9801C518-C96D-44AE-95AC-F3191C5D0A7D}"/>
    <cellStyle name="AggGreen12 3 2 45" xfId="21917" xr:uid="{EFE97E43-3874-4EB1-AF09-7F57015E6239}"/>
    <cellStyle name="AggGreen12 3 2 46" xfId="22351" xr:uid="{A3E1B600-7942-4958-928B-9536D006AE1B}"/>
    <cellStyle name="AggGreen12 3 2 47" xfId="22731" xr:uid="{017B7A6D-F356-4B40-891E-ACFAEE967218}"/>
    <cellStyle name="AggGreen12 3 2 48" xfId="23283" xr:uid="{FD4A02ED-7DB1-46E7-89A2-594EA9D7CDD8}"/>
    <cellStyle name="AggGreen12 3 2 49" xfId="22610" xr:uid="{B63A870A-643A-4910-80B7-00F2F47785FF}"/>
    <cellStyle name="AggGreen12 3 2 5" xfId="2350" xr:uid="{2478B0BF-E414-4F0C-97B5-8BF4CF9C9402}"/>
    <cellStyle name="AggGreen12 3 2 50" xfId="23719" xr:uid="{3BE2F6BD-AAF4-4E13-BF8D-E07D8A4093B8}"/>
    <cellStyle name="AggGreen12 3 2 51" xfId="24618" xr:uid="{FBEC8962-CD83-4BFD-9987-B48CBA945018}"/>
    <cellStyle name="AggGreen12 3 2 52" xfId="25242" xr:uid="{EDF30F1C-9B44-4B7D-8D08-192ED8B0EE23}"/>
    <cellStyle name="AggGreen12 3 2 53" xfId="25536" xr:uid="{B10AA6F9-A0DA-415F-96AD-08B99054651D}"/>
    <cellStyle name="AggGreen12 3 2 54" xfId="26036" xr:uid="{AD79B0A8-1BE9-42CB-9B5C-87A3352C691A}"/>
    <cellStyle name="AggGreen12 3 2 55" xfId="26229" xr:uid="{492F40FA-601F-4D98-9BA4-FF73295DFC45}"/>
    <cellStyle name="AggGreen12 3 2 56" xfId="26826" xr:uid="{B117587D-14E1-4CF4-9D39-E1EB8D9B17E6}"/>
    <cellStyle name="AggGreen12 3 2 57" xfId="27245" xr:uid="{D5FD07FA-8336-41DF-A2A5-44516085D6BD}"/>
    <cellStyle name="AggGreen12 3 2 58" xfId="27795" xr:uid="{CD4072C9-6786-48E7-BA62-686033FD085D}"/>
    <cellStyle name="AggGreen12 3 2 59" xfId="28368" xr:uid="{07CC4246-6DE9-47A1-ABB7-16AEDE267413}"/>
    <cellStyle name="AggGreen12 3 2 6" xfId="2901" xr:uid="{526DEAE9-FC33-436D-A4CD-9D1BE3363556}"/>
    <cellStyle name="AggGreen12 3 2 60" xfId="28836" xr:uid="{A8DF96CE-F62A-4E99-8549-F512AE058A4F}"/>
    <cellStyle name="AggGreen12 3 2 61" xfId="29380" xr:uid="{CACCF247-8BE3-485A-BF52-19A5EE208563}"/>
    <cellStyle name="AggGreen12 3 2 62" xfId="29626" xr:uid="{441F2193-2BAC-4FD5-9529-660F404244D2}"/>
    <cellStyle name="AggGreen12 3 2 63" xfId="30034" xr:uid="{506F2F72-4E7B-4252-8CCF-474F927385EE}"/>
    <cellStyle name="AggGreen12 3 2 64" xfId="30448" xr:uid="{6F3673BC-FBF9-44C5-B0C4-CC536E1DF17A}"/>
    <cellStyle name="AggGreen12 3 2 65" xfId="30956" xr:uid="{D9102F8F-5CAD-4D67-BC05-56817B1E93EA}"/>
    <cellStyle name="AggGreen12 3 2 66" xfId="31072" xr:uid="{8E4B4BA9-DD82-4085-B452-A7841B59D961}"/>
    <cellStyle name="AggGreen12 3 2 7" xfId="3749" xr:uid="{DFC0D76D-0C8D-4B00-9783-5706DE9EA6D8}"/>
    <cellStyle name="AggGreen12 3 2 8" xfId="3846" xr:uid="{91E53692-6165-4D33-901E-67D567468405}"/>
    <cellStyle name="AggGreen12 3 2 9" xfId="4284" xr:uid="{CC42357C-DC77-4D07-B6B7-6C4DF335685F}"/>
    <cellStyle name="AggGreen12 3 3" xfId="711" xr:uid="{C099825D-315B-48A5-B9ED-54ED4873A1DD}"/>
    <cellStyle name="AggGreen12 3 3 10" xfId="5359" xr:uid="{E3611C86-B3A7-4F8D-B624-086B7EC6D865}"/>
    <cellStyle name="AggGreen12 3 3 11" xfId="4701" xr:uid="{2821E797-C8FA-4995-8AC4-F6381A2C561F}"/>
    <cellStyle name="AggGreen12 3 3 12" xfId="6122" xr:uid="{CF106F42-B6DE-49DA-860C-977F5888DFC7}"/>
    <cellStyle name="AggGreen12 3 3 13" xfId="5894" xr:uid="{EEB66831-82EF-4515-93E8-599101AB21F2}"/>
    <cellStyle name="AggGreen12 3 3 14" xfId="7431" xr:uid="{6D3270FF-DB1D-48BE-AB3C-B687D3D520A0}"/>
    <cellStyle name="AggGreen12 3 3 15" xfId="7904" xr:uid="{88BFA229-9C84-4245-B262-0DBB1FC8CDF0}"/>
    <cellStyle name="AggGreen12 3 3 16" xfId="8396" xr:uid="{3C165117-3D9C-491B-AC1D-DA859D67A947}"/>
    <cellStyle name="AggGreen12 3 3 17" xfId="8868" xr:uid="{A0C90E66-C22A-44BF-B8D1-88412518BCCB}"/>
    <cellStyle name="AggGreen12 3 3 18" xfId="9645" xr:uid="{2FC45540-B8FE-4A1D-BEC3-63FE81AD4D36}"/>
    <cellStyle name="AggGreen12 3 3 19" xfId="10117" xr:uid="{22F72A9B-BCE2-430D-A8E3-5E59EB5AA0EC}"/>
    <cellStyle name="AggGreen12 3 3 2" xfId="1185" xr:uid="{C749F530-1CAA-418F-BA5E-A0829F0E4388}"/>
    <cellStyle name="AggGreen12 3 3 20" xfId="10528" xr:uid="{EA3E79E5-A80B-47BC-86E2-AD560525E2B2}"/>
    <cellStyle name="AggGreen12 3 3 21" xfId="10437" xr:uid="{D55923CA-D6FE-4FCE-A24A-DFBA7C56B0B2}"/>
    <cellStyle name="AggGreen12 3 3 22" xfId="11085" xr:uid="{4A2B9055-C4FC-42ED-AD22-4AE7043758FA}"/>
    <cellStyle name="AggGreen12 3 3 23" xfId="12064" xr:uid="{E4E60C91-E2D2-48F4-8FCE-4F2CED57F00F}"/>
    <cellStyle name="AggGreen12 3 3 24" xfId="12537" xr:uid="{7E53293F-D915-446F-B60A-2DE800B22A0F}"/>
    <cellStyle name="AggGreen12 3 3 25" xfId="12971" xr:uid="{4BFEE92F-B2DC-45A6-B7B8-13CC9EC78019}"/>
    <cellStyle name="AggGreen12 3 3 26" xfId="13408" xr:uid="{03D0A1D6-19C8-420D-A0D8-B6C139E7906C}"/>
    <cellStyle name="AggGreen12 3 3 27" xfId="13712" xr:uid="{E9B8A056-324A-4AFB-AEFF-21F335FCCD92}"/>
    <cellStyle name="AggGreen12 3 3 28" xfId="13206" xr:uid="{FBCFFBFB-6F83-442C-B295-3CF095C11193}"/>
    <cellStyle name="AggGreen12 3 3 29" xfId="14766" xr:uid="{69728DD7-6026-482E-BC96-CA69ADE2EAC7}"/>
    <cellStyle name="AggGreen12 3 3 3" xfId="1380" xr:uid="{C3A97A5F-EF18-4AD6-ACE2-0505A52114D1}"/>
    <cellStyle name="AggGreen12 3 3 30" xfId="14535" xr:uid="{24E7980D-B5AF-48E8-97EF-88B113111A00}"/>
    <cellStyle name="AggGreen12 3 3 31" xfId="15570" xr:uid="{74A80D03-BA57-4065-ABFC-85199D8B3B77}"/>
    <cellStyle name="AggGreen12 3 3 32" xfId="15919" xr:uid="{ECEE3826-2B8C-4C79-8DE4-C51A6A8A2824}"/>
    <cellStyle name="AggGreen12 3 3 33" xfId="16756" xr:uid="{7DD92B9D-91B9-4AFA-9443-D9FB414CC17F}"/>
    <cellStyle name="AggGreen12 3 3 34" xfId="17236" xr:uid="{5C439DD8-510E-40EF-934F-7C6635106CED}"/>
    <cellStyle name="AggGreen12 3 3 35" xfId="17680" xr:uid="{C4540331-5638-4ABA-A596-2C2138937416}"/>
    <cellStyle name="AggGreen12 3 3 36" xfId="17340" xr:uid="{A88C2572-2A26-4AC6-9829-EEED1FADF71E}"/>
    <cellStyle name="AggGreen12 3 3 37" xfId="18574" xr:uid="{BE49563D-B14D-4A74-AD0F-806028AEC757}"/>
    <cellStyle name="AggGreen12 3 3 38" xfId="19065" xr:uid="{EED2988A-BD40-4EA8-9EEE-B556FB9833E0}"/>
    <cellStyle name="AggGreen12 3 3 39" xfId="18969" xr:uid="{F3EC5586-BE78-47F1-80EE-774656201BFA}"/>
    <cellStyle name="AggGreen12 3 3 4" xfId="2533" xr:uid="{02748244-436D-405F-B71F-7785382148A7}"/>
    <cellStyle name="AggGreen12 3 3 40" xfId="20093" xr:uid="{11732DF9-D132-4B23-8D06-B1B2DD64583A}"/>
    <cellStyle name="AggGreen12 3 3 41" xfId="20587" xr:uid="{851D8753-C4F2-4BBD-8B92-AACE1A1A8C30}"/>
    <cellStyle name="AggGreen12 3 3 42" xfId="21041" xr:uid="{E05BD60D-49FC-40A7-811C-9327E9BDAC18}"/>
    <cellStyle name="AggGreen12 3 3 43" xfId="21613" xr:uid="{75860894-03DE-4A8C-ADB6-E07EF5841A66}"/>
    <cellStyle name="AggGreen12 3 3 44" xfId="21972" xr:uid="{326DBE03-FC6B-44A8-88EA-58263D6E055C}"/>
    <cellStyle name="AggGreen12 3 3 45" xfId="22404" xr:uid="{F723F723-C9ED-47B8-863B-DC335CF25006}"/>
    <cellStyle name="AggGreen12 3 3 46" xfId="22708" xr:uid="{6EE61662-DDC6-464F-BB90-47D5B6D5A076}"/>
    <cellStyle name="AggGreen12 3 3 47" xfId="23342" xr:uid="{7FFFDCA0-C981-4B17-BB93-EA4423FA618D}"/>
    <cellStyle name="AggGreen12 3 3 48" xfId="22585" xr:uid="{27FC7DC2-77F6-4176-86B8-4D4C2C750362}"/>
    <cellStyle name="AggGreen12 3 3 49" xfId="23893" xr:uid="{174FF747-6671-4A7C-B77A-2911B415B946}"/>
    <cellStyle name="AggGreen12 3 3 5" xfId="2877" xr:uid="{AD719DAD-D985-48F7-9B6E-BF1C365998D7}"/>
    <cellStyle name="AggGreen12 3 3 50" xfId="24801" xr:uid="{DD920814-E064-4212-9489-40AA7CD41F0D}"/>
    <cellStyle name="AggGreen12 3 3 51" xfId="25296" xr:uid="{79436FDF-033E-43BB-AF80-FEE515D6A062}"/>
    <cellStyle name="AggGreen12 3 3 52" xfId="25717" xr:uid="{1DE42143-39DF-48BD-B249-D63C4A0583B1}"/>
    <cellStyle name="AggGreen12 3 3 53" xfId="26013" xr:uid="{88F267B3-AA3E-450C-B9CA-CBD8987D26AC}"/>
    <cellStyle name="AggGreen12 3 3 54" xfId="26610" xr:uid="{1979AF04-FD0C-4BA2-B11B-42AE0A61EA0E}"/>
    <cellStyle name="AggGreen12 3 3 55" xfId="27005" xr:uid="{CA1822C8-5B26-40AE-904B-FF28632AD672}"/>
    <cellStyle name="AggGreen12 3 3 56" xfId="27424" xr:uid="{B7AD84EA-B6EB-4072-8946-476360C4B1A4}"/>
    <cellStyle name="AggGreen12 3 3 57" xfId="26108" xr:uid="{99300C16-ABB9-4CB2-A849-B8D09C37650C}"/>
    <cellStyle name="AggGreen12 3 3 58" xfId="28551" xr:uid="{6159C7A3-69D0-4E6C-91C2-01C2521FCDDA}"/>
    <cellStyle name="AggGreen12 3 3 59" xfId="29018" xr:uid="{2D7BA184-F33F-41EB-AC86-931F190B94E2}"/>
    <cellStyle name="AggGreen12 3 3 6" xfId="3327" xr:uid="{D775EAF8-46E2-45AB-B959-96DAB218A768}"/>
    <cellStyle name="AggGreen12 3 3 60" xfId="29421" xr:uid="{6291F496-7FB7-4986-8887-89F254A48631}"/>
    <cellStyle name="AggGreen12 3 3 61" xfId="29807" xr:uid="{DA507971-9DB5-4FDE-999B-05CEB49248DA}"/>
    <cellStyle name="AggGreen12 3 3 62" xfId="30213" xr:uid="{7E6D1DA6-1EE7-4047-9E52-89665E8B4266}"/>
    <cellStyle name="AggGreen12 3 3 63" xfId="30630" xr:uid="{B275A802-8C47-4D5A-BA11-607C16C04791}"/>
    <cellStyle name="AggGreen12 3 3 64" xfId="29337" xr:uid="{57E1B119-1BCA-4D7C-8730-B9E139FDAFF0}"/>
    <cellStyle name="AggGreen12 3 3 65" xfId="31246" xr:uid="{33745B47-8E1D-4981-B1F9-E3D971AD7B7E}"/>
    <cellStyle name="AggGreen12 3 3 7" xfId="4029" xr:uid="{66086E6B-1380-41BA-B04D-176D206376DE}"/>
    <cellStyle name="AggGreen12 3 3 8" xfId="4466" xr:uid="{EB61F62F-93D4-491D-AF16-03D1AD7FE421}"/>
    <cellStyle name="AggGreen12 3 3 9" xfId="4781" xr:uid="{104614FC-00C3-4CD3-A8C8-AB7E582307F6}"/>
    <cellStyle name="AggGreen12 4" xfId="262" xr:uid="{31E622B0-E25F-4CBB-9244-D926143FD719}"/>
    <cellStyle name="AggGreen12 4 10" xfId="3552" xr:uid="{5C2893E9-84AB-44BF-B060-45BB961FE7AB}"/>
    <cellStyle name="AggGreen12 4 11" xfId="3485" xr:uid="{D8F04D47-3FEC-4B2F-A59E-DD2C532E1AF7}"/>
    <cellStyle name="AggGreen12 4 12" xfId="3449" xr:uid="{BFB37CE6-5431-47C4-8A7F-16923A61E3B8}"/>
    <cellStyle name="AggGreen12 4 13" xfId="5047" xr:uid="{F4AD783B-3F40-48B7-B4CB-87121FC07946}"/>
    <cellStyle name="AggGreen12 4 14" xfId="5130" xr:uid="{9F7C9ABB-375D-444A-B368-EE54711F4570}"/>
    <cellStyle name="AggGreen12 4 15" xfId="5834" xr:uid="{62C9AFF5-C19A-400C-A65A-49D5D58E57CD}"/>
    <cellStyle name="AggGreen12 4 16" xfId="6451" xr:uid="{05749E91-C03F-4599-B6D0-5AC3F4FB9F05}"/>
    <cellStyle name="AggGreen12 4 17" xfId="6992" xr:uid="{FD893D3F-647F-4E83-87CE-3CAA98AC1144}"/>
    <cellStyle name="AggGreen12 4 18" xfId="7647" xr:uid="{FE397D29-7042-4A7F-8586-E7A7BD801169}"/>
    <cellStyle name="AggGreen12 4 19" xfId="8276" xr:uid="{58653042-9539-4D13-B131-1072BA8952CD}"/>
    <cellStyle name="AggGreen12 4 2" xfId="601" xr:uid="{044FA821-8406-4D6C-8CCB-D8D2E012D1CB}"/>
    <cellStyle name="AggGreen12 4 2 10" xfId="4935" xr:uid="{EB2B8ABC-F033-48F1-9276-FDB250CDBA1A}"/>
    <cellStyle name="AggGreen12 4 2 11" xfId="5249" xr:uid="{AA2F6106-EB37-4EA9-A2D4-5D6326BD98B2}"/>
    <cellStyle name="AggGreen12 4 2 12" xfId="2965" xr:uid="{09DD4C5B-82C5-485A-85F4-D204E30D0955}"/>
    <cellStyle name="AggGreen12 4 2 13" xfId="6320" xr:uid="{C0BD34BC-68D1-4FA0-B824-0C44944B9573}"/>
    <cellStyle name="AggGreen12 4 2 14" xfId="5575" xr:uid="{60555072-8248-4E6D-9E04-C0390CF87AFF}"/>
    <cellStyle name="AggGreen12 4 2 15" xfId="7321" xr:uid="{8DB4D4F7-1BAB-42AA-BD54-C834D0D4C8EE}"/>
    <cellStyle name="AggGreen12 4 2 16" xfId="6923" xr:uid="{10D6D1BA-FC2C-4D67-85A1-D7B3E6F7CE2F}"/>
    <cellStyle name="AggGreen12 4 2 17" xfId="8465" xr:uid="{A7A13595-E80D-4566-8BBE-2CF3FE717C46}"/>
    <cellStyle name="AggGreen12 4 2 18" xfId="8848" xr:uid="{E594B041-3D9E-4F30-A01C-D43188A28D59}"/>
    <cellStyle name="AggGreen12 4 2 19" xfId="9535" xr:uid="{2997C17A-7218-486B-91B6-F83F275E284F}"/>
    <cellStyle name="AggGreen12 4 2 2" xfId="816" xr:uid="{630ED325-8520-4D39-BDF9-F74BFB3F1DBD}"/>
    <cellStyle name="AggGreen12 4 2 2 10" xfId="5464" xr:uid="{03154D76-069F-4532-87B3-6FC6CCCC4C78}"/>
    <cellStyle name="AggGreen12 4 2 2 11" xfId="5784" xr:uid="{973E8AF1-DDC0-464D-A3C2-F673B7B53623}"/>
    <cellStyle name="AggGreen12 4 2 2 12" xfId="5656" xr:uid="{93FE14BF-CF3A-409B-8E57-259420213608}"/>
    <cellStyle name="AggGreen12 4 2 2 13" xfId="6476" xr:uid="{373B8548-7243-467A-B8FC-04CC43928F1D}"/>
    <cellStyle name="AggGreen12 4 2 2 14" xfId="7536" xr:uid="{24BA5E47-EB8A-4DE1-8C61-63C744FE8E85}"/>
    <cellStyle name="AggGreen12 4 2 2 15" xfId="7059" xr:uid="{A6C5A8A2-A38E-4C66-9193-30D7A895D4D3}"/>
    <cellStyle name="AggGreen12 4 2 2 16" xfId="8422" xr:uid="{621EDFBA-CFD7-4270-B93F-8191F1E0B43A}"/>
    <cellStyle name="AggGreen12 4 2 2 17" xfId="7687" xr:uid="{01A2156F-A2D8-4630-B0A6-D3A310A0178F}"/>
    <cellStyle name="AggGreen12 4 2 2 18" xfId="9750" xr:uid="{9AFA564D-3154-4514-B632-8B62A9777FE7}"/>
    <cellStyle name="AggGreen12 4 2 2 19" xfId="9272" xr:uid="{CA41F6F5-DAEB-4DF3-A121-D882606CCD63}"/>
    <cellStyle name="AggGreen12 4 2 2 2" xfId="1290" xr:uid="{C34F5283-97CE-42D7-9F57-04C44845EC36}"/>
    <cellStyle name="AggGreen12 4 2 2 20" xfId="10005" xr:uid="{BDA64D81-D510-4476-90C8-33B32C37D0E7}"/>
    <cellStyle name="AggGreen12 4 2 2 21" xfId="10883" xr:uid="{D09808D5-C686-46DD-BF51-903933846E0F}"/>
    <cellStyle name="AggGreen12 4 2 2 22" xfId="11110" xr:uid="{9B508EA7-60D8-448A-9999-B4458BC914B1}"/>
    <cellStyle name="AggGreen12 4 2 2 23" xfId="12169" xr:uid="{72B4E77F-5FD4-4AA4-A3F3-08722BF47EE8}"/>
    <cellStyle name="AggGreen12 4 2 2 24" xfId="12642" xr:uid="{6B63323E-60F1-4220-B9F6-62D7285B50FA}"/>
    <cellStyle name="AggGreen12 4 2 2 25" xfId="13076" xr:uid="{DFC446CA-239B-4EC1-BEC8-388E573BA5F5}"/>
    <cellStyle name="AggGreen12 4 2 2 26" xfId="13513" xr:uid="{170FC007-3A72-41A3-973F-56396D31D063}"/>
    <cellStyle name="AggGreen12 4 2 2 27" xfId="13932" xr:uid="{0629D466-031F-4C3C-B3BF-F1B7C43EFA5C}"/>
    <cellStyle name="AggGreen12 4 2 2 28" xfId="14432" xr:uid="{BDA58876-2D6C-4D04-B089-8BD90124046B}"/>
    <cellStyle name="AggGreen12 4 2 2 29" xfId="14249" xr:uid="{10880DE4-6D03-4A73-A2D1-DDF8DC047287}"/>
    <cellStyle name="AggGreen12 4 2 2 3" xfId="1419" xr:uid="{7751A398-1DA5-46D1-AF9F-8B15BE9DF07B}"/>
    <cellStyle name="AggGreen12 4 2 2 30" xfId="14732" xr:uid="{AF8C55EF-AB14-4EC8-A0E4-0C5C679638D4}"/>
    <cellStyle name="AggGreen12 4 2 2 31" xfId="15022" xr:uid="{7A1E967F-FB52-4452-B8D2-8DD043A71E0E}"/>
    <cellStyle name="AggGreen12 4 2 2 32" xfId="15523" xr:uid="{71E0D3D1-9BC9-4EAC-86B0-3CA2E90CD48A}"/>
    <cellStyle name="AggGreen12 4 2 2 33" xfId="16861" xr:uid="{BFAF0E2E-4B3C-4DC8-9AAB-CC46FEC0A7F4}"/>
    <cellStyle name="AggGreen12 4 2 2 34" xfId="16381" xr:uid="{ABEEAB4C-8081-4FAF-B471-5A18DB9364FD}"/>
    <cellStyle name="AggGreen12 4 2 2 35" xfId="17121" xr:uid="{5D727C92-62BB-493F-8AFB-AD42688C70FA}"/>
    <cellStyle name="AggGreen12 4 2 2 36" xfId="16050" xr:uid="{512905EC-6DFB-44A5-8BC2-E17BA164F35E}"/>
    <cellStyle name="AggGreen12 4 2 2 37" xfId="18679" xr:uid="{DD162E33-8081-44F2-87EC-6B0561AA432F}"/>
    <cellStyle name="AggGreen12 4 2 2 38" xfId="17134" xr:uid="{224B100F-EB6D-454F-81BE-D4A494338F5C}"/>
    <cellStyle name="AggGreen12 4 2 2 39" xfId="19306" xr:uid="{8BD47952-9778-4675-ABB4-9792BE136451}"/>
    <cellStyle name="AggGreen12 4 2 2 4" xfId="2638" xr:uid="{A27C1FA3-D4D1-4C53-8B88-C744D0335B79}"/>
    <cellStyle name="AggGreen12 4 2 2 40" xfId="20198" xr:uid="{8595C412-B9AC-4C8A-AB51-5F6EB1F1B085}"/>
    <cellStyle name="AggGreen12 4 2 2 41" xfId="19715" xr:uid="{1E9066DC-1FD6-40F5-97A9-31F1ED9A0863}"/>
    <cellStyle name="AggGreen12 4 2 2 42" xfId="20421" xr:uid="{8384BB26-FE7D-4637-85C0-BE9FB08D39E4}"/>
    <cellStyle name="AggGreen12 4 2 2 43" xfId="21032" xr:uid="{03EEBD13-04A7-4C63-AD99-22B5199786EE}"/>
    <cellStyle name="AggGreen12 4 2 2 44" xfId="21474" xr:uid="{4D904D90-755F-481D-B0F7-0F4EE70AF669}"/>
    <cellStyle name="AggGreen12 4 2 2 45" xfId="21418" xr:uid="{80E6D22A-AE17-4ECE-ACD7-2666F60332D4}"/>
    <cellStyle name="AggGreen12 4 2 2 46" xfId="22907" xr:uid="{FB528573-FEA9-44B5-A5F0-E3233BEB4B6B}"/>
    <cellStyle name="AggGreen12 4 2 2 47" xfId="21925" xr:uid="{6A05088A-3F5F-4DF5-9A27-C4D3A6559865}"/>
    <cellStyle name="AggGreen12 4 2 2 48" xfId="23458" xr:uid="{38DF3D15-0264-4C12-B1C1-1D55B13AA866}"/>
    <cellStyle name="AggGreen12 4 2 2 49" xfId="23998" xr:uid="{8BEE9C54-5DB2-4178-AADC-86ECBB995AE6}"/>
    <cellStyle name="AggGreen12 4 2 2 5" xfId="3100" xr:uid="{264948AE-DD48-415F-8DE0-4894E57AC2F4}"/>
    <cellStyle name="AggGreen12 4 2 2 50" xfId="24906" xr:uid="{40A19794-6E9A-48AE-9CFB-657B9E7A2BF3}"/>
    <cellStyle name="AggGreen12 4 2 2 51" xfId="24426" xr:uid="{63C7A928-6F9E-4A75-B768-A1E002571198}"/>
    <cellStyle name="AggGreen12 4 2 2 52" xfId="25822" xr:uid="{F0D0DA7B-A8B5-45A6-AB20-6D851FB9DEC0}"/>
    <cellStyle name="AggGreen12 4 2 2 53" xfId="26189" xr:uid="{0580474B-18D0-4983-8724-5D5F03F10459}"/>
    <cellStyle name="AggGreen12 4 2 2 54" xfId="26624" xr:uid="{B9A9991F-D5E6-496D-8472-870F5B1953B2}"/>
    <cellStyle name="AggGreen12 4 2 2 55" xfId="27110" xr:uid="{127B61FE-E928-4976-B6DF-5EE1E589DD24}"/>
    <cellStyle name="AggGreen12 4 2 2 56" xfId="27529" xr:uid="{446E3836-528B-4F71-8EA0-A1B19765069F}"/>
    <cellStyle name="AggGreen12 4 2 2 57" xfId="26563" xr:uid="{025C2C62-116C-49A1-ACA8-9F1A62D945D7}"/>
    <cellStyle name="AggGreen12 4 2 2 58" xfId="28656" xr:uid="{34541827-EDB6-41F3-8EE8-E6BF822E3DCB}"/>
    <cellStyle name="AggGreen12 4 2 2 59" xfId="29123" xr:uid="{ACE3EC74-55E3-40BF-A8A4-7E81B0CC05DD}"/>
    <cellStyle name="AggGreen12 4 2 2 6" xfId="3574" xr:uid="{7D623F90-BD6E-46E8-B018-BE4AD8166AEC}"/>
    <cellStyle name="AggGreen12 4 2 2 60" xfId="28796" xr:uid="{011E5B3F-7E90-4197-B117-AAF7490AC1A4}"/>
    <cellStyle name="AggGreen12 4 2 2 61" xfId="29912" xr:uid="{30055B8F-CD6E-4D87-AEE6-A3B2433699E5}"/>
    <cellStyle name="AggGreen12 4 2 2 62" xfId="30318" xr:uid="{AE4376ED-8EA0-47F8-A846-65438461EAD9}"/>
    <cellStyle name="AggGreen12 4 2 2 63" xfId="30735" xr:uid="{2219DCE6-D898-47EA-A46A-A884872CDF49}"/>
    <cellStyle name="AggGreen12 4 2 2 64" xfId="28343" xr:uid="{7B2E0D4D-3D84-40D6-9C61-4D0F645E4E6D}"/>
    <cellStyle name="AggGreen12 4 2 2 65" xfId="31351" xr:uid="{F6F54E51-05FB-4E3B-84CB-9C0989F8D817}"/>
    <cellStyle name="AggGreen12 4 2 2 7" xfId="4134" xr:uid="{FDF38063-5677-4420-B491-907EE3ADB718}"/>
    <cellStyle name="AggGreen12 4 2 2 8" xfId="4571" xr:uid="{AA0EA624-9CC2-4F76-A5AB-6DC9DB18FE92}"/>
    <cellStyle name="AggGreen12 4 2 2 9" xfId="4718" xr:uid="{B0F87D0A-1BD7-4EE9-AF14-CAC69EE9B546}"/>
    <cellStyle name="AggGreen12 4 2 20" xfId="9136" xr:uid="{7D58024F-C55C-409E-BADD-DD0E1C75FECB}"/>
    <cellStyle name="AggGreen12 4 2 21" xfId="10168" xr:uid="{ADD9D108-1F02-4335-B9FC-2105C395CC53}"/>
    <cellStyle name="AggGreen12 4 2 22" xfId="10251" xr:uid="{9E230EBE-A242-4247-9C0D-A7CC568D16E6}"/>
    <cellStyle name="AggGreen12 4 2 23" xfId="11069" xr:uid="{AADCC594-6827-4787-A84A-7521A3162139}"/>
    <cellStyle name="AggGreen12 4 2 24" xfId="11954" xr:uid="{EB10AD6D-18F1-41B0-A231-B3D82393AFEE}"/>
    <cellStyle name="AggGreen12 4 2 25" xfId="12427" xr:uid="{9D83EC4B-8DE0-43C5-B54E-BEE8D6B5AEB2}"/>
    <cellStyle name="AggGreen12 4 2 26" xfId="12861" xr:uid="{B793395E-D683-49A5-9A8F-2A1C076DAF46}"/>
    <cellStyle name="AggGreen12 4 2 27" xfId="13298" xr:uid="{DBE5F0C2-F73E-486C-81F6-161799EBAB8D}"/>
    <cellStyle name="AggGreen12 4 2 28" xfId="11539" xr:uid="{1E41F72F-209C-46A2-B9D7-E07AD2875B26}"/>
    <cellStyle name="AggGreen12 4 2 29" xfId="14150" xr:uid="{F7A0766C-3B2F-4DD3-B944-0A93353800EB}"/>
    <cellStyle name="AggGreen12 4 2 3" xfId="1084" xr:uid="{DB3D6027-074B-41BF-A378-9C6BC0923E52}"/>
    <cellStyle name="AggGreen12 4 2 30" xfId="14735" xr:uid="{FCB62223-1166-48C5-A6C1-D1A358759F59}"/>
    <cellStyle name="AggGreen12 4 2 31" xfId="15089" xr:uid="{48C5427B-2E61-4F81-876F-76FF435B8D58}"/>
    <cellStyle name="AggGreen12 4 2 32" xfId="15430" xr:uid="{0E35A627-A202-4BF2-BF57-1A063BF1D194}"/>
    <cellStyle name="AggGreen12 4 2 33" xfId="15507" xr:uid="{B0C59D1E-2ADE-4859-A153-BE49A5080AF0}"/>
    <cellStyle name="AggGreen12 4 2 34" xfId="16646" xr:uid="{0AB2203B-14CB-4C04-81BB-6569A474AED0}"/>
    <cellStyle name="AggGreen12 4 2 35" xfId="16240" xr:uid="{9044A24D-D73E-4F9B-AED4-0413E13BFC59}"/>
    <cellStyle name="AggGreen12 4 2 36" xfId="17288" xr:uid="{130A745D-78B5-4166-A339-27B4DA1E5A7A}"/>
    <cellStyle name="AggGreen12 4 2 37" xfId="17003" xr:uid="{4894CBCC-0A54-491E-856D-ADC20265C2F5}"/>
    <cellStyle name="AggGreen12 4 2 38" xfId="18464" xr:uid="{33CACAB5-B8BD-440E-A531-A5E08CE939C6}"/>
    <cellStyle name="AggGreen12 4 2 39" xfId="18998" xr:uid="{7706EF66-525B-4018-85C2-2AADE227A418}"/>
    <cellStyle name="AggGreen12 4 2 4" xfId="1719" xr:uid="{88682BAE-4552-4735-999A-54E7D075FFD0}"/>
    <cellStyle name="AggGreen12 4 2 40" xfId="19052" xr:uid="{CE5F055D-8FA7-47A8-B483-03499CD7DB62}"/>
    <cellStyle name="AggGreen12 4 2 41" xfId="19983" xr:uid="{6A37D9B7-8ABE-4CCD-AC85-AB41FA68877F}"/>
    <cellStyle name="AggGreen12 4 2 42" xfId="19573" xr:uid="{082AF45B-7827-4B2C-B074-7092ECEE0B2B}"/>
    <cellStyle name="AggGreen12 4 2 43" xfId="19736" xr:uid="{4DC746F6-2140-40BF-97C4-38D74EF58440}"/>
    <cellStyle name="AggGreen12 4 2 44" xfId="21263" xr:uid="{A0148A65-0D49-4FF8-ACE4-925E97A6A0FD}"/>
    <cellStyle name="AggGreen12 4 2 45" xfId="20875" xr:uid="{9757F4CE-EF1D-4E8C-9B61-909335EF3E47}"/>
    <cellStyle name="AggGreen12 4 2 46" xfId="22025" xr:uid="{8225D0AA-9C9E-424C-A614-2592180C746A}"/>
    <cellStyle name="AggGreen12 4 2 47" xfId="22509" xr:uid="{4AF539CE-0104-43B8-A661-7DFDE44C88C4}"/>
    <cellStyle name="AggGreen12 4 2 48" xfId="23280" xr:uid="{91C1DB7B-BB5B-451C-9504-08245D2AFD53}"/>
    <cellStyle name="AggGreen12 4 2 49" xfId="23103" xr:uid="{78E002B5-E55B-48DB-ABF5-357B16ABE4AF}"/>
    <cellStyle name="AggGreen12 4 2 5" xfId="2423" xr:uid="{F79E4A13-2A15-4C41-AB96-7B81D72C01B5}"/>
    <cellStyle name="AggGreen12 4 2 50" xfId="23792" xr:uid="{D1E534AE-1577-4D76-A4EC-BF9DA2B6888D}"/>
    <cellStyle name="AggGreen12 4 2 51" xfId="24691" xr:uid="{1D2CDB6C-63C3-4F56-885A-A272F677F5DA}"/>
    <cellStyle name="AggGreen12 4 2 52" xfId="24294" xr:uid="{9DD89C53-54F4-4043-809D-8F4563EBBF56}"/>
    <cellStyle name="AggGreen12 4 2 53" xfId="25609" xr:uid="{5BDE9FAD-0909-4A91-8DDB-29BE05A4D867}"/>
    <cellStyle name="AggGreen12 4 2 54" xfId="24509" xr:uid="{CD5BD21D-E86E-4441-AFB5-5D292A2EB482}"/>
    <cellStyle name="AggGreen12 4 2 55" xfId="25063" xr:uid="{9F884E1C-FD18-4D9B-851E-55E1D68E2D79}"/>
    <cellStyle name="AggGreen12 4 2 56" xfId="26899" xr:uid="{D96CCAD4-FD60-4810-9ABB-5DA213C2BF5D}"/>
    <cellStyle name="AggGreen12 4 2 57" xfId="27318" xr:uid="{DA712416-DF3F-4554-961E-5770E0FB5DC2}"/>
    <cellStyle name="AggGreen12 4 2 58" xfId="27651" xr:uid="{56440F93-3B0D-4383-9A86-342DB9EA8D14}"/>
    <cellStyle name="AggGreen12 4 2 59" xfId="28441" xr:uid="{6EAEE384-A33A-4838-8C8B-DE069EF985B2}"/>
    <cellStyle name="AggGreen12 4 2 6" xfId="1996" xr:uid="{46D5E69D-7E4C-4D4D-A16D-7315E514E281}"/>
    <cellStyle name="AggGreen12 4 2 60" xfId="28909" xr:uid="{D5871BE0-61E1-4B6A-891D-E00156FD9A74}"/>
    <cellStyle name="AggGreen12 4 2 61" xfId="28059" xr:uid="{0575990A-02C8-44CE-BDE1-18AA0F5A6F08}"/>
    <cellStyle name="AggGreen12 4 2 62" xfId="29699" xr:uid="{66F9AFD9-1234-4402-841C-04F839C245A3}"/>
    <cellStyle name="AggGreen12 4 2 63" xfId="30107" xr:uid="{D0AD3797-D10B-40A3-BEE4-A3594617AD79}"/>
    <cellStyle name="AggGreen12 4 2 64" xfId="30521" xr:uid="{ED54336D-BA6C-47BB-ACE2-6D0AB2613C0F}"/>
    <cellStyle name="AggGreen12 4 2 65" xfId="30872" xr:uid="{07780774-328A-4A50-917D-1522141FE445}"/>
    <cellStyle name="AggGreen12 4 2 66" xfId="31145" xr:uid="{55EB78B2-06FB-46A6-9D6E-57BCF9213DC1}"/>
    <cellStyle name="AggGreen12 4 2 7" xfId="3423" xr:uid="{43B4F66B-6A2F-4012-B9D2-4FD3707854A3}"/>
    <cellStyle name="AggGreen12 4 2 8" xfId="3919" xr:uid="{44504666-FFAA-429C-961F-3E9FED5F74F8}"/>
    <cellStyle name="AggGreen12 4 2 9" xfId="4357" xr:uid="{39B7A680-EBC7-40AC-A033-C2BE56897D62}"/>
    <cellStyle name="AggGreen12 4 20" xfId="8096" xr:uid="{137ADF5E-D15C-457F-8306-062831FA3B8F}"/>
    <cellStyle name="AggGreen12 4 21" xfId="9206" xr:uid="{F62140C2-3B27-4C48-B684-8B6BF40C87FE}"/>
    <cellStyle name="AggGreen12 4 22" xfId="9857" xr:uid="{5C207036-175B-48C9-8410-7503EF9CDC87}"/>
    <cellStyle name="AggGreen12 4 23" xfId="10300" xr:uid="{B900B2ED-1990-4A68-BB26-4127BCB05B09}"/>
    <cellStyle name="AggGreen12 4 24" xfId="10910" xr:uid="{A01CDCE7-406F-43B7-826B-09D438734733}"/>
    <cellStyle name="AggGreen12 4 25" xfId="11282" xr:uid="{46221AD2-55B1-4071-B1D1-7A71E41A589D}"/>
    <cellStyle name="AggGreen12 4 26" xfId="11618" xr:uid="{D8D62260-3155-415B-A28E-2FC7376D9914}"/>
    <cellStyle name="AggGreen12 4 27" xfId="11484" xr:uid="{DEA51027-2646-4CBF-A7E1-18EE6EACB5F8}"/>
    <cellStyle name="AggGreen12 4 28" xfId="12717" xr:uid="{3B20E080-4C5B-4C44-A267-B660EA162F2E}"/>
    <cellStyle name="AggGreen12 4 29" xfId="11767" xr:uid="{BAF5ECB8-087F-4A66-AA47-422A774F2ED5}"/>
    <cellStyle name="AggGreen12 4 3" xfId="653" xr:uid="{AAD2EDE7-F3ED-4A6B-9F67-19491EF26994}"/>
    <cellStyle name="AggGreen12 4 3 10" xfId="3334" xr:uid="{21E205AE-6913-43F3-B557-5C82ABF4C92F}"/>
    <cellStyle name="AggGreen12 4 3 11" xfId="5301" xr:uid="{E5511464-33C5-4120-8D8E-14A10D4E976F}"/>
    <cellStyle name="AggGreen12 4 3 12" xfId="2121" xr:uid="{EC8DDBA2-0BB6-4F5B-A726-48A74744EF55}"/>
    <cellStyle name="AggGreen12 4 3 13" xfId="6073" xr:uid="{2BAB7EAE-6429-4D49-BC5F-B21DDD4977F8}"/>
    <cellStyle name="AggGreen12 4 3 14" xfId="6618" xr:uid="{FBE31EF1-348F-4E63-9E72-07E90F2479B0}"/>
    <cellStyle name="AggGreen12 4 3 15" xfId="7373" xr:uid="{9A00EBAF-0AB8-4C2B-8CD5-A6679D42D747}"/>
    <cellStyle name="AggGreen12 4 3 16" xfId="6818" xr:uid="{FBB1DFEA-3004-4D6F-982C-DB93018B62BC}"/>
    <cellStyle name="AggGreen12 4 3 17" xfId="8609" xr:uid="{E20DB3BA-E32A-4A0A-8CB2-D3289336EE60}"/>
    <cellStyle name="AggGreen12 4 3 18" xfId="8371" xr:uid="{1FD755A8-93D4-46C4-B1ED-0399027D4690}"/>
    <cellStyle name="AggGreen12 4 3 19" xfId="9587" xr:uid="{953A51D5-4792-47FD-9EFF-EFDEDEB75A48}"/>
    <cellStyle name="AggGreen12 4 3 2" xfId="868" xr:uid="{40713929-9F93-441F-B0ED-31DEC22CE183}"/>
    <cellStyle name="AggGreen12 4 3 2 10" xfId="5516" xr:uid="{2912C25E-214D-4CE0-8469-716E33A94DAE}"/>
    <cellStyle name="AggGreen12 4 3 2 11" xfId="5030" xr:uid="{3C8A6527-D212-48DD-AAC4-EBC49C842669}"/>
    <cellStyle name="AggGreen12 4 3 2 12" xfId="6333" xr:uid="{578DB8AA-1DBB-4400-885C-C29E44A2B930}"/>
    <cellStyle name="AggGreen12 4 3 2 13" xfId="6147" xr:uid="{781C5831-167B-4F6D-8ED1-238C70DDA6E8}"/>
    <cellStyle name="AggGreen12 4 3 2 14" xfId="7588" xr:uid="{9C8FC909-06D4-480F-9E45-390F266E4EC4}"/>
    <cellStyle name="AggGreen12 4 3 2 15" xfId="6899" xr:uid="{26F62D92-31C8-49C0-A6B0-AA9126CE8FBC}"/>
    <cellStyle name="AggGreen12 4 3 2 16" xfId="8661" xr:uid="{4F5A1EB8-6752-407C-8462-5C92FD698541}"/>
    <cellStyle name="AggGreen12 4 3 2 17" xfId="8794" xr:uid="{91FB6F1C-E5B6-4F36-A312-B01B4370DE45}"/>
    <cellStyle name="AggGreen12 4 3 2 18" xfId="9802" xr:uid="{C96BE886-BC96-46D0-A668-174F532303A9}"/>
    <cellStyle name="AggGreen12 4 3 2 19" xfId="9113" xr:uid="{92F10126-F1B4-49E2-A90A-CF5B7CD0FA4A}"/>
    <cellStyle name="AggGreen12 4 3 2 2" xfId="1342" xr:uid="{5766724B-D9EA-4F6F-A318-F2504081E7A3}"/>
    <cellStyle name="AggGreen12 4 3 2 20" xfId="10189" xr:uid="{D8D88CCB-223A-44B3-BB0B-2A50E115AAB9}"/>
    <cellStyle name="AggGreen12 4 3 2 21" xfId="10822" xr:uid="{2F69F00D-209C-43BE-B7F8-44D504257267}"/>
    <cellStyle name="AggGreen12 4 3 2 22" xfId="11071" xr:uid="{E3667863-A18F-4F99-86F1-BA2448A53FEE}"/>
    <cellStyle name="AggGreen12 4 3 2 23" xfId="12221" xr:uid="{52AA8C00-C4F3-481D-86E7-D897AB1DA56B}"/>
    <cellStyle name="AggGreen12 4 3 2 24" xfId="12694" xr:uid="{AB7D2B20-8B9C-4847-B9E8-8C7186E07C02}"/>
    <cellStyle name="AggGreen12 4 3 2 25" xfId="13128" xr:uid="{15C65AD9-12F7-4726-85C2-8FFA778E9F90}"/>
    <cellStyle name="AggGreen12 4 3 2 26" xfId="13565" xr:uid="{CC8C82C6-AEF9-4861-8E91-34789147186B}"/>
    <cellStyle name="AggGreen12 4 3 2 27" xfId="11779" xr:uid="{F694D946-87AB-44EE-946D-BF79B0EE3181}"/>
    <cellStyle name="AggGreen12 4 3 2 28" xfId="14484" xr:uid="{8D0B800F-92ED-4C0F-A28B-2D18872300F6}"/>
    <cellStyle name="AggGreen12 4 3 2 29" xfId="14119" xr:uid="{6ECCB10B-B550-4212-A638-57A00D15B250}"/>
    <cellStyle name="AggGreen12 4 3 2 3" xfId="1791" xr:uid="{F87309E9-BACC-4000-B768-A8F352F1A150}"/>
    <cellStyle name="AggGreen12 4 3 2 30" xfId="14948" xr:uid="{7F67F37F-729A-4F74-B948-C351C29359D2}"/>
    <cellStyle name="AggGreen12 4 3 2 31" xfId="14520" xr:uid="{7EB7979B-C6E7-4D5C-AEE0-BAEFCAAA5161}"/>
    <cellStyle name="AggGreen12 4 3 2 32" xfId="15463" xr:uid="{95C9625E-3007-4198-89CD-87756D9BF57E}"/>
    <cellStyle name="AggGreen12 4 3 2 33" xfId="16913" xr:uid="{5EDB1B24-0FB4-4EE2-8522-FBFF7168E9AF}"/>
    <cellStyle name="AggGreen12 4 3 2 34" xfId="16216" xr:uid="{FCAF752A-D3ED-4E6F-B7D3-F6AAD84F895F}"/>
    <cellStyle name="AggGreen12 4 3 2 35" xfId="17310" xr:uid="{4A77B2F1-A1E8-40A2-A835-86BDFB3B656C}"/>
    <cellStyle name="AggGreen12 4 3 2 36" xfId="18030" xr:uid="{75C3F38D-BCF1-4E99-8BFF-CE794E8281E8}"/>
    <cellStyle name="AggGreen12 4 3 2 37" xfId="18731" xr:uid="{951754C0-2556-47D3-9B74-0CDC501219EE}"/>
    <cellStyle name="AggGreen12 4 3 2 38" xfId="18925" xr:uid="{F91FB540-D6AB-4D2D-BC8C-14DAC8C8C143}"/>
    <cellStyle name="AggGreen12 4 3 2 39" xfId="19080" xr:uid="{855ED258-F305-408C-975D-73A1B5B797D9}"/>
    <cellStyle name="AggGreen12 4 3 2 4" xfId="2690" xr:uid="{2568663D-AAB3-47F8-A0B2-6BF88599CCF7}"/>
    <cellStyle name="AggGreen12 4 3 2 40" xfId="20250" xr:uid="{52CC6FFE-88C1-4724-97E4-2FA368C45824}"/>
    <cellStyle name="AggGreen12 4 3 2 41" xfId="19549" xr:uid="{80946F56-ED23-4314-9A3A-015D35294038}"/>
    <cellStyle name="AggGreen12 4 3 2 42" xfId="20657" xr:uid="{E6B5BA32-4FD3-436A-B1DB-8E39D671CAAE}"/>
    <cellStyle name="AggGreen12 4 3 2 43" xfId="21532" xr:uid="{3B59477D-6CB2-4420-BDD1-E30191505DFA}"/>
    <cellStyle name="AggGreen12 4 3 2 44" xfId="21531" xr:uid="{146535A1-2863-4EDE-95FF-D4DD1F24B161}"/>
    <cellStyle name="AggGreen12 4 3 2 45" xfId="22053" xr:uid="{73DAB958-1705-4C1E-B0D7-3063E4571FED}"/>
    <cellStyle name="AggGreen12 4 3 2 46" xfId="22393" xr:uid="{B62745A1-0867-4668-8536-3916757D1D92}"/>
    <cellStyle name="AggGreen12 4 3 2 47" xfId="23209" xr:uid="{1EA98A8E-E929-4CE4-82E4-F9CD8CEECA69}"/>
    <cellStyle name="AggGreen12 4 3 2 48" xfId="23631" xr:uid="{B270C012-7101-4F47-B0F1-39C310C795C5}"/>
    <cellStyle name="AggGreen12 4 3 2 49" xfId="24050" xr:uid="{64B0A10A-AD8F-4420-8C5A-ECCF4F0BEB74}"/>
    <cellStyle name="AggGreen12 4 3 2 5" xfId="2182" xr:uid="{DFECAAED-E9FC-4095-B2C2-794C674C600A}"/>
    <cellStyle name="AggGreen12 4 3 2 50" xfId="24958" xr:uid="{9ED7EF7C-75B6-4C21-A08F-17D32B5E6073}"/>
    <cellStyle name="AggGreen12 4 3 2 51" xfId="24107" xr:uid="{B18B3826-9F3F-4622-BE8F-CE71D8C95D57}"/>
    <cellStyle name="AggGreen12 4 3 2 52" xfId="25874" xr:uid="{B6BAABCD-C66D-48ED-8364-F219FEE9EE6C}"/>
    <cellStyle name="AggGreen12 4 3 2 53" xfId="26145" xr:uid="{BFA3C950-38A9-4B93-8CA9-E7D74CC253E2}"/>
    <cellStyle name="AggGreen12 4 3 2 54" xfId="26741" xr:uid="{FA3557E3-3389-46A8-A5DD-934FD10789CE}"/>
    <cellStyle name="AggGreen12 4 3 2 55" xfId="27162" xr:uid="{9E528823-88C5-494A-9ED1-F4B2D6FCACD1}"/>
    <cellStyle name="AggGreen12 4 3 2 56" xfId="27581" xr:uid="{DE7F3551-3AF1-4ACC-8F14-8137A1EE45BE}"/>
    <cellStyle name="AggGreen12 4 3 2 57" xfId="26683" xr:uid="{852848B5-3AFF-4D2D-97CF-1E30FF4CF43F}"/>
    <cellStyle name="AggGreen12 4 3 2 58" xfId="28708" xr:uid="{84D99888-105A-4B50-A13F-0562EC7E92AB}"/>
    <cellStyle name="AggGreen12 4 3 2 59" xfId="29175" xr:uid="{58557E51-ADFD-49A2-90B4-A60BCF7488B7}"/>
    <cellStyle name="AggGreen12 4 3 2 6" xfId="3765" xr:uid="{2CDB2A43-CA9B-4C43-B0D5-D8F38B438BD5}"/>
    <cellStyle name="AggGreen12 4 3 2 60" xfId="28346" xr:uid="{6E76A413-FFE8-4D1B-8770-22F83B4FDED6}"/>
    <cellStyle name="AggGreen12 4 3 2 61" xfId="29964" xr:uid="{18702337-869E-4DAD-AD02-E5F79290FE38}"/>
    <cellStyle name="AggGreen12 4 3 2 62" xfId="30370" xr:uid="{C98D54BB-BF1E-456B-ADB5-32009CBEB306}"/>
    <cellStyle name="AggGreen12 4 3 2 63" xfId="30787" xr:uid="{0B738A55-E2E9-41E1-B62C-233209557A55}"/>
    <cellStyle name="AggGreen12 4 3 2 64" xfId="31032" xr:uid="{B2CD3C3A-D1D8-4CDF-A717-669AD1B5D990}"/>
    <cellStyle name="AggGreen12 4 3 2 65" xfId="31403" xr:uid="{73A4CEDB-AA11-47E6-A962-05932DA8B3F2}"/>
    <cellStyle name="AggGreen12 4 3 2 7" xfId="4186" xr:uid="{77EFF0DA-BABF-424E-9039-735CF2D7713E}"/>
    <cellStyle name="AggGreen12 4 3 2 8" xfId="4623" xr:uid="{70FA8E7D-2653-48C7-9FD7-A54439BA0133}"/>
    <cellStyle name="AggGreen12 4 3 2 9" xfId="5069" xr:uid="{0D36DEF5-A07F-4FCD-A908-5015CB0BF18D}"/>
    <cellStyle name="AggGreen12 4 3 20" xfId="9033" xr:uid="{7A8ABDA9-AC00-4389-AC10-6434D3129A5E}"/>
    <cellStyle name="AggGreen12 4 3 21" xfId="10008" xr:uid="{9BC89209-7098-4731-BEBB-83ECBA62A072}"/>
    <cellStyle name="AggGreen12 4 3 22" xfId="10916" xr:uid="{C3A01E9C-24A3-4734-A122-46D0E0D5C5CB}"/>
    <cellStyle name="AggGreen12 4 3 23" xfId="10953" xr:uid="{4AED989B-3894-46CD-B194-DCE5A8E8F6DB}"/>
    <cellStyle name="AggGreen12 4 3 24" xfId="12006" xr:uid="{4BB3C9A4-1716-419C-AAEE-9EA4978943E8}"/>
    <cellStyle name="AggGreen12 4 3 25" xfId="12479" xr:uid="{38642759-09F8-4198-997D-6EA6800046D0}"/>
    <cellStyle name="AggGreen12 4 3 26" xfId="12913" xr:uid="{2CA98622-68A5-4A87-ADD3-D1ABFA862995}"/>
    <cellStyle name="AggGreen12 4 3 27" xfId="13350" xr:uid="{A1BED3E3-15A3-4B7E-8DF1-F23CF05C3B0D}"/>
    <cellStyle name="AggGreen12 4 3 28" xfId="13861" xr:uid="{3575AD05-761E-4E90-BA56-1A57102CBDA5}"/>
    <cellStyle name="AggGreen12 4 3 29" xfId="14325" xr:uid="{A245B011-A56E-4DD8-A509-E6A431422A6D}"/>
    <cellStyle name="AggGreen12 4 3 3" xfId="1136" xr:uid="{794AAD20-9CAE-4184-A6F5-C842892D94E5}"/>
    <cellStyle name="AggGreen12 4 3 30" xfId="13740" xr:uid="{2E7D9F9D-57A9-4CCC-948F-27BE6E9DBCA8}"/>
    <cellStyle name="AggGreen12 4 3 31" xfId="15270" xr:uid="{EFB46912-35B6-4427-B4B1-490830E19485}"/>
    <cellStyle name="AggGreen12 4 3 32" xfId="15467" xr:uid="{B27242B5-F6F8-493A-8183-7AB34AF5D298}"/>
    <cellStyle name="AggGreen12 4 3 33" xfId="15707" xr:uid="{D8685619-FCEE-4C37-B4AB-930EAF1614A9}"/>
    <cellStyle name="AggGreen12 4 3 34" xfId="16698" xr:uid="{D6508516-7E2C-44D7-A5F2-AC200ECB354C}"/>
    <cellStyle name="AggGreen12 4 3 35" xfId="16130" xr:uid="{54F96468-E8E8-48AD-8A09-A180FF1ED664}"/>
    <cellStyle name="AggGreen12 4 3 36" xfId="17124" xr:uid="{DB93E708-42BB-4099-B6CC-6EE534578813}"/>
    <cellStyle name="AggGreen12 4 3 37" xfId="17127" xr:uid="{ACF5D74B-DD26-4B5E-8EF1-D16D7283792F}"/>
    <cellStyle name="AggGreen12 4 3 38" xfId="18516" xr:uid="{45D3E7FB-118D-40BD-B75C-A83E1EDD5684}"/>
    <cellStyle name="AggGreen12 4 3 39" xfId="18345" xr:uid="{31EC636A-93F0-48A0-B035-C00A3FD569F8}"/>
    <cellStyle name="AggGreen12 4 3 4" xfId="1662" xr:uid="{C6F60D8F-93F9-4F75-97A9-56F70327C212}"/>
    <cellStyle name="AggGreen12 4 3 40" xfId="19273" xr:uid="{F596026E-CE91-4A97-9B7C-719C17A6F8B2}"/>
    <cellStyle name="AggGreen12 4 3 41" xfId="20035" xr:uid="{BCC989B0-F612-48C7-A616-8D6259E5F790}"/>
    <cellStyle name="AggGreen12 4 3 42" xfId="19463" xr:uid="{05BBAE24-6F65-42D7-84E6-7DD06179976E}"/>
    <cellStyle name="AggGreen12 4 3 43" xfId="20405" xr:uid="{CDCAECED-A52B-4118-B201-1B6DACE50943}"/>
    <cellStyle name="AggGreen12 4 3 44" xfId="20988" xr:uid="{D55F16D1-3FF3-4ED3-BE5E-5D9E6B0C498D}"/>
    <cellStyle name="AggGreen12 4 3 45" xfId="21323" xr:uid="{0148A6E6-FC61-4B6C-97B3-B5AFDBFE459D}"/>
    <cellStyle name="AggGreen12 4 3 46" xfId="21929" xr:uid="{2F487098-FB24-407A-B924-1A34DA903591}"/>
    <cellStyle name="AggGreen12 4 3 47" xfId="22844" xr:uid="{649477A8-E940-41E2-BA1B-41C27661E4EA}"/>
    <cellStyle name="AggGreen12 4 3 48" xfId="22898" xr:uid="{F052F641-9FC1-4024-852A-89CBA24B6CFE}"/>
    <cellStyle name="AggGreen12 4 3 49" xfId="23484" xr:uid="{8FC4B414-D0DA-4596-B1D8-2FA783D582BD}"/>
    <cellStyle name="AggGreen12 4 3 5" xfId="2475" xr:uid="{5EF39151-9DCF-41F8-90B5-B4613A0A3DA5}"/>
    <cellStyle name="AggGreen12 4 3 50" xfId="23844" xr:uid="{94BC4D06-1855-482A-94F9-A63A578772BC}"/>
    <cellStyle name="AggGreen12 4 3 51" xfId="24743" xr:uid="{C84D7E20-F6F7-4EA2-AF48-B65B8A766864}"/>
    <cellStyle name="AggGreen12 4 3 52" xfId="24184" xr:uid="{7C71DF4B-2547-47E0-82F0-16D48803D463}"/>
    <cellStyle name="AggGreen12 4 3 53" xfId="25661" xr:uid="{369A832B-2DC9-4CCA-A37F-3BE492168A5A}"/>
    <cellStyle name="AggGreen12 4 3 54" xfId="26149" xr:uid="{B40F3D91-C3B9-4F26-85B5-4BEC002D0369}"/>
    <cellStyle name="AggGreen12 4 3 55" xfId="25227" xr:uid="{EF6FC44B-5CE9-4F29-A7CC-92CB48518D51}"/>
    <cellStyle name="AggGreen12 4 3 56" xfId="26951" xr:uid="{76A2718F-89AF-4B44-A0CF-21D50939B19F}"/>
    <cellStyle name="AggGreen12 4 3 57" xfId="27370" xr:uid="{4CE40A07-116C-4CE2-AB4C-4B00531EB790}"/>
    <cellStyle name="AggGreen12 4 3 58" xfId="27683" xr:uid="{18A217F5-8D16-4F71-A725-E877D0F955CE}"/>
    <cellStyle name="AggGreen12 4 3 59" xfId="28493" xr:uid="{A1626215-8A52-4999-BFC0-2C24A9730A7F}"/>
    <cellStyle name="AggGreen12 4 3 6" xfId="3027" xr:uid="{39EBDF47-3F2E-4EBE-96C7-EB358ABF7191}"/>
    <cellStyle name="AggGreen12 4 3 60" xfId="28961" xr:uid="{D993624D-98CC-4CB7-9A3D-64321E952A44}"/>
    <cellStyle name="AggGreen12 4 3 61" xfId="28750" xr:uid="{B539BE7C-0B69-48B0-9990-0C9C46325206}"/>
    <cellStyle name="AggGreen12 4 3 62" xfId="29751" xr:uid="{4592164C-8623-4BD1-B9DC-E6AD7626C9CC}"/>
    <cellStyle name="AggGreen12 4 3 63" xfId="30159" xr:uid="{41D0E3E7-BFEE-411F-8DB8-F31333EA9674}"/>
    <cellStyle name="AggGreen12 4 3 64" xfId="30573" xr:uid="{8D32534A-0EDD-49D4-90FC-94DCF251EA4F}"/>
    <cellStyle name="AggGreen12 4 3 65" xfId="30981" xr:uid="{2F097254-F9E7-4173-AAB4-91EE40C42BC2}"/>
    <cellStyle name="AggGreen12 4 3 66" xfId="31197" xr:uid="{792DC590-D8E0-4DC4-A219-804A4CCD5F08}"/>
    <cellStyle name="AggGreen12 4 3 7" xfId="3703" xr:uid="{9D3D3396-607E-48E6-94B2-C3161455C301}"/>
    <cellStyle name="AggGreen12 4 3 8" xfId="3971" xr:uid="{19C45565-E61D-4479-9674-AE34A7BF827C}"/>
    <cellStyle name="AggGreen12 4 3 9" xfId="4409" xr:uid="{207825F5-B6E4-4A95-9B75-43BCEBB06F4E}"/>
    <cellStyle name="AggGreen12 4 30" xfId="11793" xr:uid="{EC674996-B045-4947-8863-691927C0CB98}"/>
    <cellStyle name="AggGreen12 4 31" xfId="11785" xr:uid="{6A6BD94E-E3C9-4536-9CC2-B20B9D45DAD5}"/>
    <cellStyle name="AggGreen12 4 32" xfId="13665" xr:uid="{94D72EE9-20FD-4DEF-A923-96F8BFE2F374}"/>
    <cellStyle name="AggGreen12 4 33" xfId="15198" xr:uid="{2D9FE3EA-6E52-4F0E-91D7-22551B371CFB}"/>
    <cellStyle name="AggGreen12 4 34" xfId="15736" xr:uid="{89454246-F8C7-4BB9-BB54-6EE184133E1C}"/>
    <cellStyle name="AggGreen12 4 35" xfId="15154" xr:uid="{5BD2AC93-1A41-4D1B-A60D-D68130C28CE8}"/>
    <cellStyle name="AggGreen12 4 36" xfId="16313" xr:uid="{815A5ABE-D10B-4890-836F-BFD620980ECC}"/>
    <cellStyle name="AggGreen12 4 37" xfId="16973" xr:uid="{0D09A592-D5AE-4710-9D6D-595B63F50B41}"/>
    <cellStyle name="AggGreen12 4 38" xfId="17424" xr:uid="{CF4116D9-0FCB-4023-9668-E84CECA5BFC3}"/>
    <cellStyle name="AggGreen12 4 39" xfId="17239" xr:uid="{48B19E67-864D-44DA-BBF9-A959C8E1711C}"/>
    <cellStyle name="AggGreen12 4 4" xfId="664" xr:uid="{22471F15-5F48-4126-8B29-3073D31CEA6C}"/>
    <cellStyle name="AggGreen12 4 4 10" xfId="1856" xr:uid="{71DF16CC-101D-419B-8E6E-35C161A977E7}"/>
    <cellStyle name="AggGreen12 4 4 11" xfId="5312" xr:uid="{0491CBCA-5408-4144-BFBE-59E7515E0444}"/>
    <cellStyle name="AggGreen12 4 4 12" xfId="5155" xr:uid="{763CA9C3-E6E1-4400-AC9F-BDB3D156C0A1}"/>
    <cellStyle name="AggGreen12 4 4 13" xfId="6294" xr:uid="{21E15510-6ECD-43A3-903C-6A6958F9E14C}"/>
    <cellStyle name="AggGreen12 4 4 14" xfId="6070" xr:uid="{C7568B9A-D019-42B7-8EA1-3C4CC6610933}"/>
    <cellStyle name="AggGreen12 4 4 15" xfId="7384" xr:uid="{BF460671-021E-4359-8DEF-C01003B85102}"/>
    <cellStyle name="AggGreen12 4 4 16" xfId="7888" xr:uid="{EAD219DD-CABA-4860-BA3F-118D282E57A2}"/>
    <cellStyle name="AggGreen12 4 4 17" xfId="8447" xr:uid="{A89DA7E4-8F9B-4049-A339-A996FB7411E7}"/>
    <cellStyle name="AggGreen12 4 4 18" xfId="8114" xr:uid="{58A08616-07CF-4C43-87BD-B4AEFC72FED1}"/>
    <cellStyle name="AggGreen12 4 4 19" xfId="9598" xr:uid="{74AF5BBD-F8BD-4D86-9C9E-F5F14DF97020}"/>
    <cellStyle name="AggGreen12 4 4 2" xfId="879" xr:uid="{AC3E1F07-34DA-4A2F-929D-BFFBED741C90}"/>
    <cellStyle name="AggGreen12 4 4 2 10" xfId="5527" xr:uid="{2ACE5F86-F0BA-4E98-9578-8B5BF54E4E75}"/>
    <cellStyle name="AggGreen12 4 4 2 11" xfId="6021" xr:uid="{D6CC794E-0DD8-4FA8-B051-3D488454A684}"/>
    <cellStyle name="AggGreen12 4 4 2 12" xfId="6380" xr:uid="{17AD0CB6-3A84-4F98-AE86-5483D1911474}"/>
    <cellStyle name="AggGreen12 4 4 2 13" xfId="6718" xr:uid="{16874CBA-6A8C-42B6-A4EF-2FD8B0693698}"/>
    <cellStyle name="AggGreen12 4 4 2 14" xfId="7599" xr:uid="{CBEFFF94-1344-475B-9FA2-0880B54ED6AC}"/>
    <cellStyle name="AggGreen12 4 4 2 15" xfId="8063" xr:uid="{16E08EB3-5B78-49E7-97C2-A8B178B7ED33}"/>
    <cellStyle name="AggGreen12 4 4 2 16" xfId="8672" xr:uid="{518E3561-332D-496A-A0A9-DDE497322A9A}"/>
    <cellStyle name="AggGreen12 4 4 2 17" xfId="8931" xr:uid="{BDCFEAC2-02B6-40A3-A249-B81F87A39FC4}"/>
    <cellStyle name="AggGreen12 4 4 2 18" xfId="9813" xr:uid="{CB46D8D6-05F5-4FDB-BACA-BB0EEFE5FBFE}"/>
    <cellStyle name="AggGreen12 4 4 2 19" xfId="10282" xr:uid="{C0E7D683-0620-4DE0-9FA5-4FB8D1E92BA4}"/>
    <cellStyle name="AggGreen12 4 4 2 2" xfId="1353" xr:uid="{2D199D63-2BBA-4E50-8FF8-8BDC490252F5}"/>
    <cellStyle name="AggGreen12 4 4 2 20" xfId="10676" xr:uid="{D98637D7-969C-49F2-ACCE-C47B60B29386}"/>
    <cellStyle name="AggGreen12 4 4 2 21" xfId="11025" xr:uid="{6B0DD2C6-F7AA-4640-A1B6-1B57A32B6D58}"/>
    <cellStyle name="AggGreen12 4 4 2 22" xfId="11335" xr:uid="{8347C0FC-A2E2-41B6-8A64-CF150895E907}"/>
    <cellStyle name="AggGreen12 4 4 2 23" xfId="12232" xr:uid="{E3973568-1467-41D5-A91F-7FBDD1901636}"/>
    <cellStyle name="AggGreen12 4 4 2 24" xfId="12705" xr:uid="{7EDC15DF-8CA3-4F48-A8A1-E40699946BE4}"/>
    <cellStyle name="AggGreen12 4 4 2 25" xfId="13139" xr:uid="{9CD6A5D7-3587-4BD0-B9FF-C9007EAFC53B}"/>
    <cellStyle name="AggGreen12 4 4 2 26" xfId="13576" xr:uid="{069C83BD-26E2-4EDF-A171-ADBB979C1633}"/>
    <cellStyle name="AggGreen12 4 4 2 27" xfId="14048" xr:uid="{DFD3A804-0DC5-4C0E-94C2-29D9CA765DA6}"/>
    <cellStyle name="AggGreen12 4 4 2 28" xfId="14495" xr:uid="{8DCA3D1C-A33E-4D0E-84BE-78E1B6E6DEC5}"/>
    <cellStyle name="AggGreen12 4 4 2 29" xfId="14929" xr:uid="{0BFAA873-4288-4918-8C64-F22B5E698C32}"/>
    <cellStyle name="AggGreen12 4 4 2 3" xfId="1802" xr:uid="{C3761ACB-A983-4F72-B8FF-D04E1CE74912}"/>
    <cellStyle name="AggGreen12 4 4 2 30" xfId="15399" xr:uid="{2EFF6E40-C21F-4C3A-8091-A85501730AA7}"/>
    <cellStyle name="AggGreen12 4 4 2 31" xfId="15789" xr:uid="{3C711387-1A21-409D-A696-FF0DCF2F3B16}"/>
    <cellStyle name="AggGreen12 4 4 2 32" xfId="16011" xr:uid="{666CE2D7-3BAA-4189-B738-EC76FB6C6450}"/>
    <cellStyle name="AggGreen12 4 4 2 33" xfId="16924" xr:uid="{B34DD73D-5991-413F-A113-71BEFFE538B8}"/>
    <cellStyle name="AggGreen12 4 4 2 34" xfId="17405" xr:uid="{9193E1D7-4E26-4195-8DB7-870AE73BE846}"/>
    <cellStyle name="AggGreen12 4 4 2 35" xfId="17846" xr:uid="{8B3C2573-5B19-4276-A816-30284F9B5720}"/>
    <cellStyle name="AggGreen12 4 4 2 36" xfId="18321" xr:uid="{6EDD4BA4-A9D9-4264-A00A-592EDF06130A}"/>
    <cellStyle name="AggGreen12 4 4 2 37" xfId="18742" xr:uid="{BF896D28-5377-4ED9-9C07-0FAF3CFCBD34}"/>
    <cellStyle name="AggGreen12 4 4 2 38" xfId="19129" xr:uid="{871DE929-4405-4085-9719-6F225936243D}"/>
    <cellStyle name="AggGreen12 4 4 2 39" xfId="19359" xr:uid="{29C96EE9-65D7-49BB-BDBB-2B81C1E29EC9}"/>
    <cellStyle name="AggGreen12 4 4 2 4" xfId="2701" xr:uid="{808DFF70-9013-4371-84F5-34F258D66945}"/>
    <cellStyle name="AggGreen12 4 4 2 40" xfId="20261" xr:uid="{B8093E0B-6FB2-4934-B096-CCC5F585A1EB}"/>
    <cellStyle name="AggGreen12 4 4 2 41" xfId="20754" xr:uid="{CE506499-1237-4D5D-8D7F-63A020FB379A}"/>
    <cellStyle name="AggGreen12 4 4 2 42" xfId="21213" xr:uid="{229F248F-EFB7-4475-9A35-46ECBD445B8A}"/>
    <cellStyle name="AggGreen12 4 4 2 43" xfId="21705" xr:uid="{DFCE054A-B2B2-4F21-86FF-2920594C85A5}"/>
    <cellStyle name="AggGreen12 4 4 2 44" xfId="22144" xr:uid="{F08AA732-F4C0-4A62-8D92-F6839733B3E3}"/>
    <cellStyle name="AggGreen12 4 4 2 45" xfId="22571" xr:uid="{62A00C93-DEE6-4AF5-9602-91D6045D86FF}"/>
    <cellStyle name="AggGreen12 4 4 2 46" xfId="23016" xr:uid="{A2F771DF-20F7-42E5-B674-48787C5E2960}"/>
    <cellStyle name="AggGreen12 4 4 2 47" xfId="23418" xr:uid="{E3B6BF90-9E69-4BD6-B6AF-D8A5AE5CE7FF}"/>
    <cellStyle name="AggGreen12 4 4 2 48" xfId="23681" xr:uid="{16CBBD0E-C5F1-4554-B1FB-63B5CCBAB5E0}"/>
    <cellStyle name="AggGreen12 4 4 2 49" xfId="24061" xr:uid="{70DE4B55-1514-4580-BFDB-CE38AF7E5BCA}"/>
    <cellStyle name="AggGreen12 4 4 2 5" xfId="3221" xr:uid="{8596C453-A951-41CF-B0A8-8236ECBA4505}"/>
    <cellStyle name="AggGreen12 4 4 2 50" xfId="24969" xr:uid="{791A1D19-0C35-4028-B7D2-9527FE9004C5}"/>
    <cellStyle name="AggGreen12 4 4 2 51" xfId="25457" xr:uid="{1C97E2FA-A8C4-4DE5-9A04-ABB44F9F665D}"/>
    <cellStyle name="AggGreen12 4 4 2 52" xfId="25885" xr:uid="{BBBE4F68-69B6-43FE-9A81-7AA0EE919037}"/>
    <cellStyle name="AggGreen12 4 4 2 53" xfId="26323" xr:uid="{51C2A5EB-10E5-4F1B-B8ED-22D0D21FDF8C}"/>
    <cellStyle name="AggGreen12 4 4 2 54" xfId="26752" xr:uid="{904F7D64-4304-4E2C-94CF-7E8873E2449B}"/>
    <cellStyle name="AggGreen12 4 4 2 55" xfId="27173" xr:uid="{F988E21B-00B0-4493-A512-C10AB872A062}"/>
    <cellStyle name="AggGreen12 4 4 2 56" xfId="27592" xr:uid="{E3216A8D-E693-4FDD-96D1-1EBF6AAA624F}"/>
    <cellStyle name="AggGreen12 4 4 2 57" xfId="27830" xr:uid="{95EF8C21-6645-43B6-9E24-AD00E9BBACBC}"/>
    <cellStyle name="AggGreen12 4 4 2 58" xfId="28719" xr:uid="{A58A30C4-ED00-4DE3-8DE8-D3A6C7981537}"/>
    <cellStyle name="AggGreen12 4 4 2 59" xfId="29186" xr:uid="{4A761735-08F5-44FE-95CB-4584934E5963}"/>
    <cellStyle name="AggGreen12 4 4 2 6" xfId="3776" xr:uid="{B85D4540-E5AB-48C1-9C02-F102062C7C78}"/>
    <cellStyle name="AggGreen12 4 4 2 60" xfId="29568" xr:uid="{C7C4BCF9-DD6D-4991-A9F8-1BA1DB0C15BA}"/>
    <cellStyle name="AggGreen12 4 4 2 61" xfId="29975" xr:uid="{DB1E9366-F5CB-4889-81A7-80696165F65F}"/>
    <cellStyle name="AggGreen12 4 4 2 62" xfId="30381" xr:uid="{0A5005C8-2E72-477E-A92A-D4E637CFF31E}"/>
    <cellStyle name="AggGreen12 4 4 2 63" xfId="30798" xr:uid="{68088DFD-A183-4F92-971A-226EFBC056AF}"/>
    <cellStyle name="AggGreen12 4 4 2 64" xfId="31043" xr:uid="{5FA3D5C8-A9DB-46ED-BE3C-11353765BD5A}"/>
    <cellStyle name="AggGreen12 4 4 2 65" xfId="31414" xr:uid="{608B8243-F87A-454C-B40C-6E92749827C6}"/>
    <cellStyle name="AggGreen12 4 4 2 7" xfId="4197" xr:uid="{EF9F7446-33E8-4B2E-B572-670C76FDE558}"/>
    <cellStyle name="AggGreen12 4 4 2 8" xfId="4634" xr:uid="{15AF5CA6-1EC2-42BF-A694-573EA1C86081}"/>
    <cellStyle name="AggGreen12 4 4 2 9" xfId="5080" xr:uid="{B864755B-C08D-4E84-BD50-C4DEA65533CB}"/>
    <cellStyle name="AggGreen12 4 4 20" xfId="10101" xr:uid="{E5E7BEE8-4B3F-4CFC-818A-0331F8614AD7}"/>
    <cellStyle name="AggGreen12 4 4 21" xfId="10517" xr:uid="{ECAE05F3-B340-4F52-B018-299EAACAF3FA}"/>
    <cellStyle name="AggGreen12 4 4 22" xfId="10889" xr:uid="{6F3FC829-D2CE-4145-87F8-1A76854E166C}"/>
    <cellStyle name="AggGreen12 4 4 23" xfId="10714" xr:uid="{0497C823-826E-460F-9BAF-5021616558B5}"/>
    <cellStyle name="AggGreen12 4 4 24" xfId="12017" xr:uid="{41FD1FE4-72DA-4E79-BB1B-9F2C33BE127A}"/>
    <cellStyle name="AggGreen12 4 4 25" xfId="12490" xr:uid="{C12B53FE-90B0-4C3D-88C7-E1D54F30D72D}"/>
    <cellStyle name="AggGreen12 4 4 26" xfId="12924" xr:uid="{7C5C5363-7CBE-4C22-AA91-C713573D2E76}"/>
    <cellStyle name="AggGreen12 4 4 27" xfId="13361" xr:uid="{0E91C2C7-82B6-45A1-9362-66E6C3FDF54D}"/>
    <cellStyle name="AggGreen12 4 4 28" xfId="13942" xr:uid="{25654D1E-10A8-4C9E-B893-E7DC2E53F2A0}"/>
    <cellStyle name="AggGreen12 4 4 29" xfId="14019" xr:uid="{C6E7117E-B9C3-4674-8126-8CE9C6A9861B}"/>
    <cellStyle name="AggGreen12 4 4 3" xfId="1147" xr:uid="{3D14DB11-B930-41DE-9050-5523315050D1}"/>
    <cellStyle name="AggGreen12 4 4 30" xfId="14751" xr:uid="{37DB05AD-8396-4381-8575-961AB77D510B}"/>
    <cellStyle name="AggGreen12 4 4 31" xfId="14960" xr:uid="{CA09FB1F-3FC0-4A15-A83A-506FDD4CCDAB}"/>
    <cellStyle name="AggGreen12 4 4 32" xfId="15426" xr:uid="{0F69CC14-5421-4062-A833-B299C944AA71}"/>
    <cellStyle name="AggGreen12 4 4 33" xfId="15911" xr:uid="{D745BC8B-3791-4146-A3CC-09C81665B779}"/>
    <cellStyle name="AggGreen12 4 4 34" xfId="16709" xr:uid="{BD7BF6E6-1B3B-42D2-A85A-634DE13FD6EF}"/>
    <cellStyle name="AggGreen12 4 4 35" xfId="17220" xr:uid="{1FB0DE34-24A3-4CEA-A0AF-E489DAA97B4D}"/>
    <cellStyle name="AggGreen12 4 4 36" xfId="17665" xr:uid="{B4CB7533-67AD-4894-8DA4-203A64E1888C}"/>
    <cellStyle name="AggGreen12 4 4 37" xfId="17973" xr:uid="{3D98C477-D224-4568-B5B9-FD64DBBC3F84}"/>
    <cellStyle name="AggGreen12 4 4 38" xfId="18527" xr:uid="{8B147C59-4079-40AD-9835-D3DBF5DBF856}"/>
    <cellStyle name="AggGreen12 4 4 39" xfId="18010" xr:uid="{1B9C96B2-A3D5-431A-92E3-52315157C97E}"/>
    <cellStyle name="AggGreen12 4 4 4" xfId="1644" xr:uid="{4BE55187-2923-45D6-BDBB-3D24E17080A9}"/>
    <cellStyle name="AggGreen12 4 4 40" xfId="18880" xr:uid="{669DB598-96CE-4812-BBB4-14ABE2CFA4FF}"/>
    <cellStyle name="AggGreen12 4 4 41" xfId="20046" xr:uid="{88D4C444-81FD-42F3-8C29-EAC77DA8C27D}"/>
    <cellStyle name="AggGreen12 4 4 42" xfId="20573" xr:uid="{78D6E605-FA96-43D9-A963-813440362288}"/>
    <cellStyle name="AggGreen12 4 4 43" xfId="21026" xr:uid="{709EFCD3-2229-47DB-8211-4E1BDEFCC591}"/>
    <cellStyle name="AggGreen12 4 4 44" xfId="21033" xr:uid="{F8327A31-5763-4321-9B50-895EB3B1B483}"/>
    <cellStyle name="AggGreen12 4 4 45" xfId="21957" xr:uid="{02E944CA-5A4E-46CD-9D53-FF56E12300E4}"/>
    <cellStyle name="AggGreen12 4 4 46" xfId="22388" xr:uid="{5BE38F46-BE66-4994-9A4E-BFA720DE8CB1}"/>
    <cellStyle name="AggGreen12 4 4 47" xfId="22916" xr:uid="{7C3A0DF8-4ACE-459F-8EA9-D956A53DFBBC}"/>
    <cellStyle name="AggGreen12 4 4 48" xfId="22195" xr:uid="{F0B1EBEF-B1F1-420E-8D2A-8455EC6B42A8}"/>
    <cellStyle name="AggGreen12 4 4 49" xfId="23462" xr:uid="{190491D3-70C6-4030-9840-31AE94D59DAD}"/>
    <cellStyle name="AggGreen12 4 4 5" xfId="2486" xr:uid="{C8D2922E-20E8-4F68-9151-C961DC82E7A8}"/>
    <cellStyle name="AggGreen12 4 4 50" xfId="23855" xr:uid="{BF312128-F981-4F18-95D2-636538ADC4EE}"/>
    <cellStyle name="AggGreen12 4 4 51" xfId="24754" xr:uid="{3782E4FE-96C0-41B0-8504-E804517FAA2A}"/>
    <cellStyle name="AggGreen12 4 4 52" xfId="25281" xr:uid="{437792A9-F5CA-4CE5-8684-675B2F0104D7}"/>
    <cellStyle name="AggGreen12 4 4 53" xfId="25672" xr:uid="{E929350B-335C-48A3-A225-627BF49513DE}"/>
    <cellStyle name="AggGreen12 4 4 54" xfId="26222" xr:uid="{A7A0C7D6-747C-4610-96E4-9D7787DD8570}"/>
    <cellStyle name="AggGreen12 4 4 55" xfId="24291" xr:uid="{67F30263-A8B4-4E2F-9308-7761AA32F080}"/>
    <cellStyle name="AggGreen12 4 4 56" xfId="26962" xr:uid="{0C931427-C34C-40D7-87AE-68A47D259757}"/>
    <cellStyle name="AggGreen12 4 4 57" xfId="27381" xr:uid="{1CE96E10-656A-4FB0-8676-DF5658BF77C5}"/>
    <cellStyle name="AggGreen12 4 4 58" xfId="27212" xr:uid="{0D755A8C-0809-428C-8B9D-2E59F22A68FE}"/>
    <cellStyle name="AggGreen12 4 4 59" xfId="28504" xr:uid="{1CA3C98D-E066-4BBA-B68D-B56DFDCC6541}"/>
    <cellStyle name="AggGreen12 4 4 6" xfId="3110" xr:uid="{B855DCC5-10EF-4607-A497-38FCC0CE1908}"/>
    <cellStyle name="AggGreen12 4 4 60" xfId="28972" xr:uid="{925C1CFC-34F7-4A7F-8D67-5A5FE66B2D5F}"/>
    <cellStyle name="AggGreen12 4 4 61" xfId="29409" xr:uid="{F22A9308-4A08-4053-84FF-36B203999821}"/>
    <cellStyle name="AggGreen12 4 4 62" xfId="29762" xr:uid="{D85EBAB4-5C61-450F-8DBB-325134886F3B}"/>
    <cellStyle name="AggGreen12 4 4 63" xfId="30170" xr:uid="{08C52BCF-3D2B-4AF4-9F12-4ADDE05E80C0}"/>
    <cellStyle name="AggGreen12 4 4 64" xfId="30584" xr:uid="{03EB2D32-8250-4AFC-9C6E-46F734B4C2B5}"/>
    <cellStyle name="AggGreen12 4 4 65" xfId="30982" xr:uid="{847DA4D0-CB8C-42C9-9C67-7093FF323145}"/>
    <cellStyle name="AggGreen12 4 4 66" xfId="31208" xr:uid="{640AF3E0-2D25-46CA-82F6-7CAFD1943B28}"/>
    <cellStyle name="AggGreen12 4 4 7" xfId="3554" xr:uid="{0CF17C67-09D8-4A1A-BD13-4925D56BFBE7}"/>
    <cellStyle name="AggGreen12 4 4 8" xfId="3982" xr:uid="{209AA0EB-DABD-4540-84CB-A86AC9E1294A}"/>
    <cellStyle name="AggGreen12 4 4 9" xfId="4420" xr:uid="{A3AE5F52-DDFC-4947-9CF0-6C78AE26576C}"/>
    <cellStyle name="AggGreen12 4 40" xfId="18333" xr:uid="{43CB6F31-0B15-48F6-8E1A-CECDE9F91A2A}"/>
    <cellStyle name="AggGreen12 4 41" xfId="19070" xr:uid="{FA3194C3-8102-4A9B-9440-FB732ECFA449}"/>
    <cellStyle name="AggGreen12 4 42" xfId="19260" xr:uid="{712E2E8F-B575-429C-B568-D1DCB778B47D}"/>
    <cellStyle name="AggGreen12 4 43" xfId="19646" xr:uid="{C9F32E27-0D03-4605-B84E-C4D97A4A31C2}"/>
    <cellStyle name="AggGreen12 4 44" xfId="20320" xr:uid="{15E81857-06E7-4474-90EF-886973A120A9}"/>
    <cellStyle name="AggGreen12 4 45" xfId="20776" xr:uid="{B4A45FC6-FE5A-4DA9-A102-9A6AF1E47797}"/>
    <cellStyle name="AggGreen12 4 46" xfId="20811" xr:uid="{2582C13D-7C3F-4D3B-9427-331B699E9562}"/>
    <cellStyle name="AggGreen12 4 47" xfId="20791" xr:uid="{0815D141-9393-49F8-964A-48E084982D03}"/>
    <cellStyle name="AggGreen12 4 48" xfId="21289" xr:uid="{8223324A-811D-4487-A44D-06D1625CB44E}"/>
    <cellStyle name="AggGreen12 4 49" xfId="22367" xr:uid="{BDF2102F-7BD0-40C1-B393-88B574837F7B}"/>
    <cellStyle name="AggGreen12 4 5" xfId="939" xr:uid="{782B3B80-28EF-4D4B-B99E-EF040D96C98C}"/>
    <cellStyle name="AggGreen12 4 50" xfId="23347" xr:uid="{7B089832-900D-4C87-9CF5-43F88A176668}"/>
    <cellStyle name="AggGreen12 4 51" xfId="23479" xr:uid="{4D13BAE4-AC2D-424A-A3F0-08C9F0E8BD6B}"/>
    <cellStyle name="AggGreen12 4 52" xfId="21800" xr:uid="{EAD77274-E95A-4639-92E2-EB25FE71159A}"/>
    <cellStyle name="AggGreen12 4 53" xfId="24366" xr:uid="{17D7D0FE-53F5-4EE8-9656-C3BA9ED15EA9}"/>
    <cellStyle name="AggGreen12 4 54" xfId="24206" xr:uid="{D092E767-836B-423A-9C35-FB11A5C04CDD}"/>
    <cellStyle name="AggGreen12 4 55" xfId="25469" xr:uid="{0286FF0A-D499-4121-819A-3AF3F3289727}"/>
    <cellStyle name="AggGreen12 4 56" xfId="25161" xr:uid="{3518D363-B4B3-4462-BEB4-E2BF96090D3C}"/>
    <cellStyle name="AggGreen12 4 57" xfId="25302" xr:uid="{CC17CED7-BB69-4CA4-99C7-AFA56C0002BE}"/>
    <cellStyle name="AggGreen12 4 58" xfId="26634" xr:uid="{B1BB844C-FE67-4355-A047-4FF1DC023CE7}"/>
    <cellStyle name="AggGreen12 4 59" xfId="25486" xr:uid="{080E4A21-8576-4A22-B92A-59B6F0BFD144}"/>
    <cellStyle name="AggGreen12 4 6" xfId="1592" xr:uid="{3B5740EA-289D-4FC3-8338-D69A6098BD60}"/>
    <cellStyle name="AggGreen12 4 60" xfId="26201" xr:uid="{B8D83FF3-7E38-4112-890B-864A517C8F3D}"/>
    <cellStyle name="AggGreen12 4 61" xfId="28137" xr:uid="{14039DF5-E883-48F0-80E4-822A201028EE}"/>
    <cellStyle name="AggGreen12 4 62" xfId="28019" xr:uid="{A785EAA1-98FB-40DA-8B01-F2D0EFE60F8A}"/>
    <cellStyle name="AggGreen12 4 63" xfId="29200" xr:uid="{8E68900D-1C3E-458E-8795-7DB07A467C91}"/>
    <cellStyle name="AggGreen12 4 64" xfId="29456" xr:uid="{69855E77-1120-4034-8505-0DD20AD5C36D}"/>
    <cellStyle name="AggGreen12 4 65" xfId="29987" xr:uid="{D9FB3856-5206-4EBA-BAF3-F717192E1DDF}"/>
    <cellStyle name="AggGreen12 4 66" xfId="28269" xr:uid="{62F24A52-07F6-4C9A-B696-2FDC20F7FA95}"/>
    <cellStyle name="AggGreen12 4 67" xfId="29235" xr:uid="{712E4C48-8712-4A37-B253-6295E1D1B922}"/>
    <cellStyle name="AggGreen12 4 68" xfId="29527" xr:uid="{B9CAA10F-6C4F-4FAB-B35A-0189AD1B2772}"/>
    <cellStyle name="AggGreen12 4 7" xfId="2086" xr:uid="{11185679-171F-4955-93D4-104248872192}"/>
    <cellStyle name="AggGreen12 4 8" xfId="2719" xr:uid="{CD9F756A-22E8-42AA-BADC-86DE07F8C8C1}"/>
    <cellStyle name="AggGreen12 4 9" xfId="2225" xr:uid="{3CA0CA2A-84E5-45FD-B15D-1A88115E333A}"/>
    <cellStyle name="AggGreen12 5" xfId="74" xr:uid="{CBF3D1F7-9C3D-4518-8B32-9F51AA30E6E3}"/>
    <cellStyle name="AggGreen12 5 10" xfId="16126" xr:uid="{323F258D-7375-472D-BB9B-F361BD1A9613}"/>
    <cellStyle name="AggGreen12 5 11" xfId="18162" xr:uid="{381847AE-CEA8-4623-89A4-10C30553E2A3}"/>
    <cellStyle name="AggGreen12 5 12" xfId="19459" xr:uid="{23F057AA-20E6-4341-AABA-E69FB27263E3}"/>
    <cellStyle name="AggGreen12 5 13" xfId="21645" xr:uid="{3715B264-B896-4177-BFB7-1EEC4BDC3F6E}"/>
    <cellStyle name="AggGreen12 5 14" xfId="24180" xr:uid="{7A1F089C-D3B0-4D94-AD06-B0A802FDC055}"/>
    <cellStyle name="AggGreen12 5 15" xfId="25495" xr:uid="{ACFACE99-8203-462F-8183-EA395675C317}"/>
    <cellStyle name="AggGreen12 5 16" xfId="27973" xr:uid="{FA571C3B-4BE6-481C-B927-C44DBE38287D}"/>
    <cellStyle name="AggGreen12 5 2" xfId="919" xr:uid="{075139A1-3F34-4374-9AA4-D4228ED03F23}"/>
    <cellStyle name="AggGreen12 5 3" xfId="1902" xr:uid="{26751C3E-F356-45FF-9B97-2F53C36B96D6}"/>
    <cellStyle name="AggGreen12 5 4" xfId="2946" xr:uid="{4FE2E92C-063C-45F1-A850-AB49757AF9A8}"/>
    <cellStyle name="AggGreen12 5 5" xfId="3633" xr:uid="{F5966919-840F-4E37-9322-8DB172A2D860}"/>
    <cellStyle name="AggGreen12 5 6" xfId="6815" xr:uid="{4468345F-FD9B-4A56-9223-175622A20335}"/>
    <cellStyle name="AggGreen12 5 7" xfId="7049" xr:uid="{CE14B07E-20AE-41A1-808B-8353301D9A91}"/>
    <cellStyle name="AggGreen12 5 8" xfId="9029" xr:uid="{15B2C32C-CC09-4D86-BE18-D8FD489D6D3F}"/>
    <cellStyle name="AggGreen12 5 9" xfId="11434" xr:uid="{6F3D4986-49B3-48B8-A1AB-803FB6C43A66}"/>
    <cellStyle name="AggOrange" xfId="17" xr:uid="{3232D474-4705-47B0-9794-A3098DBF1BCA}"/>
    <cellStyle name="AggOrange 2" xfId="116" xr:uid="{16A310DD-3F70-401E-B959-30B843761578}"/>
    <cellStyle name="AggOrange 2 2" xfId="407" xr:uid="{5CF16D3A-1BBB-4788-A8ED-5F923037CFDC}"/>
    <cellStyle name="AggOrange 2 2 2" xfId="527" xr:uid="{B7084574-6BE8-430E-8876-572B628B7B11}"/>
    <cellStyle name="AggOrange 2 2 2 10" xfId="4883" xr:uid="{53E220CF-45D6-4CCC-B6CA-4DCA430324FE}"/>
    <cellStyle name="AggOrange 2 2 2 11" xfId="5175" xr:uid="{3BD506DA-67B8-4D7E-B2B9-C810ED8C2AE0}"/>
    <cellStyle name="AggOrange 2 2 2 12" xfId="5996" xr:uid="{AF48706E-4C7A-4869-9EB3-50FD096AF508}"/>
    <cellStyle name="AggOrange 2 2 2 13" xfId="6358" xr:uid="{8C7C6DB1-2A50-4026-97BA-333D15E1180C}"/>
    <cellStyle name="AggOrange 2 2 2 14" xfId="6707" xr:uid="{4C48E2E2-1464-4812-B199-C9A645738E31}"/>
    <cellStyle name="AggOrange 2 2 2 15" xfId="7247" xr:uid="{0F20319B-C214-448F-86C6-2E1603C37B2C}"/>
    <cellStyle name="AggOrange 2 2 2 16" xfId="8048" xr:uid="{148AE3BE-E78B-42A0-94E1-BCD29FDCF780}"/>
    <cellStyle name="AggOrange 2 2 2 17" xfId="7832" xr:uid="{FD183FEB-E028-4524-88DA-2BAF791E3DA8}"/>
    <cellStyle name="AggOrange 2 2 2 18" xfId="8919" xr:uid="{0B73FE8F-FA34-425D-BEFF-49DAC29B03C7}"/>
    <cellStyle name="AggOrange 2 2 2 19" xfId="9461" xr:uid="{7D4EAE52-D200-4377-ABA3-850639E3CC70}"/>
    <cellStyle name="AggOrange 2 2 2 2" xfId="742" xr:uid="{8D31AB84-8351-40A9-B09D-03647BCA057E}"/>
    <cellStyle name="AggOrange 2 2 2 2 10" xfId="5390" xr:uid="{58EFF87C-33FE-4763-80B1-64BF73769181}"/>
    <cellStyle name="AggOrange 2 2 2 2 11" xfId="5539" xr:uid="{785810D8-A0BC-41C9-896A-7C16E6CF2487}"/>
    <cellStyle name="AggOrange 2 2 2 2 12" xfId="5848" xr:uid="{850C4DB8-A59C-46BB-B0B9-6E0E2A7CC914}"/>
    <cellStyle name="AggOrange 2 2 2 2 13" xfId="6563" xr:uid="{498EEA4C-4166-4C0E-A35D-C4632E2F15E3}"/>
    <cellStyle name="AggOrange 2 2 2 2 14" xfId="7462" xr:uid="{C36C57B1-7C63-4961-8008-7CCB4112EEC0}"/>
    <cellStyle name="AggOrange 2 2 2 2 15" xfId="6902" xr:uid="{408AD7D5-D202-471F-93B0-0C4DDEEE858D}"/>
    <cellStyle name="AggOrange 2 2 2 2 16" xfId="8236" xr:uid="{01C03723-FB39-42FF-BEFB-21CB86885881}"/>
    <cellStyle name="AggOrange 2 2 2 2 17" xfId="6871" xr:uid="{CCD08038-FF39-4C80-920F-4D2FC7BB7F52}"/>
    <cellStyle name="AggOrange 2 2 2 2 18" xfId="9676" xr:uid="{7B91F552-F196-48E3-BCD9-694731699B8A}"/>
    <cellStyle name="AggOrange 2 2 2 2 19" xfId="9115" xr:uid="{62F44DD4-F338-4FF3-BEB8-61B51A968720}"/>
    <cellStyle name="AggOrange 2 2 2 2 2" xfId="1216" xr:uid="{3FDA8806-19E4-41CC-A740-CB23898E8DB9}"/>
    <cellStyle name="AggOrange 2 2 2 2 20" xfId="9899" xr:uid="{E7A3DDBA-910D-415C-AA8F-49F04248E592}"/>
    <cellStyle name="AggOrange 2 2 2 2 21" xfId="9442" xr:uid="{EF766E68-42C6-4212-995C-48887D628DE4}"/>
    <cellStyle name="AggOrange 2 2 2 2 22" xfId="11097" xr:uid="{1D533C96-5DBE-47C7-8A4E-5ECDB492D578}"/>
    <cellStyle name="AggOrange 2 2 2 2 23" xfId="12095" xr:uid="{01D986B2-9864-4EC9-A4CD-2A9A492E744C}"/>
    <cellStyle name="AggOrange 2 2 2 2 24" xfId="12568" xr:uid="{A4540890-0F1E-4BD1-AAA3-F4516CBA8731}"/>
    <cellStyle name="AggOrange 2 2 2 2 25" xfId="13002" xr:uid="{35B25D51-C01B-4946-9844-B926CE998C12}"/>
    <cellStyle name="AggOrange 2 2 2 2 26" xfId="13439" xr:uid="{E19F5F6F-4AC8-4A02-B459-C5EC5837D883}"/>
    <cellStyle name="AggOrange 2 2 2 2 27" xfId="13639" xr:uid="{90BBB863-79B3-4557-93C8-3EF821D7C5EA}"/>
    <cellStyle name="AggOrange 2 2 2 2 28" xfId="11574" xr:uid="{FD08FFD5-1A21-4E5E-8BE5-097B95B528BC}"/>
    <cellStyle name="AggOrange 2 2 2 2 29" xfId="14097" xr:uid="{80F854FA-BD44-4023-9733-AAAA20A942A3}"/>
    <cellStyle name="AggOrange 2 2 2 2 3" xfId="1486" xr:uid="{EF421C09-E5CE-4A7D-985C-3D97017B9AE0}"/>
    <cellStyle name="AggOrange 2 2 2 2 30" xfId="13684" xr:uid="{89E8B21A-69CC-4031-A854-DDC8BA091AF7}"/>
    <cellStyle name="AggOrange 2 2 2 2 31" xfId="15045" xr:uid="{926F1938-6E9B-4149-B947-ACE7DD7C5492}"/>
    <cellStyle name="AggOrange 2 2 2 2 32" xfId="14280" xr:uid="{3B8C14A9-63B2-4F89-B37E-A401C67236BB}"/>
    <cellStyle name="AggOrange 2 2 2 2 33" xfId="16787" xr:uid="{88EA4858-53D4-46AA-9F4C-1F3730144123}"/>
    <cellStyle name="AggOrange 2 2 2 2 34" xfId="16219" xr:uid="{20692C0C-040D-4590-A637-E9F04FAE55D3}"/>
    <cellStyle name="AggOrange 2 2 2 2 35" xfId="17013" xr:uid="{55EF8D04-BEB8-46EF-895F-D614915C96C0}"/>
    <cellStyle name="AggOrange 2 2 2 2 36" xfId="18047" xr:uid="{2B1209C6-5465-45C0-AC18-5D80A8783DCC}"/>
    <cellStyle name="AggOrange 2 2 2 2 37" xfId="18605" xr:uid="{609BE649-45B0-4A1B-8834-A273D64741CD}"/>
    <cellStyle name="AggOrange 2 2 2 2 38" xfId="18190" xr:uid="{9255A960-7D83-4028-B40B-57C0B2A72219}"/>
    <cellStyle name="AggOrange 2 2 2 2 39" xfId="19180" xr:uid="{AC23CA0F-2408-44BE-BCCF-94B336C6FC27}"/>
    <cellStyle name="AggOrange 2 2 2 2 4" xfId="2564" xr:uid="{B7936E35-9035-47E5-B49A-89F292F27035}"/>
    <cellStyle name="AggOrange 2 2 2 2 40" xfId="20124" xr:uid="{FA82CF70-BEBD-452C-9AA9-518A30D799AA}"/>
    <cellStyle name="AggOrange 2 2 2 2 41" xfId="19552" xr:uid="{04F7368A-62DC-44ED-B782-C4B75F9E934C}"/>
    <cellStyle name="AggOrange 2 2 2 2 42" xfId="20547" xr:uid="{F9F01A07-5253-4BC7-B9B9-A0FE9780E576}"/>
    <cellStyle name="AggOrange 2 2 2 2 43" xfId="21410" xr:uid="{694A3D1D-6796-4608-BED3-51C15C751DFA}"/>
    <cellStyle name="AggOrange 2 2 2 2 44" xfId="20781" xr:uid="{288B1590-C496-4945-BDEE-302C3EB44C2A}"/>
    <cellStyle name="AggOrange 2 2 2 2 45" xfId="21749" xr:uid="{DAB972FB-AE84-4F34-BCCB-3E4F2DD59467}"/>
    <cellStyle name="AggOrange 2 2 2 2 46" xfId="22645" xr:uid="{98A1C6B3-73B6-4036-B1E9-310156FEB6AF}"/>
    <cellStyle name="AggOrange 2 2 2 2 47" xfId="22175" xr:uid="{1F4C327A-9174-4E15-9EFE-261B0107B035}"/>
    <cellStyle name="AggOrange 2 2 2 2 48" xfId="21405" xr:uid="{837F5AB8-7924-41BE-A1BD-2FAC6E801801}"/>
    <cellStyle name="AggOrange 2 2 2 2 49" xfId="23924" xr:uid="{1BC30546-5A05-4508-A9F7-6550209B5DC7}"/>
    <cellStyle name="AggOrange 2 2 2 2 5" xfId="2806" xr:uid="{59F4CCCC-506E-48AD-95E6-D50BF3FBD123}"/>
    <cellStyle name="AggOrange 2 2 2 2 50" xfId="24832" xr:uid="{CB33C38E-AE02-4AA6-A2B2-4FC1EA6C39DB}"/>
    <cellStyle name="AggOrange 2 2 2 2 51" xfId="24273" xr:uid="{4037DA8F-751E-44E8-8CBC-8237F4B48BFA}"/>
    <cellStyle name="AggOrange 2 2 2 2 52" xfId="25748" xr:uid="{B618B1D6-4E00-4B5F-B9A9-2FE89A8AEC2F}"/>
    <cellStyle name="AggOrange 2 2 2 2 53" xfId="25948" xr:uid="{0FA8B7E5-648F-441E-9F32-6637BE3DC700}"/>
    <cellStyle name="AggOrange 2 2 2 2 54" xfId="26581" xr:uid="{9788F025-EB5D-4E6F-A6FD-4E9C96A50604}"/>
    <cellStyle name="AggOrange 2 2 2 2 55" xfId="27036" xr:uid="{A1BDF20E-961C-437B-8502-9ACE2A069CBC}"/>
    <cellStyle name="AggOrange 2 2 2 2 56" xfId="27455" xr:uid="{E9986F30-6BA2-4296-8EBF-0380C788B3CF}"/>
    <cellStyle name="AggOrange 2 2 2 2 57" xfId="26415" xr:uid="{3252B57D-024D-4088-95AB-9C53FABAD285}"/>
    <cellStyle name="AggOrange 2 2 2 2 58" xfId="28582" xr:uid="{BAD2A675-2DAB-4FF0-8AF8-7D796F8FE800}"/>
    <cellStyle name="AggOrange 2 2 2 2 59" xfId="29049" xr:uid="{2644B57A-A1B2-4FA0-8877-9CE2D823C688}"/>
    <cellStyle name="AggOrange 2 2 2 2 6" xfId="2191" xr:uid="{8CD3DFCB-0372-4D21-BC64-D9738EBB91D3}"/>
    <cellStyle name="AggOrange 2 2 2 2 60" xfId="28221" xr:uid="{C78E075B-96A4-4E78-8EE4-91B7E44F8206}"/>
    <cellStyle name="AggOrange 2 2 2 2 61" xfId="29838" xr:uid="{B224BEBB-E940-4FFB-8541-BD04E28E09D0}"/>
    <cellStyle name="AggOrange 2 2 2 2 62" xfId="30244" xr:uid="{2EAF4845-391D-4D9F-8DF7-987C68BDB08D}"/>
    <cellStyle name="AggOrange 2 2 2 2 63" xfId="30661" xr:uid="{E7ACBC68-4935-4609-97ED-4B6511109918}"/>
    <cellStyle name="AggOrange 2 2 2 2 64" xfId="27986" xr:uid="{4DD6B4D5-3735-4CF6-97B3-FA21EC2EBF01}"/>
    <cellStyle name="AggOrange 2 2 2 2 65" xfId="31277" xr:uid="{EF4A6DDB-12A5-4DBA-A095-6993FC8A9E8F}"/>
    <cellStyle name="AggOrange 2 2 2 2 7" xfId="4060" xr:uid="{9B448DD8-7D0A-4AF0-B883-C8FB480116EF}"/>
    <cellStyle name="AggOrange 2 2 2 2 8" xfId="4497" xr:uid="{0E86BA32-B663-4D05-BB7C-949D8629D7C5}"/>
    <cellStyle name="AggOrange 2 2 2 2 9" xfId="2790" xr:uid="{7D46DF1B-908A-46CF-9489-4762CAD09E02}"/>
    <cellStyle name="AggOrange 2 2 2 20" xfId="10267" xr:uid="{C5B5F29F-7C0C-4060-B477-BC113BC7E087}"/>
    <cellStyle name="AggOrange 2 2 2 21" xfId="10661" xr:uid="{6508060A-7ADC-4347-AF2C-09A8E81E9AF8}"/>
    <cellStyle name="AggOrange 2 2 2 22" xfId="11012" xr:uid="{EFCDD0C9-9C78-4129-B57C-A283BD04EC6F}"/>
    <cellStyle name="AggOrange 2 2 2 23" xfId="11324" xr:uid="{180BA470-44DE-4B8B-BB40-E215CF03E61E}"/>
    <cellStyle name="AggOrange 2 2 2 24" xfId="11880" xr:uid="{3F1988F0-D7ED-4B3D-83BC-5D9D0203DF79}"/>
    <cellStyle name="AggOrange 2 2 2 25" xfId="12353" xr:uid="{540E9124-ABBE-4E0B-ABA2-9179C5EA1FD7}"/>
    <cellStyle name="AggOrange 2 2 2 26" xfId="12787" xr:uid="{8E387408-84BB-40C4-8CD2-40631AD29DAC}"/>
    <cellStyle name="AggOrange 2 2 2 27" xfId="13224" xr:uid="{660ACC2B-30D5-4FF5-A823-66BE8EB2AA6D}"/>
    <cellStyle name="AggOrange 2 2 2 28" xfId="14033" xr:uid="{F80FF2C5-4545-4CD9-B945-BD741EEB5713}"/>
    <cellStyle name="AggOrange 2 2 2 29" xfId="14366" xr:uid="{20ADC513-3263-45E8-8CD1-084B5BC2348D}"/>
    <cellStyle name="AggOrange 2 2 2 3" xfId="1010" xr:uid="{65262B1E-5209-4243-B6BC-EA21A6F5BEAC}"/>
    <cellStyle name="AggOrange 2 2 2 30" xfId="14903" xr:uid="{D5C9BD61-1DD7-4011-88CC-6142FECF19D3}"/>
    <cellStyle name="AggOrange 2 2 2 31" xfId="15374" xr:uid="{6594F31F-B158-4032-BF85-3D9A3EAEEFCC}"/>
    <cellStyle name="AggOrange 2 2 2 32" xfId="15775" xr:uid="{A436C54F-071B-47FC-837E-7A5879F1D999}"/>
    <cellStyle name="AggOrange 2 2 2 33" xfId="16000" xr:uid="{8403E01D-0ACF-465C-A082-945E071368F0}"/>
    <cellStyle name="AggOrange 2 2 2 34" xfId="16572" xr:uid="{258B568B-6827-46D6-A617-C49754ADDBDB}"/>
    <cellStyle name="AggOrange 2 2 2 35" xfId="17390" xr:uid="{8F7D5654-00C7-469E-9A15-A5BA3A818032}"/>
    <cellStyle name="AggOrange 2 2 2 36" xfId="17831" xr:uid="{ADD15C07-E325-4395-82E8-68C74E7B34E5}"/>
    <cellStyle name="AggOrange 2 2 2 37" xfId="18307" xr:uid="{66C134DF-AE3C-4AAB-B408-CF41EC744E36}"/>
    <cellStyle name="AggOrange 2 2 2 38" xfId="18390" xr:uid="{04E92B9D-04D2-41E8-B8CF-0449328307E9}"/>
    <cellStyle name="AggOrange 2 2 2 39" xfId="19117" xr:uid="{223C0FCB-D4D9-48A0-9DA0-FD61260FD06B}"/>
    <cellStyle name="AggOrange 2 2 2 4" xfId="1462" xr:uid="{873CA7E5-C539-47E8-B457-184F864F4876}"/>
    <cellStyle name="AggOrange 2 2 2 40" xfId="19348" xr:uid="{4A30E03B-DC5F-4508-9141-7660123B2F95}"/>
    <cellStyle name="AggOrange 2 2 2 41" xfId="19909" xr:uid="{BE80492D-AEB4-4765-A137-29F2BF77D6EE}"/>
    <cellStyle name="AggOrange 2 2 2 42" xfId="20739" xr:uid="{E84082F4-B938-493C-B1BE-6EA214557458}"/>
    <cellStyle name="AggOrange 2 2 2 43" xfId="21198" xr:uid="{4BA0334F-2B74-4D5F-AA2D-4DC78DBDDBD1}"/>
    <cellStyle name="AggOrange 2 2 2 44" xfId="21690" xr:uid="{0284E295-387D-405D-A8C6-713D025713C5}"/>
    <cellStyle name="AggOrange 2 2 2 45" xfId="22129" xr:uid="{7BD90B45-68E8-4379-A247-C6464C8DADCB}"/>
    <cellStyle name="AggOrange 2 2 2 46" xfId="22556" xr:uid="{B6CAFF90-B5E7-4D81-AE4D-EDDBD13C4952}"/>
    <cellStyle name="AggOrange 2 2 2 47" xfId="23002" xr:uid="{B80F9DB9-9FF3-4617-AE36-AF803C7CDB46}"/>
    <cellStyle name="AggOrange 2 2 2 48" xfId="23405" xr:uid="{34BE02F7-3F7D-4432-8851-20E6CBEF6E0D}"/>
    <cellStyle name="AggOrange 2 2 2 49" xfId="23669" xr:uid="{D8EA0BDF-3E71-4BF9-AE36-F070067F41E4}"/>
    <cellStyle name="AggOrange 2 2 2 5" xfId="2349" xr:uid="{1677EDD5-EB7F-4197-8D0E-6B27F3846966}"/>
    <cellStyle name="AggOrange 2 2 2 50" xfId="23718" xr:uid="{81B97F93-3C72-48DC-974D-AC9F82D29FC6}"/>
    <cellStyle name="AggOrange 2 2 2 51" xfId="24617" xr:uid="{35A765F9-103D-4DA7-9407-22A93ECA7686}"/>
    <cellStyle name="AggOrange 2 2 2 52" xfId="25443" xr:uid="{6F515D9F-05E0-462D-AB10-440ED551BDFA}"/>
    <cellStyle name="AggOrange 2 2 2 53" xfId="25535" xr:uid="{689CE56E-58C1-4EB4-8A2C-14A405EA9C89}"/>
    <cellStyle name="AggOrange 2 2 2 54" xfId="26309" xr:uid="{9704A193-CA24-46EE-9872-7FF8367EBF34}"/>
    <cellStyle name="AggOrange 2 2 2 55" xfId="26446" xr:uid="{080F8DC7-90E8-4644-B1D8-ACA908C3253B}"/>
    <cellStyle name="AggOrange 2 2 2 56" xfId="26825" xr:uid="{6098F11B-E38E-43EE-932A-59EE32F96943}"/>
    <cellStyle name="AggOrange 2 2 2 57" xfId="27244" xr:uid="{8B01040B-236D-4094-BBAF-CAD0752DC532}"/>
    <cellStyle name="AggOrange 2 2 2 58" xfId="27626" xr:uid="{15BC04C2-300E-42A5-B7A4-96E2FDE399AA}"/>
    <cellStyle name="AggOrange 2 2 2 59" xfId="28367" xr:uid="{BF9B93B8-40A7-4B99-B4C5-CDF8C6FCF72C}"/>
    <cellStyle name="AggOrange 2 2 2 6" xfId="3206" xr:uid="{54EEF439-D67E-4CE0-950F-E01E477F6FAB}"/>
    <cellStyle name="AggOrange 2 2 2 60" xfId="28835" xr:uid="{65A6480E-2D2E-4649-A694-908DF41ECB79}"/>
    <cellStyle name="AggOrange 2 2 2 61" xfId="29553" xr:uid="{0021F5D8-10B5-4BE8-A986-6A1B08D57C9F}"/>
    <cellStyle name="AggOrange 2 2 2 62" xfId="29625" xr:uid="{C7033A64-4CED-4266-A53C-22DD41283B8F}"/>
    <cellStyle name="AggOrange 2 2 2 63" xfId="30033" xr:uid="{73D07D31-C4EB-4C3F-A8DD-4CDBCC4D1CF0}"/>
    <cellStyle name="AggOrange 2 2 2 64" xfId="30447" xr:uid="{8C053DFF-6968-4323-A0F8-B2176C0A6D64}"/>
    <cellStyle name="AggOrange 2 2 2 65" xfId="30847" xr:uid="{F54394FD-51A4-4676-BAD5-B5EFFC073659}"/>
    <cellStyle name="AggOrange 2 2 2 66" xfId="31071" xr:uid="{92052192-E2EA-4C4A-8E21-32A7FFA76D82}"/>
    <cellStyle name="AggOrange 2 2 2 7" xfId="3373" xr:uid="{3378C7E0-09DC-46F8-89AA-FD0B5A34A8A4}"/>
    <cellStyle name="AggOrange 2 2 2 8" xfId="3845" xr:uid="{A0161456-83E7-49B4-B5A8-557F0152BFB4}"/>
    <cellStyle name="AggOrange 2 2 2 9" xfId="4283" xr:uid="{6551B0EE-837E-4E6E-A882-3DC6660D80B4}"/>
    <cellStyle name="AggOrange 2 2 3" xfId="714" xr:uid="{AA90DC32-7577-45DF-A7B9-F412ACD85143}"/>
    <cellStyle name="AggOrange 2 2 3 10" xfId="5362" xr:uid="{8C7574A8-8716-44D7-A521-599B1DF2D8D8}"/>
    <cellStyle name="AggOrange 2 2 3 11" xfId="5843" xr:uid="{D8AF64BE-B2A5-4AA3-88DC-343515DB50D8}"/>
    <cellStyle name="AggOrange 2 2 3 12" xfId="2017" xr:uid="{10107216-29E7-4AD2-BE4F-4C056D42B928}"/>
    <cellStyle name="AggOrange 2 2 3 13" xfId="6058" xr:uid="{2DDBCE90-D3F1-42DE-95CD-68E0ECF8825C}"/>
    <cellStyle name="AggOrange 2 2 3 14" xfId="7434" xr:uid="{6B7627C0-C468-4D36-8844-D1A8F027CC7E}"/>
    <cellStyle name="AggOrange 2 2 3 15" xfId="7779" xr:uid="{02BEBD2D-B25F-4628-9CA0-B34E1627E4A0}"/>
    <cellStyle name="AggOrange 2 2 3 16" xfId="8219" xr:uid="{5DC9F5AC-4D5D-49E1-AA8B-A146BA7D4145}"/>
    <cellStyle name="AggOrange 2 2 3 17" xfId="8853" xr:uid="{4FD2E1D8-EE69-4B5B-95A7-47CB1B32C061}"/>
    <cellStyle name="AggOrange 2 2 3 18" xfId="9648" xr:uid="{E61DDC40-DF4B-4395-9194-9C6361F2C27C}"/>
    <cellStyle name="AggOrange 2 2 3 19" xfId="9992" xr:uid="{D3ECE3BB-A25F-4678-8D72-0913D7B773BC}"/>
    <cellStyle name="AggOrange 2 2 3 2" xfId="1188" xr:uid="{E96D53A7-73C7-40D1-9789-847EDA103CB3}"/>
    <cellStyle name="AggOrange 2 2 3 20" xfId="10417" xr:uid="{D3025126-393F-4CD8-B37B-CC654137CC50}"/>
    <cellStyle name="AggOrange 2 2 3 21" xfId="10857" xr:uid="{3C5928A0-178C-4D8F-86FC-73D42EE4EDBC}"/>
    <cellStyle name="AggOrange 2 2 3 22" xfId="11062" xr:uid="{4011EEFC-A498-4B64-BBDB-3F46050953E7}"/>
    <cellStyle name="AggOrange 2 2 3 23" xfId="12067" xr:uid="{8D0EEAB1-3D70-48F9-B170-23FA21056101}"/>
    <cellStyle name="AggOrange 2 2 3 24" xfId="12540" xr:uid="{157E6D69-8C09-4370-BAED-EBB7338D76D7}"/>
    <cellStyle name="AggOrange 2 2 3 25" xfId="12974" xr:uid="{C5DC4D07-1EC2-420B-840D-66F9BBB73774}"/>
    <cellStyle name="AggOrange 2 2 3 26" xfId="13411" xr:uid="{A3BE6E13-FF4A-49E5-9C65-20398647E320}"/>
    <cellStyle name="AggOrange 2 2 3 27" xfId="11857" xr:uid="{5C179DED-FE28-4259-9887-28560B44BFE2}"/>
    <cellStyle name="AggOrange 2 2 3 28" xfId="14178" xr:uid="{770C65F8-D9B9-4262-B84C-355243E37ED5}"/>
    <cellStyle name="AggOrange 2 2 3 29" xfId="14646" xr:uid="{68DECABA-0AFE-47FB-B596-2D4CD9C17A6D}"/>
    <cellStyle name="AggOrange 2 2 3 3" xfId="1447" xr:uid="{C39459A1-1868-465E-B135-D485C77A2D5A}"/>
    <cellStyle name="AggOrange 2 2 3 30" xfId="14107" xr:uid="{C7C10817-B6F6-4385-A6E1-3E9D63A17732}"/>
    <cellStyle name="AggOrange 2 2 3 31" xfId="15541" xr:uid="{233C678D-0DAE-4553-8B71-C41677911C41}"/>
    <cellStyle name="AggOrange 2 2 3 32" xfId="15848" xr:uid="{A2392F24-EBC2-4C53-9471-8FD2DE10B9DF}"/>
    <cellStyle name="AggOrange 2 2 3 33" xfId="16759" xr:uid="{1DE0084C-882D-4CF9-A28D-CD9A0289D318}"/>
    <cellStyle name="AggOrange 2 2 3 34" xfId="17108" xr:uid="{4BD147CD-94AD-431E-B4F1-740A4F38B1C1}"/>
    <cellStyle name="AggOrange 2 2 3 35" xfId="17555" xr:uid="{23801E8D-287B-4B5D-9244-28A77D1B61E6}"/>
    <cellStyle name="AggOrange 2 2 3 36" xfId="16978" xr:uid="{C70C3522-067B-4EA4-BFCA-8E534D49D405}"/>
    <cellStyle name="AggOrange 2 2 3 37" xfId="18577" xr:uid="{E84AE93C-8EEE-49EB-A9BA-76A85AF429DF}"/>
    <cellStyle name="AggOrange 2 2 3 38" xfId="19002" xr:uid="{B07F48FA-73A6-46C6-A1B3-4D635653C44F}"/>
    <cellStyle name="AggOrange 2 2 3 39" xfId="19256" xr:uid="{56314B69-5D9D-44A3-990C-7E4A0165172E}"/>
    <cellStyle name="AggOrange 2 2 3 4" xfId="2536" xr:uid="{B7D8219A-22F7-4163-9021-1E887D674017}"/>
    <cellStyle name="AggOrange 2 2 3 40" xfId="20096" xr:uid="{0BC3A7F6-FA52-4E55-9137-B1E6A123BC59}"/>
    <cellStyle name="AggOrange 2 2 3 41" xfId="20461" xr:uid="{89660B3E-226A-4923-8000-CD552239E859}"/>
    <cellStyle name="AggOrange 2 2 3 42" xfId="20914" xr:uid="{F4606CB5-50A6-44F8-BD5F-6B1196A1B253}"/>
    <cellStyle name="AggOrange 2 2 3 43" xfId="21404" xr:uid="{BC47C451-998F-41C9-B52A-F050FB22E103}"/>
    <cellStyle name="AggOrange 2 2 3 44" xfId="21843" xr:uid="{DABDA93F-7F8E-4158-BCB4-8F10302211F4}"/>
    <cellStyle name="AggOrange 2 2 3 45" xfId="22280" xr:uid="{4834F6AC-0702-4949-9578-868B8BBB9B61}"/>
    <cellStyle name="AggOrange 2 2 3 46" xfId="21343" xr:uid="{6131256E-271F-4D4C-A27F-411B0378F4C9}"/>
    <cellStyle name="AggOrange 2 2 3 47" xfId="23284" xr:uid="{75DC5C09-B00C-4805-BE04-101E3F5C834A}"/>
    <cellStyle name="AggOrange 2 2 3 48" xfId="23607" xr:uid="{C00799D8-83B8-437A-A96D-4340A9923F21}"/>
    <cellStyle name="AggOrange 2 2 3 49" xfId="23896" xr:uid="{FC7DAFAA-CE74-44A8-98AD-45D59B48E53B}"/>
    <cellStyle name="AggOrange 2 2 3 5" xfId="2716" xr:uid="{60759F8B-9789-4F32-8816-FAA10D016D8B}"/>
    <cellStyle name="AggOrange 2 2 3 50" xfId="24804" xr:uid="{27E30771-C4FB-4AB3-AC13-BFF4EE5FD50D}"/>
    <cellStyle name="AggOrange 2 2 3 51" xfId="25169" xr:uid="{6823ABE6-ADF0-4505-9387-911B6069ECBC}"/>
    <cellStyle name="AggOrange 2 2 3 52" xfId="25720" xr:uid="{600EE758-755A-4659-84F3-40C4D49BB318}"/>
    <cellStyle name="AggOrange 2 2 3 53" xfId="24209" xr:uid="{0E37E378-6B52-42F1-875A-31AC0744E211}"/>
    <cellStyle name="AggOrange 2 2 3 54" xfId="26167" xr:uid="{C965D6F0-AB1D-43AB-AEC3-8243514791B8}"/>
    <cellStyle name="AggOrange 2 2 3 55" xfId="27008" xr:uid="{2EA61047-09D6-48AA-A26D-F0059885C422}"/>
    <cellStyle name="AggOrange 2 2 3 56" xfId="27427" xr:uid="{0B7B21F5-5966-4F23-8F2E-43183DC27DA5}"/>
    <cellStyle name="AggOrange 2 2 3 57" xfId="26579" xr:uid="{25EB77EB-2823-44BB-B693-2634F32C6A87}"/>
    <cellStyle name="AggOrange 2 2 3 58" xfId="28554" xr:uid="{04ACF6D6-0105-4EE1-B24F-DB668364084A}"/>
    <cellStyle name="AggOrange 2 2 3 59" xfId="29021" xr:uid="{A8880ECC-AF33-4F7E-B0EB-A51DDD60F8CC}"/>
    <cellStyle name="AggOrange 2 2 3 6" xfId="1942" xr:uid="{56343D6C-E655-43BD-87EB-86D0E7120217}"/>
    <cellStyle name="AggOrange 2 2 3 60" xfId="29316" xr:uid="{6DF9C1CD-7D66-481D-B575-4181BC3006CB}"/>
    <cellStyle name="AggOrange 2 2 3 61" xfId="29810" xr:uid="{F9D36314-3088-4C48-9656-A4B2B5C72F9A}"/>
    <cellStyle name="AggOrange 2 2 3 62" xfId="30216" xr:uid="{2E9F911C-9844-4D0B-8BF5-65049B449E80}"/>
    <cellStyle name="AggOrange 2 2 3 63" xfId="30633" xr:uid="{D91CF1DB-1AC2-4767-B862-BA39734C7942}"/>
    <cellStyle name="AggOrange 2 2 3 64" xfId="31022" xr:uid="{E25740DE-58B7-4507-8658-86EDAEA35B4F}"/>
    <cellStyle name="AggOrange 2 2 3 65" xfId="31249" xr:uid="{342FEE45-12AD-4D44-9227-DCF2242B97B6}"/>
    <cellStyle name="AggOrange 2 2 3 7" xfId="4032" xr:uid="{8CC08F9D-09E5-4804-97AC-2ED925795C7F}"/>
    <cellStyle name="AggOrange 2 2 3 8" xfId="4469" xr:uid="{97DCA62A-3FB1-44F2-8DDE-D53D004AC6BA}"/>
    <cellStyle name="AggOrange 2 2 3 9" xfId="4963" xr:uid="{F06EF8FD-F44B-4EA8-8C2E-A39D08CA1017}"/>
    <cellStyle name="AggOrange 2 3" xfId="265" xr:uid="{C7CD7D98-A246-4C6C-AA3C-CE573F310133}"/>
    <cellStyle name="AggOrange 2 3 10" xfId="3518" xr:uid="{8AD452B8-18DE-46AD-ACEB-F0A4B6FF9630}"/>
    <cellStyle name="AggOrange 2 3 11" xfId="3826" xr:uid="{741B2060-5721-4845-A45A-5CF473FDAC94}"/>
    <cellStyle name="AggOrange 2 3 12" xfId="3311" xr:uid="{EDD977FC-37D0-4B56-9250-B6291D33D5B0}"/>
    <cellStyle name="AggOrange 2 3 13" xfId="4662" xr:uid="{B6DC6F2D-CD6C-43C5-8B48-E8C99500507F}"/>
    <cellStyle name="AggOrange 2 3 14" xfId="4793" xr:uid="{48DB6B01-BE77-4E12-B9FC-58F8FDE02E4A}"/>
    <cellStyle name="AggOrange 2 3 15" xfId="5882" xr:uid="{C8D7B38A-4827-49F1-8570-464B4D8FFAAE}"/>
    <cellStyle name="AggOrange 2 3 16" xfId="6238" xr:uid="{C3AE35A9-67EE-4102-BC24-B5F305427D93}"/>
    <cellStyle name="AggOrange 2 3 17" xfId="6995" xr:uid="{B109FCDB-B901-4140-B8E2-DE8288D9AF2E}"/>
    <cellStyle name="AggOrange 2 3 18" xfId="7642" xr:uid="{AE2E09C2-6EB5-46CA-AE55-712436792DA2}"/>
    <cellStyle name="AggOrange 2 3 19" xfId="8109" xr:uid="{8709908C-AD90-4C08-B5B1-F68585BF5C42}"/>
    <cellStyle name="AggOrange 2 3 2" xfId="604" xr:uid="{7972CDDA-14A1-45E8-BB2A-C632F5037DB5}"/>
    <cellStyle name="AggOrange 2 3 2 10" xfId="4789" xr:uid="{4F436C51-6ED8-41AF-9A21-F1A300DF203B}"/>
    <cellStyle name="AggOrange 2 3 2 11" xfId="5252" xr:uid="{51589E4F-FBDD-4D03-BBCE-622C2B8B45B3}"/>
    <cellStyle name="AggOrange 2 3 2 12" xfId="5668" xr:uid="{E8E61180-4D18-4E7F-8F15-009C79473A68}"/>
    <cellStyle name="AggOrange 2 3 2 13" xfId="5868" xr:uid="{5BED3109-2A11-44F8-991C-0431D90CE5E0}"/>
    <cellStyle name="AggOrange 2 3 2 14" xfId="5873" xr:uid="{EBFC9B79-1143-4A2A-A188-581EB22D96FC}"/>
    <cellStyle name="AggOrange 2 3 2 15" xfId="7324" xr:uid="{C55C8796-6D6D-45D6-82B4-7F6640D374AA}"/>
    <cellStyle name="AggOrange 2 3 2 16" xfId="7956" xr:uid="{55DD16FA-FEDA-4108-A079-D54F67061D92}"/>
    <cellStyle name="AggOrange 2 3 2 17" xfId="8597" xr:uid="{FD4C23C0-570C-47A4-A15D-2623E324B810}"/>
    <cellStyle name="AggOrange 2 3 2 18" xfId="8633" xr:uid="{72577593-404E-46EC-9EB2-736420047D11}"/>
    <cellStyle name="AggOrange 2 3 2 19" xfId="9538" xr:uid="{CBBC8C68-94DF-45CE-AFF9-A8586893EE22}"/>
    <cellStyle name="AggOrange 2 3 2 2" xfId="819" xr:uid="{17E4C3B2-3378-4A1D-BBCD-1C883858FB52}"/>
    <cellStyle name="AggOrange 2 3 2 2 10" xfId="5467" xr:uid="{E5429B1B-5D73-404D-B4FC-EC9017B5B042}"/>
    <cellStyle name="AggOrange 2 3 2 2 11" xfId="4904" xr:uid="{D83A927E-4474-4B3C-B323-FA95FDCF6DB7}"/>
    <cellStyle name="AggOrange 2 3 2 2 12" xfId="4742" xr:uid="{384D6426-6C74-4D5C-852C-81F284EA7584}"/>
    <cellStyle name="AggOrange 2 3 2 2 13" xfId="6090" xr:uid="{4AE6175E-8A99-4BB5-AA63-853AD4DAE657}"/>
    <cellStyle name="AggOrange 2 3 2 2 14" xfId="7539" xr:uid="{F1D76C53-A910-4E9A-9CF5-31CA39ED4737}"/>
    <cellStyle name="AggOrange 2 3 2 2 15" xfId="6867" xr:uid="{7A36C423-E8FA-4FAE-9567-3F1A5C5A56D1}"/>
    <cellStyle name="AggOrange 2 3 2 2 16" xfId="8510" xr:uid="{B916EC74-205B-4D1F-9CD9-1993C903DE16}"/>
    <cellStyle name="AggOrange 2 3 2 2 17" xfId="8845" xr:uid="{6B93FED6-A954-4918-A6BB-6758B8285A9A}"/>
    <cellStyle name="AggOrange 2 3 2 2 18" xfId="9753" xr:uid="{75E6175B-1327-48F1-A668-5D3502C2E10B}"/>
    <cellStyle name="AggOrange 2 3 2 2 19" xfId="9354" xr:uid="{6A12A707-EDEC-4D2D-BB04-848CBEA08AEE}"/>
    <cellStyle name="AggOrange 2 3 2 2 2" xfId="1293" xr:uid="{3DE7FC7C-3CE4-4CEE-A01A-C4BB27F07BEB}"/>
    <cellStyle name="AggOrange 2 3 2 2 20" xfId="10158" xr:uid="{EE79C11F-84CF-4665-8C39-40D0BBD15D89}"/>
    <cellStyle name="AggOrange 2 3 2 2 21" xfId="10633" xr:uid="{99436407-0EA1-4785-8E84-5016DE64575D}"/>
    <cellStyle name="AggOrange 2 3 2 2 22" xfId="8947" xr:uid="{71E7B11C-0BA9-4D42-B54D-124855E23E70}"/>
    <cellStyle name="AggOrange 2 3 2 2 23" xfId="12172" xr:uid="{2B0E9E9F-607F-4E4D-A5ED-68E7F1D1F32E}"/>
    <cellStyle name="AggOrange 2 3 2 2 24" xfId="12645" xr:uid="{A623DC28-5116-45D6-9405-67DDAC6C7F20}"/>
    <cellStyle name="AggOrange 2 3 2 2 25" xfId="13079" xr:uid="{C6CBBFBF-F0AF-4DA1-8907-428D2A1D7899}"/>
    <cellStyle name="AggOrange 2 3 2 2 26" xfId="13516" xr:uid="{2BFAF3B6-D441-4117-9860-16E8DF2BEE68}"/>
    <cellStyle name="AggOrange 2 3 2 2 27" xfId="13593" xr:uid="{8FB97B97-A68E-41BF-A995-24A92554FA3F}"/>
    <cellStyle name="AggOrange 2 3 2 2 28" xfId="14230" xr:uid="{FB043DDF-AF85-4575-B654-43DB4F475804}"/>
    <cellStyle name="AggOrange 2 3 2 2 29" xfId="14121" xr:uid="{9FDFF5CF-B4B9-42FE-9944-2657806EB0E4}"/>
    <cellStyle name="AggOrange 2 3 2 2 3" xfId="1474" xr:uid="{705E9301-2A9D-4C42-A33F-6E1913FC01B9}"/>
    <cellStyle name="AggOrange 2 3 2 2 30" xfId="13954" xr:uid="{FE1CE9AB-BE7A-49C0-9AFC-847053EB1FFA}"/>
    <cellStyle name="AggOrange 2 3 2 2 31" xfId="15059" xr:uid="{A1CC9CAF-903D-48A2-BC87-CB634061F892}"/>
    <cellStyle name="AggOrange 2 3 2 2 32" xfId="15429" xr:uid="{7AF7E7FD-9F94-4C5C-83A8-298C117587AB}"/>
    <cellStyle name="AggOrange 2 3 2 2 33" xfId="16864" xr:uid="{EDBCB9B7-0F76-47E6-8FBC-87A334AA5383}"/>
    <cellStyle name="AggOrange 2 3 2 2 34" xfId="16183" xr:uid="{F98FD1C7-6C24-4E0C-8ADC-9483E9FF0703}"/>
    <cellStyle name="AggOrange 2 3 2 2 35" xfId="17277" xr:uid="{9D6436C6-0F12-4F8C-9318-F0C75BD20067}"/>
    <cellStyle name="AggOrange 2 3 2 2 36" xfId="18036" xr:uid="{1B6FD894-E720-45D5-9387-F7459D8AD6D5}"/>
    <cellStyle name="AggOrange 2 3 2 2 37" xfId="18682" xr:uid="{F37D5BC6-698D-4154-9C0B-5379ABBF8ABD}"/>
    <cellStyle name="AggOrange 2 3 2 2 38" xfId="16715" xr:uid="{01C8FCB6-4365-4D3F-999A-B0490505170F}"/>
    <cellStyle name="AggOrange 2 3 2 2 39" xfId="19157" xr:uid="{5151150A-35C1-42FB-B200-E2F91EE7FE64}"/>
    <cellStyle name="AggOrange 2 3 2 2 4" xfId="2641" xr:uid="{FD46E8CB-29CC-44C6-978C-2AE5D8076FF2}"/>
    <cellStyle name="AggOrange 2 3 2 2 40" xfId="20201" xr:uid="{D5DB2AFE-6724-4C6A-BF0E-43D249457A80}"/>
    <cellStyle name="AggOrange 2 3 2 2 41" xfId="19609" xr:uid="{CD69BA06-5EE1-4150-814F-E8BDD079EEA6}"/>
    <cellStyle name="AggOrange 2 3 2 2 42" xfId="20519" xr:uid="{BA39DF21-F086-439A-A891-558DA069BC69}"/>
    <cellStyle name="AggOrange 2 3 2 2 43" xfId="21395" xr:uid="{71F7BF97-3845-48EE-BDCB-267878F06AC3}"/>
    <cellStyle name="AggOrange 2 3 2 2 44" xfId="21481" xr:uid="{AD22240C-F8BE-4D75-A75A-F1158B087BA3}"/>
    <cellStyle name="AggOrange 2 3 2 2 45" xfId="21964" xr:uid="{C671ED14-DCCE-4E4D-BBC1-E1C211E2B931}"/>
    <cellStyle name="AggOrange 2 3 2 2 46" xfId="22602" xr:uid="{856B33D7-FC57-43BB-BAD2-49CC5408430D}"/>
    <cellStyle name="AggOrange 2 3 2 2 47" xfId="22922" xr:uid="{3D99E493-FEFF-4BE6-AA87-FB11E1CF705C}"/>
    <cellStyle name="AggOrange 2 3 2 2 48" xfId="22983" xr:uid="{52E6CAA6-209A-494C-B887-8C25A7D87516}"/>
    <cellStyle name="AggOrange 2 3 2 2 49" xfId="24001" xr:uid="{4D4D0AD2-618E-4644-9A51-85F8E59887BF}"/>
    <cellStyle name="AggOrange 2 3 2 2 5" xfId="2759" xr:uid="{AF52C35D-C326-4113-B8D7-1E6C6A1587EE}"/>
    <cellStyle name="AggOrange 2 3 2 2 50" xfId="24909" xr:uid="{23EA0726-8E9A-4AB8-994E-54733485CB01}"/>
    <cellStyle name="AggOrange 2 3 2 2 51" xfId="24228" xr:uid="{9FCA9938-7EB5-4B8D-B792-2F9880D43004}"/>
    <cellStyle name="AggOrange 2 3 2 2 52" xfId="25825" xr:uid="{DAA7DB8C-FD5C-4A19-8E94-A890EBDED967}"/>
    <cellStyle name="AggOrange 2 3 2 2 53" xfId="25906" xr:uid="{458272FE-A78B-404C-8261-87A3EEE64FF8}"/>
    <cellStyle name="AggOrange 2 3 2 2 54" xfId="26357" xr:uid="{3216492B-8F2E-4453-AE06-3FB37BE48B10}"/>
    <cellStyle name="AggOrange 2 3 2 2 55" xfId="27113" xr:uid="{4A051C4C-3340-4F31-95A4-C65449164419}"/>
    <cellStyle name="AggOrange 2 3 2 2 56" xfId="27532" xr:uid="{71E687C9-CC67-4703-B184-ABD4C3EE71BA}"/>
    <cellStyle name="AggOrange 2 3 2 2 57" xfId="26776" xr:uid="{A895D05F-6966-4453-B1ED-3123E802AB6F}"/>
    <cellStyle name="AggOrange 2 3 2 2 58" xfId="28659" xr:uid="{CAD70152-0AEA-45D0-97A6-A07C536E0E7A}"/>
    <cellStyle name="AggOrange 2 3 2 2 59" xfId="29126" xr:uid="{AF190DC1-E708-41D3-ABF1-9908791188EB}"/>
    <cellStyle name="AggOrange 2 3 2 2 6" xfId="2013" xr:uid="{9D20E17A-891A-4760-B488-E77CBC2E6C1A}"/>
    <cellStyle name="AggOrange 2 3 2 2 60" xfId="27937" xr:uid="{52F391CF-F073-47D0-B5B2-E692F6D90D0C}"/>
    <cellStyle name="AggOrange 2 3 2 2 61" xfId="29915" xr:uid="{4D60BE3A-3292-403D-B753-7C9AB0206037}"/>
    <cellStyle name="AggOrange 2 3 2 2 62" xfId="30321" xr:uid="{EB4CC190-3B7F-4938-BA9E-DF619BCA54E9}"/>
    <cellStyle name="AggOrange 2 3 2 2 63" xfId="30738" xr:uid="{2835407B-3506-4805-AF9E-209346512E57}"/>
    <cellStyle name="AggOrange 2 3 2 2 64" xfId="29588" xr:uid="{02556482-A36E-4D91-A993-89E4F59D2131}"/>
    <cellStyle name="AggOrange 2 3 2 2 65" xfId="31354" xr:uid="{03AF4EE6-9019-4C14-A736-367C59544650}"/>
    <cellStyle name="AggOrange 2 3 2 2 7" xfId="4137" xr:uid="{0D82C115-C066-4488-A22F-E2A455945C6B}"/>
    <cellStyle name="AggOrange 2 3 2 2 8" xfId="4574" xr:uid="{D910431F-D633-4A66-8C3D-53EB4BE031A0}"/>
    <cellStyle name="AggOrange 2 3 2 2 9" xfId="5015" xr:uid="{DACF2762-BE61-4290-A960-1035F7914FDE}"/>
    <cellStyle name="AggOrange 2 3 2 20" xfId="10171" xr:uid="{FEC581E1-645B-42A8-9444-B2140CB0B150}"/>
    <cellStyle name="AggOrange 2 3 2 21" xfId="10578" xr:uid="{0D9AECE8-DFD4-41EB-97B3-743473D9230F}"/>
    <cellStyle name="AggOrange 2 3 2 22" xfId="10031" xr:uid="{5E96B87F-CD05-44FA-B295-E362F3DB7ED8}"/>
    <cellStyle name="AggOrange 2 3 2 23" xfId="11152" xr:uid="{4B59F2A5-3705-4DE2-B84A-B22F00EED5E4}"/>
    <cellStyle name="AggOrange 2 3 2 24" xfId="11957" xr:uid="{F8BA07C2-8F82-45CA-8BE5-7BC392FA2219}"/>
    <cellStyle name="AggOrange 2 3 2 25" xfId="12430" xr:uid="{ECAE8C20-6BF0-4BE2-B4E0-7E7E62F34C3A}"/>
    <cellStyle name="AggOrange 2 3 2 26" xfId="12864" xr:uid="{5A10D3A4-C924-4690-8A0C-EDE37066F69C}"/>
    <cellStyle name="AggOrange 2 3 2 27" xfId="13301" xr:uid="{FAD07CD5-8878-4F78-9A32-E1A2A09D6905}"/>
    <cellStyle name="AggOrange 2 3 2 28" xfId="13397" xr:uid="{135D9AD3-BB35-4299-88B8-DC4EE22CB21B}"/>
    <cellStyle name="AggOrange 2 3 2 29" xfId="13908" xr:uid="{AD1B5B87-5B55-40A7-9107-3572D86DA1E2}"/>
    <cellStyle name="AggOrange 2 3 2 3" xfId="1087" xr:uid="{BF67A7F1-99CC-4AB2-A38B-932A20C08527}"/>
    <cellStyle name="AggOrange 2 3 2 30" xfId="14800" xr:uid="{BDD6CD94-4CFC-4ECC-9DF0-B4BC3302B251}"/>
    <cellStyle name="AggOrange 2 3 2 31" xfId="14525" xr:uid="{1D73E09D-EA4D-49A6-BD7D-1C6DCACCE8B9}"/>
    <cellStyle name="AggOrange 2 3 2 32" xfId="14073" xr:uid="{DCEE3CB9-8B20-405C-BE21-DC6A5D7ECB8F}"/>
    <cellStyle name="AggOrange 2 3 2 33" xfId="15946" xr:uid="{47FFCA9E-47B8-4EA9-96D6-36B7E068AE8F}"/>
    <cellStyle name="AggOrange 2 3 2 34" xfId="16649" xr:uid="{F4DBB5B9-6F60-4E87-9982-2E70C99F3581}"/>
    <cellStyle name="AggOrange 2 3 2 35" xfId="17291" xr:uid="{7D6DC053-CD4A-4786-B1EC-64B1E93F8C95}"/>
    <cellStyle name="AggOrange 2 3 2 36" xfId="17734" xr:uid="{37615EBD-B1FB-47BE-9C89-4E860DFA50AF}"/>
    <cellStyle name="AggOrange 2 3 2 37" xfId="17551" xr:uid="{57124847-77BD-4EE8-BE14-E094FC59F140}"/>
    <cellStyle name="AggOrange 2 3 2 38" xfId="18467" xr:uid="{D9D3B807-E1AB-477D-91C3-ACCCF4E5E755}"/>
    <cellStyle name="AggOrange 2 3 2 39" xfId="17933" xr:uid="{4F94117F-E934-4690-A8B8-6FF0D25A9C88}"/>
    <cellStyle name="AggOrange 2 3 2 4" xfId="1613" xr:uid="{59E75589-25BA-47ED-89B7-D366BABA5A86}"/>
    <cellStyle name="AggOrange 2 3 2 40" xfId="19262" xr:uid="{1CF5E24B-99A1-4377-94AC-19E952CD50E2}"/>
    <cellStyle name="AggOrange 2 3 2 41" xfId="19986" xr:uid="{89B53133-0BBE-4AE1-ADC6-57008CB52C1B}"/>
    <cellStyle name="AggOrange 2 3 2 42" xfId="20641" xr:uid="{2C00CD45-B109-4FE7-A4AE-2C286A707ECF}"/>
    <cellStyle name="AggOrange 2 3 2 43" xfId="21097" xr:uid="{5FAF2B8E-8EBA-4A64-914A-B8C895BED9E6}"/>
    <cellStyle name="AggOrange 2 3 2 44" xfId="19686" xr:uid="{8AAAC1B0-921C-4DF9-827B-F432EE42E445}"/>
    <cellStyle name="AggOrange 2 3 2 45" xfId="22028" xr:uid="{1C41B4D8-EFB7-4C7B-9BF6-2BFFBDBC0200}"/>
    <cellStyle name="AggOrange 2 3 2 46" xfId="22458" xr:uid="{AD9D1575-8C20-4378-A88D-2B123F5EDAAA}"/>
    <cellStyle name="AggOrange 2 3 2 47" xfId="22262" xr:uid="{40D017C3-AEFA-40B1-9884-86302669B2B8}"/>
    <cellStyle name="AggOrange 2 3 2 48" xfId="21790" xr:uid="{D126AB40-1D76-4FE8-833B-3BD48C8AEF57}"/>
    <cellStyle name="AggOrange 2 3 2 49" xfId="23227" xr:uid="{8F67E7A0-1167-416E-91FA-A5CC4B8938AB}"/>
    <cellStyle name="AggOrange 2 3 2 5" xfId="2426" xr:uid="{95B9D4E9-9807-4B8A-8758-02541A88FFE6}"/>
    <cellStyle name="AggOrange 2 3 2 50" xfId="23795" xr:uid="{C78BD2DD-4632-4AFC-A301-C6558413F372}"/>
    <cellStyle name="AggOrange 2 3 2 51" xfId="24694" xr:uid="{6CF8E6CC-7255-4853-AD67-126A20D9BAFC}"/>
    <cellStyle name="AggOrange 2 3 2 52" xfId="25345" xr:uid="{301233DC-DB77-46E3-B313-BC557B59CEC4}"/>
    <cellStyle name="AggOrange 2 3 2 53" xfId="25612" xr:uid="{2995ECC8-E769-4F35-871B-4117C2331D74}"/>
    <cellStyle name="AggOrange 2 3 2 54" xfId="24355" xr:uid="{2333700E-D059-4307-A7C2-2C6D82346BA8}"/>
    <cellStyle name="AggOrange 2 3 2 55" xfId="26051" xr:uid="{1E5D8AF2-4753-4B43-8AED-29CFD13BA724}"/>
    <cellStyle name="AggOrange 2 3 2 56" xfId="26902" xr:uid="{990CDDAA-37B0-432E-A0C8-2D7C180152D8}"/>
    <cellStyle name="AggOrange 2 3 2 57" xfId="27321" xr:uid="{D12990F2-A84B-4303-A9AC-F65C8D1C8220}"/>
    <cellStyle name="AggOrange 2 3 2 58" xfId="27226" xr:uid="{42D85D73-95A2-4FFA-9CCF-54C66DA650FB}"/>
    <cellStyle name="AggOrange 2 3 2 59" xfId="28444" xr:uid="{313B83E6-102D-42BB-9420-47D8FFAE38AB}"/>
    <cellStyle name="AggOrange 2 3 2 6" xfId="1949" xr:uid="{858C3BC2-10BA-468E-88B8-CE8F4DF8A3CA}"/>
    <cellStyle name="AggOrange 2 3 2 60" xfId="28912" xr:uid="{B62B44E1-4597-4F91-958C-94306DC56D97}"/>
    <cellStyle name="AggOrange 2 3 2 61" xfId="29469" xr:uid="{265A88C0-EA2E-40A1-8D8E-C8DD109D9450}"/>
    <cellStyle name="AggOrange 2 3 2 62" xfId="29702" xr:uid="{0F735D5E-E93C-4339-AC27-23068073BBB7}"/>
    <cellStyle name="AggOrange 2 3 2 63" xfId="30110" xr:uid="{D902FC36-25AC-4E72-9B2C-25A7B10CC0C3}"/>
    <cellStyle name="AggOrange 2 3 2 64" xfId="30524" xr:uid="{BB8963A6-8B05-49BE-8BE4-A40598B9F5C8}"/>
    <cellStyle name="AggOrange 2 3 2 65" xfId="30916" xr:uid="{713EF13D-C868-4168-8853-6CE63CF118DA}"/>
    <cellStyle name="AggOrange 2 3 2 66" xfId="31148" xr:uid="{B85FC9B1-A796-4656-8DAB-022A5907C04E}"/>
    <cellStyle name="AggOrange 2 3 2 7" xfId="3112" xr:uid="{D4034443-497C-4C9E-ACFA-3F244CCA218E}"/>
    <cellStyle name="AggOrange 2 3 2 8" xfId="3922" xr:uid="{F7E1B4B0-46C4-48D1-B73C-DD9766FA029B}"/>
    <cellStyle name="AggOrange 2 3 2 9" xfId="4360" xr:uid="{9A78CD41-E8A5-4B51-90FD-D292B57AAFF0}"/>
    <cellStyle name="AggOrange 2 3 20" xfId="7177" xr:uid="{3756303C-1164-4CEC-B587-6604CC42894A}"/>
    <cellStyle name="AggOrange 2 3 21" xfId="9209" xr:uid="{2B383199-1C5E-4FDB-999B-49B2C9443D32}"/>
    <cellStyle name="AggOrange 2 3 22" xfId="9852" xr:uid="{4E9BC5E8-02AD-46CE-B0A6-3085B7C5CF7C}"/>
    <cellStyle name="AggOrange 2 3 23" xfId="10295" xr:uid="{5E9CE4A5-3621-4A1A-B0F8-2CDECA4DEA3A}"/>
    <cellStyle name="AggOrange 2 3 24" xfId="9134" xr:uid="{16DBB58B-B2EF-4A0A-AB66-2563B22F3F5F}"/>
    <cellStyle name="AggOrange 2 3 25" xfId="10802" xr:uid="{1963B7AC-BA22-4865-9F1A-1A39E98DE6E3}"/>
    <cellStyle name="AggOrange 2 3 26" xfId="11621" xr:uid="{48FD6A73-B96D-49FD-ABED-6108B7717FBE}"/>
    <cellStyle name="AggOrange 2 3 27" xfId="11481" xr:uid="{A5E9A192-4D4A-44C6-A3C6-4F360AA0E25A}"/>
    <cellStyle name="AggOrange 2 3 28" xfId="11547" xr:uid="{B4BAC3C2-E6EB-42FE-B319-813759AA7F64}"/>
    <cellStyle name="AggOrange 2 3 29" xfId="12768" xr:uid="{BFEB62C2-7F38-4190-8A7A-7C23E85C6B6E}"/>
    <cellStyle name="AggOrange 2 3 3" xfId="511" xr:uid="{5F713610-C8F4-4A8F-90FE-FCC2B9760FB5}"/>
    <cellStyle name="AggOrange 2 3 3 10" xfId="4223" xr:uid="{812BB584-CBD1-4907-8918-5BEA30BEB2CF}"/>
    <cellStyle name="AggOrange 2 3 3 11" xfId="5159" xr:uid="{AA9847A4-4D67-44DA-988F-AAE5EE914448}"/>
    <cellStyle name="AggOrange 2 3 3 12" xfId="5647" xr:uid="{E9F4E0A6-9AD9-4D7F-B272-705DFEFAA5B4}"/>
    <cellStyle name="AggOrange 2 3 3 13" xfId="5931" xr:uid="{78FEAC46-9261-4037-BFB8-14CC30F6B463}"/>
    <cellStyle name="AggOrange 2 3 3 14" xfId="6634" xr:uid="{3D4709ED-0812-44DB-8174-83E9862728B7}"/>
    <cellStyle name="AggOrange 2 3 3 15" xfId="7231" xr:uid="{D89A6363-EE0C-4068-A410-218B1824A9D4}"/>
    <cellStyle name="AggOrange 2 3 3 16" xfId="7833" xr:uid="{EAC5B9A3-35E7-45C9-9960-998F4BD4D0C7}"/>
    <cellStyle name="AggOrange 2 3 3 17" xfId="8574" xr:uid="{898EAE2A-F9C6-48A0-ABF4-1ACF2FEEA0BE}"/>
    <cellStyle name="AggOrange 2 3 3 18" xfId="8842" xr:uid="{A2D708FB-9544-4EA5-8AFA-2F7978359FC5}"/>
    <cellStyle name="AggOrange 2 3 3 19" xfId="9445" xr:uid="{243828E0-6ADF-4B3C-AE40-BEC5498897D9}"/>
    <cellStyle name="AggOrange 2 3 3 2" xfId="726" xr:uid="{0B9581BB-3F65-452E-89EA-0CE31E117263}"/>
    <cellStyle name="AggOrange 2 3 3 2 10" xfId="5374" xr:uid="{09595BCB-3FAE-4A54-AE29-830518AC25B4}"/>
    <cellStyle name="AggOrange 2 3 3 2 11" xfId="5036" xr:uid="{4D48AB5D-9932-4FE3-93A5-30343C0F5A84}"/>
    <cellStyle name="AggOrange 2 3 3 2 12" xfId="5035" xr:uid="{DF48354C-A505-49DF-89ED-389D7F8AF7D2}"/>
    <cellStyle name="AggOrange 2 3 3 2 13" xfId="5933" xr:uid="{EBFDEDFB-1FE9-42F4-AB05-64F1647BA281}"/>
    <cellStyle name="AggOrange 2 3 3 2 14" xfId="7446" xr:uid="{AC600250-43E8-4D51-AB9A-E81FF8EC0C14}"/>
    <cellStyle name="AggOrange 2 3 3 2 15" xfId="6860" xr:uid="{278D26D8-5692-4700-933C-D99348F014B4}"/>
    <cellStyle name="AggOrange 2 3 3 2 16" xfId="8356" xr:uid="{B952E7CE-5FDB-469F-ACC5-3E0DCAB904C0}"/>
    <cellStyle name="AggOrange 2 3 3 2 17" xfId="8424" xr:uid="{332D3EFA-371E-408C-B7F9-13B939276538}"/>
    <cellStyle name="AggOrange 2 3 3 2 18" xfId="9660" xr:uid="{FAD1BDCC-1921-4B11-AD3B-E1D1FA1801C3}"/>
    <cellStyle name="AggOrange 2 3 3 2 19" xfId="9075" xr:uid="{9BA31912-C0E8-49D1-A1DB-27C420CE0EBD}"/>
    <cellStyle name="AggOrange 2 3 3 2 2" xfId="1200" xr:uid="{45A022A3-91DB-4818-9020-5AA07167187A}"/>
    <cellStyle name="AggOrange 2 3 3 2 20" xfId="10077" xr:uid="{5C479F50-AFDA-49B9-AC64-A52F13C638C6}"/>
    <cellStyle name="AggOrange 2 3 3 2 21" xfId="10572" xr:uid="{E9ED2D29-D806-4F73-AD4B-DF6AF5A8602B}"/>
    <cellStyle name="AggOrange 2 3 3 2 22" xfId="11281" xr:uid="{ABA59B1E-86FD-4597-914E-E4514F9FFA86}"/>
    <cellStyle name="AggOrange 2 3 3 2 23" xfId="12079" xr:uid="{477DC345-6412-47A9-8BDF-50D5FC307DD5}"/>
    <cellStyle name="AggOrange 2 3 3 2 24" xfId="12552" xr:uid="{FBE6EC59-AC6B-4720-A7F0-11C27C194368}"/>
    <cellStyle name="AggOrange 2 3 3 2 25" xfId="12986" xr:uid="{AAC92C49-3900-43E0-9A14-99EC01247946}"/>
    <cellStyle name="AggOrange 2 3 3 2 26" xfId="13423" xr:uid="{6D8C8FB2-A196-4937-9848-DF32BE47E7AE}"/>
    <cellStyle name="AggOrange 2 3 3 2 27" xfId="13590" xr:uid="{8B2C57BA-509F-478B-9B82-7BA67F27B84A}"/>
    <cellStyle name="AggOrange 2 3 3 2 28" xfId="13747" xr:uid="{AAB45DFE-C1A0-4712-B3B3-C619135C4711}"/>
    <cellStyle name="AggOrange 2 3 3 2 29" xfId="14148" xr:uid="{E6CF0AC4-7CB8-4178-8767-0438804A13E9}"/>
    <cellStyle name="AggOrange 2 3 3 2 3" xfId="1493" xr:uid="{8717DE0A-9A64-4DA0-AF53-3F9E49B5FB6F}"/>
    <cellStyle name="AggOrange 2 3 3 2 30" xfId="14567" xr:uid="{416A4327-D205-4F38-8E88-829CE9051034}"/>
    <cellStyle name="AggOrange 2 3 3 2 31" xfId="14879" xr:uid="{3C640F0C-E3A0-4C3A-8B47-9B7FE1FE2D6E}"/>
    <cellStyle name="AggOrange 2 3 3 2 32" xfId="14322" xr:uid="{3608326D-620A-4076-80B1-0BEC6C2C3DD3}"/>
    <cellStyle name="AggOrange 2 3 3 2 33" xfId="16771" xr:uid="{5920DE64-B5E4-417A-84EA-1801BB17E883}"/>
    <cellStyle name="AggOrange 2 3 3 2 34" xfId="16176" xr:uid="{677B4DB5-7504-4576-A0F1-42F5613E9314}"/>
    <cellStyle name="AggOrange 2 3 3 2 35" xfId="17090" xr:uid="{DF180578-6724-422D-9063-50EB9BE2950D}"/>
    <cellStyle name="AggOrange 2 3 3 2 36" xfId="17751" xr:uid="{49B3752E-ED26-48ED-93A3-AFAA50B0FE45}"/>
    <cellStyle name="AggOrange 2 3 3 2 37" xfId="18589" xr:uid="{23D166E7-822C-4181-A624-6A8CB1638F60}"/>
    <cellStyle name="AggOrange 2 3 3 2 38" xfId="17981" xr:uid="{2BDAA01C-DF4A-423D-A816-94985ED07FF4}"/>
    <cellStyle name="AggOrange 2 3 3 2 39" xfId="19154" xr:uid="{608BA36B-E7BD-47BB-94F0-FBB2BC5595D0}"/>
    <cellStyle name="AggOrange 2 3 3 2 4" xfId="2548" xr:uid="{D0E67549-807C-4893-A58B-E339CA7F6FFC}"/>
    <cellStyle name="AggOrange 2 3 3 2 40" xfId="20108" xr:uid="{9C233FF0-77E6-495A-A084-6CDAFFB9581E}"/>
    <cellStyle name="AggOrange 2 3 3 2 41" xfId="19506" xr:uid="{BB8E9705-F488-44B0-9B97-D0DCC9A7D64F}"/>
    <cellStyle name="AggOrange 2 3 3 2 42" xfId="20499" xr:uid="{6EB9B143-EAA1-4F78-A184-FBBED3DFEBA2}"/>
    <cellStyle name="AggOrange 2 3 3 2 43" xfId="21530" xr:uid="{7287B0C0-26B4-474B-9517-571717036643}"/>
    <cellStyle name="AggOrange 2 3 3 2 44" xfId="19772" xr:uid="{7D281A3D-5E4A-4BE3-BF87-EEE797581901}"/>
    <cellStyle name="AggOrange 2 3 3 2 45" xfId="21893" xr:uid="{F447662B-D61B-4B09-B598-D6A6028969ED}"/>
    <cellStyle name="AggOrange 2 3 3 2 46" xfId="22599" xr:uid="{FA2E3D64-F619-46BA-9149-1F1F6FAA47AE}"/>
    <cellStyle name="AggOrange 2 3 3 2 47" xfId="22949" xr:uid="{48D2EA29-11D0-4969-8E63-0C789032CD36}"/>
    <cellStyle name="AggOrange 2 3 3 2 48" xfId="23311" xr:uid="{5B3BBF7A-F3AC-4B97-BDCE-24CACAC3D575}"/>
    <cellStyle name="AggOrange 2 3 3 2 49" xfId="23908" xr:uid="{26833B50-F24B-4C7A-8B26-93210990219B}"/>
    <cellStyle name="AggOrange 2 3 3 2 5" xfId="2756" xr:uid="{357FF13E-CD25-4971-B004-CD98FADF9D29}"/>
    <cellStyle name="AggOrange 2 3 3 2 50" xfId="24816" xr:uid="{25BBC60E-0CE0-48A4-A723-14B32CAA2189}"/>
    <cellStyle name="AggOrange 2 3 3 2 51" xfId="24183" xr:uid="{F3B87871-0C2B-48F0-83CB-280D90A0528A}"/>
    <cellStyle name="AggOrange 2 3 3 2 52" xfId="25732" xr:uid="{FDD7A280-9A56-4204-9376-F1A855288389}"/>
    <cellStyle name="AggOrange 2 3 3 2 53" xfId="25903" xr:uid="{FA633A0F-51DA-4D67-8707-CB8A6918057B}"/>
    <cellStyle name="AggOrange 2 3 3 2 54" xfId="26372" xr:uid="{225BF405-B3B8-430A-86D8-72FC806540DD}"/>
    <cellStyle name="AggOrange 2 3 3 2 55" xfId="27020" xr:uid="{08F45999-0128-4834-BAB6-EF4EA7150062}"/>
    <cellStyle name="AggOrange 2 3 3 2 56" xfId="27439" xr:uid="{04C52BEC-3D5F-4311-8D67-6ED048411D04}"/>
    <cellStyle name="AggOrange 2 3 3 2 57" xfId="27622" xr:uid="{33415EAD-87C7-42E5-9E9B-366FF8D5420D}"/>
    <cellStyle name="AggOrange 2 3 3 2 58" xfId="28566" xr:uid="{D644BF79-7FD2-4403-AC73-68ACFED42E8D}"/>
    <cellStyle name="AggOrange 2 3 3 2 59" xfId="29033" xr:uid="{915BD002-D28E-421C-9399-7F39906F79D0}"/>
    <cellStyle name="AggOrange 2 3 3 2 6" xfId="3572" xr:uid="{D6A76BDD-0E74-414A-B161-830692A69BED}"/>
    <cellStyle name="AggOrange 2 3 3 2 60" xfId="29006" xr:uid="{E301AB10-CF8A-45E6-8B87-960679E134C3}"/>
    <cellStyle name="AggOrange 2 3 3 2 61" xfId="29822" xr:uid="{D9287899-E26A-4B0C-A3D2-0FDC17A57F53}"/>
    <cellStyle name="AggOrange 2 3 3 2 62" xfId="30228" xr:uid="{CADA1B40-74A1-49A9-BB03-C8D237E2AD09}"/>
    <cellStyle name="AggOrange 2 3 3 2 63" xfId="30645" xr:uid="{12638547-9FD4-42CF-9844-421AB3892946}"/>
    <cellStyle name="AggOrange 2 3 3 2 64" xfId="29997" xr:uid="{A0672C51-C881-4FD7-A20C-C119FECE28D7}"/>
    <cellStyle name="AggOrange 2 3 3 2 65" xfId="31261" xr:uid="{FAA3B1DA-D344-4740-90CB-B4E699F1BB7B}"/>
    <cellStyle name="AggOrange 2 3 3 2 7" xfId="4044" xr:uid="{9C4BC4A9-A58B-4C96-B77D-4BC5802F910C}"/>
    <cellStyle name="AggOrange 2 3 3 2 8" xfId="4481" xr:uid="{BEC09C28-6404-49E8-9C3D-D56D0CC9060F}"/>
    <cellStyle name="AggOrange 2 3 3 2 9" xfId="3746" xr:uid="{25BBB94F-251C-470D-8453-CF824EBB0CD6}"/>
    <cellStyle name="AggOrange 2 3 3 20" xfId="10045" xr:uid="{F9D3F841-897C-49AE-AB88-8638E12DF500}"/>
    <cellStyle name="AggOrange 2 3 3 21" xfId="10465" xr:uid="{2F8695FD-2669-41AC-BC2B-36631B47DF5A}"/>
    <cellStyle name="AggOrange 2 3 3 22" xfId="10939" xr:uid="{9A07C3CA-2E8A-46D2-B78D-7546DBE2EBE2}"/>
    <cellStyle name="AggOrange 2 3 3 23" xfId="10567" xr:uid="{365B048D-A2C4-46FC-AAC5-12C61E919237}"/>
    <cellStyle name="AggOrange 2 3 3 24" xfId="11864" xr:uid="{A4C37694-E0B5-4769-AAC6-D890C3ECE4FF}"/>
    <cellStyle name="AggOrange 2 3 3 25" xfId="12337" xr:uid="{2F89D451-D97B-42DF-A459-B5B369AFBBCB}"/>
    <cellStyle name="AggOrange 2 3 3 26" xfId="12771" xr:uid="{EEBA5103-EAE1-4C54-8D92-44A3670149CE}"/>
    <cellStyle name="AggOrange 2 3 3 27" xfId="13208" xr:uid="{CBC6ABBB-8C15-4570-A2A5-B03397EA5C65}"/>
    <cellStyle name="AggOrange 2 3 3 28" xfId="11381" xr:uid="{E57ED475-DC2D-4841-B633-3716DDFE5D16}"/>
    <cellStyle name="AggOrange 2 3 3 29" xfId="14270" xr:uid="{E6049BC1-BEC4-4085-9043-781D269F1C0B}"/>
    <cellStyle name="AggOrange 2 3 3 3" xfId="994" xr:uid="{DF18B942-100E-4AAE-BD50-9CBEB11E2F28}"/>
    <cellStyle name="AggOrange 2 3 3 30" xfId="14618" xr:uid="{48C3482D-A85D-477F-848B-BC10FA0EE1AE}"/>
    <cellStyle name="AggOrange 2 3 3 31" xfId="14541" xr:uid="{24B6E404-569A-41AF-88E6-8C0F54AAC0CC}"/>
    <cellStyle name="AggOrange 2 3 3 32" xfId="15029" xr:uid="{EA3F2734-D9B1-409E-B470-79E783AC4AC6}"/>
    <cellStyle name="AggOrange 2 3 3 33" xfId="15877" xr:uid="{79604871-F0DA-43C9-9303-DE5ACDA3DBA2}"/>
    <cellStyle name="AggOrange 2 3 3 34" xfId="16556" xr:uid="{EC61F8EA-86C2-47BE-B2FF-B79020EBE69A}"/>
    <cellStyle name="AggOrange 2 3 3 35" xfId="17163" xr:uid="{AF003C55-5CBB-4D8B-8A5A-D1D70C5B2F60}"/>
    <cellStyle name="AggOrange 2 3 3 36" xfId="17608" xr:uid="{E97298A6-93BE-4B8D-BA6D-CA147E0B0B06}"/>
    <cellStyle name="AggOrange 2 3 3 37" xfId="17645" xr:uid="{6CEE090D-C3C6-47A5-91B8-479245E010A0}"/>
    <cellStyle name="AggOrange 2 3 3 38" xfId="18374" xr:uid="{1097608F-0530-4CF1-9BAA-806D3BFE174D}"/>
    <cellStyle name="AggOrange 2 3 3 39" xfId="18989" xr:uid="{8044DB74-6F9B-47CE-97FD-7B6F497DCC4D}"/>
    <cellStyle name="AggOrange 2 3 3 4" xfId="1615" xr:uid="{B984E0DE-20C4-4E40-823D-B5232F67CBEB}"/>
    <cellStyle name="AggOrange 2 3 3 40" xfId="19217" xr:uid="{06C65B37-2DD6-4256-8BE0-3E184E3E1841}"/>
    <cellStyle name="AggOrange 2 3 3 41" xfId="19893" xr:uid="{74E7B2B6-4F31-4678-9680-CC464B6FB481}"/>
    <cellStyle name="AggOrange 2 3 3 42" xfId="20515" xr:uid="{C549C167-777D-4CC1-B4FF-2DA946178452}"/>
    <cellStyle name="AggOrange 2 3 3 43" xfId="20968" xr:uid="{FE6610E1-3FB9-4C23-8643-8459F05391E5}"/>
    <cellStyle name="AggOrange 2 3 3 44" xfId="21442" xr:uid="{F3F367F7-9BD4-4C95-AAFD-C920B685943F}"/>
    <cellStyle name="AggOrange 2 3 3 45" xfId="21899" xr:uid="{35EDADB9-92EC-4BFF-8A86-7BAA6185D668}"/>
    <cellStyle name="AggOrange 2 3 3 46" xfId="22335" xr:uid="{E28CEA4A-BF18-4D61-A9BC-F949C41BAEEB}"/>
    <cellStyle name="AggOrange 2 3 3 47" xfId="21912" xr:uid="{A1C1E2A3-DA46-49B2-BF45-54E61FCA9129}"/>
    <cellStyle name="AggOrange 2 3 3 48" xfId="23273" xr:uid="{9C7D291F-1592-4FBB-8887-FC0B777085C5}"/>
    <cellStyle name="AggOrange 2 3 3 49" xfId="23500" xr:uid="{4B6C07CA-9743-4C94-BAD5-4B97506257C0}"/>
    <cellStyle name="AggOrange 2 3 3 5" xfId="2333" xr:uid="{73015943-07F1-483D-91F8-EF19910B6AFD}"/>
    <cellStyle name="AggOrange 2 3 3 50" xfId="23702" xr:uid="{C4680F8C-4797-43EA-906B-2661D0E98C62}"/>
    <cellStyle name="AggOrange 2 3 3 51" xfId="24601" xr:uid="{FF196956-4D7E-4972-9909-CCFE0A8FA3EA}"/>
    <cellStyle name="AggOrange 2 3 3 52" xfId="25224" xr:uid="{FC750729-B223-4396-8177-181CE87BAE09}"/>
    <cellStyle name="AggOrange 2 3 3 53" xfId="25519" xr:uid="{CE5FDBEB-C14B-404F-8443-01BB6484D898}"/>
    <cellStyle name="AggOrange 2 3 3 54" xfId="25516" xr:uid="{F62AAEB2-835D-450B-A57F-2137DE86AB27}"/>
    <cellStyle name="AggOrange 2 3 3 55" xfId="24439" xr:uid="{0A08B6C2-4DEB-4FC7-9437-ECED8928B5A4}"/>
    <cellStyle name="AggOrange 2 3 3 56" xfId="26809" xr:uid="{1986B94C-B6BA-4047-B5F3-071E13E01200}"/>
    <cellStyle name="AggOrange 2 3 3 57" xfId="27228" xr:uid="{38B2FA91-B84E-4232-A4AB-E3DE5F0CF31B}"/>
    <cellStyle name="AggOrange 2 3 3 58" xfId="25039" xr:uid="{AAE0B5DD-A760-4729-A85D-A62F3A656862}"/>
    <cellStyle name="AggOrange 2 3 3 59" xfId="28351" xr:uid="{9EF54451-57E8-49BF-9585-5ED92B6CA731}"/>
    <cellStyle name="AggOrange 2 3 3 6" xfId="1855" xr:uid="{3B79999C-A0BF-4595-A2AF-32A6069B1815}"/>
    <cellStyle name="AggOrange 2 3 3 60" xfId="28819" xr:uid="{6563A0C6-0039-47C8-834C-F5FD294A7E05}"/>
    <cellStyle name="AggOrange 2 3 3 61" xfId="29364" xr:uid="{16FD6A67-1C7C-4A49-9425-D96DA605B83C}"/>
    <cellStyle name="AggOrange 2 3 3 62" xfId="29609" xr:uid="{EBAD683B-1BBF-431D-A65F-DA3FD6F1DFB8}"/>
    <cellStyle name="AggOrange 2 3 3 63" xfId="30017" xr:uid="{7EDE3F03-BD83-462D-95F2-981893E5FF0D}"/>
    <cellStyle name="AggOrange 2 3 3 64" xfId="30431" xr:uid="{658FB867-E517-44AE-A553-778A77CFB690}"/>
    <cellStyle name="AggOrange 2 3 3 65" xfId="30835" xr:uid="{04C839DE-1C56-4863-B880-6636789126DD}"/>
    <cellStyle name="AggOrange 2 3 3 66" xfId="31055" xr:uid="{72A74970-1B28-4C79-A996-8922757482D0}"/>
    <cellStyle name="AggOrange 2 3 3 7" xfId="2964" xr:uid="{04B9FF80-8CD0-46FF-9E5E-9CCCBC0FBF8B}"/>
    <cellStyle name="AggOrange 2 3 3 8" xfId="3829" xr:uid="{A14D398F-6A79-44CE-BA71-AE27B89C14EE}"/>
    <cellStyle name="AggOrange 2 3 3 9" xfId="4267" xr:uid="{ED26C394-BD50-4571-8203-CA9E7689FD7F}"/>
    <cellStyle name="AggOrange 2 3 30" xfId="13927" xr:uid="{66075BDE-7EDD-4593-9905-A5176268278B}"/>
    <cellStyle name="AggOrange 2 3 31" xfId="11603" xr:uid="{9FAA2426-8C24-420C-8199-78E30280408E}"/>
    <cellStyle name="AggOrange 2 3 32" xfId="13787" xr:uid="{46A8E922-3976-4324-BE49-41D83E5CC3B2}"/>
    <cellStyle name="AggOrange 2 3 33" xfId="15025" xr:uid="{222FACA2-498C-4B27-986D-F8944B6F27C4}"/>
    <cellStyle name="AggOrange 2 3 34" xfId="15678" xr:uid="{BFE4D740-1A2B-49D0-A5D9-8CD59DD009D8}"/>
    <cellStyle name="AggOrange 2 3 35" xfId="15220" xr:uid="{C4913739-D3F4-41BB-9A17-7D4393B2AF9A}"/>
    <cellStyle name="AggOrange 2 3 36" xfId="16316" xr:uid="{81892DC1-119D-4C85-99DC-7E5D2A8DD651}"/>
    <cellStyle name="AggOrange 2 3 37" xfId="16968" xr:uid="{1521FA4B-DE6D-4875-96EC-D290118060B3}"/>
    <cellStyle name="AggOrange 2 3 38" xfId="17419" xr:uid="{B28557BD-18D8-44EE-A2E6-3290C48A52A1}"/>
    <cellStyle name="AggOrange 2 3 39" xfId="17978" xr:uid="{C0350170-4AFD-403E-89B1-B8E96A0F9FEF}"/>
    <cellStyle name="AggOrange 2 3 4" xfId="526" xr:uid="{9F847DFA-34DC-49EA-B221-03452BFD4A71}"/>
    <cellStyle name="AggOrange 2 3 4 10" xfId="3610" xr:uid="{B2243993-C93A-4538-A339-DBF857A9A4D0}"/>
    <cellStyle name="AggOrange 2 3 4 11" xfId="5174" xr:uid="{D43A15AF-9A1B-4F0D-A710-96FF29E2FD00}"/>
    <cellStyle name="AggOrange 2 3 4 12" xfId="4939" xr:uid="{087991E3-9875-48B7-893A-758DC2FB7814}"/>
    <cellStyle name="AggOrange 2 3 4 13" xfId="6142" xr:uid="{ABE5BE11-49A4-4D65-8DA8-EAA928340751}"/>
    <cellStyle name="AggOrange 2 3 4 14" xfId="3669" xr:uid="{220C440A-6AEF-4613-98CD-E813CBD11081}"/>
    <cellStyle name="AggOrange 2 3 4 15" xfId="7246" xr:uid="{03A8802F-2E64-4E59-B9C3-EC2C87FBB4DD}"/>
    <cellStyle name="AggOrange 2 3 4 16" xfId="7856" xr:uid="{2614F22F-9C54-4D9B-BAD9-A10FED756E82}"/>
    <cellStyle name="AggOrange 2 3 4 17" xfId="8657" xr:uid="{B735E3D0-601B-427F-B84A-8D7EFE34A5B7}"/>
    <cellStyle name="AggOrange 2 3 4 18" xfId="8878" xr:uid="{468A795F-B2D3-4F88-ACFA-15907D5F9C2C}"/>
    <cellStyle name="AggOrange 2 3 4 19" xfId="9460" xr:uid="{656D08B2-74CC-4D33-BEE1-81F4B9B258E4}"/>
    <cellStyle name="AggOrange 2 3 4 2" xfId="741" xr:uid="{76361F92-1AF8-4631-B267-9F490A778225}"/>
    <cellStyle name="AggOrange 2 3 4 2 10" xfId="5389" xr:uid="{FD88105E-D04E-4662-98DF-46BEAF535F03}"/>
    <cellStyle name="AggOrange 2 3 4 2 11" xfId="5318" xr:uid="{CDAA46E1-6AC7-4503-ADF1-CF58BC8D0FED}"/>
    <cellStyle name="AggOrange 2 3 4 2 12" xfId="5892" xr:uid="{DE2C37D3-E0EA-4BB4-9455-E104CA5DC71E}"/>
    <cellStyle name="AggOrange 2 3 4 2 13" xfId="6408" xr:uid="{EF330D60-A3CD-4344-AC26-38E2720C58B0}"/>
    <cellStyle name="AggOrange 2 3 4 2 14" xfId="7461" xr:uid="{3E048694-B6EE-43FD-B4B9-5C5BC2108248}"/>
    <cellStyle name="AggOrange 2 3 4 2 15" xfId="6784" xr:uid="{E27C77D0-A3F6-4F22-8BFA-B8076CF75672}"/>
    <cellStyle name="AggOrange 2 3 4 2 16" xfId="7044" xr:uid="{3B2FE5A8-DCEA-47C2-8DDD-FA530E14922C}"/>
    <cellStyle name="AggOrange 2 3 4 2 17" xfId="8774" xr:uid="{77CA8A23-514C-496E-8517-4B0FB0F40B74}"/>
    <cellStyle name="AggOrange 2 3 4 2 18" xfId="9675" xr:uid="{FB1A7F64-9EDB-4A6A-A1F3-F1B0BB4F5D90}"/>
    <cellStyle name="AggOrange 2 3 4 2 19" xfId="8996" xr:uid="{16EBA94C-9E4C-471F-9B5D-52E938FC5127}"/>
    <cellStyle name="AggOrange 2 3 4 2 2" xfId="1215" xr:uid="{EB483BC0-DC26-48BC-8365-AA75C2BD2477}"/>
    <cellStyle name="AggOrange 2 3 4 2 20" xfId="10024" xr:uid="{229A01DE-BB1C-4F45-AF95-236D7865E446}"/>
    <cellStyle name="AggOrange 2 3 4 2 21" xfId="10010" xr:uid="{1F4B6EE8-19BF-451C-8085-61060E9B6DFF}"/>
    <cellStyle name="AggOrange 2 3 4 2 22" xfId="11093" xr:uid="{006B18F0-8FC5-4D37-9261-8D4973D4ACCF}"/>
    <cellStyle name="AggOrange 2 3 4 2 23" xfId="12094" xr:uid="{C53E47D5-AD60-462A-A83D-C8CFA4D03CC2}"/>
    <cellStyle name="AggOrange 2 3 4 2 24" xfId="12567" xr:uid="{F5DBA6E5-C30A-4A8B-8939-9FA67BCD1B20}"/>
    <cellStyle name="AggOrange 2 3 4 2 25" xfId="13001" xr:uid="{0C504F68-BD7E-4773-824C-78E332C439D1}"/>
    <cellStyle name="AggOrange 2 3 4 2 26" xfId="13438" xr:uid="{00772809-2C69-4CA6-953B-A4859EE43297}"/>
    <cellStyle name="AggOrange 2 3 4 2 27" xfId="12318" xr:uid="{A1289B46-FC61-4509-BC53-CB1B46C2E308}"/>
    <cellStyle name="AggOrange 2 3 4 2 28" xfId="13620" xr:uid="{671A0A27-61F6-4DF3-8B7C-4A20B4CA2A93}"/>
    <cellStyle name="AggOrange 2 3 4 2 29" xfId="14217" xr:uid="{87B753D1-7E03-4368-9791-AE92114863F2}"/>
    <cellStyle name="AggOrange 2 3 4 2 3" xfId="1436" xr:uid="{8D0A622B-4D55-4EFF-BA0A-086075F28934}"/>
    <cellStyle name="AggOrange 2 3 4 2 30" xfId="15067" xr:uid="{DD37CB72-E571-47CD-AD56-A12928B2BF15}"/>
    <cellStyle name="AggOrange 2 3 4 2 31" xfId="15295" xr:uid="{33E35B2B-2640-4B2D-B6AC-8042B75FD6DE}"/>
    <cellStyle name="AggOrange 2 3 4 2 32" xfId="15358" xr:uid="{B97854FB-779F-4054-A933-4746F83EDD9F}"/>
    <cellStyle name="AggOrange 2 3 4 2 33" xfId="16786" xr:uid="{B610C43D-594F-460D-AEB4-D473E65680FD}"/>
    <cellStyle name="AggOrange 2 3 4 2 34" xfId="16093" xr:uid="{85401021-2162-484C-8CE5-F70B76902CD0}"/>
    <cellStyle name="AggOrange 2 3 4 2 35" xfId="17141" xr:uid="{FA82E73A-4969-453B-B223-C198457B995A}"/>
    <cellStyle name="AggOrange 2 3 4 2 36" xfId="17998" xr:uid="{2ED5CEE1-BF06-4F60-900B-918A86CE50E0}"/>
    <cellStyle name="AggOrange 2 3 4 2 37" xfId="18604" xr:uid="{A976C8D3-BBC0-4340-95D4-F9A06F13D91D}"/>
    <cellStyle name="AggOrange 2 3 4 2 38" xfId="18890" xr:uid="{FE7112EB-3DF5-4E3E-AD47-0F453E5E6AC6}"/>
    <cellStyle name="AggOrange 2 3 4 2 39" xfId="18260" xr:uid="{F23C397B-1509-4277-94EE-5603EF42A118}"/>
    <cellStyle name="AggOrange 2 3 4 2 4" xfId="2563" xr:uid="{F10742DC-5DFE-4FDC-94DB-6B961E3E025A}"/>
    <cellStyle name="AggOrange 2 3 4 2 40" xfId="20123" xr:uid="{C8B690F4-8544-4EDD-A42B-F462F0D50A27}"/>
    <cellStyle name="AggOrange 2 3 4 2 41" xfId="19426" xr:uid="{197988A0-2136-4D88-85F0-C5F74CC7489A}"/>
    <cellStyle name="AggOrange 2 3 4 2 42" xfId="19867" xr:uid="{A6F25718-7494-4110-A18E-2D597407DC6C}"/>
    <cellStyle name="AggOrange 2 3 4 2 43" xfId="21396" xr:uid="{43FA302A-0FCA-4CC9-A287-FBD3EDA7B8A0}"/>
    <cellStyle name="AggOrange 2 3 4 2 44" xfId="21108" xr:uid="{76BDDD85-266B-4CD7-97FF-A878F0869C35}"/>
    <cellStyle name="AggOrange 2 3 4 2 45" xfId="21877" xr:uid="{E4012871-0D44-40DF-84D7-0806AE4CE192}"/>
    <cellStyle name="AggOrange 2 3 4 2 46" xfId="22192" xr:uid="{86FC8DCC-687D-44D0-B83B-8839CC297C62}"/>
    <cellStyle name="AggOrange 2 3 4 2 47" xfId="23164" xr:uid="{D8BD34FC-54F6-4711-894D-F1AA96A8560C}"/>
    <cellStyle name="AggOrange 2 3 4 2 48" xfId="22542" xr:uid="{50103056-D67D-45DA-B308-8BC523FBA4B0}"/>
    <cellStyle name="AggOrange 2 3 4 2 49" xfId="23923" xr:uid="{C312EA77-9CCE-4C8A-8B8A-2B70D0056405}"/>
    <cellStyle name="AggOrange 2 3 4 2 5" xfId="2312" xr:uid="{37D3B46C-4515-4054-97C7-45B635AF7A7D}"/>
    <cellStyle name="AggOrange 2 3 4 2 50" xfId="24831" xr:uid="{3B61D8F4-3277-4497-A9A8-B692D390EEA9}"/>
    <cellStyle name="AggOrange 2 3 4 2 51" xfId="24149" xr:uid="{0D8389A9-120B-446F-9EFE-5B2D9C68A044}"/>
    <cellStyle name="AggOrange 2 3 4 2 52" xfId="25747" xr:uid="{852C4AB1-0284-4DD1-B017-15DCB17685FF}"/>
    <cellStyle name="AggOrange 2 3 4 2 53" xfId="25292" xr:uid="{EFF2CDFB-8EF3-48A1-9DF0-0E2A60C4C31E}"/>
    <cellStyle name="AggOrange 2 3 4 2 54" xfId="26098" xr:uid="{E4AB3798-E78C-4B8C-96B5-5E82C5B6A152}"/>
    <cellStyle name="AggOrange 2 3 4 2 55" xfId="27035" xr:uid="{E28073AD-18EF-46F0-B393-1DB7EFC86533}"/>
    <cellStyle name="AggOrange 2 3 4 2 56" xfId="27454" xr:uid="{5966D8EB-2A73-4EC6-8618-CC48FD466525}"/>
    <cellStyle name="AggOrange 2 3 4 2 57" xfId="26640" xr:uid="{1D8F9B54-AC2F-4475-85AE-357D2F293A89}"/>
    <cellStyle name="AggOrange 2 3 4 2 58" xfId="28581" xr:uid="{5D9A35ED-8D43-42C3-9E5E-1E8CA23218B7}"/>
    <cellStyle name="AggOrange 2 3 4 2 59" xfId="29048" xr:uid="{421B514C-EED4-45B4-B71A-7990F35655E2}"/>
    <cellStyle name="AggOrange 2 3 4 2 6" xfId="3109" xr:uid="{49CE2AEC-256A-404D-9C48-FF2AEF968ADC}"/>
    <cellStyle name="AggOrange 2 3 4 2 60" xfId="28333" xr:uid="{95E5BB4C-9700-4201-A9FD-0DC32FBAD46A}"/>
    <cellStyle name="AggOrange 2 3 4 2 61" xfId="29837" xr:uid="{956717EC-F5C8-4EAE-A03C-9FE8650DD4A5}"/>
    <cellStyle name="AggOrange 2 3 4 2 62" xfId="30243" xr:uid="{29140EAC-D71F-404C-A0E7-60589BC60953}"/>
    <cellStyle name="AggOrange 2 3 4 2 63" xfId="30660" xr:uid="{B7648489-7933-47E9-AAA9-9DB68644C7C2}"/>
    <cellStyle name="AggOrange 2 3 4 2 64" xfId="28176" xr:uid="{01140C53-C117-4494-BF84-B4E04CB297EF}"/>
    <cellStyle name="AggOrange 2 3 4 2 65" xfId="31276" xr:uid="{3D76781B-76C6-4A7D-8D88-869E2A053E03}"/>
    <cellStyle name="AggOrange 2 3 4 2 7" xfId="4059" xr:uid="{3E70C622-BFE1-4C8B-8FBE-05D03B7921AF}"/>
    <cellStyle name="AggOrange 2 3 4 2 8" xfId="4496" xr:uid="{9A3A72C9-E36D-4E15-AEC2-F8AB06B9DE8B}"/>
    <cellStyle name="AggOrange 2 3 4 2 9" xfId="2181" xr:uid="{EE29D27B-0F49-4890-93E8-B90093801689}"/>
    <cellStyle name="AggOrange 2 3 4 20" xfId="10069" xr:uid="{BA33B116-CC15-4027-8124-2FE613A5C8E3}"/>
    <cellStyle name="AggOrange 2 3 4 21" xfId="10486" xr:uid="{2DE9271B-FF34-446A-B599-2CB13DD58143}"/>
    <cellStyle name="AggOrange 2 3 4 22" xfId="10834" xr:uid="{D718AAEC-B9FB-475D-B8C4-2E044FF06368}"/>
    <cellStyle name="AggOrange 2 3 4 23" xfId="11139" xr:uid="{28EA8F9E-9FA6-4B5A-B04B-648E3F88C3A5}"/>
    <cellStyle name="AggOrange 2 3 4 24" xfId="11879" xr:uid="{573E52E7-124F-4965-B4EE-A22DA7769A2B}"/>
    <cellStyle name="AggOrange 2 3 4 25" xfId="12352" xr:uid="{F50C6174-7DED-4FAE-9AE9-D3A79B000CA6}"/>
    <cellStyle name="AggOrange 2 3 4 26" xfId="12786" xr:uid="{D10552FF-155B-4843-81A7-30B1C6EF61F2}"/>
    <cellStyle name="AggOrange 2 3 4 27" xfId="13223" xr:uid="{3DA8C17C-DC56-4849-B9B5-5C2961A525DC}"/>
    <cellStyle name="AggOrange 2 3 4 28" xfId="11460" xr:uid="{5B130D3F-64F7-4C42-A239-AD6B972CC084}"/>
    <cellStyle name="AggOrange 2 3 4 29" xfId="14295" xr:uid="{A8864AD5-B1B2-4B13-8BA9-5B42D2F7BA39}"/>
    <cellStyle name="AggOrange 2 3 4 3" xfId="1009" xr:uid="{F9165D8E-58EA-4CA4-9232-E5F0437227C0}"/>
    <cellStyle name="AggOrange 2 3 4 30" xfId="14717" xr:uid="{CED233DB-C451-4422-86D5-41422A09CC12}"/>
    <cellStyle name="AggOrange 2 3 4 31" xfId="14565" xr:uid="{56FACCDF-055E-4DCA-8424-38516679F932}"/>
    <cellStyle name="AggOrange 2 3 4 32" xfId="13682" xr:uid="{5EDE9F8E-6980-42F7-864A-E70F89418354}"/>
    <cellStyle name="AggOrange 2 3 4 33" xfId="15891" xr:uid="{9FF6AA4A-6829-4B33-B2A3-C8945EB68705}"/>
    <cellStyle name="AggOrange 2 3 4 34" xfId="16571" xr:uid="{6F582586-EF6E-4361-A8FE-1B9456230050}"/>
    <cellStyle name="AggOrange 2 3 4 35" xfId="17186" xr:uid="{522EB91D-F88D-4D72-9B77-B2DFDDF71C80}"/>
    <cellStyle name="AggOrange 2 3 4 36" xfId="17632" xr:uid="{E7EFCD4C-A6F4-4694-9C87-4554834FC96D}"/>
    <cellStyle name="AggOrange 2 3 4 37" xfId="16165" xr:uid="{C7A63787-F362-4EB7-A01B-7007B2610D27}"/>
    <cellStyle name="AggOrange 2 3 4 38" xfId="18389" xr:uid="{1EFDF15D-B839-4C45-8BA2-338C3D1380D1}"/>
    <cellStyle name="AggOrange 2 3 4 39" xfId="19051" xr:uid="{35F2F3E4-DFE0-4BAD-BF9A-6B26F213D6C6}"/>
    <cellStyle name="AggOrange 2 3 4 4" xfId="1497" xr:uid="{F5B115CA-7690-4D23-AFFC-83490263540A}"/>
    <cellStyle name="AggOrange 2 3 4 40" xfId="19326" xr:uid="{6437F59B-B47B-4F4C-902A-E320D3E4E68A}"/>
    <cellStyle name="AggOrange 2 3 4 41" xfId="19908" xr:uid="{27A57218-8FF3-4D00-84B0-97CBCAE26027}"/>
    <cellStyle name="AggOrange 2 3 4 42" xfId="20539" xr:uid="{691A4F8F-20D0-4092-8844-B3A45760D070}"/>
    <cellStyle name="AggOrange 2 3 4 43" xfId="20992" xr:uid="{E824CDF7-781F-4F1D-995E-00889D644EEC}"/>
    <cellStyle name="AggOrange 2 3 4 44" xfId="21373" xr:uid="{FA753592-F5E9-45C5-8870-795369DF4E54}"/>
    <cellStyle name="AggOrange 2 3 4 45" xfId="21923" xr:uid="{CE40A85F-504D-440E-B72E-C5D83D32D950}"/>
    <cellStyle name="AggOrange 2 3 4 46" xfId="22357" xr:uid="{3E1AB4F8-DDFE-4029-B5A8-46D56166E497}"/>
    <cellStyle name="AggOrange 2 3 4 47" xfId="21968" xr:uid="{AEBD3928-D038-4B82-B02B-E527003713F6}"/>
    <cellStyle name="AggOrange 2 3 4 48" xfId="23329" xr:uid="{9637F7DD-B2ED-4C0F-A833-9AFCD4959CD4}"/>
    <cellStyle name="AggOrange 2 3 4 49" xfId="23648" xr:uid="{763EFC26-C9A5-42AF-9056-5070656861BC}"/>
    <cellStyle name="AggOrange 2 3 4 5" xfId="2348" xr:uid="{9139FCFA-AEF3-468B-8680-D64B915A0086}"/>
    <cellStyle name="AggOrange 2 3 4 50" xfId="23717" xr:uid="{EA366F9D-BA7F-44B7-8707-46EA739638F4}"/>
    <cellStyle name="AggOrange 2 3 4 51" xfId="24616" xr:uid="{EAA73588-CE25-42BD-8EC7-7F292F2A2348}"/>
    <cellStyle name="AggOrange 2 3 4 52" xfId="25247" xr:uid="{F74D2A07-1CA9-4C83-9FAA-011A04BD7264}"/>
    <cellStyle name="AggOrange 2 3 4 53" xfId="25534" xr:uid="{A15E425F-79BA-4747-8E75-552D891A7B2F}"/>
    <cellStyle name="AggOrange 2 3 4 54" xfId="25485" xr:uid="{CF4DD114-2D5D-424E-AB66-32CCE9A402E6}"/>
    <cellStyle name="AggOrange 2 3 4 55" xfId="25950" xr:uid="{18B17CBE-D337-4203-8470-63070E2F9FC2}"/>
    <cellStyle name="AggOrange 2 3 4 56" xfId="26824" xr:uid="{7AC296E1-A787-4D7D-B606-5C2AC2C6F930}"/>
    <cellStyle name="AggOrange 2 3 4 57" xfId="27243" xr:uid="{A4AFB321-2117-459B-A827-D004744471BB}"/>
    <cellStyle name="AggOrange 2 3 4 58" xfId="27749" xr:uid="{0FF47EC2-7688-41A1-8DE3-911AD1DF3866}"/>
    <cellStyle name="AggOrange 2 3 4 59" xfId="28366" xr:uid="{CD22F8F8-5D80-475F-AEA6-522030862EB9}"/>
    <cellStyle name="AggOrange 2 3 4 6" xfId="2287" xr:uid="{ED5EF810-CB6D-4125-AB63-C5AF75691209}"/>
    <cellStyle name="AggOrange 2 3 4 60" xfId="28834" xr:uid="{C2241161-EE03-4FCF-822E-794FAFDD577A}"/>
    <cellStyle name="AggOrange 2 3 4 61" xfId="29384" xr:uid="{52EAB764-EF67-45EE-BC83-2A0746B9C454}"/>
    <cellStyle name="AggOrange 2 3 4 62" xfId="29624" xr:uid="{BA7AAA8C-95E5-4C44-824C-E6B510AF9BA5}"/>
    <cellStyle name="AggOrange 2 3 4 63" xfId="30032" xr:uid="{EF410F84-3E54-4932-95A8-C100C1AEAEB0}"/>
    <cellStyle name="AggOrange 2 3 4 64" xfId="30446" xr:uid="{1CD448B9-9EA5-4B99-9FAD-BA1C43F96BE3}"/>
    <cellStyle name="AggOrange 2 3 4 65" xfId="30962" xr:uid="{6E34EA08-91D6-4EDC-9E96-B649712A17D0}"/>
    <cellStyle name="AggOrange 2 3 4 66" xfId="31070" xr:uid="{48F36A8F-6ECC-4512-86A2-EF78890BDBBA}"/>
    <cellStyle name="AggOrange 2 3 4 7" xfId="3760" xr:uid="{7A9EA631-3CFF-4A6B-B447-E84D0EC4BF53}"/>
    <cellStyle name="AggOrange 2 3 4 8" xfId="3844" xr:uid="{890E7FD9-4098-4E9A-B804-F5CB0A8FE402}"/>
    <cellStyle name="AggOrange 2 3 4 9" xfId="4282" xr:uid="{BD436131-4252-4B3F-BE27-98B997B5DA2C}"/>
    <cellStyle name="AggOrange 2 3 40" xfId="17139" xr:uid="{EFC8ED97-FE42-498D-957C-35972CC87134}"/>
    <cellStyle name="AggOrange 2 3 41" xfId="17959" xr:uid="{F362E5C2-1552-4E97-9F40-6A1115B7D36E}"/>
    <cellStyle name="AggOrange 2 3 42" xfId="19227" xr:uid="{CCC52650-9FA1-47A5-84AC-AD28E89FD65C}"/>
    <cellStyle name="AggOrange 2 3 43" xfId="19649" xr:uid="{A0722FB9-25F9-4354-8704-55FB5793BB29}"/>
    <cellStyle name="AggOrange 2 3 44" xfId="20315" xr:uid="{BDE7A8E5-8267-4419-816A-43B4315190A2}"/>
    <cellStyle name="AggOrange 2 3 45" xfId="20771" xr:uid="{1063FBA9-8024-46EF-BB71-2A1427A68A18}"/>
    <cellStyle name="AggOrange 2 3 46" xfId="19660" xr:uid="{2A58A0F7-9492-4B0F-A070-48357A424BFF}"/>
    <cellStyle name="AggOrange 2 3 47" xfId="21099" xr:uid="{97D5D367-2A22-400B-8277-D90BDEF22B60}"/>
    <cellStyle name="AggOrange 2 3 48" xfId="22020" xr:uid="{E5615208-79D0-4AA6-ACBA-DE7DD3888A9C}"/>
    <cellStyle name="AggOrange 2 3 49" xfId="22903" xr:uid="{412E2C06-5882-4DF1-869E-8082C7161450}"/>
    <cellStyle name="AggOrange 2 3 5" xfId="942" xr:uid="{3B9A43DC-8E62-493E-8750-A6C44F5E2F25}"/>
    <cellStyle name="AggOrange 2 3 50" xfId="22641" xr:uid="{79045A57-49B0-49C2-A45D-7378613CAA1B}"/>
    <cellStyle name="AggOrange 2 3 51" xfId="22748" xr:uid="{F2599728-9727-4B26-9BB7-F22A115C2006}"/>
    <cellStyle name="AggOrange 2 3 52" xfId="23581" xr:uid="{10D4CFE7-D23F-4A08-A48C-C0287A4D5946}"/>
    <cellStyle name="AggOrange 2 3 53" xfId="24369" xr:uid="{A5D15F71-A51D-4069-9D3D-CB3BA887A7B4}"/>
    <cellStyle name="AggOrange 2 3 54" xfId="25033" xr:uid="{80DDA845-BF53-42A4-B559-8F02AA997A26}"/>
    <cellStyle name="AggOrange 2 3 55" xfId="24141" xr:uid="{9DB1E429-6E2A-4551-A51F-8F44BFE1CADD}"/>
    <cellStyle name="AggOrange 2 3 56" xfId="26046" xr:uid="{DB1A6006-7775-47DE-8C84-2296FE132336}"/>
    <cellStyle name="AggOrange 2 3 57" xfId="26311" xr:uid="{5AB66C6A-8A5F-42DF-83A9-4285340CAF9B}"/>
    <cellStyle name="AggOrange 2 3 58" xfId="26455" xr:uid="{5D44891A-FD95-43CD-8075-6AAAD558709B}"/>
    <cellStyle name="AggOrange 2 3 59" xfId="26807" xr:uid="{9C062947-86A4-4F2D-A6E4-1662CF656762}"/>
    <cellStyle name="AggOrange 2 3 6" xfId="1587" xr:uid="{4046E46A-798D-4ABC-9B26-8C1332983D64}"/>
    <cellStyle name="AggOrange 2 3 60" xfId="26447" xr:uid="{7493569F-DAE1-4414-BB98-0F1883958701}"/>
    <cellStyle name="AggOrange 2 3 61" xfId="28140" xr:uid="{4C1A51E0-1077-49F5-8673-8D680F1F367F}"/>
    <cellStyle name="AggOrange 2 3 62" xfId="28016" xr:uid="{9C5E64AA-0A9E-43FA-8C64-F65DAFFA5842}"/>
    <cellStyle name="AggOrange 2 3 63" xfId="28127" xr:uid="{4A6C6F27-9CEF-4C3E-B6A7-F17170CE0E23}"/>
    <cellStyle name="AggOrange 2 3 64" xfId="29408" xr:uid="{2BE6472B-A247-4678-8CC5-8137928E90C7}"/>
    <cellStyle name="AggOrange 2 3 65" xfId="28004" xr:uid="{1854D2DA-64BE-4957-90F9-AEB958C522A9}"/>
    <cellStyle name="AggOrange 2 3 66" xfId="30203" xr:uid="{2DE9BA89-4D22-4DB6-9E18-F6B1D637E840}"/>
    <cellStyle name="AggOrange 2 3 67" xfId="28739" xr:uid="{CD96C664-EE8D-446B-9615-5855DE1D3361}"/>
    <cellStyle name="AggOrange 2 3 68" xfId="30016" xr:uid="{D7FBBFF6-98DC-484C-AE4B-0A4FA3F8C7B2}"/>
    <cellStyle name="AggOrange 2 3 7" xfId="2089" xr:uid="{75C8F485-FFBA-4632-9346-A80D84BF8242}"/>
    <cellStyle name="AggOrange 2 3 8" xfId="3095" xr:uid="{23332FA1-53DD-4805-9F7C-C006C6EEE789}"/>
    <cellStyle name="AggOrange 2 3 9" xfId="2949" xr:uid="{BF601DC0-B09E-4458-BCD3-F7AC60A22893}"/>
    <cellStyle name="AggOrange 3" xfId="406" xr:uid="{79E06FD6-AC3F-4AAD-9C6E-8EE2F52B136D}"/>
    <cellStyle name="AggOrange 3 2" xfId="646" xr:uid="{FF29BFCB-280E-4B96-B520-07915E432E6F}"/>
    <cellStyle name="AggOrange 3 2 10" xfId="4773" xr:uid="{6623524C-922D-44D6-A9F8-487B6AA7AB67}"/>
    <cellStyle name="AggOrange 3 2 11" xfId="5294" xr:uid="{86903E1A-7E96-4F2B-B5C8-B7F7E4DBD348}"/>
    <cellStyle name="AggOrange 3 2 12" xfId="5546" xr:uid="{C79825E1-D5B4-4A76-9937-5990F20A56FE}"/>
    <cellStyle name="AggOrange 3 2 13" xfId="3718" xr:uid="{322D3F95-5430-40E8-84A5-8F045EC39084}"/>
    <cellStyle name="AggOrange 3 2 14" xfId="5750" xr:uid="{8697505B-377D-452E-BC5F-31E5587B8226}"/>
    <cellStyle name="AggOrange 3 2 15" xfId="7366" xr:uid="{42D85E0C-B622-4705-9D00-3AFBBF29E91C}"/>
    <cellStyle name="AggOrange 3 2 16" xfId="7103" xr:uid="{A4595C98-4B9F-443A-88DD-EDE45ACF21B4}"/>
    <cellStyle name="AggOrange 3 2 17" xfId="8033" xr:uid="{C934CCE8-22CF-4AEC-8159-CDEEBD08DE73}"/>
    <cellStyle name="AggOrange 3 2 18" xfId="8148" xr:uid="{D9F29479-90E6-4283-B692-41621BF7A96A}"/>
    <cellStyle name="AggOrange 3 2 19" xfId="9580" xr:uid="{A4C1AE14-EF08-4F31-9D0B-36CC58CEDF3A}"/>
    <cellStyle name="AggOrange 3 2 2" xfId="861" xr:uid="{E07AEBAC-D16E-4D7B-9999-06D435183EEA}"/>
    <cellStyle name="AggOrange 3 2 2 10" xfId="5509" xr:uid="{7D7E074F-7400-4168-ABB0-EE435C539949}"/>
    <cellStyle name="AggOrange 3 2 2 11" xfId="5839" xr:uid="{EA21ECD8-12C6-477E-8FEF-9A52D42FB1A7}"/>
    <cellStyle name="AggOrange 3 2 2 12" xfId="5717" xr:uid="{4CD84289-1FBC-469E-AF79-D2CBF508938E}"/>
    <cellStyle name="AggOrange 3 2 2 13" xfId="6602" xr:uid="{D6355893-F18D-4543-BBA5-8C30AE27664A}"/>
    <cellStyle name="AggOrange 3 2 2 14" xfId="7581" xr:uid="{0B7AFE90-B570-4495-BE07-E50D140E2DEE}"/>
    <cellStyle name="AggOrange 3 2 2 15" xfId="7111" xr:uid="{9DE4C45D-25BC-4072-869B-9954D9807CAA}"/>
    <cellStyle name="AggOrange 3 2 2 16" xfId="8208" xr:uid="{FD990F86-CFE3-46D7-B84E-EEF918CA5032}"/>
    <cellStyle name="AggOrange 3 2 2 17" xfId="8463" xr:uid="{B7B25B48-7CDA-4122-9A84-82177C80B41D}"/>
    <cellStyle name="AggOrange 3 2 2 18" xfId="9795" xr:uid="{8C6261DF-4F1E-45CF-A64B-46E5F6C178E7}"/>
    <cellStyle name="AggOrange 3 2 2 19" xfId="9197" xr:uid="{9344440B-EC13-455F-A5A5-8895C5246194}"/>
    <cellStyle name="AggOrange 3 2 2 2" xfId="1335" xr:uid="{A4F5C276-7BCD-454D-83E9-3BED1750D86C}"/>
    <cellStyle name="AggOrange 3 2 2 20" xfId="9106" xr:uid="{AABDCF36-63BB-48B3-98CA-B371249D3827}"/>
    <cellStyle name="AggOrange 3 2 2 21" xfId="10315" xr:uid="{867786FA-B41C-45BE-A6E5-D1D7DB1ABC33}"/>
    <cellStyle name="AggOrange 3 2 2 22" xfId="11233" xr:uid="{CAA1AB5C-1F84-4297-B28B-B091829CBDDA}"/>
    <cellStyle name="AggOrange 3 2 2 23" xfId="12214" xr:uid="{357087E8-CA14-41A6-808F-A4549C572FF4}"/>
    <cellStyle name="AggOrange 3 2 2 24" xfId="12687" xr:uid="{9FE59B04-1FB3-4018-BE23-5CD6F8AC7D6D}"/>
    <cellStyle name="AggOrange 3 2 2 25" xfId="13121" xr:uid="{D7389817-87D7-467C-BA0A-0AA9111EB1F9}"/>
    <cellStyle name="AggOrange 3 2 2 26" xfId="13558" xr:uid="{2C57538C-4CC2-45A5-B62A-768C09D2D2FF}"/>
    <cellStyle name="AggOrange 3 2 2 27" xfId="12270" xr:uid="{AFF97759-BDB3-47E5-9345-FA5C9F891F56}"/>
    <cellStyle name="AggOrange 3 2 2 28" xfId="14477" xr:uid="{79AA5FB8-706F-47FD-9D8D-6A91A3F50861}"/>
    <cellStyle name="AggOrange 3 2 2 29" xfId="11511" xr:uid="{BED88CFF-BE8A-4834-A117-37B1098BBEFA}"/>
    <cellStyle name="AggOrange 3 2 2 3" xfId="1784" xr:uid="{39B04DD5-2E64-4B46-9354-47864E3B4F5B}"/>
    <cellStyle name="AggOrange 3 2 2 30" xfId="15194" xr:uid="{5A28BFA2-98C3-45E5-9A8E-518D6C35BC25}"/>
    <cellStyle name="AggOrange 3 2 2 31" xfId="15416" xr:uid="{A85A6965-A126-4FC7-A04D-2A0CB02763C2}"/>
    <cellStyle name="AggOrange 3 2 2 32" xfId="14776" xr:uid="{FF8EBCE8-CBCB-426B-9784-722B33EA954E}"/>
    <cellStyle name="AggOrange 3 2 2 33" xfId="16906" xr:uid="{196909F0-140D-464E-A6BC-49AEC9DD6492}"/>
    <cellStyle name="AggOrange 3 2 2 34" xfId="16433" xr:uid="{7DD752F9-DA5E-4C78-A368-E0108A066C23}"/>
    <cellStyle name="AggOrange 3 2 2 35" xfId="16996" xr:uid="{45208D39-58C5-4DED-BB0A-D4D6A17CBD00}"/>
    <cellStyle name="AggOrange 3 2 2 36" xfId="18157" xr:uid="{B09AC980-02E8-47CA-B4CB-97AC24F9F2ED}"/>
    <cellStyle name="AggOrange 3 2 2 37" xfId="18724" xr:uid="{069654BD-6FFE-4D64-BCD9-F194948DA01B}"/>
    <cellStyle name="AggOrange 3 2 2 38" xfId="18306" xr:uid="{E856C53B-E193-4DA7-A5B4-159A487D191B}"/>
    <cellStyle name="AggOrange 3 2 2 39" xfId="18763" xr:uid="{FB86DF96-E055-4A67-B4D6-061BA3B52344}"/>
    <cellStyle name="AggOrange 3 2 2 4" xfId="2683" xr:uid="{C436EF2E-B0E6-4758-96C0-0226F5C7C598}"/>
    <cellStyle name="AggOrange 3 2 2 40" xfId="20243" xr:uid="{F224CAC7-FA2F-418E-8EB1-D56068F8CFAD}"/>
    <cellStyle name="AggOrange 3 2 2 41" xfId="19765" xr:uid="{8B3DC140-AAA7-4C4B-B1D3-54D4F368BEE7}"/>
    <cellStyle name="AggOrange 3 2 2 42" xfId="19383" xr:uid="{F8916B99-FA00-432C-8FA0-43BECC2DB6E9}"/>
    <cellStyle name="AggOrange 3 2 2 43" xfId="20687" xr:uid="{6D333B98-8284-4596-95E7-01CD3BEBC4D9}"/>
    <cellStyle name="AggOrange 3 2 2 44" xfId="19879" xr:uid="{6273C048-C2E5-47FD-9A94-A6FEAF4EC732}"/>
    <cellStyle name="AggOrange 3 2 2 45" xfId="21371" xr:uid="{91098610-4A8E-41FB-96E0-BBEE95975E1E}"/>
    <cellStyle name="AggOrange 3 2 2 46" xfId="22464" xr:uid="{12C01534-7A3C-4986-8186-A6D2BBE5443D}"/>
    <cellStyle name="AggOrange 3 2 2 47" xfId="22834" xr:uid="{60330605-4661-4AB6-91E9-F670E975502A}"/>
    <cellStyle name="AggOrange 3 2 2 48" xfId="22410" xr:uid="{DCCDED74-0A85-4023-8D87-CAA431EB4B37}"/>
    <cellStyle name="AggOrange 3 2 2 49" xfId="24043" xr:uid="{010BBEDE-659F-4AA3-9188-2E6B5075AC62}"/>
    <cellStyle name="AggOrange 3 2 2 5" xfId="1885" xr:uid="{F35F6A06-90F7-4969-981E-D540FD67E80C}"/>
    <cellStyle name="AggOrange 3 2 2 50" xfId="24951" xr:uid="{7B5FEA18-A770-4BD9-BF7D-D2A16476D5F9}"/>
    <cellStyle name="AggOrange 3 2 2 51" xfId="24191" xr:uid="{AA8EDD8A-7D06-4FD9-A1AD-ED7448856442}"/>
    <cellStyle name="AggOrange 3 2 2 52" xfId="25867" xr:uid="{5C41C6D3-2A22-477E-A63D-8F338D5A4133}"/>
    <cellStyle name="AggOrange 3 2 2 53" xfId="25361" xr:uid="{01CA4AB5-1937-4816-9BEB-434CCB7B4B48}"/>
    <cellStyle name="AggOrange 3 2 2 54" xfId="26734" xr:uid="{49D99872-B6C1-4806-8E5B-6BDCB40437B7}"/>
    <cellStyle name="AggOrange 3 2 2 55" xfId="27155" xr:uid="{7C42D917-4083-4AEC-81E8-16E1EDAF6432}"/>
    <cellStyle name="AggOrange 3 2 2 56" xfId="27574" xr:uid="{941BC9C3-6AF3-4C42-8AD8-65C97804FC01}"/>
    <cellStyle name="AggOrange 3 2 2 57" xfId="27216" xr:uid="{41966137-463E-4ABE-B600-CE799473735C}"/>
    <cellStyle name="AggOrange 3 2 2 58" xfId="28701" xr:uid="{4414EDED-C95E-4B97-AEDA-6F460F9A0D89}"/>
    <cellStyle name="AggOrange 3 2 2 59" xfId="29168" xr:uid="{50BCAE46-46A9-44E7-A43C-FAE234F81783}"/>
    <cellStyle name="AggOrange 3 2 2 6" xfId="3352" xr:uid="{C47E5A52-F1FD-4D30-885F-DA5F10AD7C29}"/>
    <cellStyle name="AggOrange 3 2 2 60" xfId="28179" xr:uid="{6D9DF3B6-C3C2-4A88-BA25-5393E7214383}"/>
    <cellStyle name="AggOrange 3 2 2 61" xfId="29957" xr:uid="{CF4D76DA-2F28-487B-A874-4A15958638E5}"/>
    <cellStyle name="AggOrange 3 2 2 62" xfId="30363" xr:uid="{68437B69-FA43-49A8-A41B-5321BC833616}"/>
    <cellStyle name="AggOrange 3 2 2 63" xfId="30780" xr:uid="{9C5B2023-6974-4622-A2BD-79E15F40F374}"/>
    <cellStyle name="AggOrange 3 2 2 64" xfId="31025" xr:uid="{7C733A00-7063-49BA-8A90-40CAB90EE529}"/>
    <cellStyle name="AggOrange 3 2 2 65" xfId="31396" xr:uid="{481AFC3B-3C2F-4561-857F-D7CB808043CB}"/>
    <cellStyle name="AggOrange 3 2 2 7" xfId="4179" xr:uid="{C8E54054-4A37-4FAA-8AFB-068F4CC2485A}"/>
    <cellStyle name="AggOrange 3 2 2 8" xfId="4616" xr:uid="{13807F89-A709-40B2-B317-C792ADA2FBFC}"/>
    <cellStyle name="AggOrange 3 2 2 9" xfId="5062" xr:uid="{C885E498-1B73-4BBC-BC62-5850F590C342}"/>
    <cellStyle name="AggOrange 3 2 20" xfId="9189" xr:uid="{5AB27F11-E64A-4B59-8F86-7F95B54B650F}"/>
    <cellStyle name="AggOrange 3 2 21" xfId="10187" xr:uid="{BDA496AD-3B26-4A61-8672-53959560A986}"/>
    <cellStyle name="AggOrange 3 2 22" xfId="10920" xr:uid="{85E83205-6D8C-46BA-B9EE-895FBA4DB389}"/>
    <cellStyle name="AggOrange 3 2 23" xfId="11086" xr:uid="{B29D5296-A51B-49FF-BB65-5C7B51067488}"/>
    <cellStyle name="AggOrange 3 2 24" xfId="11999" xr:uid="{F2D77612-3155-4044-8BF6-B1D2C974875B}"/>
    <cellStyle name="AggOrange 3 2 25" xfId="12472" xr:uid="{F1ABD43F-3FFE-4A20-BC9D-702FE0E7FF1A}"/>
    <cellStyle name="AggOrange 3 2 26" xfId="12906" xr:uid="{09C71809-81B0-4520-9E49-958FDC580002}"/>
    <cellStyle name="AggOrange 3 2 27" xfId="13343" xr:uid="{7CDB0879-29DA-45D3-A707-AEF117131889}"/>
    <cellStyle name="AggOrange 3 2 28" xfId="13965" xr:uid="{6168E04D-ED6B-439D-A7AE-DC0EC750D513}"/>
    <cellStyle name="AggOrange 3 2 29" xfId="14399" xr:uid="{F69FA8DE-B33D-4D58-8C1D-63693E8F73AF}"/>
    <cellStyle name="AggOrange 3 2 3" xfId="1129" xr:uid="{A283DA37-6801-4EE7-9B1B-7B1EDE653352}"/>
    <cellStyle name="AggOrange 3 2 30" xfId="13186" xr:uid="{EEB455A2-8E67-4D5B-8921-54D8AC512DE7}"/>
    <cellStyle name="AggOrange 3 2 31" xfId="15290" xr:uid="{632A9955-5D4A-4BF5-9ED6-733E71798102}"/>
    <cellStyle name="AggOrange 3 2 32" xfId="14822" xr:uid="{836E2D55-5F0F-4380-AB1F-1A5EABD6F218}"/>
    <cellStyle name="AggOrange 3 2 33" xfId="14814" xr:uid="{609DCD1F-D4E8-46BB-815F-6846CCEE71BC}"/>
    <cellStyle name="AggOrange 3 2 34" xfId="16691" xr:uid="{86FDA6F9-C11E-464E-9688-D37C99604380}"/>
    <cellStyle name="AggOrange 3 2 35" xfId="16425" xr:uid="{4A654530-36C3-4CAA-9611-2D2F11D9D811}"/>
    <cellStyle name="AggOrange 3 2 36" xfId="16976" xr:uid="{E57094DE-77C9-456B-8883-6E36C165D8AB}"/>
    <cellStyle name="AggOrange 3 2 37" xfId="18038" xr:uid="{D6B868C3-57FD-463C-B075-38B6E7E19774}"/>
    <cellStyle name="AggOrange 3 2 38" xfId="18509" xr:uid="{CF7991F9-B5F4-4BE8-8A4C-2036F4191986}"/>
    <cellStyle name="AggOrange 3 2 39" xfId="18814" xr:uid="{42FE926B-F497-4648-99B8-001EF57E152C}"/>
    <cellStyle name="AggOrange 3 2 4" xfId="1694" xr:uid="{1AF103CB-D549-435B-BA6C-BC74C7DC5F08}"/>
    <cellStyle name="AggOrange 3 2 40" xfId="19264" xr:uid="{27FC2D51-EBDE-4F03-AE51-CFDA2897727F}"/>
    <cellStyle name="AggOrange 3 2 41" xfId="20028" xr:uid="{933387BC-D8F4-4616-8E12-828B5A9DEF71}"/>
    <cellStyle name="AggOrange 3 2 42" xfId="19757" xr:uid="{E9ACFD83-9CEB-4EC9-A46A-0B8E6C22850F}"/>
    <cellStyle name="AggOrange 3 2 43" xfId="19590" xr:uid="{06C31C4D-36CE-4630-8506-A1DFE30746F6}"/>
    <cellStyle name="AggOrange 3 2 44" xfId="20892" xr:uid="{C168BFD3-9C23-4DEF-86D1-43EA3020FBC3}"/>
    <cellStyle name="AggOrange 3 2 45" xfId="20436" xr:uid="{1BAB96A1-309E-4CC5-9344-0795EB67F631}"/>
    <cellStyle name="AggOrange 3 2 46" xfId="21871" xr:uid="{43F2C3D3-8362-4993-9D61-141CAF0B651D}"/>
    <cellStyle name="AggOrange 3 2 47" xfId="22938" xr:uid="{A90655E4-C414-45D0-BB9B-CCA7552F0E15}"/>
    <cellStyle name="AggOrange 3 2 48" xfId="23088" xr:uid="{5341ABCF-F519-416C-97C7-B68E12FE461B}"/>
    <cellStyle name="AggOrange 3 2 49" xfId="23488" xr:uid="{78AC9906-F327-4C2E-AA39-B84997A50592}"/>
    <cellStyle name="AggOrange 3 2 5" xfId="2468" xr:uid="{9433DDDA-3AA3-4668-8DFA-04F90D71A37B}"/>
    <cellStyle name="AggOrange 3 2 50" xfId="23837" xr:uid="{B2C472C2-3503-49CC-8936-5611D47C0A8E}"/>
    <cellStyle name="AggOrange 3 2 51" xfId="24736" xr:uid="{DDB41FA9-B2D1-42A8-990D-1883A57F6D58}"/>
    <cellStyle name="AggOrange 3 2 52" xfId="24988" xr:uid="{221FF42F-499F-41DD-8C13-2B0657D718B4}"/>
    <cellStyle name="AggOrange 3 2 53" xfId="25654" xr:uid="{103578D7-B820-4C7D-B0A5-A87A205110B3}"/>
    <cellStyle name="AggOrange 3 2 54" xfId="26244" xr:uid="{8C03CEC7-47B1-4D36-B83D-D63B35A57D92}"/>
    <cellStyle name="AggOrange 3 2 55" xfId="26188" xr:uid="{CECC7604-51AD-4BED-899D-68F874DB7424}"/>
    <cellStyle name="AggOrange 3 2 56" xfId="26944" xr:uid="{BD509D15-4FEA-4670-AA6A-255781289341}"/>
    <cellStyle name="AggOrange 3 2 57" xfId="27363" xr:uid="{C5669F5B-FA80-4570-B809-D00770FD8636}"/>
    <cellStyle name="AggOrange 3 2 58" xfId="27811" xr:uid="{C44F348E-4170-43F5-B362-487996736088}"/>
    <cellStyle name="AggOrange 3 2 59" xfId="28486" xr:uid="{DE9976FA-7894-4A4C-9DD7-88C7D637E0BD}"/>
    <cellStyle name="AggOrange 3 2 6" xfId="3134" xr:uid="{AA8D5584-C944-46F5-A1E2-179FFE0140AF}"/>
    <cellStyle name="AggOrange 3 2 60" xfId="28954" xr:uid="{737B94FA-EF42-44A3-A4DD-A6732A0A397E}"/>
    <cellStyle name="AggOrange 3 2 61" xfId="28324" xr:uid="{C1B9EADF-40D5-4C2C-B5B3-E7206CD9BD39}"/>
    <cellStyle name="AggOrange 3 2 62" xfId="29744" xr:uid="{CD6C2686-FEF2-4269-A8EF-62D19B1BC229}"/>
    <cellStyle name="AggOrange 3 2 63" xfId="30152" xr:uid="{9149709A-7B5E-4741-AE91-79C0251F9FFD}"/>
    <cellStyle name="AggOrange 3 2 64" xfId="30566" xr:uid="{B5DC8BE0-A712-4C4D-9B83-5DD5E01F7BAF}"/>
    <cellStyle name="AggOrange 3 2 65" xfId="28199" xr:uid="{58D7725E-945D-423E-BE2E-FDF94FEC8C4B}"/>
    <cellStyle name="AggOrange 3 2 66" xfId="31190" xr:uid="{6D1259F2-05AA-4DE8-AF6C-01DB44BD5914}"/>
    <cellStyle name="AggOrange 3 2 7" xfId="3620" xr:uid="{8BEA0587-E4EB-483B-B1DF-701A9EE6C5E7}"/>
    <cellStyle name="AggOrange 3 2 8" xfId="3964" xr:uid="{F401B031-D318-4030-9E69-3B5292CE97FC}"/>
    <cellStyle name="AggOrange 3 2 9" xfId="4402" xr:uid="{26B7FC0B-6692-4324-974D-E4104E393FC3}"/>
    <cellStyle name="AggOrange 3 3" xfId="713" xr:uid="{F70ADE9A-E893-484A-8A09-24B7C364F118}"/>
    <cellStyle name="AggOrange 3 3 10" xfId="5361" xr:uid="{A0018F2F-A959-4618-85C3-AF992DAB0C7C}"/>
    <cellStyle name="AggOrange 3 3 11" xfId="5689" xr:uid="{F2E35ECF-9E9C-484A-92D6-E38668F7297F}"/>
    <cellStyle name="AggOrange 3 3 12" xfId="4224" xr:uid="{C4E98D19-031C-447B-9947-880B0DE8C896}"/>
    <cellStyle name="AggOrange 3 3 13" xfId="6393" xr:uid="{77C39B64-F16F-4211-8CB5-6892229EB3EC}"/>
    <cellStyle name="AggOrange 3 3 14" xfId="7433" xr:uid="{6AF4FB4C-C7CC-45A6-8CA1-C85F29115AB8}"/>
    <cellStyle name="AggOrange 3 3 15" xfId="7981" xr:uid="{848A1CB7-1F4A-464C-8752-9FE581DC0F0A}"/>
    <cellStyle name="AggOrange 3 3 16" xfId="7072" xr:uid="{460611BB-4B37-4437-8D2B-190E7545E987}"/>
    <cellStyle name="AggOrange 3 3 17" xfId="8754" xr:uid="{8B7D4C53-7263-48E5-931B-8344B9DFFE0D}"/>
    <cellStyle name="AggOrange 3 3 18" xfId="9647" xr:uid="{4E720EAD-ED79-4926-B845-223EBFDC7BE5}"/>
    <cellStyle name="AggOrange 3 3 19" xfId="10197" xr:uid="{7DFBD2A7-1FE1-45ED-B128-8BE75584F7F5}"/>
    <cellStyle name="AggOrange 3 3 2" xfId="1187" xr:uid="{7F98C0C5-CA1A-4724-9724-8DF24B038D29}"/>
    <cellStyle name="AggOrange 3 3 20" xfId="10601" xr:uid="{0546945F-30D3-4551-B3BD-1C24DE747FBC}"/>
    <cellStyle name="AggOrange 3 3 21" xfId="9061" xr:uid="{EC09F2C4-376E-497A-8F9A-305F4021A6D7}"/>
    <cellStyle name="AggOrange 3 3 22" xfId="10433" xr:uid="{4F4B7BE4-758F-46C7-B558-90264DAB874B}"/>
    <cellStyle name="AggOrange 3 3 23" xfId="12066" xr:uid="{EEF870F7-D71C-4674-9C58-29302F2D12DE}"/>
    <cellStyle name="AggOrange 3 3 24" xfId="12539" xr:uid="{7B95A332-69B6-4E1B-A006-1683635146D6}"/>
    <cellStyle name="AggOrange 3 3 25" xfId="12973" xr:uid="{228E1803-A8EF-47C5-A622-476E549AB015}"/>
    <cellStyle name="AggOrange 3 3 26" xfId="13410" xr:uid="{855135FF-75A5-434E-8D79-268CA0F4BD79}"/>
    <cellStyle name="AggOrange 3 3 27" xfId="13185" xr:uid="{14195C60-E763-4979-858F-6E05FEA73680}"/>
    <cellStyle name="AggOrange 3 3 28" xfId="14377" xr:uid="{8385F8AF-5D28-442F-B45B-BA238746D55A}"/>
    <cellStyle name="AggOrange 3 3 29" xfId="14847" xr:uid="{0DC494C5-854E-4C11-9541-7E5475996D29}"/>
    <cellStyle name="AggOrange 3 3 3" xfId="1381" xr:uid="{CD4C8D51-3370-4CEB-844F-1DAB8B39D9AA}"/>
    <cellStyle name="AggOrange 3 3 30" xfId="15233" xr:uid="{D82842F8-2740-41C9-B1DC-0C9CEFF092E5}"/>
    <cellStyle name="AggOrange 3 3 31" xfId="15444" xr:uid="{D5F74942-CE13-4714-AA85-F94B3401B63E}"/>
    <cellStyle name="AggOrange 3 3 32" xfId="15960" xr:uid="{21B3D918-0596-4851-8C0F-1A480DE9D743}"/>
    <cellStyle name="AggOrange 3 3 33" xfId="16758" xr:uid="{DAE1559C-6ECA-4C33-9C87-369DD391397A}"/>
    <cellStyle name="AggOrange 3 3 34" xfId="17318" xr:uid="{6E876B27-A0FD-480E-B1CA-CFFF97BE702A}"/>
    <cellStyle name="AggOrange 3 3 35" xfId="17761" xr:uid="{9FBB9EA0-02F4-40A0-B5E8-188257A02AF2}"/>
    <cellStyle name="AggOrange 3 3 36" xfId="18069" xr:uid="{B2019CA8-3426-4B90-AAC8-CDA4CA4063AA}"/>
    <cellStyle name="AggOrange 3 3 37" xfId="18576" xr:uid="{CF17404D-4259-43B8-B83B-A8A1BF9A6698}"/>
    <cellStyle name="AggOrange 3 3 38" xfId="18857" xr:uid="{57C4BABF-CF90-48F0-8163-D50FF6BBF652}"/>
    <cellStyle name="AggOrange 3 3 39" xfId="18980" xr:uid="{8D1B5272-666F-416D-A739-54790F3EC78A}"/>
    <cellStyle name="AggOrange 3 3 4" xfId="2535" xr:uid="{8108FD98-589E-425F-BCC3-E34AE3B3E90F}"/>
    <cellStyle name="AggOrange 3 3 40" xfId="20095" xr:uid="{0D541C9E-E75C-417D-AEAD-E6FC6182FDD5}"/>
    <cellStyle name="AggOrange 3 3 41" xfId="20669" xr:uid="{4F0F112B-5AF6-4477-81CB-18A704C642A2}"/>
    <cellStyle name="AggOrange 3 3 42" xfId="21125" xr:uid="{E0B13E4F-0E49-4111-9592-2433EEDEB652}"/>
    <cellStyle name="AggOrange 3 3 43" xfId="21595" xr:uid="{CA01F764-4156-4D16-8BB3-244F2086E914}"/>
    <cellStyle name="AggOrange 3 3 44" xfId="22057" xr:uid="{9DFA652E-AF29-4B5E-A400-48B5F23C2023}"/>
    <cellStyle name="AggOrange 3 3 45" xfId="22485" xr:uid="{379336E3-5FC5-45E6-AF47-73CB3AD66F70}"/>
    <cellStyle name="AggOrange 3 3 46" xfId="22230" xr:uid="{A582AB2F-DF19-4FA6-B02E-B9340094B661}"/>
    <cellStyle name="AggOrange 3 3 47" xfId="23134" xr:uid="{D4E9056F-4B5C-4ACB-AE74-E38321DC4025}"/>
    <cellStyle name="AggOrange 3 3 48" xfId="23344" xr:uid="{2B127E6E-BF03-4703-8D0B-00EE292033B3}"/>
    <cellStyle name="AggOrange 3 3 49" xfId="23895" xr:uid="{9A232B4A-1B4A-4D84-8132-282E7B08B2AB}"/>
    <cellStyle name="AggOrange 3 3 5" xfId="2118" xr:uid="{1B57194C-06DA-4F9C-A7A5-3348596A4E52}"/>
    <cellStyle name="AggOrange 3 3 50" xfId="24803" xr:uid="{FD10446C-522A-46C7-9B79-9C33DC06E7D3}"/>
    <cellStyle name="AggOrange 3 3 51" xfId="25372" xr:uid="{D4940FB2-FFC8-4636-B006-759CE8201A71}"/>
    <cellStyle name="AggOrange 3 3 52" xfId="25719" xr:uid="{9347622D-A50E-4642-97CD-7BED9AD14EFB}"/>
    <cellStyle name="AggOrange 3 3 53" xfId="25497" xr:uid="{208BDBC0-0401-461D-BA2B-0D65E452CDB8}"/>
    <cellStyle name="AggOrange 3 3 54" xfId="26682" xr:uid="{B2D96797-96B7-4918-BD2F-5C7BA65594C0}"/>
    <cellStyle name="AggOrange 3 3 55" xfId="27007" xr:uid="{2BCD300E-ABEB-4587-AD57-A20B1BD3CA88}"/>
    <cellStyle name="AggOrange 3 3 56" xfId="27426" xr:uid="{56843B52-C47D-4F88-9C92-94F0D7F81190}"/>
    <cellStyle name="AggOrange 3 3 57" xfId="26709" xr:uid="{4C32EEFC-A11B-4AA2-920F-D539E5AB793C}"/>
    <cellStyle name="AggOrange 3 3 58" xfId="28553" xr:uid="{DFC6F000-DE3E-499A-B784-00CCE20DE575}"/>
    <cellStyle name="AggOrange 3 3 59" xfId="29020" xr:uid="{F5E8B8F7-322C-4474-A882-1C894946DCDF}"/>
    <cellStyle name="AggOrange 3 3 6" xfId="3550" xr:uid="{2C68C6A1-EE2B-4962-B38A-58618CC59D0E}"/>
    <cellStyle name="AggOrange 3 3 60" xfId="29494" xr:uid="{5F1B05A8-0F34-487B-9753-00BDCF31442E}"/>
    <cellStyle name="AggOrange 3 3 61" xfId="29809" xr:uid="{959BD4BF-E874-4042-8E13-1698DDB2BFCB}"/>
    <cellStyle name="AggOrange 3 3 62" xfId="30215" xr:uid="{1F40F856-3680-4C01-A9BF-8BE9F3C8CB5D}"/>
    <cellStyle name="AggOrange 3 3 63" xfId="30632" xr:uid="{21D1B7BC-84FD-4DC0-A994-BE64EC9A6499}"/>
    <cellStyle name="AggOrange 3 3 64" xfId="30903" xr:uid="{49251A55-E15E-40EE-BE46-CA3F5CE16890}"/>
    <cellStyle name="AggOrange 3 3 65" xfId="31248" xr:uid="{AA6478BF-5705-4BBA-9390-8A3BEE7DDF74}"/>
    <cellStyle name="AggOrange 3 3 7" xfId="4031" xr:uid="{0397B171-F75C-44B3-8BE1-C727663E4E80}"/>
    <cellStyle name="AggOrange 3 3 8" xfId="4468" xr:uid="{294E5765-01C7-4521-9E95-1DC096340529}"/>
    <cellStyle name="AggOrange 3 3 9" xfId="4887" xr:uid="{520F0133-019B-405A-93F6-35CC4DC18F02}"/>
    <cellStyle name="AggOrange 4" xfId="264" xr:uid="{C35662C9-7D9C-415E-B5B0-1177B0AE3F09}"/>
    <cellStyle name="AggOrange 4 10" xfId="2247" xr:uid="{463D80FF-2357-4B1B-BCFD-382CBB3E47EC}"/>
    <cellStyle name="AggOrange 4 11" xfId="4016" xr:uid="{0835EB5C-F4CA-4F8C-827D-16902E2F5AE1}"/>
    <cellStyle name="AggOrange 4 12" xfId="3670" xr:uid="{F2612331-EDE6-4D7D-BDC0-17602B5F3AB4}"/>
    <cellStyle name="AggOrange 4 13" xfId="3314" xr:uid="{EBD692BF-7813-468F-8801-AD0E3409474E}"/>
    <cellStyle name="AggOrange 4 14" xfId="1845" xr:uid="{FF4009CC-902E-4118-9F01-CF1C7F66B19D}"/>
    <cellStyle name="AggOrange 4 15" xfId="3570" xr:uid="{12A42E3E-7745-403D-8757-67C460E37E1B}"/>
    <cellStyle name="AggOrange 4 16" xfId="5613" xr:uid="{1E242D26-6514-4444-B271-34C264423E57}"/>
    <cellStyle name="AggOrange 4 17" xfId="6994" xr:uid="{0359A9AF-2C58-4A01-A6D4-ECDFDDEB0D50}"/>
    <cellStyle name="AggOrange 4 18" xfId="6752" xr:uid="{3BF367CC-A675-49BC-9C1C-46E79D4AEDED}"/>
    <cellStyle name="AggOrange 4 19" xfId="8007" xr:uid="{E59A6ED8-9A62-4410-9434-893D46D8AB8B}"/>
    <cellStyle name="AggOrange 4 2" xfId="603" xr:uid="{552C36A4-78F1-4D7D-A829-9509A5DC5AB4}"/>
    <cellStyle name="AggOrange 4 2 10" xfId="4991" xr:uid="{E363D0A4-F8C8-4F96-AB0D-78C4E662F987}"/>
    <cellStyle name="AggOrange 4 2 11" xfId="5251" xr:uid="{79BDC232-F898-47C7-813E-4062195197BE}"/>
    <cellStyle name="AggOrange 4 2 12" xfId="5010" xr:uid="{368E3DFE-9ABC-444F-83DD-7DEFFD053186}"/>
    <cellStyle name="AggOrange 4 2 13" xfId="5096" xr:uid="{43E15D2E-37DB-43CC-A1DB-FB708927F1FC}"/>
    <cellStyle name="AggOrange 4 2 14" xfId="6007" xr:uid="{0AC114AA-1877-41B6-AA2B-76B92643C4D8}"/>
    <cellStyle name="AggOrange 4 2 15" xfId="7323" xr:uid="{3D0C3434-6288-45CB-A830-0EFE3E9BFC60}"/>
    <cellStyle name="AggOrange 4 2 16" xfId="7868" xr:uid="{27D80BD4-7A95-4B2C-89E2-1A82D915893E}"/>
    <cellStyle name="AggOrange 4 2 17" xfId="8154" xr:uid="{FA87BD31-F1B0-4277-AA99-12307EE9C590}"/>
    <cellStyle name="AggOrange 4 2 18" xfId="8492" xr:uid="{D9EBB6C3-1AD9-4AB7-AFF0-780BE920F38B}"/>
    <cellStyle name="AggOrange 4 2 19" xfId="9537" xr:uid="{27C8865C-04A6-4735-A13F-BE9F240ACAD4}"/>
    <cellStyle name="AggOrange 4 2 2" xfId="818" xr:uid="{32214CB4-A887-4B15-B9D7-68FE17335C28}"/>
    <cellStyle name="AggOrange 4 2 2 10" xfId="5466" xr:uid="{25B97231-83EC-4061-B102-E78EE862CA30}"/>
    <cellStyle name="AggOrange 4 2 2 11" xfId="5587" xr:uid="{20E78C92-EE05-4259-ADCF-DB7F493DD139}"/>
    <cellStyle name="AggOrange 4 2 2 12" xfId="2865" xr:uid="{0510998F-D817-4549-88A6-07B70D86A950}"/>
    <cellStyle name="AggOrange 4 2 2 13" xfId="6639" xr:uid="{1CD06A9A-D733-4091-86CA-3EB7A0E3F9E9}"/>
    <cellStyle name="AggOrange 4 2 2 14" xfId="7538" xr:uid="{CC4CE403-6CC9-419C-9589-3DE8CF4B65E1}"/>
    <cellStyle name="AggOrange 4 2 2 15" xfId="7107" xr:uid="{99BEA9FD-A44B-4D93-B58D-DEDD22381FA0}"/>
    <cellStyle name="AggOrange 4 2 2 16" xfId="7805" xr:uid="{21F9E287-44B2-44CB-AB7A-0D3D5B438F1A}"/>
    <cellStyle name="AggOrange 4 2 2 17" xfId="8696" xr:uid="{9DBB6A77-4943-4B14-BC72-A66AAC2024E2}"/>
    <cellStyle name="AggOrange 4 2 2 18" xfId="9752" xr:uid="{CCD585DC-1504-4FAB-BF37-AF972A97E25A}"/>
    <cellStyle name="AggOrange 4 2 2 19" xfId="9193" xr:uid="{0801E1EC-6B68-4C7B-AB24-D3F1D253D6CE}"/>
    <cellStyle name="AggOrange 4 2 2 2" xfId="1292" xr:uid="{B6F0E329-494D-4890-9BC4-73264778C04A}"/>
    <cellStyle name="AggOrange 4 2 2 20" xfId="9394" xr:uid="{040E14F3-AEED-43B0-9BB7-1CCD8D3D1520}"/>
    <cellStyle name="AggOrange 4 2 2 21" xfId="10634" xr:uid="{A127A185-95BC-458C-A253-73B091A73E63}"/>
    <cellStyle name="AggOrange 4 2 2 22" xfId="10850" xr:uid="{E09191B6-583C-423E-B815-4FE4A20F2FBD}"/>
    <cellStyle name="AggOrange 4 2 2 23" xfId="12171" xr:uid="{E8257AFB-2B96-49A3-AA0C-AAC4B44D82AE}"/>
    <cellStyle name="AggOrange 4 2 2 24" xfId="12644" xr:uid="{5438C012-3BD3-4E8C-AD3E-CF5B857CE7F0}"/>
    <cellStyle name="AggOrange 4 2 2 25" xfId="13078" xr:uid="{421E44E6-92EA-4F9E-9732-D4A5329410B1}"/>
    <cellStyle name="AggOrange 4 2 2 26" xfId="13515" xr:uid="{133B3781-B176-4D70-AFB5-23098D0693EB}"/>
    <cellStyle name="AggOrange 4 2 2 27" xfId="11845" xr:uid="{684B0131-EEED-4E12-B9EC-C2CD2D59D426}"/>
    <cellStyle name="AggOrange 4 2 2 28" xfId="14430" xr:uid="{5A5D7396-3EDA-4303-AF2C-AF236EFE4B6D}"/>
    <cellStyle name="AggOrange 4 2 2 29" xfId="14292" xr:uid="{8E5C1246-D853-435B-8713-28F0B374C9FB}"/>
    <cellStyle name="AggOrange 4 2 2 3" xfId="1418" xr:uid="{29A47493-C98B-4E2E-B8E6-FC95AD233EBE}"/>
    <cellStyle name="AggOrange 4 2 2 30" xfId="15124" xr:uid="{461EE759-B97B-43CD-A3F5-F774A39F3D4F}"/>
    <cellStyle name="AggOrange 4 2 2 31" xfId="15745" xr:uid="{1131FBB8-3242-422F-8894-ADA5DF41719B}"/>
    <cellStyle name="AggOrange 4 2 2 32" xfId="15291" xr:uid="{F0D5CA4B-088C-469E-9BB7-EE289B39E7C4}"/>
    <cellStyle name="AggOrange 4 2 2 33" xfId="16863" xr:uid="{D317A600-3D52-418A-832C-591CD0DC23A7}"/>
    <cellStyle name="AggOrange 4 2 2 34" xfId="16429" xr:uid="{C4054DFE-A3A3-4B9D-83B9-3B9212E632DE}"/>
    <cellStyle name="AggOrange 4 2 2 35" xfId="16170" xr:uid="{BCDD098E-D1B7-415A-A4E8-D247DE2C8935}"/>
    <cellStyle name="AggOrange 4 2 2 36" xfId="18035" xr:uid="{44CB9FA2-0E48-4890-9AA9-E6811D9A8FA8}"/>
    <cellStyle name="AggOrange 4 2 2 37" xfId="18681" xr:uid="{0B71345F-54D0-4430-859A-C5590C3340D0}"/>
    <cellStyle name="AggOrange 4 2 2 38" xfId="18771" xr:uid="{56D8256C-0512-4E10-85DB-194352BFB0BC}"/>
    <cellStyle name="AggOrange 4 2 2 39" xfId="18266" xr:uid="{78E6746E-1C41-48C4-9325-81C4F13F0C4E}"/>
    <cellStyle name="AggOrange 4 2 2 4" xfId="2640" xr:uid="{7DA5B0F0-1938-471A-A408-003DA526A631}"/>
    <cellStyle name="AggOrange 4 2 2 40" xfId="20200" xr:uid="{647D294D-EB52-4306-8688-8DF7D375E6F6}"/>
    <cellStyle name="AggOrange 4 2 2 41" xfId="19470" xr:uid="{2CB07963-20BD-43C5-897F-18C2CBB75643}"/>
    <cellStyle name="AggOrange 4 2 2 42" xfId="19475" xr:uid="{A85F8211-183A-4BB5-B124-7DCDC327D416}"/>
    <cellStyle name="AggOrange 4 2 2 43" xfId="20784" xr:uid="{537F9490-8F31-419D-9650-E468E390747A}"/>
    <cellStyle name="AggOrange 4 2 2 44" xfId="21181" xr:uid="{76DF2801-5A9F-4B74-A56B-CF5B40670E99}"/>
    <cellStyle name="AggOrange 4 2 2 45" xfId="19488" xr:uid="{92771261-045B-4BEC-87F9-465097BD1C4A}"/>
    <cellStyle name="AggOrange 4 2 2 46" xfId="22269" xr:uid="{27ABE4C4-AF2F-4941-A87D-2F679E98F8BB}"/>
    <cellStyle name="AggOrange 4 2 2 47" xfId="23040" xr:uid="{A64C9930-08BC-4182-9C08-46F8F18BF4C3}"/>
    <cellStyle name="AggOrange 4 2 2 48" xfId="23206" xr:uid="{68D88A24-84FD-41C2-B8F4-59936806FD19}"/>
    <cellStyle name="AggOrange 4 2 2 49" xfId="24000" xr:uid="{67242302-559B-4593-AB22-3A55B8B2060A}"/>
    <cellStyle name="AggOrange 4 2 2 5" xfId="1816" xr:uid="{B5DCF268-5567-4820-BF9F-7B4A8D7281C5}"/>
    <cellStyle name="AggOrange 4 2 2 50" xfId="24908" xr:uid="{9A9F2832-D247-49AC-8D7C-4CB3DA9B9979}"/>
    <cellStyle name="AggOrange 4 2 2 51" xfId="24306" xr:uid="{245EC437-CCE6-486F-A7E6-B7F65D3EF8F0}"/>
    <cellStyle name="AggOrange 4 2 2 52" xfId="25824" xr:uid="{66731A61-28A2-4416-A35E-152DC7B33EF1}"/>
    <cellStyle name="AggOrange 4 2 2 53" xfId="25011" xr:uid="{2D9425C5-CA50-4517-9063-3C3FFCA6F0CD}"/>
    <cellStyle name="AggOrange 4 2 2 54" xfId="26557" xr:uid="{5CA01D33-4DBC-4CC2-AFD1-9BEC8A7C2162}"/>
    <cellStyle name="AggOrange 4 2 2 55" xfId="27112" xr:uid="{AB63B5F3-ADDD-4F17-94DD-CE668FC07D34}"/>
    <cellStyle name="AggOrange 4 2 2 56" xfId="27531" xr:uid="{A13B0718-5090-4440-B9FC-726A45D80D93}"/>
    <cellStyle name="AggOrange 4 2 2 57" xfId="27209" xr:uid="{E8DD0AF2-BC09-46F5-8458-3FC5AEF60E8E}"/>
    <cellStyle name="AggOrange 4 2 2 58" xfId="28658" xr:uid="{A2297490-7B63-423D-B46E-93600C4F4A51}"/>
    <cellStyle name="AggOrange 4 2 2 59" xfId="29125" xr:uid="{C3926A25-453B-4139-ADB6-9B31A87B2C85}"/>
    <cellStyle name="AggOrange 4 2 2 6" xfId="3483" xr:uid="{A2834BB2-6F4B-42E7-8001-FDA0D8747732}"/>
    <cellStyle name="AggOrange 4 2 2 60" xfId="27982" xr:uid="{7A63C874-28ED-41CF-A576-F0FF144AB87C}"/>
    <cellStyle name="AggOrange 4 2 2 61" xfId="29914" xr:uid="{0CDC28B2-9F5A-45B2-BC17-126B76A362D1}"/>
    <cellStyle name="AggOrange 4 2 2 62" xfId="30320" xr:uid="{A919D53A-D544-410C-94F2-C87A76879374}"/>
    <cellStyle name="AggOrange 4 2 2 63" xfId="30737" xr:uid="{9A71C818-422B-4D57-83E7-A493F20F7322}"/>
    <cellStyle name="AggOrange 4 2 2 64" xfId="29462" xr:uid="{DB9AD84C-EF01-4027-992B-1D99647CAA95}"/>
    <cellStyle name="AggOrange 4 2 2 65" xfId="31353" xr:uid="{B2193928-1E0A-4661-9862-05F987883CC1}"/>
    <cellStyle name="AggOrange 4 2 2 7" xfId="4136" xr:uid="{216F44F0-BE4D-449A-B4B7-5D2C5723BF23}"/>
    <cellStyle name="AggOrange 4 2 2 8" xfId="4573" xr:uid="{98ADBA0E-064B-4461-A077-54E4265335FC}"/>
    <cellStyle name="AggOrange 4 2 2 9" xfId="4815" xr:uid="{D56A8068-AA17-46EC-9766-BFC5360CB4AE}"/>
    <cellStyle name="AggOrange 4 2 20" xfId="10082" xr:uid="{83765B15-6502-487F-BC68-6C5B28A3D12A}"/>
    <cellStyle name="AggOrange 4 2 21" xfId="10497" xr:uid="{F6C11DCC-FFF1-4BAB-9AF1-B38C13279A44}"/>
    <cellStyle name="AggOrange 4 2 22" xfId="10946" xr:uid="{4CCDA439-0A34-4652-92F5-C43FBD164714}"/>
    <cellStyle name="AggOrange 4 2 23" xfId="11272" xr:uid="{4B22F601-D5A4-441B-A05F-96B45BD6506D}"/>
    <cellStyle name="AggOrange 4 2 24" xfId="11956" xr:uid="{C8CCC27C-750F-4415-BDC7-61841898A6B0}"/>
    <cellStyle name="AggOrange 4 2 25" xfId="12429" xr:uid="{4B0ACA6F-DAD9-4B6C-B6D7-DA1C94454C01}"/>
    <cellStyle name="AggOrange 4 2 26" xfId="12863" xr:uid="{2CF10AC9-F453-4AC1-A188-3225C6470D87}"/>
    <cellStyle name="AggOrange 4 2 27" xfId="13300" xr:uid="{FC3E86E5-7BF8-485A-910B-E8B6CD732085}"/>
    <cellStyle name="AggOrange 4 2 28" xfId="13972" xr:uid="{59E6028E-EC56-42B5-A2F2-1CB590B5B2C5}"/>
    <cellStyle name="AggOrange 4 2 29" xfId="14206" xr:uid="{A64111E8-7B32-4051-9F34-25C48518D041}"/>
    <cellStyle name="AggOrange 4 2 3" xfId="1086" xr:uid="{8EEB25B7-CC7A-404A-8E04-B15F8C7CD934}"/>
    <cellStyle name="AggOrange 4 2 30" xfId="14617" xr:uid="{997BE95B-E142-46BE-B1CF-3AF2CE64174C}"/>
    <cellStyle name="AggOrange 4 2 31" xfId="14756" xr:uid="{CA915D77-596D-43C5-86AF-45062DB1C6B2}"/>
    <cellStyle name="AggOrange 4 2 32" xfId="15692" xr:uid="{D32EF636-5407-427D-98AA-70BA2A13A62E}"/>
    <cellStyle name="AggOrange 4 2 33" xfId="15897" xr:uid="{87C0FE9C-D43C-41EB-B1EA-2E428789BC1D}"/>
    <cellStyle name="AggOrange 4 2 34" xfId="16648" xr:uid="{F1C245DD-7AED-4CA5-AF9B-A45B17F2015C}"/>
    <cellStyle name="AggOrange 4 2 35" xfId="17200" xr:uid="{44D87D88-733B-488E-9FD6-5BC946E748C5}"/>
    <cellStyle name="AggOrange 4 2 36" xfId="17646" xr:uid="{CFE18B16-A062-4CA1-8299-C72B3C81CAE6}"/>
    <cellStyle name="AggOrange 4 2 37" xfId="17524" xr:uid="{135BB728-D694-4107-9587-4421919D3A5D}"/>
    <cellStyle name="AggOrange 4 2 38" xfId="18466" xr:uid="{2AE9DAE5-C79B-4A91-ADE0-0B5169971D8B}"/>
    <cellStyle name="AggOrange 4 2 39" xfId="18206" xr:uid="{0BAACC8F-6900-4380-92FD-39AC0C9FC4A3}"/>
    <cellStyle name="AggOrange 4 2 4" xfId="1705" xr:uid="{B3A68983-F736-4234-95C0-E7CE2B75B530}"/>
    <cellStyle name="AggOrange 4 2 40" xfId="19223" xr:uid="{87CB2FD6-9BF7-4366-AE77-2EE09D274739}"/>
    <cellStyle name="AggOrange 4 2 41" xfId="19985" xr:uid="{F2CA1F82-AE6D-4185-9D6D-0A7A820EBE30}"/>
    <cellStyle name="AggOrange 4 2 42" xfId="20553" xr:uid="{79D04B59-53E8-4652-B09D-69AE86255F86}"/>
    <cellStyle name="AggOrange 4 2 43" xfId="21006" xr:uid="{CBAE337C-9F69-4FAA-B0C7-A37035DA50B1}"/>
    <cellStyle name="AggOrange 4 2 44" xfId="20970" xr:uid="{E2B36C2A-EE41-4123-9DA7-7DEC87EA1B30}"/>
    <cellStyle name="AggOrange 4 2 45" xfId="21937" xr:uid="{A4DF280A-C573-45CA-8912-0D6CF16627EC}"/>
    <cellStyle name="AggOrange 4 2 46" xfId="22369" xr:uid="{5F157EDF-2BDB-4FED-BEB8-089A5B2AA3BF}"/>
    <cellStyle name="AggOrange 4 2 47" xfId="22945" xr:uid="{75AACC68-8605-429C-A107-6561BD762A13}"/>
    <cellStyle name="AggOrange 4 2 48" xfId="22882" xr:uid="{74B3E413-CF8A-4892-89BF-92364E5001BF}"/>
    <cellStyle name="AggOrange 4 2 49" xfId="23506" xr:uid="{7E486DD5-24A6-457F-B67C-EE6700CC3910}"/>
    <cellStyle name="AggOrange 4 2 5" xfId="2425" xr:uid="{6BF94DBB-F135-401D-85EE-4EF99A08D981}"/>
    <cellStyle name="AggOrange 4 2 50" xfId="23794" xr:uid="{F2AE5252-95B6-4A25-82F8-F18C48A79CE4}"/>
    <cellStyle name="AggOrange 4 2 51" xfId="24693" xr:uid="{749ABE4A-F2F9-4DBD-B325-FC6472F90F50}"/>
    <cellStyle name="AggOrange 4 2 52" xfId="25261" xr:uid="{7234AF1C-CEAC-4041-A95F-4586081C2177}"/>
    <cellStyle name="AggOrange 4 2 53" xfId="25611" xr:uid="{AAC92326-8E10-4B60-A384-A618BE9F9F1B}"/>
    <cellStyle name="AggOrange 4 2 54" xfId="26252" xr:uid="{A16664DB-073B-43A8-9968-7C46F406809A}"/>
    <cellStyle name="AggOrange 4 2 55" xfId="25907" xr:uid="{199E8D11-5B20-42FC-9C7E-739C577FCEEC}"/>
    <cellStyle name="AggOrange 4 2 56" xfId="26901" xr:uid="{5DD4525C-2E17-4A2C-AA88-B1B6DBF7BE1C}"/>
    <cellStyle name="AggOrange 4 2 57" xfId="27320" xr:uid="{E31B426F-32B4-4314-A9C4-A9736EDDE368}"/>
    <cellStyle name="AggOrange 4 2 58" xfId="27667" xr:uid="{0DD7F2C0-5CCA-4F04-86E7-05FA240FF6D0}"/>
    <cellStyle name="AggOrange 4 2 59" xfId="28443" xr:uid="{F6D45C25-13A6-4411-9D09-2A7A8685902D}"/>
    <cellStyle name="AggOrange 4 2 6" xfId="3142" xr:uid="{D83F6B4C-4331-484F-B94E-3243BE7B9CCE}"/>
    <cellStyle name="AggOrange 4 2 60" xfId="28911" xr:uid="{EDE30878-03FC-4F9F-AB05-9E372DD3B6D5}"/>
    <cellStyle name="AggOrange 4 2 61" xfId="29392" xr:uid="{38611ED5-1508-41B1-B167-4C8834D4769D}"/>
    <cellStyle name="AggOrange 4 2 62" xfId="29701" xr:uid="{2BCA0A01-4C09-4435-AAA7-6ED8DDAFC984}"/>
    <cellStyle name="AggOrange 4 2 63" xfId="30109" xr:uid="{D384A2E9-7D6A-41ED-8399-7CC8BECEB8CC}"/>
    <cellStyle name="AggOrange 4 2 64" xfId="30523" xr:uid="{C373E91A-A23D-40B1-AAE5-05D20241FCAE}"/>
    <cellStyle name="AggOrange 4 2 65" xfId="29213" xr:uid="{A1356A5C-D7D7-40E1-A9ED-378B7B90303F}"/>
    <cellStyle name="AggOrange 4 2 66" xfId="31147" xr:uid="{DD9FEC03-C679-4FA5-B938-3666AF49A3B9}"/>
    <cellStyle name="AggOrange 4 2 7" xfId="3160" xr:uid="{62BEB5B6-340D-4D45-B8B8-1F4C75EC8629}"/>
    <cellStyle name="AggOrange 4 2 8" xfId="3921" xr:uid="{B22676D3-0A1D-4C2A-9A57-EA508C1BB501}"/>
    <cellStyle name="AggOrange 4 2 9" xfId="4359" xr:uid="{DB8E8B13-7231-455F-A2E8-7D27E1289324}"/>
    <cellStyle name="AggOrange 4 20" xfId="8718" xr:uid="{58799CBE-F3C6-4208-AAC5-F0305AECD54E}"/>
    <cellStyle name="AggOrange 4 21" xfId="9208" xr:uid="{52637F09-8D09-4C31-8EC6-508ED8EC4193}"/>
    <cellStyle name="AggOrange 4 22" xfId="9065" xr:uid="{9577D1CE-4C86-48F3-A009-6BDBCDD91E26}"/>
    <cellStyle name="AggOrange 4 23" xfId="9067" xr:uid="{2552A478-FA4E-4603-A4D8-10C19BE00A04}"/>
    <cellStyle name="AggOrange 4 24" xfId="9873" xr:uid="{8928A2D7-05D1-410A-B451-DC99234F3878}"/>
    <cellStyle name="AggOrange 4 25" xfId="11194" xr:uid="{39E13C95-D5DE-4FF4-950D-7C640AD14473}"/>
    <cellStyle name="AggOrange 4 26" xfId="11620" xr:uid="{8917FE85-A8BF-4904-BA5B-4E3A829726DB}"/>
    <cellStyle name="AggOrange 4 27" xfId="11482" xr:uid="{487D4E5A-E1FF-4563-B0BA-9A1E021C5CFA}"/>
    <cellStyle name="AggOrange 4 28" xfId="11727" xr:uid="{C5B9E92C-A128-44EA-BE30-089150E8040E}"/>
    <cellStyle name="AggOrange 4 29" xfId="12958" xr:uid="{5A596513-93FA-46E9-A124-EC75D3213686}"/>
    <cellStyle name="AggOrange 4 3" xfId="592" xr:uid="{661EA08E-3D4B-425C-BA91-88FA6E8059EE}"/>
    <cellStyle name="AggOrange 4 3 10" xfId="4936" xr:uid="{5803F325-F629-4549-AE4D-891619419444}"/>
    <cellStyle name="AggOrange 4 3 11" xfId="5240" xr:uid="{CBDC1470-44DF-4217-8B97-7D80BC4411F9}"/>
    <cellStyle name="AggOrange 4 3 12" xfId="5718" xr:uid="{079A512A-E08C-435E-A385-BC57B1640417}"/>
    <cellStyle name="AggOrange 4 3 13" xfId="5730" xr:uid="{21CCEDF9-37F7-4B5D-8805-73146057C5FD}"/>
    <cellStyle name="AggOrange 4 3 14" xfId="6348" xr:uid="{202297A9-4A37-4ADC-BB9C-2AB72B43A1AC}"/>
    <cellStyle name="AggOrange 4 3 15" xfId="7312" xr:uid="{97E735F1-5B68-4609-90AF-77416BE9CDE4}"/>
    <cellStyle name="AggOrange 4 3 16" xfId="7969" xr:uid="{1A17FD28-791D-4E67-9B47-C31A8BB97A05}"/>
    <cellStyle name="AggOrange 4 3 17" xfId="8502" xr:uid="{95283CB3-90E5-4B35-B687-9AFDCB98A952}"/>
    <cellStyle name="AggOrange 4 3 18" xfId="8846" xr:uid="{DDED579B-A1F0-40EA-83EF-7684B8E90457}"/>
    <cellStyle name="AggOrange 4 3 19" xfId="9526" xr:uid="{B5883FBB-9280-4803-AF80-CA6FD992E6AB}"/>
    <cellStyle name="AggOrange 4 3 2" xfId="807" xr:uid="{51D19740-FD12-490D-93B5-2F414F397F06}"/>
    <cellStyle name="AggOrange 4 3 2 10" xfId="5455" xr:uid="{41F75AF7-8ED1-4EE8-A7DD-DBDFCF537274}"/>
    <cellStyle name="AggOrange 4 3 2 11" xfId="5900" xr:uid="{9D5BA08A-8501-4398-B2F5-6A60085BD264}"/>
    <cellStyle name="AggOrange 4 3 2 12" xfId="6045" xr:uid="{965064C3-E009-419A-9618-E46959864F8B}"/>
    <cellStyle name="AggOrange 4 3 2 13" xfId="6462" xr:uid="{D6B7125E-05D1-4F4A-BF92-9851F2C6BF4E}"/>
    <cellStyle name="AggOrange 4 3 2 14" xfId="7527" xr:uid="{F62B7608-1701-4721-B4C1-83A23B137162}"/>
    <cellStyle name="AggOrange 4 3 2 15" xfId="6739" xr:uid="{A78B4745-7566-49B2-A39D-109081251494}"/>
    <cellStyle name="AggOrange 4 3 2 16" xfId="8517" xr:uid="{F74574EE-A629-4C3F-93F0-81A3A93D3AA0}"/>
    <cellStyle name="AggOrange 4 3 2 17" xfId="8546" xr:uid="{93BF6948-2757-4A82-983E-7CC591A08766}"/>
    <cellStyle name="AggOrange 4 3 2 18" xfId="9741" xr:uid="{C234000D-83B5-46C5-9ACD-07E0BD0A5D5C}"/>
    <cellStyle name="AggOrange 4 3 2 19" xfId="8952" xr:uid="{EEF79AC4-6BD7-4FAA-8436-68E11B9B273E}"/>
    <cellStyle name="AggOrange 4 3 2 2" xfId="1281" xr:uid="{E397BAD7-4760-4E70-B647-567E501DED2E}"/>
    <cellStyle name="AggOrange 4 3 2 20" xfId="8957" xr:uid="{2D192B4C-A249-4AB4-8086-4D7AEB63B8AF}"/>
    <cellStyle name="AggOrange 4 3 2 21" xfId="10698" xr:uid="{AE188768-8AF4-429D-9AAF-F3802B91F8BB}"/>
    <cellStyle name="AggOrange 4 3 2 22" xfId="10994" xr:uid="{909FD03D-57D8-4515-AB17-298BAFF1FC10}"/>
    <cellStyle name="AggOrange 4 3 2 23" xfId="12160" xr:uid="{47B1DF8D-4074-4F75-A93A-612529404D57}"/>
    <cellStyle name="AggOrange 4 3 2 24" xfId="12633" xr:uid="{4C0204E1-46A1-4134-B91B-58C4B3A95181}"/>
    <cellStyle name="AggOrange 4 3 2 25" xfId="13067" xr:uid="{B7854B82-EECA-4857-9BE4-F9B43482571D}"/>
    <cellStyle name="AggOrange 4 3 2 26" xfId="13504" xr:uid="{E7BDC5DD-C677-4E21-946D-441CA792E530}"/>
    <cellStyle name="AggOrange 4 3 2 27" xfId="11750" xr:uid="{3557FF26-6F86-4F6D-8380-B3A595828134}"/>
    <cellStyle name="AggOrange 4 3 2 28" xfId="13656" xr:uid="{20B312BE-D324-4DF9-A268-6FF2645A2F74}"/>
    <cellStyle name="AggOrange 4 3 2 29" xfId="13819" xr:uid="{351C98D9-60E6-4A37-B881-F2BE26641548}"/>
    <cellStyle name="AggOrange 4 3 2 3" xfId="1424" xr:uid="{A3ADD858-0F4A-475F-B756-DBA7923EE7EA}"/>
    <cellStyle name="AggOrange 4 3 2 30" xfId="14792" xr:uid="{23516144-ABEE-4641-BD05-A7446076C1D9}"/>
    <cellStyle name="AggOrange 4 3 2 31" xfId="14878" xr:uid="{57536B4F-1C45-47A2-BCDE-AF2788656BE1}"/>
    <cellStyle name="AggOrange 4 3 2 32" xfId="15216" xr:uid="{B5A5827C-5BB3-46BF-98FA-80676CB1D2FE}"/>
    <cellStyle name="AggOrange 4 3 2 33" xfId="16852" xr:uid="{DE7C374F-2D6B-41ED-9DEB-908F1A207CB9}"/>
    <cellStyle name="AggOrange 4 3 2 34" xfId="16048" xr:uid="{D3D9943E-6F22-40F0-B5DE-44A04A8DC12F}"/>
    <cellStyle name="AggOrange 4 3 2 35" xfId="16453" xr:uid="{D6DDE4DD-F63A-4886-A73D-7887086B3077}"/>
    <cellStyle name="AggOrange 4 3 2 36" xfId="17576" xr:uid="{56652D6D-F23C-4962-868C-4D6804124987}"/>
    <cellStyle name="AggOrange 4 3 2 37" xfId="18670" xr:uid="{237CE782-F756-4971-8080-AD5EDDF17E53}"/>
    <cellStyle name="AggOrange 4 3 2 38" xfId="16072" xr:uid="{48A9EFB2-20F5-4387-8D32-A78CCCFC4E80}"/>
    <cellStyle name="AggOrange 4 3 2 39" xfId="18768" xr:uid="{37BA63BA-099E-4308-9861-9C1A54A7E833}"/>
    <cellStyle name="AggOrange 4 3 2 4" xfId="2629" xr:uid="{0DFAFD7B-DDC4-483D-81E8-C91BAC4F73FE}"/>
    <cellStyle name="AggOrange 4 3 2 40" xfId="20189" xr:uid="{7B8252F0-2992-4063-B60C-67F0A11ADE0A}"/>
    <cellStyle name="AggOrange 4 3 2 41" xfId="19381" xr:uid="{A2110E7F-C636-46A2-8EA9-ECD9861946A7}"/>
    <cellStyle name="AggOrange 4 3 2 42" xfId="19535" xr:uid="{D16185A9-1EFC-4298-A367-DB7317518A5F}"/>
    <cellStyle name="AggOrange 4 3 2 43" xfId="21425" xr:uid="{A61D67A6-968B-4C8C-8509-1EC4CC757FA0}"/>
    <cellStyle name="AggOrange 4 3 2 44" xfId="20983" xr:uid="{4D1156DE-E3E3-4E9E-BAAE-982F808FAC7D}"/>
    <cellStyle name="AggOrange 4 3 2 45" xfId="20341" xr:uid="{FD81EE57-F516-4052-B0A1-914817543672}"/>
    <cellStyle name="AggOrange 4 3 2 46" xfId="21296" xr:uid="{8B513395-CEA5-460A-B7F6-348608CD75E0}"/>
    <cellStyle name="AggOrange 4 3 2 47" xfId="21751" xr:uid="{7512697B-2B36-40C1-AFFC-FF3B2D2466BB}"/>
    <cellStyle name="AggOrange 4 3 2 48" xfId="23440" xr:uid="{5A84EE11-1A65-4589-9ACD-7DE6CDFFC3C4}"/>
    <cellStyle name="AggOrange 4 3 2 49" xfId="23989" xr:uid="{3A498AA6-CB84-4FE0-9625-B616561CDE70}"/>
    <cellStyle name="AggOrange 4 3 2 5" xfId="1847" xr:uid="{7FC3DF4F-25AA-4441-A7E8-3BFA043A31EF}"/>
    <cellStyle name="AggOrange 4 3 2 50" xfId="24897" xr:uid="{CE4D511B-57AB-4134-A118-EB58C9C4302C}"/>
    <cellStyle name="AggOrange 4 3 2 51" xfId="24335" xr:uid="{9C27AA81-29F9-46C1-85FA-9F8EF86246AA}"/>
    <cellStyle name="AggOrange 4 3 2 52" xfId="25813" xr:uid="{A7B52B20-E177-4EB5-9F1C-0C8E13EC840C}"/>
    <cellStyle name="AggOrange 4 3 2 53" xfId="25923" xr:uid="{C15739E9-D62F-4947-A301-B4303FB0FF98}"/>
    <cellStyle name="AggOrange 4 3 2 54" xfId="25131" xr:uid="{405508C7-57AA-43FC-A2DF-7FEEBD963286}"/>
    <cellStyle name="AggOrange 4 3 2 55" xfId="27101" xr:uid="{04BE4DEA-F575-49E0-A775-687832D15FF0}"/>
    <cellStyle name="AggOrange 4 3 2 56" xfId="27520" xr:uid="{DEDE41DE-E29A-4E16-9F33-BBAD3D746602}"/>
    <cellStyle name="AggOrange 4 3 2 57" xfId="26354" xr:uid="{FE4F8208-1DF5-4995-A417-63D7DEC104B5}"/>
    <cellStyle name="AggOrange 4 3 2 58" xfId="28647" xr:uid="{AB5C4F6B-78D1-41C4-8C2A-EDF970FCE51B}"/>
    <cellStyle name="AggOrange 4 3 2 59" xfId="29114" xr:uid="{A2E6E253-A476-410F-9A70-06BCDAE5147F}"/>
    <cellStyle name="AggOrange 4 3 2 6" xfId="3287" xr:uid="{F4D77FF8-F694-45A8-A443-B8B0A5679127}"/>
    <cellStyle name="AggOrange 4 3 2 60" xfId="28166" xr:uid="{8293BE51-7A32-485D-8B37-7765894F3EA8}"/>
    <cellStyle name="AggOrange 4 3 2 61" xfId="29903" xr:uid="{C4979EEC-67E0-46C9-9F5B-1BCDB7DB0443}"/>
    <cellStyle name="AggOrange 4 3 2 62" xfId="30309" xr:uid="{294CCFCA-786E-4B62-A397-7C8B1810A379}"/>
    <cellStyle name="AggOrange 4 3 2 63" xfId="30726" xr:uid="{EAAFD2B8-FB2F-4538-AAF2-93F147ADCDE0}"/>
    <cellStyle name="AggOrange 4 3 2 64" xfId="28040" xr:uid="{C2D0962F-4CDA-4BC3-858C-2F1EAFAEB61C}"/>
    <cellStyle name="AggOrange 4 3 2 65" xfId="31342" xr:uid="{EA84ACFE-109B-4E5A-AB7B-8BED48B11882}"/>
    <cellStyle name="AggOrange 4 3 2 7" xfId="4125" xr:uid="{D68FBE29-D67C-43C4-95B5-425F95CF4BA5}"/>
    <cellStyle name="AggOrange 4 3 2 8" xfId="4562" xr:uid="{31021FE5-398C-41C1-A165-7DD691D1DA78}"/>
    <cellStyle name="AggOrange 4 3 2 9" xfId="3600" xr:uid="{448869FE-DFE4-49C6-A0D7-39BFC58B2A86}"/>
    <cellStyle name="AggOrange 4 3 20" xfId="10185" xr:uid="{72338E78-0C28-4A8D-A05C-27FBC830A68C}"/>
    <cellStyle name="AggOrange 4 3 21" xfId="10591" xr:uid="{F221A9B9-70A5-4542-8F46-37447DFC606B}"/>
    <cellStyle name="AggOrange 4 3 22" xfId="10302" xr:uid="{34856153-8E97-4608-A6C1-06A314BFDF24}"/>
    <cellStyle name="AggOrange 4 3 23" xfId="10972" xr:uid="{F6A5543A-B5D3-4995-AF9F-630F1CDC7216}"/>
    <cellStyle name="AggOrange 4 3 24" xfId="11945" xr:uid="{38EF7FDC-97C7-49C3-BD0B-390B4AB5E8A0}"/>
    <cellStyle name="AggOrange 4 3 25" xfId="12418" xr:uid="{97A23926-82A2-4176-8F5C-4B440455BDFF}"/>
    <cellStyle name="AggOrange 4 3 26" xfId="12852" xr:uid="{15B12051-DBD2-43C1-A3B0-F4CCF3E736D7}"/>
    <cellStyle name="AggOrange 4 3 27" xfId="13289" xr:uid="{BCF7732E-25B6-4DFD-BB29-F1A59D066769}"/>
    <cellStyle name="AggOrange 4 3 28" xfId="13182" xr:uid="{DB41462E-377D-4665-9882-75CAE4FD46C9}"/>
    <cellStyle name="AggOrange 4 3 29" xfId="14151" xr:uid="{CA5ACB48-02A2-4B09-A489-07F1C00E17CD}"/>
    <cellStyle name="AggOrange 4 3 3" xfId="1075" xr:uid="{BB8AA687-5C86-4742-B5D8-95388164C39F}"/>
    <cellStyle name="AggOrange 4 3 30" xfId="14858" xr:uid="{99908861-F99D-4A5C-925F-E5A20BD38543}"/>
    <cellStyle name="AggOrange 4 3 31" xfId="14102" xr:uid="{C6AD7AD5-16E0-4F17-80AF-21F1D5931769}"/>
    <cellStyle name="AggOrange 4 3 32" xfId="15709" xr:uid="{B3307998-C2BB-42BD-A881-74F86D9CF601}"/>
    <cellStyle name="AggOrange 4 3 33" xfId="15953" xr:uid="{E49E9F62-2B50-4920-B5BA-D492B155DAE8}"/>
    <cellStyle name="AggOrange 4 3 34" xfId="16637" xr:uid="{F4BD6F66-C9A2-4FDE-9401-24D7E7267AD1}"/>
    <cellStyle name="AggOrange 4 3 35" xfId="17305" xr:uid="{2119148F-F9AA-4CA2-A3C1-24E9F5416078}"/>
    <cellStyle name="AggOrange 4 3 36" xfId="17748" xr:uid="{5727324C-E044-42D9-9D2C-73A7A0909C97}"/>
    <cellStyle name="AggOrange 4 3 37" xfId="17515" xr:uid="{D96CCCE0-76A9-48EA-8DEB-6A9563132671}"/>
    <cellStyle name="AggOrange 4 3 38" xfId="18455" xr:uid="{74A37521-66A1-49AC-B802-A9751FF77C5D}"/>
    <cellStyle name="AggOrange 4 3 39" xfId="18996" xr:uid="{4995A77D-60F7-447F-8C61-858BEF98775D}"/>
    <cellStyle name="AggOrange 4 3 4" xfId="1611" xr:uid="{57AFFFE5-0E8C-4062-AC7A-700E256A94C0}"/>
    <cellStyle name="AggOrange 4 3 40" xfId="18219" xr:uid="{3E5F4621-FFF0-4923-A31F-751E292F5399}"/>
    <cellStyle name="AggOrange 4 3 41" xfId="19974" xr:uid="{0946C0AF-6576-409A-AD02-D31D91681C68}"/>
    <cellStyle name="AggOrange 4 3 42" xfId="20656" xr:uid="{91CC664B-FFC6-430B-9682-F9522524AAF0}"/>
    <cellStyle name="AggOrange 4 3 43" xfId="21113" xr:uid="{6A0C28F2-765B-4D5F-9FBB-3F6BEF508150}"/>
    <cellStyle name="AggOrange 4 3 44" xfId="20814" xr:uid="{24C90366-5212-4159-AC08-5CA14D3BCD9E}"/>
    <cellStyle name="AggOrange 4 3 45" xfId="22044" xr:uid="{FD1CD2C4-7626-4247-9294-373A29388525}"/>
    <cellStyle name="AggOrange 4 3 46" xfId="22473" xr:uid="{3EBDF0CC-9E6C-4CF1-9FC8-3AC3B9DDF1C1}"/>
    <cellStyle name="AggOrange 4 3 47" xfId="22446" xr:uid="{8F3942F4-1089-41D6-A2F5-2E79B8338225}"/>
    <cellStyle name="AggOrange 4 3 48" xfId="23279" xr:uid="{63E94720-2CFF-4292-B181-D48CB09DE92F}"/>
    <cellStyle name="AggOrange 4 3 49" xfId="23245" xr:uid="{99005418-3BE0-4877-BA37-694225E095BA}"/>
    <cellStyle name="AggOrange 4 3 5" xfId="2414" xr:uid="{4EA0F682-75AF-40E1-AB11-AB7D421C718F}"/>
    <cellStyle name="AggOrange 4 3 50" xfId="23783" xr:uid="{119A4109-F270-4646-A875-FE0771A98A88}"/>
    <cellStyle name="AggOrange 4 3 51" xfId="24682" xr:uid="{FC239891-E46D-469B-A636-10FEBD80844E}"/>
    <cellStyle name="AggOrange 4 3 52" xfId="25360" xr:uid="{D4D89813-5526-4AEE-B9A5-D2787B9AEBA5}"/>
    <cellStyle name="AggOrange 4 3 53" xfId="25600" xr:uid="{E57C3514-ADB6-4622-98DD-705592085FF2}"/>
    <cellStyle name="AggOrange 4 3 54" xfId="24119" xr:uid="{3F417B34-69D0-451E-B7B2-B87240DB857E}"/>
    <cellStyle name="AggOrange 4 3 55" xfId="25410" xr:uid="{89F8E6DB-504C-42DE-8700-24C7ECCECE7F}"/>
    <cellStyle name="AggOrange 4 3 56" xfId="26890" xr:uid="{674C8A3E-C69C-446C-A3FA-2FDA996A1F8F}"/>
    <cellStyle name="AggOrange 4 3 57" xfId="27309" xr:uid="{B03B878C-7AD0-4940-9A81-1284D121059D}"/>
    <cellStyle name="AggOrange 4 3 58" xfId="27604" xr:uid="{6EC78C6A-EA45-4E12-88A9-3B9B8347A538}"/>
    <cellStyle name="AggOrange 4 3 59" xfId="28432" xr:uid="{8A9729D0-C8EB-450F-93E7-4C6120799B53}"/>
    <cellStyle name="AggOrange 4 3 6" xfId="2131" xr:uid="{F9825FF3-9DF6-45BF-81D9-63E2C09972B8}"/>
    <cellStyle name="AggOrange 4 3 60" xfId="28900" xr:uid="{B6054B98-79D8-4E18-9323-9DA3C8D06966}"/>
    <cellStyle name="AggOrange 4 3 61" xfId="29483" xr:uid="{1B530E68-82EE-4621-8399-70C1E140A312}"/>
    <cellStyle name="AggOrange 4 3 62" xfId="29690" xr:uid="{3B552556-6D34-41C9-A60B-7B9B30FD571C}"/>
    <cellStyle name="AggOrange 4 3 63" xfId="30098" xr:uid="{34F91F5B-9CA9-4612-AACC-5BF2464472E7}"/>
    <cellStyle name="AggOrange 4 3 64" xfId="30512" xr:uid="{1E0AF52F-0C3B-4451-847F-695C39353BAF}"/>
    <cellStyle name="AggOrange 4 3 65" xfId="30199" xr:uid="{F964CDBD-7992-4315-977E-68C7CEFA3601}"/>
    <cellStyle name="AggOrange 4 3 66" xfId="31136" xr:uid="{121AB937-E96C-46BC-8B58-906A0F3750A9}"/>
    <cellStyle name="AggOrange 4 3 7" xfId="3688" xr:uid="{63E2B126-BB76-4EC9-ACC2-B61D2D4F1FBE}"/>
    <cellStyle name="AggOrange 4 3 8" xfId="3910" xr:uid="{B095D032-BCE0-4DED-A646-794D2E55E965}"/>
    <cellStyle name="AggOrange 4 3 9" xfId="4348" xr:uid="{6BD4998A-AF24-4A1A-81F2-9A7F865E285F}"/>
    <cellStyle name="AggOrange 4 30" xfId="11775" xr:uid="{43DCACB8-DCB5-4E56-B645-7EA15478369A}"/>
    <cellStyle name="AggOrange 4 31" xfId="11832" xr:uid="{594692DF-C7F7-47E0-A7B2-F65B971C4FD6}"/>
    <cellStyle name="AggOrange 4 32" xfId="14508" xr:uid="{DEFAD73D-CBFA-49E7-A01F-D18B74A3B049}"/>
    <cellStyle name="AggOrange 4 33" xfId="13204" xr:uid="{54A46839-E410-42B2-AC9A-DF499E1D78AA}"/>
    <cellStyle name="AggOrange 4 34" xfId="15183" xr:uid="{16080E24-586A-4059-9F36-C924FBD34BD0}"/>
    <cellStyle name="AggOrange 4 35" xfId="15196" xr:uid="{0B8FBAEF-961A-4A49-BF12-636D59E1AD00}"/>
    <cellStyle name="AggOrange 4 36" xfId="16315" xr:uid="{5BDB3832-F084-47C8-A916-51A0BFD5F0F9}"/>
    <cellStyle name="AggOrange 4 37" xfId="16061" xr:uid="{04C77A3E-F4CC-4B1D-B44A-D1025666DF78}"/>
    <cellStyle name="AggOrange 4 38" xfId="17261" xr:uid="{59969920-AE05-4591-84BD-BC7AFC756555}"/>
    <cellStyle name="AggOrange 4 39" xfId="18152" xr:uid="{977E0CD9-ADDC-4CEF-B45D-7E6F6BB285B2}"/>
    <cellStyle name="AggOrange 4 4" xfId="566" xr:uid="{139FEBED-75BF-47F3-A954-8F22DE319B18}"/>
    <cellStyle name="AggOrange 4 4 10" xfId="5022" xr:uid="{039F901E-13AD-435B-B937-21F26230D59C}"/>
    <cellStyle name="AggOrange 4 4 11" xfId="5214" xr:uid="{3B393B5A-95B8-4C0A-BCBD-0994943C79F1}"/>
    <cellStyle name="AggOrange 4 4 12" xfId="5561" xr:uid="{776487BC-2F59-4EA3-969A-FE5A2D9B937B}"/>
    <cellStyle name="AggOrange 4 4 13" xfId="2285" xr:uid="{5ED7153D-D9D6-4091-AF02-E3E8F37766B1}"/>
    <cellStyle name="AggOrange 4 4 14" xfId="6640" xr:uid="{63ADDED7-378A-4C99-AE21-1ECE2C47D3BE}"/>
    <cellStyle name="AggOrange 4 4 15" xfId="7286" xr:uid="{2C466B86-6E86-4AE9-8487-5C2D6E8E6C48}"/>
    <cellStyle name="AggOrange 4 4 16" xfId="8025" xr:uid="{A4AFC46F-0149-49ED-87D2-3E861C85C28F}"/>
    <cellStyle name="AggOrange 4 4 17" xfId="7740" xr:uid="{774A7A32-C651-43A8-B553-B26B519C35CD}"/>
    <cellStyle name="AggOrange 4 4 18" xfId="8691" xr:uid="{C30C44B9-F007-486D-9309-C5160067AADE}"/>
    <cellStyle name="AggOrange 4 4 19" xfId="9500" xr:uid="{2106E94E-65C2-4B49-B8A9-FACB8BB26F44}"/>
    <cellStyle name="AggOrange 4 4 2" xfId="781" xr:uid="{A956E134-A7A6-4740-9098-385507848108}"/>
    <cellStyle name="AggOrange 4 4 2 10" xfId="5429" xr:uid="{0BF8AA1D-4990-403D-9233-D16F0C1EC41D}"/>
    <cellStyle name="AggOrange 4 4 2 11" xfId="5863" xr:uid="{B57B60C2-7CA5-4C54-A201-645F574D381E}"/>
    <cellStyle name="AggOrange 4 4 2 12" xfId="3793" xr:uid="{1C157414-63D7-4844-B5E0-D236E4067D78}"/>
    <cellStyle name="AggOrange 4 4 2 13" xfId="6059" xr:uid="{5A7B9C25-F086-484C-8B18-0FB828FE1363}"/>
    <cellStyle name="AggOrange 4 4 2 14" xfId="7501" xr:uid="{183E48D9-79FA-4EB8-BBE5-04AC8111C2CE}"/>
    <cellStyle name="AggOrange 4 4 2 15" xfId="6955" xr:uid="{899B6E9F-DFD5-4C6F-8499-BE5D022D5C21}"/>
    <cellStyle name="AggOrange 4 4 2 16" xfId="8297" xr:uid="{4F67C9C5-699E-4A55-954D-7AF63422990B}"/>
    <cellStyle name="AggOrange 4 4 2 17" xfId="8829" xr:uid="{229E7CB2-A752-4883-A845-8E5EE8FB3045}"/>
    <cellStyle name="AggOrange 4 4 2 18" xfId="9715" xr:uid="{912EBDDD-44F6-4793-A0F6-CEB12D154D7B}"/>
    <cellStyle name="AggOrange 4 4 2 19" xfId="9303" xr:uid="{5B58C3C3-E72E-405A-9F42-2EE9445FFEA2}"/>
    <cellStyle name="AggOrange 4 4 2 2" xfId="1255" xr:uid="{0646D487-8EAE-407D-93BC-31BACFE5CC51}"/>
    <cellStyle name="AggOrange 4 4 2 20" xfId="10049" xr:uid="{CB575F45-C656-4026-9376-8A7AB12F3AC1}"/>
    <cellStyle name="AggOrange 4 4 2 21" xfId="10304" xr:uid="{948BA556-F19B-4DA9-A73A-C4AD7C2C273B}"/>
    <cellStyle name="AggOrange 4 4 2 22" xfId="11157" xr:uid="{0E5B1C59-A012-4A62-9B54-462FD90DD450}"/>
    <cellStyle name="AggOrange 4 4 2 23" xfId="12134" xr:uid="{8CBBF7C3-FCA4-4F05-BB21-F6E591D0BE70}"/>
    <cellStyle name="AggOrange 4 4 2 24" xfId="12607" xr:uid="{B017FF09-46D0-4A02-85CC-D4AC25E15C53}"/>
    <cellStyle name="AggOrange 4 4 2 25" xfId="13041" xr:uid="{48DF3AE0-47F0-4319-A461-ACBEA3BB5217}"/>
    <cellStyle name="AggOrange 4 4 2 26" xfId="13478" xr:uid="{A5F79DA3-F842-459A-8A21-4F05F5866F02}"/>
    <cellStyle name="AggOrange 4 4 2 27" xfId="11807" xr:uid="{2F62F1DC-A62A-49E4-82ED-5B6DDC7BFC52}"/>
    <cellStyle name="AggOrange 4 4 2 28" xfId="14181" xr:uid="{9466DBE1-6C28-4B56-B886-CEAE1383E489}"/>
    <cellStyle name="AggOrange 4 4 2 29" xfId="14319" xr:uid="{8EA3B4A6-F8CA-4DD4-BD61-61A75CE367ED}"/>
    <cellStyle name="AggOrange 4 4 2 3" xfId="1426" xr:uid="{6DCB5EA2-26EA-4E33-BE0C-F7F93F0DFE60}"/>
    <cellStyle name="AggOrange 4 4 2 30" xfId="14725" xr:uid="{716B50E3-492D-4F0F-BD05-48BFF25EAAE4}"/>
    <cellStyle name="AggOrange 4 4 2 31" xfId="14605" xr:uid="{CB2E6682-87EE-4C28-9D0D-A03ED10F73A2}"/>
    <cellStyle name="AggOrange 4 4 2 32" xfId="15350" xr:uid="{21361996-4DFE-46B8-8C8F-0BC40A520482}"/>
    <cellStyle name="AggOrange 4 4 2 33" xfId="16826" xr:uid="{D760442F-C040-44FE-BFC2-BD75F1E2BE2F}"/>
    <cellStyle name="AggOrange 4 4 2 34" xfId="16274" xr:uid="{8A98A69D-DB88-400C-B1BE-FAD7E4B81059}"/>
    <cellStyle name="AggOrange 4 4 2 35" xfId="17167" xr:uid="{A5D4D5E6-2EA7-4496-B28A-0CB7838B21E4}"/>
    <cellStyle name="AggOrange 4 4 2 36" xfId="17928" xr:uid="{15635010-849B-47E1-8568-9B94F545C496}"/>
    <cellStyle name="AggOrange 4 4 2 37" xfId="18644" xr:uid="{C1E2ADC8-78CC-4382-B172-F3198AD1F7BE}"/>
    <cellStyle name="AggOrange 4 4 2 38" xfId="17800" xr:uid="{2BFCDC53-552B-43A3-BDEA-9EEED6C98E5B}"/>
    <cellStyle name="AggOrange 4 4 2 39" xfId="17621" xr:uid="{6285814F-CCC7-4A9B-B4B2-C03BDF3C1D50}"/>
    <cellStyle name="AggOrange 4 4 2 4" xfId="2603" xr:uid="{8656EBC0-A044-4293-8E0C-14CDA309BFEF}"/>
    <cellStyle name="AggOrange 4 4 2 40" xfId="20163" xr:uid="{95454B10-0501-4293-9DBF-E7C5EA4F8890}"/>
    <cellStyle name="AggOrange 4 4 2 41" xfId="19509" xr:uid="{C58BCAA0-55C8-434E-84BD-0DFEA0CEB833}"/>
    <cellStyle name="AggOrange 4 4 2 42" xfId="20464" xr:uid="{98002AE5-1331-4B40-8819-32B435DC7F63}"/>
    <cellStyle name="AggOrange 4 4 2 43" xfId="21344" xr:uid="{ABD39C41-C24F-4FDB-8776-C870A32C10D0}"/>
    <cellStyle name="AggOrange 4 4 2 44" xfId="21397" xr:uid="{E8258E8B-C5FF-479F-9153-600443AF5B05}"/>
    <cellStyle name="AggOrange 4 4 2 45" xfId="21419" xr:uid="{C877909B-DC1F-4BEA-9F5D-8CD89891FFA1}"/>
    <cellStyle name="AggOrange 4 4 2 46" xfId="22169" xr:uid="{0C32B91F-8BAE-483F-9351-324232C7B3F0}"/>
    <cellStyle name="AggOrange 4 4 2 47" xfId="22968" xr:uid="{34589341-5094-4819-9204-49C90EF488A1}"/>
    <cellStyle name="AggOrange 4 4 2 48" xfId="23178" xr:uid="{DD740296-53CF-47C4-9FDE-661F7F2E41EC}"/>
    <cellStyle name="AggOrange 4 4 2 49" xfId="23963" xr:uid="{3F11C1D9-C9CB-44DC-BF65-E74CC0585BC2}"/>
    <cellStyle name="AggOrange 4 4 2 5" xfId="2035" xr:uid="{21BF7CB8-41A3-46F7-96E6-F34394BB4663}"/>
    <cellStyle name="AggOrange 4 4 2 50" xfId="24871" xr:uid="{EC88FA7E-8C8D-4AE1-9828-990101F0BBCD}"/>
    <cellStyle name="AggOrange 4 4 2 51" xfId="24506" xr:uid="{ED4CE7A5-B666-4C30-9EBD-22131626B816}"/>
    <cellStyle name="AggOrange 4 4 2 52" xfId="25787" xr:uid="{68C959C8-EE0D-4848-8F92-BDD3724B4DEE}"/>
    <cellStyle name="AggOrange 4 4 2 53" xfId="25904" xr:uid="{F1508B2E-7EF4-4F19-99C2-DE47D88B1B53}"/>
    <cellStyle name="AggOrange 4 4 2 54" xfId="26632" xr:uid="{E0538E25-3BAA-454F-9DF6-29EBF7372F4B}"/>
    <cellStyle name="AggOrange 4 4 2 55" xfId="27075" xr:uid="{185638A9-2A1B-48B2-BB9D-58D9E60AFA48}"/>
    <cellStyle name="AggOrange 4 4 2 56" xfId="27494" xr:uid="{436EDF98-14B1-4690-873A-5F19528E7B1D}"/>
    <cellStyle name="AggOrange 4 4 2 57" xfId="26154" xr:uid="{9E898CDF-0A75-47F0-99DA-C9414CC41C46}"/>
    <cellStyle name="AggOrange 4 4 2 58" xfId="28621" xr:uid="{5C0D1670-D168-4ABE-A595-4B780E9B3261}"/>
    <cellStyle name="AggOrange 4 4 2 59" xfId="29088" xr:uid="{A1BA2F06-93C6-4676-BF18-DA2980971507}"/>
    <cellStyle name="AggOrange 4 4 2 6" xfId="3592" xr:uid="{AE172C00-259E-4A70-B17E-118AD7184B9B}"/>
    <cellStyle name="AggOrange 4 4 2 60" xfId="28735" xr:uid="{E7D406F6-7D64-46EC-912F-FF0B3B194462}"/>
    <cellStyle name="AggOrange 4 4 2 61" xfId="29877" xr:uid="{FEE3E5FF-3061-455F-80BD-272E8D07F0EE}"/>
    <cellStyle name="AggOrange 4 4 2 62" xfId="30283" xr:uid="{15A0789A-D63A-45D7-9F2D-9BAD8CF45603}"/>
    <cellStyle name="AggOrange 4 4 2 63" xfId="30700" xr:uid="{02DEC92A-3930-4180-B351-79CE54682C3F}"/>
    <cellStyle name="AggOrange 4 4 2 64" xfId="28345" xr:uid="{9106AE9F-250F-4639-AB44-0ED7A89959C1}"/>
    <cellStyle name="AggOrange 4 4 2 65" xfId="31316" xr:uid="{C3CFEDA2-6F56-4F91-9E9A-AD04ADAFB684}"/>
    <cellStyle name="AggOrange 4 4 2 7" xfId="4099" xr:uid="{524CB6EC-3B8D-4E18-87E2-053F4BDD9164}"/>
    <cellStyle name="AggOrange 4 4 2 8" xfId="4536" xr:uid="{62141263-6CDD-494E-BAA9-CBE397553678}"/>
    <cellStyle name="AggOrange 4 4 2 9" xfId="4966" xr:uid="{34F406FD-56E8-4234-A4E6-0655F5B9A2D2}"/>
    <cellStyle name="AggOrange 4 4 20" xfId="10244" xr:uid="{A2A4CED1-5CA6-4411-BFAE-5F72035CCD9F}"/>
    <cellStyle name="AggOrange 4 4 21" xfId="10639" xr:uid="{3C438837-5012-414F-8E54-0D47A34178A5}"/>
    <cellStyle name="AggOrange 4 4 22" xfId="10313" xr:uid="{A56964F3-E480-4B73-BDBF-86A8125776D6}"/>
    <cellStyle name="AggOrange 4 4 23" xfId="11089" xr:uid="{C30CCDA3-9E37-4E62-9A4D-6DE093C9F671}"/>
    <cellStyle name="AggOrange 4 4 24" xfId="11919" xr:uid="{34936B28-B237-43C3-8C92-6E192A248E68}"/>
    <cellStyle name="AggOrange 4 4 25" xfId="12392" xr:uid="{73813D12-C5EE-4C4E-9BAF-B1DE43B9DBDA}"/>
    <cellStyle name="AggOrange 4 4 26" xfId="12826" xr:uid="{61C7F7BC-6ECB-4807-B5F6-B861A9C97F00}"/>
    <cellStyle name="AggOrange 4 4 27" xfId="13263" xr:uid="{6D75F43A-B7A6-479F-8BB8-67FA9B6ADD18}"/>
    <cellStyle name="AggOrange 4 4 28" xfId="12260" xr:uid="{73163083-00CC-48D8-B539-1375A9A846BF}"/>
    <cellStyle name="AggOrange 4 4 29" xfId="14236" xr:uid="{C06FE1AA-0EE7-4216-BF2F-E893D8D43EDE}"/>
    <cellStyle name="AggOrange 4 4 3" xfId="1049" xr:uid="{5803FB24-C8FA-4101-A4CE-070598261B56}"/>
    <cellStyle name="AggOrange 4 4 30" xfId="14063" xr:uid="{E1CCFB94-C427-4D0C-B17B-E76A813AA868}"/>
    <cellStyle name="AggOrange 4 4 31" xfId="14141" xr:uid="{AEAD2A56-E50E-46AB-B20A-11A196153080}"/>
    <cellStyle name="AggOrange 4 4 32" xfId="15643" xr:uid="{F597C891-E861-44ED-A54C-121D010E693F}"/>
    <cellStyle name="AggOrange 4 4 33" xfId="15985" xr:uid="{CB6CDACB-08F2-4BE7-9D73-6A11968AD647}"/>
    <cellStyle name="AggOrange 4 4 34" xfId="16611" xr:uid="{7FEFD154-1312-41A1-B082-0116268DA7EE}"/>
    <cellStyle name="AggOrange 4 4 35" xfId="17365" xr:uid="{A8D9B53A-38A5-410C-96B1-CC9F4F93515F}"/>
    <cellStyle name="AggOrange 4 4 36" xfId="17807" xr:uid="{AAE1445E-61D4-4711-A452-A32054C724A8}"/>
    <cellStyle name="AggOrange 4 4 37" xfId="18192" xr:uid="{6A6572F9-8008-4A19-A097-EEE2D8FF77FC}"/>
    <cellStyle name="AggOrange 4 4 38" xfId="18429" xr:uid="{03F65423-E9EF-46DB-9831-5C83F0AACEAB}"/>
    <cellStyle name="AggOrange 4 4 39" xfId="18765" xr:uid="{D5F68E30-E47A-4D4E-9923-2EC3561FA00D}"/>
    <cellStyle name="AggOrange 4 4 4" xfId="1709" xr:uid="{B5CC380E-82C3-4FAA-8FCC-783B24C78CBA}"/>
    <cellStyle name="AggOrange 4 4 40" xfId="19335" xr:uid="{C1AAEC36-CFC7-4896-AB4D-CBDFCE37C543}"/>
    <cellStyle name="AggOrange 4 4 41" xfId="19948" xr:uid="{0DAABC66-B32D-423D-9A64-4A8E6B875AE1}"/>
    <cellStyle name="AggOrange 4 4 42" xfId="20715" xr:uid="{7EC09D28-C4ED-40D1-8517-D95B5617DCD1}"/>
    <cellStyle name="AggOrange 4 4 43" xfId="21173" xr:uid="{7BF7273C-4711-41C9-BEA1-6FE8CF90BA1E}"/>
    <cellStyle name="AggOrange 4 4 44" xfId="20936" xr:uid="{CB1C5333-CFFB-4789-BE70-F8172EC60B4E}"/>
    <cellStyle name="AggOrange 4 4 45" xfId="22104" xr:uid="{43AF5AAE-8D50-4134-BAB6-3CDED071FC68}"/>
    <cellStyle name="AggOrange 4 4 46" xfId="22532" xr:uid="{76C0E808-13C2-45ED-9D74-012B5BD71E08}"/>
    <cellStyle name="AggOrange 4 4 47" xfId="21429" xr:uid="{6C3A5044-9D9A-47BF-9DDF-2118D55CD2F9}"/>
    <cellStyle name="AggOrange 4 4 48" xfId="23033" xr:uid="{4673CA3C-BDC8-408E-A81D-7FBEB9E68644}"/>
    <cellStyle name="AggOrange 4 4 49" xfId="23073" xr:uid="{807335C1-DA6C-44E3-8ECA-83608FED4CFD}"/>
    <cellStyle name="AggOrange 4 4 5" xfId="2388" xr:uid="{3EEECEF5-26DF-48E3-9334-497AE0CF536A}"/>
    <cellStyle name="AggOrange 4 4 50" xfId="23757" xr:uid="{EF05BE0C-A421-4BDF-A716-873E321327F9}"/>
    <cellStyle name="AggOrange 4 4 51" xfId="24656" xr:uid="{FB5F41E6-2B15-405F-8A4D-BEC7E7ACFE14}"/>
    <cellStyle name="AggOrange 4 4 52" xfId="25419" xr:uid="{D28D32FD-0FCE-46FA-ADBA-B2BEAD5971EE}"/>
    <cellStyle name="AggOrange 4 4 53" xfId="25574" xr:uid="{72CC8BA9-0D88-42E1-A9D9-625E2D8F226B}"/>
    <cellStyle name="AggOrange 4 4 54" xfId="25209" xr:uid="{F28869C6-DB88-451C-824E-51ED1E41799F}"/>
    <cellStyle name="AggOrange 4 4 55" xfId="24250" xr:uid="{CA6C4DB5-93B6-4325-8380-56141FCC8417}"/>
    <cellStyle name="AggOrange 4 4 56" xfId="26864" xr:uid="{4713BDEE-C0EA-403C-829B-4867B2109A91}"/>
    <cellStyle name="AggOrange 4 4 57" xfId="27283" xr:uid="{CBAC006F-EB61-49CC-BA41-304618C5BFE6}"/>
    <cellStyle name="AggOrange 4 4 58" xfId="27750" xr:uid="{016E448B-166D-4940-9751-65CD0F26EEE7}"/>
    <cellStyle name="AggOrange 4 4 59" xfId="28406" xr:uid="{F83A8F93-7981-48EA-B041-F4FAFF604FE0}"/>
    <cellStyle name="AggOrange 4 4 6" xfId="2066" xr:uid="{6F432F94-C10E-47D0-97E0-4EDB74567398}"/>
    <cellStyle name="AggOrange 4 4 60" xfId="28874" xr:uid="{5317BCE8-0FEA-499B-93D7-434B653F0965}"/>
    <cellStyle name="AggOrange 4 4 61" xfId="29533" xr:uid="{F7D46977-FC55-4959-90CF-1CAC11874EBA}"/>
    <cellStyle name="AggOrange 4 4 62" xfId="29664" xr:uid="{0F90613D-FC25-4FE7-B6E3-C521B1C61CC0}"/>
    <cellStyle name="AggOrange 4 4 63" xfId="30072" xr:uid="{27254DD5-380B-4414-B037-37880BF0273D}"/>
    <cellStyle name="AggOrange 4 4 64" xfId="30486" xr:uid="{29B48F83-4327-47CB-847D-010737454BAC}"/>
    <cellStyle name="AggOrange 4 4 65" xfId="29307" xr:uid="{133A3AA9-B31C-40E4-8F9B-81AB6BF5B611}"/>
    <cellStyle name="AggOrange 4 4 66" xfId="31110" xr:uid="{59811413-5082-4522-93F0-B247C17866BA}"/>
    <cellStyle name="AggOrange 4 4 7" xfId="3516" xr:uid="{447EB014-0D40-414E-BDCF-D26DE91AF844}"/>
    <cellStyle name="AggOrange 4 4 8" xfId="3884" xr:uid="{B4EFBCC3-BDBB-4547-B091-6360D902E835}"/>
    <cellStyle name="AggOrange 4 4 9" xfId="4322" xr:uid="{D57A40A4-FC77-4093-B6C1-FC938170AA48}"/>
    <cellStyle name="AggOrange 4 40" xfId="17639" xr:uid="{58ED769E-9F54-4F94-BC33-3BBDA7500480}"/>
    <cellStyle name="AggOrange 4 41" xfId="18801" xr:uid="{EF35615D-2D3B-4699-8094-A50627AA8C70}"/>
    <cellStyle name="AggOrange 4 42" xfId="19074" xr:uid="{52DE73F7-7F81-41B8-B0C2-D91CD18B9B63}"/>
    <cellStyle name="AggOrange 4 43" xfId="19648" xr:uid="{5CDFC3B9-4E68-47EE-980A-56759B5255BC}"/>
    <cellStyle name="AggOrange 4 44" xfId="19728" xr:uid="{73E4A08F-E06F-4AD3-A24E-CCCDB0391A62}"/>
    <cellStyle name="AggOrange 4 45" xfId="20546" xr:uid="{C6C10F01-2029-4EF0-B66E-1482AC5C299A}"/>
    <cellStyle name="AggOrange 4 46" xfId="21000" xr:uid="{D6B978DD-1180-4C95-B2A8-5B45BA3D1574}"/>
    <cellStyle name="AggOrange 4 47" xfId="19485" xr:uid="{3263E78A-F89B-48BB-B22E-2B435C3743FE}"/>
    <cellStyle name="AggOrange 4 48" xfId="19544" xr:uid="{DF44230C-C7D0-4181-8464-DBE190D687FA}"/>
    <cellStyle name="AggOrange 4 49" xfId="21788" xr:uid="{42FFB401-0D20-4B95-95CB-75CBDC0F1BA3}"/>
    <cellStyle name="AggOrange 4 5" xfId="941" xr:uid="{31D7A7D6-BDBD-4EDB-9F59-7D646C19AACA}"/>
    <cellStyle name="AggOrange 4 50" xfId="23074" xr:uid="{654D0AA6-49E4-4C39-ACA6-9AA0CE56A9E1}"/>
    <cellStyle name="AggOrange 4 51" xfId="23367" xr:uid="{67EB3ED1-98DB-463F-BA56-E9F08601267F}"/>
    <cellStyle name="AggOrange 4 52" xfId="22513" xr:uid="{0C3622C4-C4D0-49BD-8495-D20041B9BE41}"/>
    <cellStyle name="AggOrange 4 53" xfId="24368" xr:uid="{3128CC3B-CCD8-4BAD-8C5D-8AA1C5C5389A}"/>
    <cellStyle name="AggOrange 4 54" xfId="25030" xr:uid="{666F0D0F-9EEC-4F15-88E3-610E639FD1BF}"/>
    <cellStyle name="AggOrange 4 55" xfId="25151" xr:uid="{585A4B25-BBAE-4583-BA6C-BBEF7D6537F4}"/>
    <cellStyle name="AggOrange 4 56" xfId="26208" xr:uid="{5EB648B6-45AB-4575-A7F1-C9210D923369}"/>
    <cellStyle name="AggOrange 4 57" xfId="26284" xr:uid="{75C5589D-E534-453E-B191-9D0BBE5E792F}"/>
    <cellStyle name="AggOrange 4 58" xfId="26562" xr:uid="{188AB5E7-7227-48FC-A841-430658AC97EC}"/>
    <cellStyle name="AggOrange 4 59" xfId="27185" xr:uid="{DEBB5D3F-862E-4218-975E-A04A2A976354}"/>
    <cellStyle name="AggOrange 4 6" xfId="1532" xr:uid="{DBF41AD4-077E-45C8-8597-EEFA9D8B6A02}"/>
    <cellStyle name="AggOrange 4 60" xfId="26286" xr:uid="{FE589056-A11A-42F8-849E-FD79C85F38E6}"/>
    <cellStyle name="AggOrange 4 61" xfId="28139" xr:uid="{8DE39456-E5C6-4CF4-9058-5B70CB62ABE9}"/>
    <cellStyle name="AggOrange 4 62" xfId="28017" xr:uid="{B1A14B65-71F9-45C6-8B21-62B260733BC6}"/>
    <cellStyle name="AggOrange 4 63" xfId="28252" xr:uid="{29EF672F-F0CD-4F77-80FC-0DCBF2CA0C4E}"/>
    <cellStyle name="AggOrange 4 64" xfId="28078" xr:uid="{C9262605-049D-44B6-B43D-1A9363797432}"/>
    <cellStyle name="AggOrange 4 65" xfId="28119" xr:uid="{537EEEDE-4A08-40F6-822F-462265F08DA7}"/>
    <cellStyle name="AggOrange 4 66" xfId="29513" xr:uid="{82DA4AD1-722B-42AE-830F-1C4CAA3976C6}"/>
    <cellStyle name="AggOrange 4 67" xfId="27934" xr:uid="{F84329C4-6529-47DD-A6E4-DD48BDB46729}"/>
    <cellStyle name="AggOrange 4 68" xfId="29594" xr:uid="{AF1DBB30-09EC-4CB4-A1AB-E0E81230AC61}"/>
    <cellStyle name="AggOrange 4 7" xfId="2088" xr:uid="{32E2FDE8-BD5D-41EA-9D0A-1C4BB0870E88}"/>
    <cellStyle name="AggOrange 4 8" xfId="1990" xr:uid="{6B413A44-1598-44B2-8C96-26140538E83C}"/>
    <cellStyle name="AggOrange 4 9" xfId="3655" xr:uid="{CDACF562-F3A2-47D5-8A25-4B133FE5B69A}"/>
    <cellStyle name="AggOrange 5" xfId="70" xr:uid="{8DE2FC1B-6B2D-4B96-BA00-B0B913C0C5E7}"/>
    <cellStyle name="AggOrange 5 10" xfId="16122" xr:uid="{5D2DB520-0CDC-4EFB-96F7-F999F4C15090}"/>
    <cellStyle name="AggOrange 5 11" xfId="19107" xr:uid="{1DF8C9B5-1CAC-481D-B56D-7CB8ACC91784}"/>
    <cellStyle name="AggOrange 5 12" xfId="19455" xr:uid="{C6CEAAAC-CBD8-4888-8E6C-66A0A0EC6C87}"/>
    <cellStyle name="AggOrange 5 13" xfId="22543" xr:uid="{451F099C-3C52-4809-B5FE-3131825350BB}"/>
    <cellStyle name="AggOrange 5 14" xfId="24176" xr:uid="{CA5BBB5A-11FF-4704-A719-B1E32DD0A05C}"/>
    <cellStyle name="AggOrange 5 15" xfId="25316" xr:uid="{0335EF96-1BEC-4261-9CAB-753747C02770}"/>
    <cellStyle name="AggOrange 5 16" xfId="27969" xr:uid="{0E650B9A-58C0-4A5E-A126-F85D421CB38B}"/>
    <cellStyle name="AggOrange 5 2" xfId="917" xr:uid="{82B5B20F-A80B-4BB5-85F6-EF6E2F69216D}"/>
    <cellStyle name="AggOrange 5 3" xfId="1899" xr:uid="{6525689E-D94E-47C6-8E12-20AE73C186BD}"/>
    <cellStyle name="AggOrange 5 4" xfId="3646" xr:uid="{9A762F69-85F0-4C90-8EAD-B706EF67177F}"/>
    <cellStyle name="AggOrange 5 5" xfId="4210" xr:uid="{60FE453F-898D-48C6-B1DD-5E4D7C4962B4}"/>
    <cellStyle name="AggOrange 5 6" xfId="6811" xr:uid="{C31FC11E-0091-494A-B48D-4C3B2E1FD13C}"/>
    <cellStyle name="AggOrange 5 7" xfId="8158" xr:uid="{7E959F69-73A4-4CCE-8D29-F421F3CC70DC}"/>
    <cellStyle name="AggOrange 5 8" xfId="9025" xr:uid="{E41BF454-AA3D-4203-946C-C0C884CFE8A4}"/>
    <cellStyle name="AggOrange 5 9" xfId="11430" xr:uid="{7264D2BD-26F1-4F47-8632-3070AAA3028D}"/>
    <cellStyle name="AggOrange_B_border" xfId="29" xr:uid="{568A61E4-EC45-45B2-B1AE-1A43505FD0A8}"/>
    <cellStyle name="AggOrange9" xfId="16" xr:uid="{AD8D5365-E0F4-4C37-B16F-5616EC762AE9}"/>
    <cellStyle name="AggOrange9 2" xfId="117" xr:uid="{FF77071B-5D78-4758-85D0-B6672E427B4B}"/>
    <cellStyle name="AggOrange9 2 2" xfId="409" xr:uid="{19F17E67-9182-4A19-9D92-C462313A470A}"/>
    <cellStyle name="AggOrange9 2 2 2" xfId="645" xr:uid="{E4398B53-F138-4FB9-AD49-470D130915CD}"/>
    <cellStyle name="AggOrange9 2 2 2 10" xfId="4975" xr:uid="{671A28B9-B7AF-4FF0-8074-CC1E78A982D3}"/>
    <cellStyle name="AggOrange9 2 2 2 11" xfId="5293" xr:uid="{BD0FE9F1-E9EE-4140-91D7-9660780B3DA0}"/>
    <cellStyle name="AggOrange9 2 2 2 12" xfId="4803" xr:uid="{0AC03D5D-DBED-476D-A077-5B5D0D4806A1}"/>
    <cellStyle name="AggOrange9 2 2 2 13" xfId="3794" xr:uid="{9F2474BF-4E83-46C4-A36D-2FC1E7BB812A}"/>
    <cellStyle name="AggOrange9 2 2 2 14" xfId="6497" xr:uid="{1743FB9B-BCBD-4449-9010-899882D2B651}"/>
    <cellStyle name="AggOrange9 2 2 2 15" xfId="7365" xr:uid="{1465935B-C3E0-4ACE-9960-C4A016A4055E}"/>
    <cellStyle name="AggOrange9 2 2 2 16" xfId="7823" xr:uid="{E1C9D724-0F07-4DBD-B1AC-DA006C78CDD7}"/>
    <cellStyle name="AggOrange9 2 2 2 17" xfId="6888" xr:uid="{89638C7B-545A-498A-85C6-EBDD5C864D5B}"/>
    <cellStyle name="AggOrange9 2 2 2 18" xfId="8537" xr:uid="{FAD7B754-A7C6-4229-AC52-7147F9C6E62E}"/>
    <cellStyle name="AggOrange9 2 2 2 19" xfId="9579" xr:uid="{41CD50F4-BEF8-4F36-ACF1-89DAE73D587B}"/>
    <cellStyle name="AggOrange9 2 2 2 2" xfId="860" xr:uid="{4D81B17F-F3C9-4570-93D1-C254D40B65B8}"/>
    <cellStyle name="AggOrange9 2 2 2 2 10" xfId="5508" xr:uid="{26358B16-B9CB-40C0-B60D-A2A0BD8C9158}"/>
    <cellStyle name="AggOrange9 2 2 2 2 11" xfId="4772" xr:uid="{778E9658-D134-4A88-B56C-78067AC0926B}"/>
    <cellStyle name="AggOrange9 2 2 2 2 12" xfId="5897" xr:uid="{D5994E17-3EB1-438C-986D-770238201D23}"/>
    <cellStyle name="AggOrange9 2 2 2 2 13" xfId="2154" xr:uid="{879ED12E-4E0D-4BC6-A93A-D739DDC296E8}"/>
    <cellStyle name="AggOrange9 2 2 2 2 14" xfId="7580" xr:uid="{925B11AE-E63B-4201-A63C-9337EB867D53}"/>
    <cellStyle name="AggOrange9 2 2 2 2 15" xfId="7418" xr:uid="{EBDA10BC-C768-4FE5-9C9E-427D1573AFE7}"/>
    <cellStyle name="AggOrange9 2 2 2 2 16" xfId="8467" xr:uid="{3DED9321-F736-48C7-826E-7B435C658BF8}"/>
    <cellStyle name="AggOrange9 2 2 2 2 17" xfId="8432" xr:uid="{73D9EBF6-0054-462A-BF1E-E24CD53B7653}"/>
    <cellStyle name="AggOrange9 2 2 2 2 18" xfId="9794" xr:uid="{01E1B6B2-DD1D-4373-8261-4E6095869F32}"/>
    <cellStyle name="AggOrange9 2 2 2 2 19" xfId="8958" xr:uid="{509A9CB7-966A-48AE-88C4-1E0B4E1F8426}"/>
    <cellStyle name="AggOrange9 2 2 2 2 2" xfId="1334" xr:uid="{F7BC1BA6-0355-40F0-8E8C-192248B9EA9B}"/>
    <cellStyle name="AggOrange9 2 2 2 2 20" xfId="9874" xr:uid="{48B9AB64-C14D-46DC-A2E2-0A9CE9052AFF}"/>
    <cellStyle name="AggOrange9 2 2 2 2 21" xfId="10436" xr:uid="{08A1EC49-0B0B-4D33-A87B-BF3FDD24CBC3}"/>
    <cellStyle name="AggOrange9 2 2 2 2 22" xfId="11182" xr:uid="{597695AD-24F7-4455-97E8-146022A8CE23}"/>
    <cellStyle name="AggOrange9 2 2 2 2 23" xfId="12213" xr:uid="{3F5EB813-1001-43EE-A697-442F01C7F894}"/>
    <cellStyle name="AggOrange9 2 2 2 2 24" xfId="12686" xr:uid="{781D2F74-28D2-4F8A-8F25-832533F15C9F}"/>
    <cellStyle name="AggOrange9 2 2 2 2 25" xfId="13120" xr:uid="{53054BB0-BF51-4FD0-A3BE-D4F95A6FA52B}"/>
    <cellStyle name="AggOrange9 2 2 2 2 26" xfId="13557" xr:uid="{BFA21C5E-1A0D-4C27-8B8A-04D9CF54C743}"/>
    <cellStyle name="AggOrange9 2 2 2 2 27" xfId="11615" xr:uid="{5B436546-3399-4614-A39A-43DCF9436B3C}"/>
    <cellStyle name="AggOrange9 2 2 2 2 28" xfId="14476" xr:uid="{FA443107-0399-4A18-A7E7-FB476A14E929}"/>
    <cellStyle name="AggOrange9 2 2 2 2 29" xfId="13863" xr:uid="{949065AE-A74B-4693-836B-4D2A4A2F8CE0}"/>
    <cellStyle name="AggOrange9 2 2 2 2 3" xfId="1783" xr:uid="{F2A96E75-ED40-4B1B-BE0A-79B5020EE1DD}"/>
    <cellStyle name="AggOrange9 2 2 2 2 30" xfId="14538" xr:uid="{8B998AD2-6FC6-4129-9151-4B380E68177E}"/>
    <cellStyle name="AggOrange9 2 2 2 2 31" xfId="14281" xr:uid="{749E1E61-B3E0-4250-9098-1BE6E735047E}"/>
    <cellStyle name="AggOrange9 2 2 2 2 32" xfId="15718" xr:uid="{8AC58D98-E299-4984-81BA-DA15F7A8BCA2}"/>
    <cellStyle name="AggOrange9 2 2 2 2 33" xfId="16905" xr:uid="{A28BCD5B-D8AA-4952-81DD-972B99D7A1CE}"/>
    <cellStyle name="AggOrange9 2 2 2 2 34" xfId="16743" xr:uid="{0A40F8F8-5D40-460C-994F-0A763F52A6B5}"/>
    <cellStyle name="AggOrange9 2 2 2 2 35" xfId="16989" xr:uid="{63F2AB15-0035-40C4-8D16-DAE06307E0DA}"/>
    <cellStyle name="AggOrange9 2 2 2 2 36" xfId="16496" xr:uid="{B6F0BAD8-C697-4521-B0DE-4A0134BBC3B8}"/>
    <cellStyle name="AggOrange9 2 2 2 2 37" xfId="18723" xr:uid="{1AAFF0A0-9FB2-4420-9997-73867CF0864F}"/>
    <cellStyle name="AggOrange9 2 2 2 2 38" xfId="16161" xr:uid="{6F1A5554-7547-4141-9E23-AA9E38A63137}"/>
    <cellStyle name="AggOrange9 2 2 2 2 39" xfId="18340" xr:uid="{094FB789-236D-4F92-805D-481D6228F321}"/>
    <cellStyle name="AggOrange9 2 2 2 2 4" xfId="2682" xr:uid="{67327473-D227-4DC9-A075-2D23C875811D}"/>
    <cellStyle name="AggOrange9 2 2 2 2 40" xfId="20242" xr:uid="{1CA2E08A-EE0F-42BA-9BA8-A1DD4FB6A338}"/>
    <cellStyle name="AggOrange9 2 2 2 2 41" xfId="19798" xr:uid="{7AB0DED0-9192-475C-B413-B8F1CFB7D2E2}"/>
    <cellStyle name="AggOrange9 2 2 2 2 42" xfId="19822" xr:uid="{9695B0DE-C847-45BC-870D-999CA714788F}"/>
    <cellStyle name="AggOrange9 2 2 2 2 43" xfId="21485" xr:uid="{3E44C359-2622-4E49-8243-C286BD94D29D}"/>
    <cellStyle name="AggOrange9 2 2 2 2 44" xfId="21654" xr:uid="{DBD62840-A235-483B-B541-4695285BFABB}"/>
    <cellStyle name="AggOrange9 2 2 2 2 45" xfId="21722" xr:uid="{E0772B6F-7055-46B4-9ABD-E4627F7C84BA}"/>
    <cellStyle name="AggOrange9 2 2 2 2 46" xfId="22111" xr:uid="{01335795-A6DC-4F15-9B70-D709EA064363}"/>
    <cellStyle name="AggOrange9 2 2 2 2 47" xfId="21579" xr:uid="{418E04DB-4BEB-46CB-A8D9-F960D09E4880}"/>
    <cellStyle name="AggOrange9 2 2 2 2 48" xfId="23380" xr:uid="{A246BCE1-8D14-464D-80A9-977738BD4C70}"/>
    <cellStyle name="AggOrange9 2 2 2 2 49" xfId="24042" xr:uid="{03768D00-CA5D-45C9-B392-919AF7821834}"/>
    <cellStyle name="AggOrange9 2 2 2 2 5" xfId="1930" xr:uid="{CDB60B72-6318-423A-88A1-68AE3DD4074A}"/>
    <cellStyle name="AggOrange9 2 2 2 2 50" xfId="24950" xr:uid="{E0CB7398-6ED6-4353-BCCC-BCDF2B8F7959}"/>
    <cellStyle name="AggOrange9 2 2 2 2 51" xfId="24234" xr:uid="{87F3C29A-4623-4949-B238-D29EB6C89882}"/>
    <cellStyle name="AggOrange9 2 2 2 2 52" xfId="25866" xr:uid="{F4510094-E637-4A8A-9990-6C1B8AA9B55F}"/>
    <cellStyle name="AggOrange9 2 2 2 2 53" xfId="25909" xr:uid="{460DD1E4-9101-48F5-88E9-42BECBA46E35}"/>
    <cellStyle name="AggOrange9 2 2 2 2 54" xfId="26733" xr:uid="{12012061-0A2F-465B-8486-619B24FFCF16}"/>
    <cellStyle name="AggOrange9 2 2 2 2 55" xfId="27154" xr:uid="{E911CEE1-9F5B-4F34-9D57-562580231E6C}"/>
    <cellStyle name="AggOrange9 2 2 2 2 56" xfId="27573" xr:uid="{B1AEFBE8-2B6F-4A74-886D-FA8E8C4B3300}"/>
    <cellStyle name="AggOrange9 2 2 2 2 57" xfId="27387" xr:uid="{40B7BB47-810E-4E83-99E8-BC8B7C3049AB}"/>
    <cellStyle name="AggOrange9 2 2 2 2 58" xfId="28700" xr:uid="{5A496DC9-A831-4A06-87C0-6C9A62ABCEE7}"/>
    <cellStyle name="AggOrange9 2 2 2 2 59" xfId="29167" xr:uid="{062B9979-4A61-4715-B797-3D6797639AF5}"/>
    <cellStyle name="AggOrange9 2 2 2 2 6" xfId="3448" xr:uid="{9F6761BC-398C-4797-8CD3-B6EED1E18E38}"/>
    <cellStyle name="AggOrange9 2 2 2 2 60" xfId="28108" xr:uid="{C6CAC2F3-9703-48F6-B0FB-1705B68C6592}"/>
    <cellStyle name="AggOrange9 2 2 2 2 61" xfId="29956" xr:uid="{7E3153B9-4341-4D0F-BD12-1BCE7B76BE50}"/>
    <cellStyle name="AggOrange9 2 2 2 2 62" xfId="30362" xr:uid="{1BD86C77-DE40-4048-8ED2-1DB843A6C531}"/>
    <cellStyle name="AggOrange9 2 2 2 2 63" xfId="30779" xr:uid="{6B3A373B-EAD4-49EC-9D6F-BFE18AB593A7}"/>
    <cellStyle name="AggOrange9 2 2 2 2 64" xfId="30013" xr:uid="{B926F065-9A45-41EE-9C75-933BF7E4BC00}"/>
    <cellStyle name="AggOrange9 2 2 2 2 65" xfId="31395" xr:uid="{88D8471C-6436-4205-978C-FBEA819806EA}"/>
    <cellStyle name="AggOrange9 2 2 2 2 7" xfId="4178" xr:uid="{F8EE8540-CAC1-4E08-BEBC-26AFAA9A7CAF}"/>
    <cellStyle name="AggOrange9 2 2 2 2 8" xfId="4615" xr:uid="{4ACBF3E9-70AA-432C-A3EA-572A4F274785}"/>
    <cellStyle name="AggOrange9 2 2 2 2 9" xfId="5061" xr:uid="{F940FF6D-E96E-4196-BA40-C165C20F278B}"/>
    <cellStyle name="AggOrange9 2 2 2 20" xfId="10035" xr:uid="{FF76F0E9-8D44-43B5-8FB0-FF88771C1D73}"/>
    <cellStyle name="AggOrange9 2 2 2 21" xfId="10456" xr:uid="{5EE87492-EDEE-463F-98D8-AA22EF3B182A}"/>
    <cellStyle name="AggOrange9 2 2 2 22" xfId="10620" xr:uid="{56572213-EC84-49E4-B465-0521920654AE}"/>
    <cellStyle name="AggOrange9 2 2 2 23" xfId="11063" xr:uid="{49454041-CC6F-4F78-84E9-BB8502250479}"/>
    <cellStyle name="AggOrange9 2 2 2 24" xfId="11998" xr:uid="{ED3611BC-764A-4603-9594-2B297ADE6F59}"/>
    <cellStyle name="AggOrange9 2 2 2 25" xfId="12471" xr:uid="{CB91FE3D-7172-406A-B79A-AE71B48BC839}"/>
    <cellStyle name="AggOrange9 2 2 2 26" xfId="12905" xr:uid="{9E779DE8-B795-421B-99A6-E86938E4BE69}"/>
    <cellStyle name="AggOrange9 2 2 2 27" xfId="13342" xr:uid="{1CD3340F-74D2-4FFD-A621-382B88277CB7}"/>
    <cellStyle name="AggOrange9 2 2 2 28" xfId="13775" xr:uid="{6D5D4D45-6B67-4578-B4C1-721182DB9E61}"/>
    <cellStyle name="AggOrange9 2 2 2 29" xfId="14190" xr:uid="{A5E3FFE3-E508-4E92-A4EF-FDD2B5E8B26A}"/>
    <cellStyle name="AggOrange9 2 2 2 3" xfId="1128" xr:uid="{4A8387A8-4C83-491E-9BF7-681320C211A2}"/>
    <cellStyle name="AggOrange9 2 2 2 30" xfId="14355" xr:uid="{E5067326-45A2-4BB7-99DC-54F295034C2E}"/>
    <cellStyle name="AggOrange9 2 2 2 31" xfId="12723" xr:uid="{48CD498C-D261-499D-915D-F6BFFD198B20}"/>
    <cellStyle name="AggOrange9 2 2 2 32" xfId="15100" xr:uid="{79F5DC21-F61B-4C9B-B3E0-A960C252F5B8}"/>
    <cellStyle name="AggOrange9 2 2 2 33" xfId="15870" xr:uid="{43DA1C53-D24E-4434-96E6-5C642CFCCEC3}"/>
    <cellStyle name="AggOrange9 2 2 2 34" xfId="16690" xr:uid="{EAA5EEAB-D9DB-4109-8B1E-503EFAF9960E}"/>
    <cellStyle name="AggOrange9 2 2 2 35" xfId="17153" xr:uid="{3D20EE1E-31FC-464F-8994-22388AF3E101}"/>
    <cellStyle name="AggOrange9 2 2 2 36" xfId="17598" xr:uid="{BD2E5DB8-286B-481E-B674-B879C6176385}"/>
    <cellStyle name="AggOrange9 2 2 2 37" xfId="18023" xr:uid="{98703697-5A08-4FE3-8E58-AFC19AF69CC1}"/>
    <cellStyle name="AggOrange9 2 2 2 38" xfId="18508" xr:uid="{4E480EA2-5CAA-4B41-A6DC-57068A85291E}"/>
    <cellStyle name="AggOrange9 2 2 2 39" xfId="18900" xr:uid="{8CDAD394-625C-4DCF-863C-E41B4965CBEC}"/>
    <cellStyle name="AggOrange9 2 2 2 4" xfId="1685" xr:uid="{8A996EB8-B12D-45AC-8CC2-80414FE191D7}"/>
    <cellStyle name="AggOrange9 2 2 2 40" xfId="18818" xr:uid="{DA2C4131-0305-45DE-AEA2-9871FA978053}"/>
    <cellStyle name="AggOrange9 2 2 2 41" xfId="20027" xr:uid="{A79D8ABE-7DB5-4B6E-AB8E-C140D56DACF4}"/>
    <cellStyle name="AggOrange9 2 2 2 42" xfId="20505" xr:uid="{E09C2AD0-3792-4F60-87D7-9D516E148D1D}"/>
    <cellStyle name="AggOrange9 2 2 2 43" xfId="20959" xr:uid="{78D88B63-039E-4552-9B98-C6FA996854C0}"/>
    <cellStyle name="AggOrange9 2 2 2 44" xfId="20995" xr:uid="{62070AD8-B764-4039-90E1-19E388DA9EE9}"/>
    <cellStyle name="AggOrange9 2 2 2 45" xfId="21889" xr:uid="{7838DD8B-B4FF-47DB-8A51-C15F965247D3}"/>
    <cellStyle name="AggOrange9 2 2 2 46" xfId="22325" xr:uid="{7714893A-3329-4385-9AC5-ED13EA906500}"/>
    <cellStyle name="AggOrange9 2 2 2 47" xfId="22768" xr:uid="{D3CA43C9-64A0-4C84-B339-243C89697206}"/>
    <cellStyle name="AggOrange9 2 2 2 48" xfId="23175" xr:uid="{58D8C32F-824A-48B8-9DFF-CA69520B9AF1}"/>
    <cellStyle name="AggOrange9 2 2 2 49" xfId="23381" xr:uid="{CDC4D48B-D805-45A0-ADEF-62E90D6801A0}"/>
    <cellStyle name="AggOrange9 2 2 2 5" xfId="2467" xr:uid="{3C643815-68BE-4D5C-A242-CE0F770CA31F}"/>
    <cellStyle name="AggOrange9 2 2 2 50" xfId="23836" xr:uid="{41A26F88-C42C-4C4D-9A8F-1B6B89D6AD17}"/>
    <cellStyle name="AggOrange9 2 2 2 51" xfId="24735" xr:uid="{3A358A42-F953-4465-8B32-33EBB01E961F}"/>
    <cellStyle name="AggOrange9 2 2 2 52" xfId="25214" xr:uid="{D740CC40-2E02-410F-8B90-3D60A520D68A}"/>
    <cellStyle name="AggOrange9 2 2 2 53" xfId="25653" xr:uid="{D6CCA487-7289-435D-9958-FB00CEDCED43}"/>
    <cellStyle name="AggOrange9 2 2 2 54" xfId="26073" xr:uid="{8C20B550-9B99-4A61-8235-D0DAE245BE99}"/>
    <cellStyle name="AggOrange9 2 2 2 55" xfId="26355" xr:uid="{34D664A4-2236-4320-9F22-C03058543720}"/>
    <cellStyle name="AggOrange9 2 2 2 56" xfId="26943" xr:uid="{11CABABE-2238-4EF2-A8FF-C73401B7EB01}"/>
    <cellStyle name="AggOrange9 2 2 2 57" xfId="27362" xr:uid="{6BB3330A-DA10-4958-9C52-13BDB01B8654}"/>
    <cellStyle name="AggOrange9 2 2 2 58" xfId="27697" xr:uid="{D1B988DD-CBD0-4615-8B3D-5CFA9AD54782}"/>
    <cellStyle name="AggOrange9 2 2 2 59" xfId="28485" xr:uid="{C39234BA-A896-4706-91A5-BDC9343316E6}"/>
    <cellStyle name="AggOrange9 2 2 2 6" xfId="2942" xr:uid="{99529E6B-53BA-410D-8D90-71DD516695EE}"/>
    <cellStyle name="AggOrange9 2 2 2 60" xfId="28953" xr:uid="{2E9CBACE-903C-4CBB-A467-9FAEB5F5616A}"/>
    <cellStyle name="AggOrange9 2 2 2 61" xfId="29355" xr:uid="{F64EF7F4-75AC-49D3-A4E0-A03DC8FB6412}"/>
    <cellStyle name="AggOrange9 2 2 2 62" xfId="29743" xr:uid="{7A585716-0610-4CC4-ACE1-5235B9CF5975}"/>
    <cellStyle name="AggOrange9 2 2 2 63" xfId="30151" xr:uid="{60DEF68F-26BD-41CC-A5BA-863A189969D5}"/>
    <cellStyle name="AggOrange9 2 2 2 64" xfId="30565" xr:uid="{6BAF9947-3F58-4B7D-B73A-189B4F8877E0}"/>
    <cellStyle name="AggOrange9 2 2 2 65" xfId="29284" xr:uid="{FB4AB67F-AB11-4368-9CC2-B4F221419B19}"/>
    <cellStyle name="AggOrange9 2 2 2 66" xfId="31189" xr:uid="{F3A7DC74-8FFC-43AC-A223-A021F05B52C5}"/>
    <cellStyle name="AggOrange9 2 2 2 7" xfId="3427" xr:uid="{CDB0867A-CDD2-449A-8345-4D288E1CAEED}"/>
    <cellStyle name="AggOrange9 2 2 2 8" xfId="3963" xr:uid="{DD021F4A-5F5C-4BBA-A14E-7E9DA11A41A1}"/>
    <cellStyle name="AggOrange9 2 2 2 9" xfId="4401" xr:uid="{4F760127-C2A3-4C68-994D-0518E6DF3AC2}"/>
    <cellStyle name="AggOrange9 2 2 3" xfId="716" xr:uid="{151840DC-704F-4CA1-BA7E-9B69E96E082B}"/>
    <cellStyle name="AggOrange9 2 2 3 10" xfId="5364" xr:uid="{09A33A82-9F86-4F1E-B92F-5FFA24679FC3}"/>
    <cellStyle name="AggOrange9 2 2 3 11" xfId="5714" xr:uid="{626E5922-0169-4566-B387-A01BC066128A}"/>
    <cellStyle name="AggOrange9 2 2 3 12" xfId="6321" xr:uid="{E22F3772-EE37-4F1A-9BDB-8166F8B13816}"/>
    <cellStyle name="AggOrange9 2 2 3 13" xfId="6529" xr:uid="{0C14EA5F-2E82-44AE-A28E-67295FE814FE}"/>
    <cellStyle name="AggOrange9 2 2 3 14" xfId="7436" xr:uid="{CCC03413-AAE6-4523-94D4-F0A094340DF3}"/>
    <cellStyle name="AggOrange9 2 2 3 15" xfId="7884" xr:uid="{C0EF194A-C0FB-4FE8-BB1E-B4E3DDF4B1D6}"/>
    <cellStyle name="AggOrange9 2 2 3 16" xfId="8167" xr:uid="{53F67DBA-EFBA-4D0F-A801-3CA0D165B986}"/>
    <cellStyle name="AggOrange9 2 2 3 17" xfId="8561" xr:uid="{DCF6420F-2ED1-4ED3-9C1B-3B96EDE19DE6}"/>
    <cellStyle name="AggOrange9 2 2 3 18" xfId="9650" xr:uid="{F1FAB533-F12F-4AEA-B9BF-14D644D19BC7}"/>
    <cellStyle name="AggOrange9 2 2 3 19" xfId="10097" xr:uid="{AFB5FEC0-03AB-49E9-ACC6-6C46BAE1C472}"/>
    <cellStyle name="AggOrange9 2 2 3 2" xfId="1190" xr:uid="{1EE8447A-DBEA-43AE-A53E-EE180D18A217}"/>
    <cellStyle name="AggOrange9 2 2 3 20" xfId="10513" xr:uid="{241ACCE0-5073-4997-AD36-6AB6AFFE2924}"/>
    <cellStyle name="AggOrange9 2 2 3 21" xfId="10944" xr:uid="{B3707345-CFA8-4BBA-97CF-89D4FCF0E071}"/>
    <cellStyle name="AggOrange9 2 2 3 22" xfId="11203" xr:uid="{D052FA29-DAA1-49FC-A6A3-2AA7446CF738}"/>
    <cellStyle name="AggOrange9 2 2 3 23" xfId="12069" xr:uid="{54F4114B-C7BC-48F9-AE85-6DA20CCA53B8}"/>
    <cellStyle name="AggOrange9 2 2 3 24" xfId="12542" xr:uid="{3667B487-8406-4A63-BC13-B7C230EE417A}"/>
    <cellStyle name="AggOrange9 2 2 3 25" xfId="12976" xr:uid="{65FFF867-793F-4043-81EE-C9D564D96992}"/>
    <cellStyle name="AggOrange9 2 2 3 26" xfId="13413" xr:uid="{E20F49AA-3A2E-47B3-8B5B-6102409A1662}"/>
    <cellStyle name="AggOrange9 2 2 3 27" xfId="13973" xr:uid="{3CBB9FEA-754D-450B-9DC8-5FD08F079216}"/>
    <cellStyle name="AggOrange9 2 2 3 28" xfId="14035" xr:uid="{A4517F4E-0812-434E-B9A1-3561E087B991}"/>
    <cellStyle name="AggOrange9 2 2 3 29" xfId="14747" xr:uid="{18237372-71CD-4C55-8B04-145D4EA68E67}"/>
    <cellStyle name="AggOrange9 2 2 3 3" xfId="1547" xr:uid="{AB319B4D-D185-436D-99E8-543C8816559B}"/>
    <cellStyle name="AggOrange9 2 2 3 30" xfId="14965" xr:uid="{A6812364-E805-4EDD-812D-46264EEA0E68}"/>
    <cellStyle name="AggOrange9 2 2 3 31" xfId="15027" xr:uid="{051F3910-4826-42A1-A291-A1310E300E40}"/>
    <cellStyle name="AggOrange9 2 2 3 32" xfId="15908" xr:uid="{C95E0332-2BD7-4EA2-A885-A3D9C9E71839}"/>
    <cellStyle name="AggOrange9 2 2 3 33" xfId="16761" xr:uid="{AA33BD6A-2738-476C-AA3A-0C6FD90661F2}"/>
    <cellStyle name="AggOrange9 2 2 3 34" xfId="17216" xr:uid="{B6716C47-872B-4E90-A7FA-CF37CC39E274}"/>
    <cellStyle name="AggOrange9 2 2 3 35" xfId="17662" xr:uid="{59E768E7-716D-4D32-87A5-55B7C622F142}"/>
    <cellStyle name="AggOrange9 2 2 3 36" xfId="18064" xr:uid="{F11DAACF-0CBC-4C14-814F-8C839E3088F0}"/>
    <cellStyle name="AggOrange9 2 2 3 37" xfId="18579" xr:uid="{74561B45-922C-45E3-BF5E-9A00D23C7615}"/>
    <cellStyle name="AggOrange9 2 2 3 38" xfId="18005" xr:uid="{D55B584B-D05B-4CF4-BA4F-6E7232714C8B}"/>
    <cellStyle name="AggOrange9 2 2 3 39" xfId="19026" xr:uid="{DF91D5DB-4BC3-4100-A27B-0D60A3018503}"/>
    <cellStyle name="AggOrange9 2 2 3 4" xfId="2538" xr:uid="{8D7C68F0-4BE9-42B8-A2EF-3C803E281012}"/>
    <cellStyle name="AggOrange9 2 2 3 40" xfId="20098" xr:uid="{EDD1CB97-3327-4D1B-99E4-29848DCFD5B5}"/>
    <cellStyle name="AggOrange9 2 2 3 41" xfId="20569" xr:uid="{167BB27D-8875-4683-A383-CD1F0837E53C}"/>
    <cellStyle name="AggOrange9 2 2 3 42" xfId="21022" xr:uid="{5FDCF91E-87B9-42F0-9966-764948FE9767}"/>
    <cellStyle name="AggOrange9 2 2 3 43" xfId="20381" xr:uid="{F8631CA8-779D-407E-BB76-253CB54D8097}"/>
    <cellStyle name="AggOrange9 2 2 3 44" xfId="21953" xr:uid="{7D45A78C-0CAB-42FA-81C6-17E2065209E9}"/>
    <cellStyle name="AggOrange9 2 2 3 45" xfId="22384" xr:uid="{1514E201-BAE4-44E9-B5F0-A51EE14A4934}"/>
    <cellStyle name="AggOrange9 2 2 3 46" xfId="22946" xr:uid="{A509A3E3-416C-4989-A67E-8FF53637A477}"/>
    <cellStyle name="AggOrange9 2 2 3 47" xfId="22466" xr:uid="{F423E944-8E40-4CF5-BE8B-8F44237082AC}"/>
    <cellStyle name="AggOrange9 2 2 3 48" xfId="23505" xr:uid="{E008D42D-97E2-412D-A2E2-95B30AE5080A}"/>
    <cellStyle name="AggOrange9 2 2 3 49" xfId="23898" xr:uid="{BEC3F3BD-9B21-4625-901B-B90ABF713F8B}"/>
    <cellStyle name="AggOrange9 2 2 3 5" xfId="3143" xr:uid="{1C23FFD0-4C85-4CEF-8337-5BDF803CCCC8}"/>
    <cellStyle name="AggOrange9 2 2 3 50" xfId="24806" xr:uid="{4EC49DE5-79ED-4500-9C67-53A9010D7E6E}"/>
    <cellStyle name="AggOrange9 2 2 3 51" xfId="25277" xr:uid="{A83688C3-9921-45FF-8868-E455BCF2CB29}"/>
    <cellStyle name="AggOrange9 2 2 3 52" xfId="25722" xr:uid="{F4F73F5C-9397-4957-AE56-64EEF1ED1705}"/>
    <cellStyle name="AggOrange9 2 2 3 53" xfId="26253" xr:uid="{974988C5-2D04-4A90-AA44-0951C309E296}"/>
    <cellStyle name="AggOrange9 2 2 3 54" xfId="26540" xr:uid="{3C557304-0DCB-457B-A7AD-39CE8BDE834C}"/>
    <cellStyle name="AggOrange9 2 2 3 55" xfId="27010" xr:uid="{FED747C1-7EEB-41AD-AC91-6C697B69F1B7}"/>
    <cellStyle name="AggOrange9 2 2 3 56" xfId="27429" xr:uid="{C6691C2C-4803-4F7C-8696-801F3073C6CA}"/>
    <cellStyle name="AggOrange9 2 2 3 57" xfId="27217" xr:uid="{DE9ACC91-1CBA-4703-B1B1-54963804E3D5}"/>
    <cellStyle name="AggOrange9 2 2 3 58" xfId="28556" xr:uid="{C526578A-C30A-4197-B413-3B69281763F1}"/>
    <cellStyle name="AggOrange9 2 2 3 59" xfId="29023" xr:uid="{3A195D51-41F2-48A8-90D8-BFB5B9B2F42B}"/>
    <cellStyle name="AggOrange9 2 2 3 6" xfId="3607" xr:uid="{57AAACFB-3375-4CED-8BD7-28499506C847}"/>
    <cellStyle name="AggOrange9 2 2 3 60" xfId="29405" xr:uid="{86F2BF65-B0C8-455D-8064-10DEDCE36192}"/>
    <cellStyle name="AggOrange9 2 2 3 61" xfId="29812" xr:uid="{954D1C85-A67E-42BB-B4FD-0055729BF75D}"/>
    <cellStyle name="AggOrange9 2 2 3 62" xfId="30218" xr:uid="{EC2B23B0-50C2-44B4-A6A8-4997E2D6EFC7}"/>
    <cellStyle name="AggOrange9 2 2 3 63" xfId="30635" xr:uid="{B568CC59-0C43-44EF-A0CB-BF143FC75230}"/>
    <cellStyle name="AggOrange9 2 2 3 64" xfId="30978" xr:uid="{3DA84A02-52E0-4D38-B622-D68DA34AF468}"/>
    <cellStyle name="AggOrange9 2 2 3 65" xfId="31251" xr:uid="{DD7634E2-7DB9-4F9B-B9DB-032FFC62167C}"/>
    <cellStyle name="AggOrange9 2 2 3 7" xfId="4034" xr:uid="{EE0A7228-8FA4-4AD8-B6DF-02653440C8BC}"/>
    <cellStyle name="AggOrange9 2 2 3 8" xfId="4471" xr:uid="{66C25793-AD38-4CB7-8FCC-B2818103149B}"/>
    <cellStyle name="AggOrange9 2 2 3 9" xfId="3671" xr:uid="{01068EAB-C451-4CFE-A1C5-4CD4EE06BE5A}"/>
    <cellStyle name="AggOrange9 2 3" xfId="267" xr:uid="{EF9AA66D-A870-4D68-B5C5-147D3E98FC7E}"/>
    <cellStyle name="AggOrange9 2 3 10" xfId="3689" xr:uid="{AF934CA1-CC6A-4B63-A546-7E11FF413F4F}"/>
    <cellStyle name="AggOrange9 2 3 11" xfId="2971" xr:uid="{C249BD4E-92A7-4B5B-9733-B685C6AD372E}"/>
    <cellStyle name="AggOrange9 2 3 12" xfId="3631" xr:uid="{0EA99837-6F19-47EF-9369-521A5F10E999}"/>
    <cellStyle name="AggOrange9 2 3 13" xfId="1858" xr:uid="{8D32363F-2E91-4E6F-A75D-9A144E44762B}"/>
    <cellStyle name="AggOrange9 2 3 14" xfId="5787" xr:uid="{2424B2C7-6464-4846-8EEE-3B1CE1DC30FD}"/>
    <cellStyle name="AggOrange9 2 3 15" xfId="5598" xr:uid="{527F9D65-A8A8-4BDA-B3CB-B0A61CAC18A3}"/>
    <cellStyle name="AggOrange9 2 3 16" xfId="6482" xr:uid="{0E7A8D07-C300-4B7A-B307-3617365118C5}"/>
    <cellStyle name="AggOrange9 2 3 17" xfId="6997" xr:uid="{DF09498A-B5FA-40C4-AA02-B15E5D369117}"/>
    <cellStyle name="AggOrange9 2 3 18" xfId="6844" xr:uid="{6989B894-A5EB-4197-A9D4-28B4E2513C2A}"/>
    <cellStyle name="AggOrange9 2 3 19" xfId="8564" xr:uid="{C4FFFE17-C33B-4C2E-BDAE-B163DC3EB4C3}"/>
    <cellStyle name="AggOrange9 2 3 2" xfId="606" xr:uid="{F32A2411-29C7-4A6D-BDE1-741B7AED8853}"/>
    <cellStyle name="AggOrange9 2 3 2 10" xfId="3351" xr:uid="{87C4311F-FBB1-470F-ACED-0F5A8338DAC9}"/>
    <cellStyle name="AggOrange9 2 3 2 11" xfId="5254" xr:uid="{D29F205A-9213-40B1-A6D8-BAAB4A8D2CD9}"/>
    <cellStyle name="AggOrange9 2 3 2 12" xfId="5581" xr:uid="{8282F9D4-A91D-44E2-8271-49634A6D9111}"/>
    <cellStyle name="AggOrange9 2 3 2 13" xfId="5853" xr:uid="{884204A8-A91F-4910-81B8-7BBA6648E37F}"/>
    <cellStyle name="AggOrange9 2 3 2 14" xfId="5981" xr:uid="{E193E20C-1924-453F-96B9-97606A8A5070}"/>
    <cellStyle name="AggOrange9 2 3 2 15" xfId="7326" xr:uid="{F241C9F1-5602-47F5-B616-3182E841C076}"/>
    <cellStyle name="AggOrange9 2 3 2 16" xfId="7938" xr:uid="{57A82C72-576B-4458-8EEE-04FAC193EF48}"/>
    <cellStyle name="AggOrange9 2 3 2 17" xfId="8353" xr:uid="{C55481B1-1932-4F63-A54C-620E211FE1F9}"/>
    <cellStyle name="AggOrange9 2 3 2 18" xfId="8372" xr:uid="{F8356A74-83BE-4E0F-9DDA-8FD2F4319F1D}"/>
    <cellStyle name="AggOrange9 2 3 2 19" xfId="9540" xr:uid="{4EC12024-105B-4D62-A7EE-6771901E1A09}"/>
    <cellStyle name="AggOrange9 2 3 2 2" xfId="821" xr:uid="{63C42435-29EC-4149-B5E9-5DBD13136C4E}"/>
    <cellStyle name="AggOrange9 2 3 2 2 10" xfId="5469" xr:uid="{20B8CC9B-4EC6-41E4-9A0A-D88FE8BB9234}"/>
    <cellStyle name="AggOrange9 2 3 2 2 11" xfId="5033" xr:uid="{0410A995-2CF4-43BA-BD1E-893F24B1AECE}"/>
    <cellStyle name="AggOrange9 2 3 2 2 12" xfId="4724" xr:uid="{7792043C-4D76-4139-94EB-98C98ADD237A}"/>
    <cellStyle name="AggOrange9 2 3 2 2 13" xfId="6496" xr:uid="{7DD7FD7C-DEC3-4C6E-81D6-A15620866BE5}"/>
    <cellStyle name="AggOrange9 2 3 2 2 14" xfId="7541" xr:uid="{662368BF-A464-42A5-B867-E05D957E302B}"/>
    <cellStyle name="AggOrange9 2 3 2 2 15" xfId="7139" xr:uid="{6C890B4D-BACC-43FE-A1C7-26660D8F61A9}"/>
    <cellStyle name="AggOrange9 2 3 2 2 16" xfId="8586" xr:uid="{720A8829-1024-4410-A4AF-99E7F83E5904}"/>
    <cellStyle name="AggOrange9 2 3 2 2 17" xfId="8412" xr:uid="{964736DE-8A0E-4022-A1ED-43B5B885B812}"/>
    <cellStyle name="AggOrange9 2 3 2 2 18" xfId="9755" xr:uid="{1A0227BE-7BE6-4DAD-A017-34B4F7BFAE95}"/>
    <cellStyle name="AggOrange9 2 3 2 2 19" xfId="8946" xr:uid="{CACEC412-AF6B-4BD1-9D00-CCD712CBA5B4}"/>
    <cellStyle name="AggOrange9 2 3 2 2 2" xfId="1295" xr:uid="{1D96CBA1-CBCC-44C0-87D9-FDC0888A58CD}"/>
    <cellStyle name="AggOrange9 2 3 2 2 20" xfId="9380" xr:uid="{5F664613-DDDD-475F-A723-628D5B04D14E}"/>
    <cellStyle name="AggOrange9 2 3 2 2 21" xfId="9045" xr:uid="{6A88A90C-CB0B-4B82-B1D8-AAA85A72478B}"/>
    <cellStyle name="AggOrange9 2 3 2 2 22" xfId="11220" xr:uid="{2562A168-21EE-4134-835B-B83402309DA8}"/>
    <cellStyle name="AggOrange9 2 3 2 2 23" xfId="12174" xr:uid="{585ACC47-D452-4C5C-991B-548CE0A4FE7C}"/>
    <cellStyle name="AggOrange9 2 3 2 2 24" xfId="12647" xr:uid="{66026777-2C03-4FDD-8728-858547F04C2E}"/>
    <cellStyle name="AggOrange9 2 3 2 2 25" xfId="13081" xr:uid="{6D979699-2C43-4E2E-9FD4-0C1AF76F475D}"/>
    <cellStyle name="AggOrange9 2 3 2 2 26" xfId="13518" xr:uid="{CB0D7037-44BA-4371-A022-FE0F44B021F3}"/>
    <cellStyle name="AggOrange9 2 3 2 2 27" xfId="11431" xr:uid="{19EFDEDC-ABF9-4D67-B63F-ED3E71CB2BD0}"/>
    <cellStyle name="AggOrange9 2 3 2 2 28" xfId="14297" xr:uid="{4E2447FC-0B9A-4DC9-9ACB-1E704CE7D066}"/>
    <cellStyle name="AggOrange9 2 3 2 2 29" xfId="14060" xr:uid="{183BE68D-631A-4276-80E0-A9D1060DB665}"/>
    <cellStyle name="AggOrange9 2 3 2 2 3" xfId="1473" xr:uid="{C853293E-FF27-4185-B4F5-CD0BD1B4DA8E}"/>
    <cellStyle name="AggOrange9 2 3 2 2 30" xfId="13842" xr:uid="{6BCEB022-1374-4439-94B3-64FD8CC1027C}"/>
    <cellStyle name="AggOrange9 2 3 2 2 31" xfId="15370" xr:uid="{F90412F4-8600-4799-BD2E-BE4CB14FC6D0}"/>
    <cellStyle name="AggOrange9 2 3 2 2 32" xfId="14675" xr:uid="{A3CDE7C5-02B0-43A4-A5AB-F17039FD4069}"/>
    <cellStyle name="AggOrange9 2 3 2 2 33" xfId="16866" xr:uid="{0359DB08-F59F-4DAC-A211-9B0E5C8BFD9D}"/>
    <cellStyle name="AggOrange9 2 3 2 2 34" xfId="16462" xr:uid="{0D0F2ABF-5D89-4760-9249-00EEF2281E8F}"/>
    <cellStyle name="AggOrange9 2 3 2 2 35" xfId="16486" xr:uid="{600687D2-08FD-4138-B56C-ACA7DD74E988}"/>
    <cellStyle name="AggOrange9 2 3 2 2 36" xfId="17535" xr:uid="{5467A784-886F-4B40-BE0E-0792329D338F}"/>
    <cellStyle name="AggOrange9 2 3 2 2 37" xfId="18684" xr:uid="{ED01D9A5-861F-49D3-A3E6-45BF7B197B55}"/>
    <cellStyle name="AggOrange9 2 3 2 2 38" xfId="18558" xr:uid="{D6DC42CC-879D-4561-AD79-4E4D35C05D0B}"/>
    <cellStyle name="AggOrange9 2 3 2 2 39" xfId="17029" xr:uid="{0BC61393-E620-42DE-ADD4-81B4125D557A}"/>
    <cellStyle name="AggOrange9 2 3 2 2 4" xfId="2643" xr:uid="{3D3C5A51-E487-4892-B2E6-104ED2023513}"/>
    <cellStyle name="AggOrange9 2 3 2 2 40" xfId="20203" xr:uid="{A7477C39-D24E-46C5-A4C2-FD784410629D}"/>
    <cellStyle name="AggOrange9 2 3 2 2 41" xfId="19753" xr:uid="{4F77B1D6-40E9-4E0E-B1EC-A11AD71CA18C}"/>
    <cellStyle name="AggOrange9 2 3 2 2 42" xfId="19592" xr:uid="{A950A454-40CF-41ED-A021-6746B9BE2211}"/>
    <cellStyle name="AggOrange9 2 3 2 2 43" xfId="21111" xr:uid="{15156AA0-1B13-4B80-A630-83F372D6D7B9}"/>
    <cellStyle name="AggOrange9 2 3 2 2 44" xfId="21670" xr:uid="{A1269885-D4FB-4B16-9C7D-1F19C8A21DB1}"/>
    <cellStyle name="AggOrange9 2 3 2 2 45" xfId="21724" xr:uid="{4F16E983-2141-4C75-9B69-335F62AC0B3A}"/>
    <cellStyle name="AggOrange9 2 3 2 2 46" xfId="22274" xr:uid="{48EFABCD-DFB0-47FB-ACBA-3CBBDCCC9059}"/>
    <cellStyle name="AggOrange9 2 3 2 2 47" xfId="22735" xr:uid="{8778EB2D-DAD6-4A4C-8EB7-98CC55ECB641}"/>
    <cellStyle name="AggOrange9 2 3 2 2 48" xfId="20878" xr:uid="{BBCC1E1A-E94E-441F-AA44-4781291CF1BD}"/>
    <cellStyle name="AggOrange9 2 3 2 2 49" xfId="24003" xr:uid="{876CCB2B-181F-424E-B0DE-F5B400007593}"/>
    <cellStyle name="AggOrange9 2 3 2 2 5" xfId="2224" xr:uid="{D16C06E3-BC08-47AA-ABD0-1C015995AA5C}"/>
    <cellStyle name="AggOrange9 2 3 2 2 50" xfId="24911" xr:uid="{185BA99F-661F-41A7-A040-BAA7600E469F}"/>
    <cellStyle name="AggOrange9 2 3 2 2 51" xfId="24229" xr:uid="{942740F5-DD07-40ED-A8EA-DC8C7E5172CC}"/>
    <cellStyle name="AggOrange9 2 3 2 2 52" xfId="25827" xr:uid="{A1B56052-AAE2-42DA-9A0A-8BF9DE8CF08B}"/>
    <cellStyle name="AggOrange9 2 3 2 2 53" xfId="25905" xr:uid="{A37D2896-2CBC-43FA-972B-4C1FA51DFEFF}"/>
    <cellStyle name="AggOrange9 2 3 2 2 54" xfId="26282" xr:uid="{60B04549-7B4D-43FC-AF31-4B7593CB172F}"/>
    <cellStyle name="AggOrange9 2 3 2 2 55" xfId="27115" xr:uid="{FF668FB7-4CFA-4A72-ACC8-6CB9FBA97792}"/>
    <cellStyle name="AggOrange9 2 3 2 2 56" xfId="27534" xr:uid="{FF865528-1DC7-459E-B397-5511F4D96CF8}"/>
    <cellStyle name="AggOrange9 2 3 2 2 57" xfId="26712" xr:uid="{D6C2F0D6-3FD4-4F89-A117-1CCC70B7993A}"/>
    <cellStyle name="AggOrange9 2 3 2 2 58" xfId="28661" xr:uid="{901209CB-ED96-429C-BD99-93785D620617}"/>
    <cellStyle name="AggOrange9 2 3 2 2 59" xfId="29128" xr:uid="{CB89FE74-A635-4C66-87B4-BCB62C7F4555}"/>
    <cellStyle name="AggOrange9 2 3 2 2 6" xfId="2202" xr:uid="{176678B8-00EE-454B-898E-9C0B48F4F7FA}"/>
    <cellStyle name="AggOrange9 2 3 2 2 60" xfId="27931" xr:uid="{2F26A24E-516C-4272-8C53-8C507E3D004D}"/>
    <cellStyle name="AggOrange9 2 3 2 2 61" xfId="29917" xr:uid="{A8FC779F-4CD8-4ADB-AFDE-EA81D96B9F7B}"/>
    <cellStyle name="AggOrange9 2 3 2 2 62" xfId="30323" xr:uid="{312C0F30-2754-45D2-AFA3-FD4A034C461D}"/>
    <cellStyle name="AggOrange9 2 3 2 2 63" xfId="30740" xr:uid="{384FACEF-488D-46A5-97F9-641100863313}"/>
    <cellStyle name="AggOrange9 2 3 2 2 64" xfId="30950" xr:uid="{7CC0C58F-48A5-44EE-B128-7FE5E230882A}"/>
    <cellStyle name="AggOrange9 2 3 2 2 65" xfId="31356" xr:uid="{0395F3E6-C7A2-46BB-B02C-E5725892C382}"/>
    <cellStyle name="AggOrange9 2 3 2 2 7" xfId="4139" xr:uid="{83DE9EA6-7414-43D1-A38A-5C9C5AD1ED32}"/>
    <cellStyle name="AggOrange9 2 3 2 2 8" xfId="4576" xr:uid="{07B99607-ED8A-4E21-9365-38BB2EA68D61}"/>
    <cellStyle name="AggOrange9 2 3 2 2 9" xfId="3795" xr:uid="{89647835-E576-4E39-9DA1-788D32DD475D}"/>
    <cellStyle name="AggOrange9 2 3 2 20" xfId="10151" xr:uid="{B4C3D216-954A-455F-BC5B-67AD79675DB4}"/>
    <cellStyle name="AggOrange9 2 3 2 21" xfId="10561" xr:uid="{90B685F3-7557-49E4-A026-316E6FF61798}"/>
    <cellStyle name="AggOrange9 2 3 2 22" xfId="8965" xr:uid="{43C1F611-AF83-408D-8002-79C3022746EF}"/>
    <cellStyle name="AggOrange9 2 3 2 23" xfId="10720" xr:uid="{95DE7E4E-8DC3-4F36-AD03-DBE4F02BDFF6}"/>
    <cellStyle name="AggOrange9 2 3 2 24" xfId="11959" xr:uid="{C99ADD85-0510-45FA-A341-F1FE14EF484F}"/>
    <cellStyle name="AggOrange9 2 3 2 25" xfId="12432" xr:uid="{808E381C-2754-4917-A290-BCF3E0A489AA}"/>
    <cellStyle name="AggOrange9 2 3 2 26" xfId="12866" xr:uid="{4AD970AA-8AB2-4648-A8B4-5F7EDD4D1E11}"/>
    <cellStyle name="AggOrange9 2 3 2 27" xfId="13303" xr:uid="{0B1CD281-2064-4B4B-8B48-9B55D9C068B4}"/>
    <cellStyle name="AggOrange9 2 3 2 28" xfId="12737" xr:uid="{2D76AAE9-C38B-4727-8329-2FF93183EE27}"/>
    <cellStyle name="AggOrange9 2 3 2 29" xfId="11805" xr:uid="{8C027123-27C3-452F-BD09-A85566C7960A}"/>
    <cellStyle name="AggOrange9 2 3 2 3" xfId="1089" xr:uid="{3DECD1A5-265F-4569-9563-4353B3730333}"/>
    <cellStyle name="AggOrange9 2 3 2 30" xfId="14855" xr:uid="{41D77A7E-C3CB-485A-92B8-716323D27310}"/>
    <cellStyle name="AggOrange9 2 3 2 31" xfId="15128" xr:uid="{FCB83721-4F07-4EDB-B6F0-770A2BD6AB0C}"/>
    <cellStyle name="AggOrange9 2 3 2 32" xfId="14523" xr:uid="{DF5B95A9-BCED-42F5-888F-2B167080A72B}"/>
    <cellStyle name="AggOrange9 2 3 2 33" xfId="15940" xr:uid="{F5255864-464B-42E2-964E-8528317DE35A}"/>
    <cellStyle name="AggOrange9 2 3 2 34" xfId="16651" xr:uid="{C90BED52-A21A-428D-AB5A-DD93E4F4F4A3}"/>
    <cellStyle name="AggOrange9 2 3 2 35" xfId="17271" xr:uid="{C2178690-569A-4EA8-893D-6A1EC13FBA3C}"/>
    <cellStyle name="AggOrange9 2 3 2 36" xfId="17715" xr:uid="{8D66565D-6CA1-44CE-94D4-7B3900AE6428}"/>
    <cellStyle name="AggOrange9 2 3 2 37" xfId="17133" xr:uid="{9BD5215D-DB54-421E-A02C-9C82C54F8C7D}"/>
    <cellStyle name="AggOrange9 2 3 2 38" xfId="18469" xr:uid="{BDBFEC0C-B06B-45FF-8999-DE5302F5FEBD}"/>
    <cellStyle name="AggOrange9 2 3 2 39" xfId="17151" xr:uid="{5511E0F6-F37A-4616-8B97-880D9D04069D}"/>
    <cellStyle name="AggOrange9 2 3 2 4" xfId="1635" xr:uid="{E16F8CC6-09C3-4FAC-B524-6B7017651FF2}"/>
    <cellStyle name="AggOrange9 2 3 2 40" xfId="17744" xr:uid="{61240608-D240-44D5-B6CC-AB398902F5E1}"/>
    <cellStyle name="AggOrange9 2 3 2 41" xfId="19988" xr:uid="{2F79CD66-C3AC-477B-AF27-35517B8601FD}"/>
    <cellStyle name="AggOrange9 2 3 2 42" xfId="20621" xr:uid="{9B355F95-3534-4F1B-8E21-F7B313C0F0C5}"/>
    <cellStyle name="AggOrange9 2 3 2 43" xfId="21076" xr:uid="{495BE131-E069-43D7-8585-25E92A42E1BC}"/>
    <cellStyle name="AggOrange9 2 3 2 44" xfId="19596" xr:uid="{32ED4C86-6ED5-4D19-A752-3BD0A5E91913}"/>
    <cellStyle name="AggOrange9 2 3 2 45" xfId="22007" xr:uid="{087A27F8-9009-49BF-A5B0-7C3803947E6A}"/>
    <cellStyle name="AggOrange9 2 3 2 46" xfId="22438" xr:uid="{1CEFCDA0-EA70-488C-B4F7-188B5748A2B8}"/>
    <cellStyle name="AggOrange9 2 3 2 47" xfId="21562" xr:uid="{B4342D89-4E5C-44FA-BAA8-4DD6D7821B7A}"/>
    <cellStyle name="AggOrange9 2 3 2 48" xfId="21658" xr:uid="{3FE079A4-40AA-4523-AF4F-E47FF4E808EB}"/>
    <cellStyle name="AggOrange9 2 3 2 49" xfId="23225" xr:uid="{5311ED63-4103-48B1-9DAB-E1C555F254A2}"/>
    <cellStyle name="AggOrange9 2 3 2 5" xfId="2428" xr:uid="{6D1F72C2-9533-4298-B2E8-1D6418F631F2}"/>
    <cellStyle name="AggOrange9 2 3 2 50" xfId="23797" xr:uid="{98DE82D5-E8BD-4C82-BD8A-12EB54D74E1D}"/>
    <cellStyle name="AggOrange9 2 3 2 51" xfId="24696" xr:uid="{5737876B-4840-4953-98E9-D7A03BC822F5}"/>
    <cellStyle name="AggOrange9 2 3 2 52" xfId="25327" xr:uid="{B73903EA-B223-4226-89BC-4F000610AC6E}"/>
    <cellStyle name="AggOrange9 2 3 2 53" xfId="25614" xr:uid="{F8AB7402-5277-412E-940E-CF89329FA3E3}"/>
    <cellStyle name="AggOrange9 2 3 2 54" xfId="24445" xr:uid="{82A8A9AB-205A-4E9F-9C02-3C9B9951C4EB}"/>
    <cellStyle name="AggOrange9 2 3 2 55" xfId="26163" xr:uid="{AAB22B0B-9F1D-4921-AD01-15379B127B56}"/>
    <cellStyle name="AggOrange9 2 3 2 56" xfId="26904" xr:uid="{E34A2DD8-0837-4D68-9785-B56D6A88C794}"/>
    <cellStyle name="AggOrange9 2 3 2 57" xfId="27323" xr:uid="{45FBE074-452B-4625-BEBA-31547AA10041}"/>
    <cellStyle name="AggOrange9 2 3 2 58" xfId="27619" xr:uid="{E612EF1E-24B2-4002-BE8D-A405A59B7A4A}"/>
    <cellStyle name="AggOrange9 2 3 2 59" xfId="28446" xr:uid="{3A409DCF-21BA-4126-8631-FAEA48103B70}"/>
    <cellStyle name="AggOrange9 2 3 2 6" xfId="2526" xr:uid="{58D88469-D8B1-422C-8E8B-9CFE5B6B3B60}"/>
    <cellStyle name="AggOrange9 2 3 2 60" xfId="28914" xr:uid="{21B6F152-961A-498E-AB55-D1BD6EEBD916}"/>
    <cellStyle name="AggOrange9 2 3 2 61" xfId="29450" xr:uid="{F3C613FC-DB6F-439C-86C5-975D48048EAE}"/>
    <cellStyle name="AggOrange9 2 3 2 62" xfId="29704" xr:uid="{56D78CCA-DB8D-454E-8ED4-B20F8FB7D4D0}"/>
    <cellStyle name="AggOrange9 2 3 2 63" xfId="30112" xr:uid="{1AE7E013-E878-4289-A944-01787F1B89E7}"/>
    <cellStyle name="AggOrange9 2 3 2 64" xfId="30526" xr:uid="{A77A9781-3235-435C-B9BD-FC4B14873957}"/>
    <cellStyle name="AggOrange9 2 3 2 65" xfId="30854" xr:uid="{E6ABEF62-0EB5-41DC-B2A2-DDD321A3F669}"/>
    <cellStyle name="AggOrange9 2 3 2 66" xfId="31150" xr:uid="{884691FD-8143-4CEB-AF9A-0403DBC1DC9C}"/>
    <cellStyle name="AggOrange9 2 3 2 7" xfId="2737" xr:uid="{1235C03E-EF86-43F7-841C-D5982EB56A25}"/>
    <cellStyle name="AggOrange9 2 3 2 8" xfId="3924" xr:uid="{8D70CA50-25AE-4F7C-894A-DDC7C60C5D6E}"/>
    <cellStyle name="AggOrange9 2 3 2 9" xfId="4362" xr:uid="{7DEA3F5F-0199-47DA-A534-6A90620D9BA9}"/>
    <cellStyle name="AggOrange9 2 3 20" xfId="8777" xr:uid="{8A66841E-1D0E-46D7-BA3A-6828B9AACC30}"/>
    <cellStyle name="AggOrange9 2 3 21" xfId="9211" xr:uid="{468287B9-3CC5-4E97-9F0E-8F66446DD359}"/>
    <cellStyle name="AggOrange9 2 3 22" xfId="9166" xr:uid="{16C96EBF-34DA-41F8-829B-C6B525508500}"/>
    <cellStyle name="AggOrange9 2 3 23" xfId="10223" xr:uid="{F6850239-7B6E-4B41-AEF2-FC19EA4E000E}"/>
    <cellStyle name="AggOrange9 2 3 24" xfId="10307" xr:uid="{158581F2-F365-4C4A-BF8D-78AE5D54B45A}"/>
    <cellStyle name="AggOrange9 2 3 25" xfId="11174" xr:uid="{169AC5F2-BBB1-47E8-87FC-9E67E3012181}"/>
    <cellStyle name="AggOrange9 2 3 26" xfId="11623" xr:uid="{48C30C7D-564F-46C9-BF2A-4565CD9956C0}"/>
    <cellStyle name="AggOrange9 2 3 27" xfId="11376" xr:uid="{A8B0DDB5-1B0F-4490-9FCB-392EE6E9148C}"/>
    <cellStyle name="AggOrange9 2 3 28" xfId="12334" xr:uid="{A00E9B3C-D7A8-41F0-B362-7BDE17512A48}"/>
    <cellStyle name="AggOrange9 2 3 29" xfId="12288" xr:uid="{69D73BEE-B9DD-4B88-AF5E-05CE089DE9BC}"/>
    <cellStyle name="AggOrange9 2 3 3" xfId="652" xr:uid="{BCDC864F-D74F-45EB-BD4E-7CB6AC10E4EE}"/>
    <cellStyle name="AggOrange9 2 3 3 10" xfId="4824" xr:uid="{C481DCFD-606D-4B47-A67C-506860C6F9C0}"/>
    <cellStyle name="AggOrange9 2 3 3 11" xfId="5300" xr:uid="{CD36DF14-8D9B-4CAD-B3CE-38380B09143A}"/>
    <cellStyle name="AggOrange9 2 3 3 12" xfId="5742" xr:uid="{3BE0A9E8-C638-4879-95DA-E16185A3B33A}"/>
    <cellStyle name="AggOrange9 2 3 3 13" xfId="5988" xr:uid="{DED5B6D4-0586-4C50-8649-6D3F577C898D}"/>
    <cellStyle name="AggOrange9 2 3 3 14" xfId="6490" xr:uid="{3CF361C8-CDF4-43D7-ABBD-3BC443CDE01F}"/>
    <cellStyle name="AggOrange9 2 3 3 15" xfId="7372" xr:uid="{EDAD63B9-CC9F-49DF-BC9B-2277D70332D5}"/>
    <cellStyle name="AggOrange9 2 3 3 16" xfId="6917" xr:uid="{98838CD1-686D-42DB-8E18-88480C77CCFE}"/>
    <cellStyle name="AggOrange9 2 3 3 17" xfId="6823" xr:uid="{3F81D376-411A-4896-895C-63531982663A}"/>
    <cellStyle name="AggOrange9 2 3 3 18" xfId="8883" xr:uid="{843A3C92-6F68-4C39-A275-66C761E296CD}"/>
    <cellStyle name="AggOrange9 2 3 3 19" xfId="9586" xr:uid="{DBEF45F9-1153-4E47-9262-6D04D1F0E29F}"/>
    <cellStyle name="AggOrange9 2 3 3 2" xfId="867" xr:uid="{736D2853-87BF-40F6-9EE5-6D0EDC427750}"/>
    <cellStyle name="AggOrange9 2 3 3 2 10" xfId="5515" xr:uid="{159024DA-9DD4-4498-A6C0-6DD07D979603}"/>
    <cellStyle name="AggOrange9 2 3 3 2 11" xfId="5732" xr:uid="{7027E478-4432-4262-8A7D-5EB17E00DA7C}"/>
    <cellStyle name="AggOrange9 2 3 3 2 12" xfId="2140" xr:uid="{4DD5FEE3-AEFC-4CC3-8C1F-190BF5EFBE98}"/>
    <cellStyle name="AggOrange9 2 3 3 2 13" xfId="6552" xr:uid="{23F5043A-D777-4525-A8E4-FFA0544AB46F}"/>
    <cellStyle name="AggOrange9 2 3 3 2 14" xfId="7587" xr:uid="{54B23A04-B7B4-44E0-92FA-934E88233F5F}"/>
    <cellStyle name="AggOrange9 2 3 3 2 15" xfId="6938" xr:uid="{5F945B59-C1DB-4543-B49B-4D98C31C2898}"/>
    <cellStyle name="AggOrange9 2 3 3 2 16" xfId="6925" xr:uid="{FF505593-D876-4854-8503-1EB3ED22AFE8}"/>
    <cellStyle name="AggOrange9 2 3 3 2 17" xfId="8833" xr:uid="{7F05D29D-7A2B-4317-A1D5-F620A69D903F}"/>
    <cellStyle name="AggOrange9 2 3 3 2 18" xfId="9801" xr:uid="{8E0589F6-5AD5-4FF5-BA57-BEBA173F5788}"/>
    <cellStyle name="AggOrange9 2 3 3 2 19" xfId="9044" xr:uid="{6CE4025D-099D-4957-AD37-301F44E2C190}"/>
    <cellStyle name="AggOrange9 2 3 3 2 2" xfId="1341" xr:uid="{16DBF6DE-76D9-4641-98A2-AD371E80D2E1}"/>
    <cellStyle name="AggOrange9 2 3 3 2 20" xfId="9879" xr:uid="{1C42AFE8-274D-4F53-97AA-F307D853856D}"/>
    <cellStyle name="AggOrange9 2 3 3 2 21" xfId="9312" xr:uid="{EF352760-1D60-4CB9-8DCA-EB606B61829C}"/>
    <cellStyle name="AggOrange9 2 3 3 2 22" xfId="10741" xr:uid="{B0A0469B-AB1A-47FF-A528-75216896515F}"/>
    <cellStyle name="AggOrange9 2 3 3 2 23" xfId="12220" xr:uid="{9A28C092-BCEF-48D1-A4D4-3E296B87EDF9}"/>
    <cellStyle name="AggOrange9 2 3 3 2 24" xfId="12693" xr:uid="{39C60A33-F625-4FBE-A07D-387EC73AA0D8}"/>
    <cellStyle name="AggOrange9 2 3 3 2 25" xfId="13127" xr:uid="{75FB2B54-80B5-4118-BE25-B108F8EBDB76}"/>
    <cellStyle name="AggOrange9 2 3 3 2 26" xfId="13564" xr:uid="{CAB55E2E-B220-4B68-9C7E-6ECFD0275AF6}"/>
    <cellStyle name="AggOrange9 2 3 3 2 27" xfId="13688" xr:uid="{7A2B55C2-1FBF-4180-B88C-31F8AF9DB1AB}"/>
    <cellStyle name="AggOrange9 2 3 3 2 28" xfId="14483" xr:uid="{0D4F78D5-9CFA-42F1-BD0B-945623B94933}"/>
    <cellStyle name="AggOrange9 2 3 3 2 29" xfId="14080" xr:uid="{6BB42C8A-7276-4AA8-BD46-5BB1FCED75FE}"/>
    <cellStyle name="AggOrange9 2 3 3 2 3" xfId="1790" xr:uid="{47FF96A8-4308-49C8-9308-6668E1CAF065}"/>
    <cellStyle name="AggOrange9 2 3 3 2 30" xfId="13704" xr:uid="{A2500D10-4FF6-49AD-90FD-1649118E39D3}"/>
    <cellStyle name="AggOrange9 2 3 3 2 31" xfId="15494" xr:uid="{06AC6B77-7DDC-4433-B7CB-780EC0EF44DA}"/>
    <cellStyle name="AggOrange9 2 3 3 2 32" xfId="15603" xr:uid="{7BAE94E8-C978-498F-9F4B-4DEA43B1178E}"/>
    <cellStyle name="AggOrange9 2 3 3 2 33" xfId="16912" xr:uid="{8C5BE9E4-38CB-4C00-ABA6-644E606AA19C}"/>
    <cellStyle name="AggOrange9 2 3 3 2 34" xfId="16256" xr:uid="{9F214AFA-63F0-4C7B-86BA-506CB498FDA2}"/>
    <cellStyle name="AggOrange9 2 3 3 2 35" xfId="16076" xr:uid="{077D2682-FB7F-4674-AB80-A3F05D29A485}"/>
    <cellStyle name="AggOrange9 2 3 3 2 36" xfId="17956" xr:uid="{DA0B6055-8C9D-4358-8871-ECF3C72D64AB}"/>
    <cellStyle name="AggOrange9 2 3 3 2 37" xfId="18730" xr:uid="{0D55B442-4D04-408C-9CD1-1B08B9387402}"/>
    <cellStyle name="AggOrange9 2 3 3 2 38" xfId="18825" xr:uid="{C51FF166-614F-4ADC-A5DF-98CE9EC212A4}"/>
    <cellStyle name="AggOrange9 2 3 3 2 39" xfId="18984" xr:uid="{EBA89612-A7C5-44FA-BDC2-89CB7FFA2BA0}"/>
    <cellStyle name="AggOrange9 2 3 3 2 4" xfId="2689" xr:uid="{18B5E05C-81F5-4ADB-93FD-43AE0F11B9BF}"/>
    <cellStyle name="AggOrange9 2 3 3 2 40" xfId="20249" xr:uid="{8655A513-794D-45D5-9795-88930B5E73B9}"/>
    <cellStyle name="AggOrange9 2 3 3 2 41" xfId="19635" xr:uid="{2EDB4BA1-F77E-44C5-97CE-BE3C6F0423D6}"/>
    <cellStyle name="AggOrange9 2 3 3 2 42" xfId="20344" xr:uid="{6771DB29-31D4-47FB-B0D1-C16EB9DAC44E}"/>
    <cellStyle name="AggOrange9 2 3 3 2 43" xfId="21374" xr:uid="{A026FE0D-C9F8-4806-8A3B-92076AE4C1EC}"/>
    <cellStyle name="AggOrange9 2 3 3 2 44" xfId="21167" xr:uid="{73802A1D-0C0E-40A5-B98C-02A217AAA7D0}"/>
    <cellStyle name="AggOrange9 2 3 3 2 45" xfId="21154" xr:uid="{759C4FE3-3836-416D-B17C-39A96DEEAB85}"/>
    <cellStyle name="AggOrange9 2 3 3 2 46" xfId="22687" xr:uid="{EF576EEF-7E40-4E8B-8F74-CBCF901267C1}"/>
    <cellStyle name="AggOrange9 2 3 3 2 47" xfId="23097" xr:uid="{86837EEF-A2E3-4F92-A4E3-DBB17686F292}"/>
    <cellStyle name="AggOrange9 2 3 3 2 48" xfId="22738" xr:uid="{39846C95-C989-4AA3-B59A-5E2E9D04B824}"/>
    <cellStyle name="AggOrange9 2 3 3 2 49" xfId="24049" xr:uid="{098383CA-D0A9-4424-890D-CEFF2DB66C1D}"/>
    <cellStyle name="AggOrange9 2 3 3 2 5" xfId="2853" xr:uid="{12CAF5EE-2648-4C53-BED3-F95CB5C1AD3C}"/>
    <cellStyle name="AggOrange9 2 3 3 2 50" xfId="24957" xr:uid="{2FB74145-77BB-4DF3-BCBF-0A05B22F87EE}"/>
    <cellStyle name="AggOrange9 2 3 3 2 51" xfId="24494" xr:uid="{0151ADBC-E524-459C-B66E-9FD6C5B17640}"/>
    <cellStyle name="AggOrange9 2 3 3 2 52" xfId="25873" xr:uid="{A5A6FDBB-5CB1-4ACA-9313-CFB7DCC5C428}"/>
    <cellStyle name="AggOrange9 2 3 3 2 53" xfId="25991" xr:uid="{48B26F1C-A44F-4B55-AE9A-57901A525F4A}"/>
    <cellStyle name="AggOrange9 2 3 3 2 54" xfId="26740" xr:uid="{AB21737E-F003-4575-AD6E-D10719A71F4D}"/>
    <cellStyle name="AggOrange9 2 3 3 2 55" xfId="27161" xr:uid="{F683AA1B-F32B-4327-955C-FA942F58F6DA}"/>
    <cellStyle name="AggOrange9 2 3 3 2 56" xfId="27580" xr:uid="{32116A70-3308-4900-8965-DA76D66AF1CB}"/>
    <cellStyle name="AggOrange9 2 3 3 2 57" xfId="26463" xr:uid="{ED2A4285-409D-45F8-BECE-DAEEC7D6812D}"/>
    <cellStyle name="AggOrange9 2 3 3 2 58" xfId="28707" xr:uid="{21DA9C9A-5BF3-4D01-AC26-610FB5C4116D}"/>
    <cellStyle name="AggOrange9 2 3 3 2 59" xfId="29174" xr:uid="{6CA6EC39-E2F7-4D3E-A0E4-D384A0AA5693}"/>
    <cellStyle name="AggOrange9 2 3 3 2 6" xfId="2988" xr:uid="{F77F5889-811D-4410-B64F-78E0FE027266}"/>
    <cellStyle name="AggOrange9 2 3 3 2 60" xfId="28036" xr:uid="{A0E537BC-104F-4548-9D73-EB234189144B}"/>
    <cellStyle name="AggOrange9 2 3 3 2 61" xfId="29963" xr:uid="{CC375D21-5E45-41D3-805B-36C2BF5CFF40}"/>
    <cellStyle name="AggOrange9 2 3 3 2 62" xfId="30369" xr:uid="{82CAC01F-9A1C-4290-B8D2-7F5D480D925A}"/>
    <cellStyle name="AggOrange9 2 3 3 2 63" xfId="30786" xr:uid="{E69E237A-6092-4B05-AC3C-A815B2BAACF4}"/>
    <cellStyle name="AggOrange9 2 3 3 2 64" xfId="31031" xr:uid="{8D414624-6CB8-469D-94A6-78A5BBEFC708}"/>
    <cellStyle name="AggOrange9 2 3 3 2 65" xfId="31402" xr:uid="{7B29985E-AAE9-4FCD-9C8C-D6B4F943464B}"/>
    <cellStyle name="AggOrange9 2 3 3 2 7" xfId="4185" xr:uid="{2325AE18-1302-4957-82C9-6361122952D8}"/>
    <cellStyle name="AggOrange9 2 3 3 2 8" xfId="4622" xr:uid="{884FB31C-CF8C-4B40-A889-650432ADC64C}"/>
    <cellStyle name="AggOrange9 2 3 3 2 9" xfId="5068" xr:uid="{DDC7C9DE-9E5B-4BDA-8DBB-FD8ADB6907D2}"/>
    <cellStyle name="AggOrange9 2 3 3 20" xfId="9130" xr:uid="{CE68C25D-8F17-495B-93C1-CCA274935BF5}"/>
    <cellStyle name="AggOrange9 2 3 3 21" xfId="9039" xr:uid="{A1969374-390B-44BD-B41C-19632FF00E86}"/>
    <cellStyle name="AggOrange9 2 3 3 22" xfId="9906" xr:uid="{97FA7BEA-3C46-4DA9-B15C-8B1BA75C3CE3}"/>
    <cellStyle name="AggOrange9 2 3 3 23" xfId="11276" xr:uid="{DA9A091E-6E45-4577-8977-D04FE6DFA74E}"/>
    <cellStyle name="AggOrange9 2 3 3 24" xfId="12005" xr:uid="{E2E55383-7A4A-471D-AE05-C0EEF9ED86C5}"/>
    <cellStyle name="AggOrange9 2 3 3 25" xfId="12478" xr:uid="{A32B95EA-AFB5-491E-9EED-CBC9D7A2FB91}"/>
    <cellStyle name="AggOrange9 2 3 3 26" xfId="12912" xr:uid="{A8918893-303F-4C19-97A1-3BE8CA1849CA}"/>
    <cellStyle name="AggOrange9 2 3 3 27" xfId="13349" xr:uid="{8E990827-CE10-4963-B1CF-D426F25B4CB6}"/>
    <cellStyle name="AggOrange9 2 3 3 28" xfId="12311" xr:uid="{035C0629-367B-4350-923E-BB7E7B039744}"/>
    <cellStyle name="AggOrange9 2 3 3 29" xfId="13690" xr:uid="{7771CCAF-B1C2-46E1-A688-37396C5321CC}"/>
    <cellStyle name="AggOrange9 2 3 3 3" xfId="1135" xr:uid="{4F14DA53-9E6B-4C1C-AC66-49B4681AD47D}"/>
    <cellStyle name="AggOrange9 2 3 3 30" xfId="13939" xr:uid="{FE30FB7D-6BDB-4BA8-8098-6F04CA3D73B0}"/>
    <cellStyle name="AggOrange9 2 3 3 31" xfId="15325" xr:uid="{FA77DD6D-C0C3-413A-84A8-9E3D4CA38310}"/>
    <cellStyle name="AggOrange9 2 3 3 32" xfId="15203" xr:uid="{DCE22E64-8BAA-433C-B876-C3362F9AD42B}"/>
    <cellStyle name="AggOrange9 2 3 3 33" xfId="15602" xr:uid="{94E11794-6C46-4631-8CDD-1B6859197F39}"/>
    <cellStyle name="AggOrange9 2 3 3 34" xfId="16697" xr:uid="{57A51E04-2C48-41ED-9C27-4F27FBCCA46F}"/>
    <cellStyle name="AggOrange9 2 3 3 35" xfId="16234" xr:uid="{478B1F7D-34E5-4D96-ABEE-6A1F690CF4B4}"/>
    <cellStyle name="AggOrange9 2 3 3 36" xfId="16254" xr:uid="{3CBABCDD-F22D-4751-A8A9-EE7732481144}"/>
    <cellStyle name="AggOrange9 2 3 3 37" xfId="17517" xr:uid="{72A3B4B8-D269-4B0C-BCE4-E85354F844D2}"/>
    <cellStyle name="AggOrange9 2 3 3 38" xfId="18515" xr:uid="{07A16111-258E-4D66-A539-60570D22D1F0}"/>
    <cellStyle name="AggOrange9 2 3 3 39" xfId="17867" xr:uid="{62A23764-EAF4-4E06-865E-53FCA7A73502}"/>
    <cellStyle name="AggOrange9 2 3 3 4" xfId="1753" xr:uid="{7A9E4D85-EC92-4F48-9F7E-F4B065DD7C92}"/>
    <cellStyle name="AggOrange9 2 3 3 40" xfId="18557" xr:uid="{031394A3-BCFD-43B1-90DD-7B90BF661599}"/>
    <cellStyle name="AggOrange9 2 3 3 41" xfId="20034" xr:uid="{0E77E2B4-38C9-45C8-BBD1-FD9FBFBC6193}"/>
    <cellStyle name="AggOrange9 2 3 3 42" xfId="19567" xr:uid="{ECC0F6FA-771B-4549-82EE-352644809098}"/>
    <cellStyle name="AggOrange9 2 3 3 43" xfId="20352" xr:uid="{81D41BC6-7766-44E8-91CB-8DDFD332D314}"/>
    <cellStyle name="AggOrange9 2 3 3 44" xfId="21382" xr:uid="{0903DBFC-7B71-402D-84AF-8521E026979F}"/>
    <cellStyle name="AggOrange9 2 3 3 45" xfId="19746" xr:uid="{05260EC0-9568-49E4-ABEF-613BC3AE1588}"/>
    <cellStyle name="AggOrange9 2 3 3 46" xfId="19441" xr:uid="{DC4A42A0-CE5B-4A0F-B8D3-F924525EE952}"/>
    <cellStyle name="AggOrange9 2 3 3 47" xfId="22475" xr:uid="{02EE79FC-0E75-4170-9403-8A990D7C0233}"/>
    <cellStyle name="AggOrange9 2 3 3 48" xfId="22376" xr:uid="{27BA6692-6459-420E-84B4-CF8DDED14D8A}"/>
    <cellStyle name="AggOrange9 2 3 3 49" xfId="22979" xr:uid="{780A27D3-AE56-403C-A781-60C55A1A24E2}"/>
    <cellStyle name="AggOrange9 2 3 3 5" xfId="2474" xr:uid="{C9A9161D-8188-4624-8AEA-5090CF29F278}"/>
    <cellStyle name="AggOrange9 2 3 3 50" xfId="23843" xr:uid="{8DAF5FA5-3271-4CE7-85A2-A0248B21CAD3}"/>
    <cellStyle name="AggOrange9 2 3 3 51" xfId="24742" xr:uid="{0024EE79-3954-431C-A0C3-53FD7FE28BD1}"/>
    <cellStyle name="AggOrange9 2 3 3 52" xfId="24288" xr:uid="{90D2DD5D-0682-406B-9F90-100E3D2E105C}"/>
    <cellStyle name="AggOrange9 2 3 3 53" xfId="25660" xr:uid="{DC7382D3-C9F3-4160-87E2-BD2DD86F0C07}"/>
    <cellStyle name="AggOrange9 2 3 3 54" xfId="24524" xr:uid="{90FE24EF-1321-40DE-9ECD-9ECD3519FB9D}"/>
    <cellStyle name="AggOrange9 2 3 3 55" xfId="26604" xr:uid="{92BF3A1F-6F62-4A82-BF5F-9DDC1DA51525}"/>
    <cellStyle name="AggOrange9 2 3 3 56" xfId="26950" xr:uid="{7376462C-B826-4B77-AD29-C2D8D07B999A}"/>
    <cellStyle name="AggOrange9 2 3 3 57" xfId="27369" xr:uid="{6DB56C23-2033-442F-B5A8-4A9D9810CF88}"/>
    <cellStyle name="AggOrange9 2 3 3 58" xfId="27806" xr:uid="{DB677E3A-D8D7-4772-AD1F-72FA9FE97DC1}"/>
    <cellStyle name="AggOrange9 2 3 3 59" xfId="28492" xr:uid="{1BF31F24-1FDF-4F2F-83C3-4E8537265C06}"/>
    <cellStyle name="AggOrange9 2 3 3 6" xfId="1907" xr:uid="{F57D9E71-7B04-4EBB-921A-F5590BC436D4}"/>
    <cellStyle name="AggOrange9 2 3 3 60" xfId="28960" xr:uid="{832D839F-9F89-4B01-A4D7-B5B69FD4E011}"/>
    <cellStyle name="AggOrange9 2 3 3 61" xfId="27979" xr:uid="{75AD191B-9B94-4867-BB53-66D8BB9FB492}"/>
    <cellStyle name="AggOrange9 2 3 3 62" xfId="29750" xr:uid="{BD6FA673-63EC-405D-8D76-8ED606F95C93}"/>
    <cellStyle name="AggOrange9 2 3 3 63" xfId="30158" xr:uid="{80951482-E1F2-4087-8AF0-5589926EF6C9}"/>
    <cellStyle name="AggOrange9 2 3 3 64" xfId="30572" xr:uid="{A1158E2C-9204-4BCC-86A4-FCFD82627659}"/>
    <cellStyle name="AggOrange9 2 3 3 65" xfId="30860" xr:uid="{58C5657A-1E61-45EA-AAAD-EF9A388094F8}"/>
    <cellStyle name="AggOrange9 2 3 3 66" xfId="31196" xr:uid="{2CE0CCA7-9E5D-4AE2-941A-B1BB6C5BEBD6}"/>
    <cellStyle name="AggOrange9 2 3 3 7" xfId="3375" xr:uid="{903E2A11-CDC6-41C5-AFC9-1BF5B4E40FC5}"/>
    <cellStyle name="AggOrange9 2 3 3 8" xfId="3970" xr:uid="{32B23B2D-106E-4974-8FD3-1B4162577A0B}"/>
    <cellStyle name="AggOrange9 2 3 3 9" xfId="4408" xr:uid="{92DC3D64-9667-4F9D-9A96-AAE67BD2C72F}"/>
    <cellStyle name="AggOrange9 2 3 30" xfId="13158" xr:uid="{18FFDA2C-D6DF-4B49-8283-265B00D92C89}"/>
    <cellStyle name="AggOrange9 2 3 31" xfId="13195" xr:uid="{4F12458D-9266-418C-B69E-C75578A962AE}"/>
    <cellStyle name="AggOrange9 2 3 32" xfId="14224" xr:uid="{8AC0CEED-8B94-4FCF-BA82-64C2B8183532}"/>
    <cellStyle name="AggOrange9 2 3 33" xfId="14662" xr:uid="{DBC9C7F8-3701-4111-8F4B-20305823112E}"/>
    <cellStyle name="AggOrange9 2 3 34" xfId="15446" xr:uid="{67DB41E9-69DA-4529-86F6-FFB8EE888248}"/>
    <cellStyle name="AggOrange9 2 3 35" xfId="15543" xr:uid="{03FFE227-34AF-48A1-B797-0CB4C3526418}"/>
    <cellStyle name="AggOrange9 2 3 36" xfId="16318" xr:uid="{72F7ED23-8FFD-482E-B31F-50A1B00E9373}"/>
    <cellStyle name="AggOrange9 2 3 37" xfId="16159" xr:uid="{833954CD-5023-4145-AB44-222E6390D811}"/>
    <cellStyle name="AggOrange9 2 3 38" xfId="16236" xr:uid="{B308DEAE-0914-4B37-BCF1-49BC7BF8F4FE}"/>
    <cellStyle name="AggOrange9 2 3 39" xfId="18229" xr:uid="{4F62665A-3BA5-48F3-AACE-EC90938013BC}"/>
    <cellStyle name="AggOrange9 2 3 4" xfId="666" xr:uid="{FFD02A73-E680-4E90-A3B2-D2B7580D01FC}"/>
    <cellStyle name="AggOrange9 2 3 4 10" xfId="2832" xr:uid="{7FBAE90A-B436-4091-9CD8-9EBCA90B4C38}"/>
    <cellStyle name="AggOrange9 2 3 4 11" xfId="5314" xr:uid="{3A2D60BA-CCEC-41AF-BE99-A1F656C48CE1}"/>
    <cellStyle name="AggOrange9 2 3 4 12" xfId="3733" xr:uid="{4D07124B-AF84-4390-8CE6-94A2C2EFA8F4}"/>
    <cellStyle name="AggOrange9 2 3 4 13" xfId="5886" xr:uid="{270793A1-4087-43CB-8DA2-F935D343F1FC}"/>
    <cellStyle name="AggOrange9 2 3 4 14" xfId="5984" xr:uid="{082082B1-E6DF-4450-A780-1D02D4074F74}"/>
    <cellStyle name="AggOrange9 2 3 4 15" xfId="7386" xr:uid="{B8B719C1-2622-4296-9A51-37E1DB70C06F}"/>
    <cellStyle name="AggOrange9 2 3 4 16" xfId="7824" xr:uid="{F1312C70-8869-4A06-A0DB-5A22901CDD49}"/>
    <cellStyle name="AggOrange9 2 3 4 17" xfId="7148" xr:uid="{2E4290E8-F0F0-4FC5-B201-5F4C1550AB7F}"/>
    <cellStyle name="AggOrange9 2 3 4 18" xfId="8330" xr:uid="{B543FCC1-F548-4344-A0F0-0DED0E2AA34A}"/>
    <cellStyle name="AggOrange9 2 3 4 19" xfId="9600" xr:uid="{41E552CE-67F2-470A-B33E-5A7B8EDB4047}"/>
    <cellStyle name="AggOrange9 2 3 4 2" xfId="881" xr:uid="{B79842D8-61AD-4E5C-8763-BD2E046C2AE6}"/>
    <cellStyle name="AggOrange9 2 3 4 2 10" xfId="5529" xr:uid="{6084B46F-EEB9-4EF2-B156-D67A59323940}"/>
    <cellStyle name="AggOrange9 2 3 4 2 11" xfId="6023" xr:uid="{CB443233-47DA-4D1E-A4D7-EDC020DAD52F}"/>
    <cellStyle name="AggOrange9 2 3 4 2 12" xfId="6382" xr:uid="{B52F7254-34FC-482B-9BF8-131BA065F578}"/>
    <cellStyle name="AggOrange9 2 3 4 2 13" xfId="6720" xr:uid="{55714557-E1BE-4766-AFC8-2E28E41A5BA0}"/>
    <cellStyle name="AggOrange9 2 3 4 2 14" xfId="7601" xr:uid="{ACE6AEA5-9E0C-4F66-B8A4-E652993707CD}"/>
    <cellStyle name="AggOrange9 2 3 4 2 15" xfId="8065" xr:uid="{D784CD49-4717-44D3-AF24-5D9C94F748C2}"/>
    <cellStyle name="AggOrange9 2 3 4 2 16" xfId="8674" xr:uid="{D2D42FD3-9657-43F0-BC82-6151BB0F6968}"/>
    <cellStyle name="AggOrange9 2 3 4 2 17" xfId="8933" xr:uid="{BE561D45-5E9E-4E27-8CE7-012E95D69C0F}"/>
    <cellStyle name="AggOrange9 2 3 4 2 18" xfId="9815" xr:uid="{3300BE2D-8482-46D1-BEEA-E7F791CBD5C0}"/>
    <cellStyle name="AggOrange9 2 3 4 2 19" xfId="10284" xr:uid="{6B342FC6-9F48-4D62-A55E-C7C3A239E72E}"/>
    <cellStyle name="AggOrange9 2 3 4 2 2" xfId="1355" xr:uid="{A0840C97-90CB-4ED8-8AA5-1EDF696BA2FE}"/>
    <cellStyle name="AggOrange9 2 3 4 2 20" xfId="10678" xr:uid="{D1609CEA-58B6-40B6-A7EA-A41AFDAE5447}"/>
    <cellStyle name="AggOrange9 2 3 4 2 21" xfId="11027" xr:uid="{CFBA2ACF-AAA6-4B5C-9B2B-1905ED57D360}"/>
    <cellStyle name="AggOrange9 2 3 4 2 22" xfId="11337" xr:uid="{59CE09D9-A187-49D5-A97C-39291D85CDC5}"/>
    <cellStyle name="AggOrange9 2 3 4 2 23" xfId="12234" xr:uid="{BBE49EC6-8D58-4E0F-9D4B-1D2B846ABA51}"/>
    <cellStyle name="AggOrange9 2 3 4 2 24" xfId="12707" xr:uid="{1E68A53A-BFA8-463C-8E55-CB9EBCC9E1A1}"/>
    <cellStyle name="AggOrange9 2 3 4 2 25" xfId="13141" xr:uid="{B4B541E4-3DBF-4EA5-B1BE-7F8D3F2F6142}"/>
    <cellStyle name="AggOrange9 2 3 4 2 26" xfId="13578" xr:uid="{85FBA172-20DA-44C5-AA01-D9F2D8E96B24}"/>
    <cellStyle name="AggOrange9 2 3 4 2 27" xfId="14050" xr:uid="{A6CB33D4-00B2-408E-8768-AE6E6628EF8D}"/>
    <cellStyle name="AggOrange9 2 3 4 2 28" xfId="14497" xr:uid="{1707762B-7EF7-49C1-9B06-155B0ECFB1AA}"/>
    <cellStyle name="AggOrange9 2 3 4 2 29" xfId="14931" xr:uid="{E5CEA22D-3F2D-4533-95A1-E02769843EF5}"/>
    <cellStyle name="AggOrange9 2 3 4 2 3" xfId="1804" xr:uid="{63F7F672-CB1A-4B26-86BF-8D5B2D420083}"/>
    <cellStyle name="AggOrange9 2 3 4 2 30" xfId="15401" xr:uid="{E528F931-95CE-400F-8F6D-AC686DFE38FC}"/>
    <cellStyle name="AggOrange9 2 3 4 2 31" xfId="15791" xr:uid="{9E3331CC-84B4-4965-8D33-67898AC8EF89}"/>
    <cellStyle name="AggOrange9 2 3 4 2 32" xfId="16013" xr:uid="{3C816D5B-FB77-47AF-A046-25AC0CA93391}"/>
    <cellStyle name="AggOrange9 2 3 4 2 33" xfId="16926" xr:uid="{A26B3C6E-C0A8-4454-9C0E-7A1BD0AFB82E}"/>
    <cellStyle name="AggOrange9 2 3 4 2 34" xfId="17407" xr:uid="{4ED5A7B7-FE3E-4B7B-A764-0183961DCF7F}"/>
    <cellStyle name="AggOrange9 2 3 4 2 35" xfId="17848" xr:uid="{223D351F-603A-4C03-810F-0A46A8419491}"/>
    <cellStyle name="AggOrange9 2 3 4 2 36" xfId="18323" xr:uid="{1D891189-1FF3-44F2-B18C-19FCDA88D575}"/>
    <cellStyle name="AggOrange9 2 3 4 2 37" xfId="18744" xr:uid="{7E611C44-AD32-4F1D-8B2F-DD5F4A765DC5}"/>
    <cellStyle name="AggOrange9 2 3 4 2 38" xfId="19131" xr:uid="{E58BCA89-87B7-4262-9162-C6287BBE6AE7}"/>
    <cellStyle name="AggOrange9 2 3 4 2 39" xfId="19361" xr:uid="{B6174583-DBAC-4F78-A188-990A3E7CC296}"/>
    <cellStyle name="AggOrange9 2 3 4 2 4" xfId="2703" xr:uid="{C9D120B9-03BA-468D-9E65-4ED938BF46D8}"/>
    <cellStyle name="AggOrange9 2 3 4 2 40" xfId="20263" xr:uid="{DFC28C91-F42A-4E64-831D-6268EBB15397}"/>
    <cellStyle name="AggOrange9 2 3 4 2 41" xfId="20756" xr:uid="{D41553E0-11A0-459B-921E-F0407D67CDBC}"/>
    <cellStyle name="AggOrange9 2 3 4 2 42" xfId="21215" xr:uid="{3F036578-1A59-446D-9C4A-2F2924202BF9}"/>
    <cellStyle name="AggOrange9 2 3 4 2 43" xfId="21707" xr:uid="{6377055B-6D5F-41B5-A763-33551FB939B4}"/>
    <cellStyle name="AggOrange9 2 3 4 2 44" xfId="22146" xr:uid="{8DC242A0-C694-47FE-A6BA-B29C5CAE3456}"/>
    <cellStyle name="AggOrange9 2 3 4 2 45" xfId="22573" xr:uid="{218CED1A-653A-49DB-B0E7-8B3923CC05A4}"/>
    <cellStyle name="AggOrange9 2 3 4 2 46" xfId="23018" xr:uid="{637F920C-05DB-4F88-9220-E41C102A8954}"/>
    <cellStyle name="AggOrange9 2 3 4 2 47" xfId="23420" xr:uid="{15697DDA-1830-4B74-83BE-390707C236E6}"/>
    <cellStyle name="AggOrange9 2 3 4 2 48" xfId="23683" xr:uid="{04D08723-3593-4B1F-AFC5-3C62407C59EA}"/>
    <cellStyle name="AggOrange9 2 3 4 2 49" xfId="24063" xr:uid="{89F32D8E-B93B-4E31-A019-58742BD0B4DE}"/>
    <cellStyle name="AggOrange9 2 3 4 2 5" xfId="3223" xr:uid="{F26CEA56-71AB-412E-8DD2-38EEA05C90B2}"/>
    <cellStyle name="AggOrange9 2 3 4 2 50" xfId="24971" xr:uid="{C40F45EB-55E0-41F0-969F-8E29A00EA8D9}"/>
    <cellStyle name="AggOrange9 2 3 4 2 51" xfId="25459" xr:uid="{20FC451F-A1A1-4903-AA40-D276E3B7B301}"/>
    <cellStyle name="AggOrange9 2 3 4 2 52" xfId="25887" xr:uid="{01432A02-7833-4365-8204-EF746271F56E}"/>
    <cellStyle name="AggOrange9 2 3 4 2 53" xfId="26325" xr:uid="{EED10793-780D-4297-9979-51C7FAAC6481}"/>
    <cellStyle name="AggOrange9 2 3 4 2 54" xfId="26754" xr:uid="{E56D5B00-1E7B-4FAA-97E7-F6B17C22C970}"/>
    <cellStyle name="AggOrange9 2 3 4 2 55" xfId="27175" xr:uid="{6A00ED31-C1E8-4DF0-AFF0-A68D653888BA}"/>
    <cellStyle name="AggOrange9 2 3 4 2 56" xfId="27594" xr:uid="{03D1F10D-3275-4C42-96D1-0611643C0B2F}"/>
    <cellStyle name="AggOrange9 2 3 4 2 57" xfId="27832" xr:uid="{18C33B96-B513-4301-8B42-0E8490892FEA}"/>
    <cellStyle name="AggOrange9 2 3 4 2 58" xfId="28721" xr:uid="{62978617-EC3D-4FC5-B714-34D7B5A23DB4}"/>
    <cellStyle name="AggOrange9 2 3 4 2 59" xfId="29188" xr:uid="{90722FD1-AADF-4491-86CE-C23692384F41}"/>
    <cellStyle name="AggOrange9 2 3 4 2 6" xfId="3778" xr:uid="{324BDA54-D663-4AEC-9232-CF160A4E3DA4}"/>
    <cellStyle name="AggOrange9 2 3 4 2 60" xfId="29570" xr:uid="{D3127781-DF85-4B6F-8AAC-4E57B2C3D11F}"/>
    <cellStyle name="AggOrange9 2 3 4 2 61" xfId="29977" xr:uid="{9B73A97E-8B97-4858-97DA-C9A9C419F217}"/>
    <cellStyle name="AggOrange9 2 3 4 2 62" xfId="30383" xr:uid="{B7EAD63D-516B-4071-A2FF-116587EA76A2}"/>
    <cellStyle name="AggOrange9 2 3 4 2 63" xfId="30800" xr:uid="{5553E1AA-3FB0-4F20-BD62-60E5D19ABB87}"/>
    <cellStyle name="AggOrange9 2 3 4 2 64" xfId="31045" xr:uid="{B1C502AC-22DA-4B84-9DEA-A5B0AAB507F7}"/>
    <cellStyle name="AggOrange9 2 3 4 2 65" xfId="31416" xr:uid="{709D12D3-2479-475C-8B9B-9C49399FA3C0}"/>
    <cellStyle name="AggOrange9 2 3 4 2 7" xfId="4199" xr:uid="{421B5547-B6DF-4B72-8A02-434DE59787D7}"/>
    <cellStyle name="AggOrange9 2 3 4 2 8" xfId="4636" xr:uid="{0C9C1123-B1E4-4E20-BE80-564200DFBCDF}"/>
    <cellStyle name="AggOrange9 2 3 4 2 9" xfId="5082" xr:uid="{CAD8DCD1-CA0C-46C5-AC56-D75425B2DD46}"/>
    <cellStyle name="AggOrange9 2 3 4 20" xfId="10036" xr:uid="{06702667-E4E3-4C15-989B-6F76059AA2A4}"/>
    <cellStyle name="AggOrange9 2 3 4 21" xfId="10457" xr:uid="{185B368F-D0E0-48B1-BF41-FFF60D800D00}"/>
    <cellStyle name="AggOrange9 2 3 4 22" xfId="10488" xr:uid="{52E5F5FF-4806-4203-99EE-E200619C4C6C}"/>
    <cellStyle name="AggOrange9 2 3 4 23" xfId="10709" xr:uid="{7AABC907-84D7-46EE-A4D2-C6B0066695B5}"/>
    <cellStyle name="AggOrange9 2 3 4 24" xfId="12019" xr:uid="{5EDD480B-2789-4476-8A4C-DF8A86C327A9}"/>
    <cellStyle name="AggOrange9 2 3 4 25" xfId="12492" xr:uid="{E910B036-99B5-4F9A-A1A4-E302031B3AF4}"/>
    <cellStyle name="AggOrange9 2 3 4 26" xfId="12926" xr:uid="{8D1C620E-7F4F-4108-99D5-90A36759B516}"/>
    <cellStyle name="AggOrange9 2 3 4 27" xfId="13363" xr:uid="{3B5DF75F-F747-400C-8525-2CB6CFBD4923}"/>
    <cellStyle name="AggOrange9 2 3 4 28" xfId="11565" xr:uid="{47E98F1C-67BF-47F7-8B75-97AB65E0F8F9}"/>
    <cellStyle name="AggOrange9 2 3 4 29" xfId="13166" xr:uid="{BA5C231C-21AE-48A0-B401-6320476FA28B}"/>
    <cellStyle name="AggOrange9 2 3 4 3" xfId="1149" xr:uid="{E5B1283C-CF85-429D-A4A1-9930DC2AE0AB}"/>
    <cellStyle name="AggOrange9 2 3 4 30" xfId="14691" xr:uid="{0E1D16D0-BD97-4643-8A37-8FD642877EBF}"/>
    <cellStyle name="AggOrange9 2 3 4 31" xfId="14099" xr:uid="{AAFD91B1-1723-413F-A91D-D84ED9ACC82D}"/>
    <cellStyle name="AggOrange9 2 3 4 32" xfId="15023" xr:uid="{97256D04-5FC3-4A94-9E51-FE1736054552}"/>
    <cellStyle name="AggOrange9 2 3 4 33" xfId="15871" xr:uid="{3D85ADAF-908E-4777-A486-D90618D1C411}"/>
    <cellStyle name="AggOrange9 2 3 4 34" xfId="16711" xr:uid="{D29E9EB9-22DC-4FB3-B925-E79ED491E869}"/>
    <cellStyle name="AggOrange9 2 3 4 35" xfId="17154" xr:uid="{DD236B87-0182-4D18-BC07-9B41C3304277}"/>
    <cellStyle name="AggOrange9 2 3 4 36" xfId="17599" xr:uid="{0B7FC47C-15E3-408B-9386-73100F358D38}"/>
    <cellStyle name="AggOrange9 2 3 4 37" xfId="17919" xr:uid="{F6BDB139-20C9-42AB-9BE1-E67B2004896F}"/>
    <cellStyle name="AggOrange9 2 3 4 38" xfId="18529" xr:uid="{9DA27BB3-39B1-4B85-B141-78860861898F}"/>
    <cellStyle name="AggOrange9 2 3 4 39" xfId="19049" xr:uid="{AD7A3DBF-62A6-4CF6-A81F-FE6462C2D058}"/>
    <cellStyle name="AggOrange9 2 3 4 4" xfId="1614" xr:uid="{94860351-43B4-472E-B70A-9E1EC4DD9A33}"/>
    <cellStyle name="AggOrange9 2 3 4 40" xfId="18797" xr:uid="{F3661D81-F221-4DDD-B8BF-130124A2B217}"/>
    <cellStyle name="AggOrange9 2 3 4 41" xfId="20048" xr:uid="{B19867E6-772D-46D3-8957-6F17348CC86E}"/>
    <cellStyle name="AggOrange9 2 3 4 42" xfId="20506" xr:uid="{3500902C-70E0-4437-8DCF-80DAA0C9029B}"/>
    <cellStyle name="AggOrange9 2 3 4 43" xfId="20960" xr:uid="{500DC6A4-B06A-4C83-8014-CD4478F99E46}"/>
    <cellStyle name="AggOrange9 2 3 4 44" xfId="21329" xr:uid="{46EDE529-6395-4429-8181-92D016156FB4}"/>
    <cellStyle name="AggOrange9 2 3 4 45" xfId="21890" xr:uid="{5B876940-4560-40A8-93A4-DF4B63AB2BF6}"/>
    <cellStyle name="AggOrange9 2 3 4 46" xfId="22326" xr:uid="{F5812F85-2DCC-4253-8AB3-778A7975DB12}"/>
    <cellStyle name="AggOrange9 2 3 4 47" xfId="22512" xr:uid="{0A07672D-7596-4ABC-8A2A-FF5901E76B43}"/>
    <cellStyle name="AggOrange9 2 3 4 48" xfId="23327" xr:uid="{A69471B6-B202-46BA-9CD4-BA11BF86575F}"/>
    <cellStyle name="AggOrange9 2 3 4 49" xfId="22781" xr:uid="{97E18CB9-7BFE-4790-8EE8-C7D02BD6E590}"/>
    <cellStyle name="AggOrange9 2 3 4 5" xfId="2488" xr:uid="{E0339B59-FCD4-44D5-BACB-5EDC7CC4CACA}"/>
    <cellStyle name="AggOrange9 2 3 4 50" xfId="23857" xr:uid="{B084F1A1-F51C-4F4E-9BDC-11B72866BBFE}"/>
    <cellStyle name="AggOrange9 2 3 4 51" xfId="24756" xr:uid="{00A810F3-6539-44F2-A2B8-F6C5E5C95752}"/>
    <cellStyle name="AggOrange9 2 3 4 52" xfId="25215" xr:uid="{0EE92315-206C-44FE-8E76-2362F85096E6}"/>
    <cellStyle name="AggOrange9 2 3 4 53" xfId="25674" xr:uid="{4891CD55-849F-4D20-A7BB-12D4C6343491}"/>
    <cellStyle name="AggOrange9 2 3 4 54" xfId="25406" xr:uid="{170ADF07-8DD7-435A-9AD2-2686DA06FC36}"/>
    <cellStyle name="AggOrange9 2 3 4 55" xfId="26591" xr:uid="{0E921DE1-C288-4C34-A9C0-1C273C5866D7}"/>
    <cellStyle name="AggOrange9 2 3 4 56" xfId="26964" xr:uid="{74AC8971-614C-4CC7-B906-53FF3EC25671}"/>
    <cellStyle name="AggOrange9 2 3 4 57" xfId="27383" xr:uid="{518D0CEE-91CB-4971-BE87-545A8E2C5475}"/>
    <cellStyle name="AggOrange9 2 3 4 58" xfId="27639" xr:uid="{9651BEE8-AF75-4931-8BCC-7D7404E278F6}"/>
    <cellStyle name="AggOrange9 2 3 4 59" xfId="28506" xr:uid="{6F816B29-E35C-4B6A-AF36-208EF27A0998}"/>
    <cellStyle name="AggOrange9 2 3 4 6" xfId="1850" xr:uid="{B71169C8-9C39-466C-998D-2AB1B3BE3911}"/>
    <cellStyle name="AggOrange9 2 3 4 60" xfId="28974" xr:uid="{DE5ED200-1669-4588-977A-B2840FBB2E7F}"/>
    <cellStyle name="AggOrange9 2 3 4 61" xfId="29356" xr:uid="{FA13E396-7FCC-479B-80D3-6A2329EE3DD2}"/>
    <cellStyle name="AggOrange9 2 3 4 62" xfId="29764" xr:uid="{046B0B07-8968-4106-955B-D030E23EAED8}"/>
    <cellStyle name="AggOrange9 2 3 4 63" xfId="30172" xr:uid="{6D82F514-EF56-4326-BC21-C1276A45EA52}"/>
    <cellStyle name="AggOrange9 2 3 4 64" xfId="30586" xr:uid="{42C248FB-CE9D-49C2-8127-1233F878357A}"/>
    <cellStyle name="AggOrange9 2 3 4 65" xfId="30429" xr:uid="{6E7134CB-899F-4B1D-8130-58630B991B0D}"/>
    <cellStyle name="AggOrange9 2 3 4 66" xfId="31210" xr:uid="{736363A7-975E-4AFD-9BFC-B1DE92E99C0B}"/>
    <cellStyle name="AggOrange9 2 3 4 7" xfId="3012" xr:uid="{4D18B36F-63B8-440A-A0D3-0E38A5211940}"/>
    <cellStyle name="AggOrange9 2 3 4 8" xfId="3984" xr:uid="{5AB9315B-4D72-4080-8E64-5E7DFEBC6B63}"/>
    <cellStyle name="AggOrange9 2 3 4 9" xfId="4422" xr:uid="{3C961F14-FD22-4251-8B97-3507B4CF1293}"/>
    <cellStyle name="AggOrange9 2 3 40" xfId="17982" xr:uid="{2719DF77-7A87-4D95-A1C7-AE43AEC3EED9}"/>
    <cellStyle name="AggOrange9 2 3 41" xfId="18893" xr:uid="{5CA2B392-A657-4633-A8F5-A75FA13D2BF6}"/>
    <cellStyle name="AggOrange9 2 3 42" xfId="17910" xr:uid="{A945FB8D-BBFB-4A82-91C9-66BC97641446}"/>
    <cellStyle name="AggOrange9 2 3 43" xfId="19651" xr:uid="{9B9AC9EE-385E-446B-9FED-F8ED4EA6C7EC}"/>
    <cellStyle name="AggOrange9 2 3 44" xfId="19490" xr:uid="{C0ABB8CD-B846-4E0B-93C6-7F8E457C7656}"/>
    <cellStyle name="AggOrange9 2 3 45" xfId="20636" xr:uid="{8DB45713-8AB3-4444-9495-3492D0B7826A}"/>
    <cellStyle name="AggOrange9 2 3 46" xfId="20402" xr:uid="{2433155F-2AB5-4CC7-A1ED-767C4202A157}"/>
    <cellStyle name="AggOrange9 2 3 47" xfId="21518" xr:uid="{AE504A51-0FCD-4A34-818E-5E82899C3FAF}"/>
    <cellStyle name="AggOrange9 2 3 48" xfId="21839" xr:uid="{B5DAC0C3-DB8F-4DE9-865E-98D984A34C26}"/>
    <cellStyle name="AggOrange9 2 3 49" xfId="21894" xr:uid="{6ACE3327-DDD1-4F33-ADC8-0B6F8F715963}"/>
    <cellStyle name="AggOrange9 2 3 5" xfId="944" xr:uid="{B55CF01E-E485-435F-9356-D06276429D4A}"/>
    <cellStyle name="AggOrange9 2 3 50" xfId="23169" xr:uid="{642484E7-5DE1-4524-B94A-BC0172F923E9}"/>
    <cellStyle name="AggOrange9 2 3 51" xfId="23170" xr:uid="{22B2076F-A2E8-4EBF-AF25-DB1F200D0C10}"/>
    <cellStyle name="AggOrange9 2 3 52" xfId="21725" xr:uid="{E8A33064-4B31-4EA5-AAE8-32B7A826AD0D}"/>
    <cellStyle name="AggOrange9 2 3 53" xfId="24371" xr:uid="{253CF1D2-CE9A-47FE-9623-4123BB0BF59C}"/>
    <cellStyle name="AggOrange9 2 3 54" xfId="25031" xr:uid="{B6F08522-74D3-4D76-952D-6C918B3D46D7}"/>
    <cellStyle name="AggOrange9 2 3 55" xfId="24546" xr:uid="{D234F1E9-58D2-4E3E-9FE9-204742F01411}"/>
    <cellStyle name="AggOrange9 2 3 56" xfId="26017" xr:uid="{72B4BC39-01F8-4ADE-9632-395992D1AB3F}"/>
    <cellStyle name="AggOrange9 2 3 57" xfId="25498" xr:uid="{D9536AC4-FA36-43FD-A878-42969E080CCE}"/>
    <cellStyle name="AggOrange9 2 3 58" xfId="26673" xr:uid="{AC411A10-B5D5-4246-97A5-E7852D085088}"/>
    <cellStyle name="AggOrange9 2 3 59" xfId="26503" xr:uid="{3D8EAAF0-B69D-4CA6-8E1D-B696C135BF7F}"/>
    <cellStyle name="AggOrange9 2 3 6" xfId="1535" xr:uid="{B28D75CC-AF6F-474C-B5E6-108DA77C50C5}"/>
    <cellStyle name="AggOrange9 2 3 60" xfId="26672" xr:uid="{6E3F1A42-60F8-49A2-9D8A-1A81E916AD1B}"/>
    <cellStyle name="AggOrange9 2 3 61" xfId="28142" xr:uid="{6273417A-4198-4E94-92B0-ADDA947D35B6}"/>
    <cellStyle name="AggOrange9 2 3 62" xfId="27927" xr:uid="{B87A9173-EE83-4984-96D2-1D9EC3BD28A7}"/>
    <cellStyle name="AggOrange9 2 3 63" xfId="27926" xr:uid="{6259BDBB-26E9-418D-859E-560954023E98}"/>
    <cellStyle name="AggOrange9 2 3 64" xfId="28195" xr:uid="{24810EB6-523B-467F-A545-DB0D169F05B1}"/>
    <cellStyle name="AggOrange9 2 3 65" xfId="29607" xr:uid="{3B06F158-5817-4102-83E7-C1C31F03B2C1}"/>
    <cellStyle name="AggOrange9 2 3 66" xfId="28177" xr:uid="{1CFE0E67-3E46-49B4-B18C-8A2E7B966615}"/>
    <cellStyle name="AggOrange9 2 3 67" xfId="28311" xr:uid="{88A6CC1B-F518-4E83-BFB7-595F15E7C8DA}"/>
    <cellStyle name="AggOrange9 2 3 68" xfId="30615" xr:uid="{1D530D7A-F60C-4F29-9E4D-457A361A125E}"/>
    <cellStyle name="AggOrange9 2 3 7" xfId="2091" xr:uid="{02DE139B-10C0-45AA-8189-10E8354F4C95}"/>
    <cellStyle name="AggOrange9 2 3 8" xfId="2272" xr:uid="{37114F37-5C35-4A41-969E-CC0DE326233B}"/>
    <cellStyle name="AggOrange9 2 3 9" xfId="3297" xr:uid="{6EC3386F-BB3D-4BC3-99B4-C23C9E949B3F}"/>
    <cellStyle name="AggOrange9 3" xfId="408" xr:uid="{6F42F83B-5566-491D-BEC1-15E34F81203B}"/>
    <cellStyle name="AggOrange9 3 2" xfId="597" xr:uid="{D2BBCFEA-23E9-4463-82F2-E3AA697257B2}"/>
    <cellStyle name="AggOrange9 3 2 10" xfId="3593" xr:uid="{A9D36F16-FDA7-4810-A500-0F1D173CA105}"/>
    <cellStyle name="AggOrange9 3 2 11" xfId="5245" xr:uid="{BCD83DFB-CFA5-449F-B97C-9254D6B240AD}"/>
    <cellStyle name="AggOrange9 3 2 12" xfId="5922" xr:uid="{1DE4B44A-0CAA-4007-94D3-1C62E36D35E8}"/>
    <cellStyle name="AggOrange9 3 2 13" xfId="6279" xr:uid="{BA4AE5CC-2D03-4F65-A7FB-81C05198BEB7}"/>
    <cellStyle name="AggOrange9 3 2 14" xfId="6256" xr:uid="{EED8E698-C2FC-443E-ABAC-84F3BB856EA3}"/>
    <cellStyle name="AggOrange9 3 2 15" xfId="7317" xr:uid="{4C3964BD-72F0-489E-B2FF-8099F2D0B95D}"/>
    <cellStyle name="AggOrange9 3 2 16" xfId="7914" xr:uid="{09BC0642-6D60-4F1C-A52E-20E372369896}"/>
    <cellStyle name="AggOrange9 3 2 17" xfId="6749" xr:uid="{5197F3C3-762B-421B-8D0B-E8F5C8AC5AB3}"/>
    <cellStyle name="AggOrange9 3 2 18" xfId="8226" xr:uid="{D1D0903A-7A3A-4DD2-9F55-C6DB7E6BE96C}"/>
    <cellStyle name="AggOrange9 3 2 19" xfId="9531" xr:uid="{3650A024-4805-4F41-9AC1-96B5F52FF49C}"/>
    <cellStyle name="AggOrange9 3 2 2" xfId="812" xr:uid="{953C128A-7A1D-4485-A300-A6244DE41AAA}"/>
    <cellStyle name="AggOrange9 3 2 2 10" xfId="5460" xr:uid="{0E3E3C14-413B-487B-97C3-BA08A1AD35CD}"/>
    <cellStyle name="AggOrange9 3 2 2 11" xfId="4851" xr:uid="{65FFA5D5-9D4E-48ED-AC11-7E0E23FE4DAB}"/>
    <cellStyle name="AggOrange9 3 2 2 12" xfId="5708" xr:uid="{6930593E-738D-44FA-8D6A-A4AED0C9D900}"/>
    <cellStyle name="AggOrange9 3 2 2 13" xfId="6394" xr:uid="{AEF3EF12-2E37-4D1F-94EE-C2A90DA8ED0B}"/>
    <cellStyle name="AggOrange9 3 2 2 14" xfId="7532" xr:uid="{5BABD927-3285-4AF3-BE3D-634EFF6B8D86}"/>
    <cellStyle name="AggOrange9 3 2 2 15" xfId="7204" xr:uid="{696A4C9A-3C65-4544-B886-88CF340EBBBA}"/>
    <cellStyle name="AggOrange9 3 2 2 16" xfId="8005" xr:uid="{BDC1328D-01CE-41DB-B2E9-70985400B125}"/>
    <cellStyle name="AggOrange9 3 2 2 17" xfId="8423" xr:uid="{7AFA9530-F070-4DE2-9B28-AC1537B2939F}"/>
    <cellStyle name="AggOrange9 3 2 2 18" xfId="9746" xr:uid="{F78DDD5E-A17A-4505-B92A-C08B3B6488A1}"/>
    <cellStyle name="AggOrange9 3 2 2 19" xfId="9417" xr:uid="{FBDA29CE-A9A1-4920-8D4E-E7128E35CE5F}"/>
    <cellStyle name="AggOrange9 3 2 2 2" xfId="1286" xr:uid="{CC8B8CCE-E90C-48B5-87ED-0F6B00B35E1F}"/>
    <cellStyle name="AggOrange9 3 2 2 20" xfId="10210" xr:uid="{F89ED520-DEC3-4BB5-99B2-C7F80674C4A9}"/>
    <cellStyle name="AggOrange9 3 2 2 21" xfId="10960" xr:uid="{C885E398-233D-493D-ADFE-DF1A7C67D3AB}"/>
    <cellStyle name="AggOrange9 3 2 2 22" xfId="11172" xr:uid="{D449E8BF-049D-441B-832D-0663B28D6756}"/>
    <cellStyle name="AggOrange9 3 2 2 23" xfId="12165" xr:uid="{9251F7D7-DF0F-4456-B1FE-178F41B497A5}"/>
    <cellStyle name="AggOrange9 3 2 2 24" xfId="12638" xr:uid="{13DBB192-CCAC-4596-9518-B137650C2B5C}"/>
    <cellStyle name="AggOrange9 3 2 2 25" xfId="13072" xr:uid="{9E8F1D82-1BAB-43A9-AF1D-77EB998DE4CA}"/>
    <cellStyle name="AggOrange9 3 2 2 26" xfId="13509" xr:uid="{83BD896B-6CB0-4308-A80B-EE5D646689FF}"/>
    <cellStyle name="AggOrange9 3 2 2 27" xfId="11537" xr:uid="{05EA10F3-8273-492C-9002-9B006CD7EB90}"/>
    <cellStyle name="AggOrange9 3 2 2 28" xfId="13851" xr:uid="{A224B10C-EDE2-4F13-B43F-EB9DAFC10F37}"/>
    <cellStyle name="AggOrange9 3 2 2 29" xfId="13648" xr:uid="{D5961017-ABD4-4714-AF1D-44FFCD6EF356}"/>
    <cellStyle name="AggOrange9 3 2 2 3" xfId="1421" xr:uid="{FAC6F471-12C2-4ADD-9BF7-925EC1C00B2E}"/>
    <cellStyle name="AggOrange9 3 2 2 30" xfId="15109" xr:uid="{A2975FE4-C8F7-4EA2-97B3-00CC39C1FEF3}"/>
    <cellStyle name="AggOrange9 3 2 2 31" xfId="15360" xr:uid="{304F7974-925F-4A90-84D5-371C0189DF56}"/>
    <cellStyle name="AggOrange9 3 2 2 32" xfId="15453" xr:uid="{12CB66DA-011E-4C28-99A4-B691C6027EC1}"/>
    <cellStyle name="AggOrange9 3 2 2 33" xfId="16857" xr:uid="{E39A3F79-3133-4B38-91CA-E3B7874EB437}"/>
    <cellStyle name="AggOrange9 3 2 2 34" xfId="16526" xr:uid="{32CA80CE-6E33-42C8-9522-FFFCDA7C6A7E}"/>
    <cellStyle name="AggOrange9 3 2 2 35" xfId="17331" xr:uid="{3EDABE09-C251-4ECD-90F4-41C42CB4B4BC}"/>
    <cellStyle name="AggOrange9 3 2 2 36" xfId="18208" xr:uid="{B9C87102-10BF-4ED7-8650-144CC7006115}"/>
    <cellStyle name="AggOrange9 3 2 2 37" xfId="18675" xr:uid="{0B11D254-73B8-4B2E-B281-1E41BEB489D8}"/>
    <cellStyle name="AggOrange9 3 2 2 38" xfId="17801" xr:uid="{08295377-FA9A-448A-B2D5-6E1B2278535D}"/>
    <cellStyle name="AggOrange9 3 2 2 39" xfId="18004" xr:uid="{5B15D25A-C1FA-4FFE-8107-D72C31A154F9}"/>
    <cellStyle name="AggOrange9 3 2 2 4" xfId="2634" xr:uid="{CE973EBA-CE84-4A07-8270-50B70FC66FF1}"/>
    <cellStyle name="AggOrange9 3 2 2 40" xfId="20194" xr:uid="{9DCF524A-9920-4E7A-BF7A-8D5BAFD4C861}"/>
    <cellStyle name="AggOrange9 3 2 2 41" xfId="19862" xr:uid="{DE1A3F26-65B8-4409-A0AD-499AD9035F72}"/>
    <cellStyle name="AggOrange9 3 2 2 42" xfId="20686" xr:uid="{3CE10B97-93E8-4856-8CBC-666E9D87710D}"/>
    <cellStyle name="AggOrange9 3 2 2 43" xfId="20906" xr:uid="{855335F6-CBFB-475E-8CEE-13B7A86322BD}"/>
    <cellStyle name="AggOrange9 3 2 2 44" xfId="20595" xr:uid="{B0CA0DA0-19D7-40EB-873C-A2427FD47AD5}"/>
    <cellStyle name="AggOrange9 3 2 2 45" xfId="20786" xr:uid="{AFB22145-4F41-4CBF-992A-1A66F502383A}"/>
    <cellStyle name="AggOrange9 3 2 2 46" xfId="19742" xr:uid="{C942F214-42EC-43B9-9FC0-64FBE83ACBEC}"/>
    <cellStyle name="AggOrange9 3 2 2 47" xfId="22293" xr:uid="{0BD82114-EF72-47DE-8EC1-E4D6698FF3F5}"/>
    <cellStyle name="AggOrange9 3 2 2 48" xfId="23518" xr:uid="{E0A20FF1-6FF3-457A-8150-86C50F36E113}"/>
    <cellStyle name="AggOrange9 3 2 2 49" xfId="23994" xr:uid="{D8838B53-C02B-42D6-B7C4-48479B72C541}"/>
    <cellStyle name="AggOrange9 3 2 2 5" xfId="2713" xr:uid="{FD776FCB-80A9-4269-B37F-46E1FF4B4BBD}"/>
    <cellStyle name="AggOrange9 3 2 2 50" xfId="24902" xr:uid="{8172E975-FDCF-4177-837D-A59444E08E6A}"/>
    <cellStyle name="AggOrange9 3 2 2 51" xfId="24566" xr:uid="{BDE053F2-B304-481C-8956-D358BFE3FD37}"/>
    <cellStyle name="AggOrange9 3 2 2 52" xfId="25818" xr:uid="{F298CEEE-3567-42E7-A284-3E5EFDE0212E}"/>
    <cellStyle name="AggOrange9 3 2 2 53" xfId="24348" xr:uid="{A7A4272A-9C9E-4B63-A963-72B09373A2C1}"/>
    <cellStyle name="AggOrange9 3 2 2 54" xfId="26676" xr:uid="{BABDEF61-839D-4702-88D9-B5D36449F97F}"/>
    <cellStyle name="AggOrange9 3 2 2 55" xfId="27106" xr:uid="{DF50E847-AD7E-4CCA-AD04-5393E28FF908}"/>
    <cellStyle name="AggOrange9 3 2 2 56" xfId="27525" xr:uid="{41978612-CAFE-4E88-8083-EB3B4E7C8908}"/>
    <cellStyle name="AggOrange9 3 2 2 57" xfId="25970" xr:uid="{A84B4447-6EDB-4247-9063-007A0D6B3EB4}"/>
    <cellStyle name="AggOrange9 3 2 2 58" xfId="28652" xr:uid="{23331CDA-92E6-4930-AAED-ACBA4BEFCC2C}"/>
    <cellStyle name="AggOrange9 3 2 2 59" xfId="29119" xr:uid="{C7A89AE9-483C-441C-9406-27BA1062BADB}"/>
    <cellStyle name="AggOrange9 3 2 2 6" xfId="3324" xr:uid="{BE2FD3C4-F0B4-40F6-98C8-280BF9FD1B2A}"/>
    <cellStyle name="AggOrange9 3 2 2 60" xfId="28795" xr:uid="{EF17D128-A51E-4533-B9DB-E58D022CA6D6}"/>
    <cellStyle name="AggOrange9 3 2 2 61" xfId="29908" xr:uid="{7E41B832-5685-4060-8088-D807CE7C2CA7}"/>
    <cellStyle name="AggOrange9 3 2 2 62" xfId="30314" xr:uid="{1997B88F-A465-4A7A-827E-3482DD256947}"/>
    <cellStyle name="AggOrange9 3 2 2 63" xfId="30731" xr:uid="{3B8CBB9C-2502-4C8A-BF73-35BA1A790D00}"/>
    <cellStyle name="AggOrange9 3 2 2 64" xfId="28055" xr:uid="{EDDCA812-1883-4097-B36E-60C3BD70D197}"/>
    <cellStyle name="AggOrange9 3 2 2 65" xfId="31347" xr:uid="{E76CF395-876A-432B-98CC-F3C31CB1DE91}"/>
    <cellStyle name="AggOrange9 3 2 2 7" xfId="4130" xr:uid="{4451C1DE-CEA5-4BEE-BED5-1EE66FE25F99}"/>
    <cellStyle name="AggOrange9 3 2 2 8" xfId="4567" xr:uid="{F313578A-74F6-488C-B254-30C8A36E7896}"/>
    <cellStyle name="AggOrange9 3 2 2 9" xfId="3273" xr:uid="{9B762390-7D32-4D3E-AB52-B4AA7C80E803}"/>
    <cellStyle name="AggOrange9 3 2 20" xfId="10128" xr:uid="{FD0DD6E8-A02B-4C8F-B4D9-623454893A73}"/>
    <cellStyle name="AggOrange9 3 2 21" xfId="10538" xr:uid="{CADC470B-D450-4A81-BC2E-AE9430738847}"/>
    <cellStyle name="AggOrange9 3 2 22" xfId="9836" xr:uid="{B6674146-1790-4F88-8C77-F3D5ED7499F1}"/>
    <cellStyle name="AggOrange9 3 2 23" xfId="10663" xr:uid="{2AB8EA9C-4329-4B12-88F6-39D623B03462}"/>
    <cellStyle name="AggOrange9 3 2 24" xfId="11950" xr:uid="{7CEBBEF2-5201-4B49-968C-0842B756830E}"/>
    <cellStyle name="AggOrange9 3 2 25" xfId="12423" xr:uid="{766A0D14-ADE6-4B48-A4CC-504F784700B5}"/>
    <cellStyle name="AggOrange9 3 2 26" xfId="12857" xr:uid="{EF04C3CB-558B-4290-A6F0-7261480D4AFE}"/>
    <cellStyle name="AggOrange9 3 2 27" xfId="13294" xr:uid="{A75C429C-61C5-4D49-9E0D-6FD2D61CA68C}"/>
    <cellStyle name="AggOrange9 3 2 28" xfId="11649" xr:uid="{C6231EBC-4747-4905-9299-A70D45E14042}"/>
    <cellStyle name="AggOrange9 3 2 29" xfId="14283" xr:uid="{2536627C-7017-41D0-BFA7-D8761AA8F7A5}"/>
    <cellStyle name="AggOrange9 3 2 3" xfId="1080" xr:uid="{D46D383D-CF24-4829-BDC2-06DABDB028EB}"/>
    <cellStyle name="AggOrange9 3 2 30" xfId="14229" xr:uid="{DB640BA9-0C97-4E91-8366-3E207E15D95D}"/>
    <cellStyle name="AggOrange9 3 2 31" xfId="14435" xr:uid="{E679A1C9-9C61-4077-8925-B2BA74B61154}"/>
    <cellStyle name="AggOrange9 3 2 32" xfId="14570" xr:uid="{A4175F0C-5ADB-45C4-8D09-37C6A87FED98}"/>
    <cellStyle name="AggOrange9 3 2 33" xfId="15922" xr:uid="{FA3EE8E0-3144-42AE-B1CB-2CF70F2CFAF8}"/>
    <cellStyle name="AggOrange9 3 2 34" xfId="16642" xr:uid="{A58D2565-2F23-488B-98D2-617B1F60B992}"/>
    <cellStyle name="AggOrange9 3 2 35" xfId="17247" xr:uid="{8BAEB11F-0CB1-4A5C-85B7-97519EA11923}"/>
    <cellStyle name="AggOrange9 3 2 36" xfId="17691" xr:uid="{98AD04DB-F28E-48D9-B138-3F3323A3E61C}"/>
    <cellStyle name="AggOrange9 3 2 37" xfId="17787" xr:uid="{19986764-F5D1-4350-AF18-2AFDCE5C41FA}"/>
    <cellStyle name="AggOrange9 3 2 38" xfId="18460" xr:uid="{9DC86B71-CD86-48BB-9EED-2D58DAF6BB7A}"/>
    <cellStyle name="AggOrange9 3 2 39" xfId="18181" xr:uid="{97173DE0-1ECF-45C6-BA10-26D2654D3326}"/>
    <cellStyle name="AggOrange9 3 2 4" xfId="1454" xr:uid="{E6C73A95-8F2B-4E05-A0B3-54E4EC34A706}"/>
    <cellStyle name="AggOrange9 3 2 40" xfId="18868" xr:uid="{AAB216B4-CDA7-4759-B9EC-45FA1930550A}"/>
    <cellStyle name="AggOrange9 3 2 41" xfId="19979" xr:uid="{64AC57D4-F3A9-478E-8CF3-97AE5804D3E0}"/>
    <cellStyle name="AggOrange9 3 2 42" xfId="20597" xr:uid="{A14D6596-BD44-4F8B-A736-7462C3498BFA}"/>
    <cellStyle name="AggOrange9 3 2 43" xfId="21052" xr:uid="{5AE06830-6B9D-4DBD-B159-97F26FD09C9F}"/>
    <cellStyle name="AggOrange9 3 2 44" xfId="21381" xr:uid="{6D217DFA-89C9-47C1-B918-8FBA87DDF5EB}"/>
    <cellStyle name="AggOrange9 3 2 45" xfId="21983" xr:uid="{A18180A8-6C2F-46DB-89D5-3E613D8F986B}"/>
    <cellStyle name="AggOrange9 3 2 46" xfId="22414" xr:uid="{3320D6CF-7012-4460-A2E3-BF45FCD243AE}"/>
    <cellStyle name="AggOrange9 3 2 47" xfId="21873" xr:uid="{7E6A6A29-1D19-4A72-AF61-7DE79733818B}"/>
    <cellStyle name="AggOrange9 3 2 48" xfId="22183" xr:uid="{F9D34B20-FBCA-474A-8760-766C476E94AF}"/>
    <cellStyle name="AggOrange9 3 2 49" xfId="22642" xr:uid="{0C1E7719-13E9-40E3-A34C-047109512A74}"/>
    <cellStyle name="AggOrange9 3 2 5" xfId="2419" xr:uid="{F6C6C17A-AA2D-45FC-BB8A-340FEC0C50AE}"/>
    <cellStyle name="AggOrange9 3 2 50" xfId="23788" xr:uid="{277197B5-4AC7-4D24-A0F2-DC30C9D0D67B}"/>
    <cellStyle name="AggOrange9 3 2 51" xfId="24687" xr:uid="{E94CB4A6-DCF8-475D-848F-9F32C22BB32B}"/>
    <cellStyle name="AggOrange9 3 2 52" xfId="25306" xr:uid="{00B72FC8-3338-4C22-81BA-6EE71CE6F809}"/>
    <cellStyle name="AggOrange9 3 2 53" xfId="25605" xr:uid="{7138EE46-2787-4718-B251-57DDF9D8EA62}"/>
    <cellStyle name="AggOrange9 3 2 54" xfId="25483" xr:uid="{F0C4AED5-22D6-4E24-BEF1-01BE732ACF9B}"/>
    <cellStyle name="AggOrange9 3 2 55" xfId="26588" xr:uid="{5047C09F-2758-43A8-90F3-D751B693FC04}"/>
    <cellStyle name="AggOrange9 3 2 56" xfId="26895" xr:uid="{606AAA30-0ED3-476B-A049-B6ECB3ED2681}"/>
    <cellStyle name="AggOrange9 3 2 57" xfId="27314" xr:uid="{B2512FB0-0BC3-4520-918E-5F96AAEC6DEC}"/>
    <cellStyle name="AggOrange9 3 2 58" xfId="27714" xr:uid="{3519B99B-2CEF-419C-A0A3-4CFAA5D0C809}"/>
    <cellStyle name="AggOrange9 3 2 59" xfId="28437" xr:uid="{D60B2445-D784-44E4-AD44-3C19E41D64A2}"/>
    <cellStyle name="AggOrange9 3 2 6" xfId="2289" xr:uid="{01CA79EC-B455-4AF4-A36D-1F003A7F4709}"/>
    <cellStyle name="AggOrange9 3 2 60" xfId="28905" xr:uid="{699AAFBE-E9DD-44CD-ADD8-CECB7638C3B5}"/>
    <cellStyle name="AggOrange9 3 2 61" xfId="29428" xr:uid="{0148226D-FA1B-42B7-8CFD-C67C85B59C4A}"/>
    <cellStyle name="AggOrange9 3 2 62" xfId="29695" xr:uid="{A63FD401-4DC3-4346-8EA5-D269658E9462}"/>
    <cellStyle name="AggOrange9 3 2 63" xfId="30103" xr:uid="{762EB609-4EE4-4A8A-A9F6-D685A4DCAAB3}"/>
    <cellStyle name="AggOrange9 3 2 64" xfId="30517" xr:uid="{D5B665B3-A152-4ED1-A7E4-B75A31141E22}"/>
    <cellStyle name="AggOrange9 3 2 65" xfId="30852" xr:uid="{A8D4399F-CE81-410F-B190-59BDEA2914B1}"/>
    <cellStyle name="AggOrange9 3 2 66" xfId="31141" xr:uid="{D05E9FF0-6C2C-4FE0-955E-2C39F2179D70}"/>
    <cellStyle name="AggOrange9 3 2 7" xfId="2298" xr:uid="{1786538D-3D98-40C4-A259-77E83C3CA3F8}"/>
    <cellStyle name="AggOrange9 3 2 8" xfId="3915" xr:uid="{A6664AC4-445D-42DD-8C08-236D861FD93D}"/>
    <cellStyle name="AggOrange9 3 2 9" xfId="4353" xr:uid="{12CC3EDC-CA3D-4BF1-9490-72469CC8CC1C}"/>
    <cellStyle name="AggOrange9 3 3" xfId="715" xr:uid="{5D22E125-D3B4-4FEC-95AF-DC72E75B51C7}"/>
    <cellStyle name="AggOrange9 3 3 10" xfId="5363" xr:uid="{BCE1E7AA-2AB9-49A7-A7F9-68E1A75F325C}"/>
    <cellStyle name="AggOrange9 3 3 11" xfId="5821" xr:uid="{28E5BF18-E1EE-48FD-878A-F093680946F0}"/>
    <cellStyle name="AggOrange9 3 3 12" xfId="5759" xr:uid="{5BCF3E41-F5A9-40EA-AB93-011BBAFD3CE4}"/>
    <cellStyle name="AggOrange9 3 3 13" xfId="3393" xr:uid="{A5C26904-24B8-4BB5-A42F-EDE91E4FB241}"/>
    <cellStyle name="AggOrange9 3 3 14" xfId="7435" xr:uid="{315CD689-CE7E-481A-9B51-7D97114B87C9}"/>
    <cellStyle name="AggOrange9 3 3 15" xfId="6861" xr:uid="{9583E487-94E7-4560-AA64-DBE18EA249C5}"/>
    <cellStyle name="AggOrange9 3 3 16" xfId="8091" xr:uid="{F1AE11B7-9C39-4458-9C5D-33B7ADF8CF6C}"/>
    <cellStyle name="AggOrange9 3 3 17" xfId="7913" xr:uid="{F0B2F615-0F0B-4F9C-9EE3-77B01324E91D}"/>
    <cellStyle name="AggOrange9 3 3 18" xfId="9649" xr:uid="{8017EF00-C71D-4F53-98EB-7DBAB165671C}"/>
    <cellStyle name="AggOrange9 3 3 19" xfId="9076" xr:uid="{78B109A9-B7E2-4547-A237-20E3CE48A276}"/>
    <cellStyle name="AggOrange9 3 3 2" xfId="1189" xr:uid="{FD3B597D-53C3-4132-A578-24B228014FC2}"/>
    <cellStyle name="AggOrange9 3 3 20" xfId="10294" xr:uid="{C23242E1-9F29-4603-B257-AC73D928590F}"/>
    <cellStyle name="AggOrange9 3 3 21" xfId="9972" xr:uid="{6E419CFB-F727-45C3-80F2-22CD93EE785F}"/>
    <cellStyle name="AggOrange9 3 3 22" xfId="11261" xr:uid="{E94A917A-CC2E-4215-B051-45488731F162}"/>
    <cellStyle name="AggOrange9 3 3 23" xfId="12068" xr:uid="{561CED4D-FCF1-491A-B1C7-FFEB482AE23A}"/>
    <cellStyle name="AggOrange9 3 3 24" xfId="12541" xr:uid="{076F16E6-520D-4C3E-94CC-FEAA2C68DA12}"/>
    <cellStyle name="AggOrange9 3 3 25" xfId="12975" xr:uid="{C8AA227C-C197-44E9-B52C-FA17825E6179}"/>
    <cellStyle name="AggOrange9 3 3 26" xfId="13412" xr:uid="{967AEB4D-E692-4170-A34D-D460FFCB4C40}"/>
    <cellStyle name="AggOrange9 3 3 27" xfId="12321" xr:uid="{8CB5BD43-4190-4DF4-BCC3-44B67E7E23A1}"/>
    <cellStyle name="AggOrange9 3 3 28" xfId="13993" xr:uid="{3F8FB1BA-687A-456F-B317-CDA11ECDF050}"/>
    <cellStyle name="AggOrange9 3 3 29" xfId="14395" xr:uid="{896687A1-F61C-41FB-9415-A050FE06F44B}"/>
    <cellStyle name="AggOrange9 3 3 3" xfId="1446" xr:uid="{F5A267A7-FC80-4F2C-AE73-3D1A7267458D}"/>
    <cellStyle name="AggOrange9 3 3 30" xfId="15020" xr:uid="{DA1E2311-8C20-46C6-ADC6-79106C905F33}"/>
    <cellStyle name="AggOrange9 3 3 31" xfId="12735" xr:uid="{55B9240A-D9CB-45E5-AEAB-191AAEAEE68B}"/>
    <cellStyle name="AggOrange9 3 3 32" xfId="15367" xr:uid="{E7610EA4-B5A5-4780-9320-F6EF19D5411A}"/>
    <cellStyle name="AggOrange9 3 3 33" xfId="16760" xr:uid="{55A472D6-939B-4D2F-A70D-C14A7EE59095}"/>
    <cellStyle name="AggOrange9 3 3 34" xfId="16177" xr:uid="{67AE4C6B-B955-46DD-8EFC-F4B68344E77A}"/>
    <cellStyle name="AggOrange9 3 3 35" xfId="17195" xr:uid="{C1E0636F-5283-485C-BC58-3812DDDDDD82}"/>
    <cellStyle name="AggOrange9 3 3 36" xfId="18037" xr:uid="{99B98654-12E8-4B8C-88F8-22EBAFDCC6CB}"/>
    <cellStyle name="AggOrange9 3 3 37" xfId="18578" xr:uid="{BDAF9A3E-855C-4AAE-9580-E36FD1F68555}"/>
    <cellStyle name="AggOrange9 3 3 38" xfId="18259" xr:uid="{D8B0A7D3-2DDF-44AF-BBAC-ABB8BAA31092}"/>
    <cellStyle name="AggOrange9 3 3 39" xfId="16167" xr:uid="{23AA4EEC-8A4F-4ADE-A00E-D8A9FC95F88C}"/>
    <cellStyle name="AggOrange9 3 3 4" xfId="2537" xr:uid="{02779AFA-4D65-4072-9497-2399E01812F9}"/>
    <cellStyle name="AggOrange9 3 3 40" xfId="20097" xr:uid="{D23F9EBC-24FC-4F2B-9BF2-81B841091D92}"/>
    <cellStyle name="AggOrange9 3 3 41" xfId="19507" xr:uid="{74289C74-F8A6-4020-9E12-857429E45F67}"/>
    <cellStyle name="AggOrange9 3 3 42" xfId="20651" xr:uid="{62D44477-912D-4488-9159-32547A928761}"/>
    <cellStyle name="AggOrange9 3 3 43" xfId="20563" xr:uid="{B44D65FA-B8F4-4B73-A658-080828000D9F}"/>
    <cellStyle name="AggOrange9 3 3 44" xfId="20821" xr:uid="{9EEB3F2E-0C7B-4DC7-A7D1-4746D85D583C}"/>
    <cellStyle name="AggOrange9 3 3 45" xfId="20943" xr:uid="{FE3FE2FA-B18B-45CC-87EF-AEF69A8ADB3B}"/>
    <cellStyle name="AggOrange9 3 3 46" xfId="22113" xr:uid="{1E8A8955-F656-4425-A189-2A390120A04B}"/>
    <cellStyle name="AggOrange9 3 3 47" xfId="22791" xr:uid="{86C4020A-A3E3-45D3-AC60-826E84C52020}"/>
    <cellStyle name="AggOrange9 3 3 48" xfId="23047" xr:uid="{F782FE88-226B-40E2-9A08-409C9EF10DFF}"/>
    <cellStyle name="AggOrange9 3 3 49" xfId="23897" xr:uid="{041C7D5C-A99E-4F4B-B692-DC8149E57195}"/>
    <cellStyle name="AggOrange9 3 3 5" xfId="2046" xr:uid="{654863E2-E858-437B-BA18-C658DAB0F908}"/>
    <cellStyle name="AggOrange9 3 3 50" xfId="24805" xr:uid="{B00E2E24-924B-4314-8324-5A5CCD1DB68C}"/>
    <cellStyle name="AggOrange9 3 3 51" xfId="24114" xr:uid="{7E505C9F-B725-434D-8494-AA84F8001807}"/>
    <cellStyle name="AggOrange9 3 3 52" xfId="25721" xr:uid="{CF7EEEAA-0610-4A20-8F33-29E236BF3010}"/>
    <cellStyle name="AggOrange9 3 3 53" xfId="25902" xr:uid="{091D1231-1D90-43BF-B769-010C2CCF988E}"/>
    <cellStyle name="AggOrange9 3 3 54" xfId="25154" xr:uid="{D21B206A-AA71-42B8-88FA-D7C2DC07C4A8}"/>
    <cellStyle name="AggOrange9 3 3 55" xfId="27009" xr:uid="{768F48AF-995D-461E-BBA1-D33FA39A704F}"/>
    <cellStyle name="AggOrange9 3 3 56" xfId="27428" xr:uid="{D33E30F0-5704-44F0-B14E-E2A486B7A74F}"/>
    <cellStyle name="AggOrange9 3 3 57" xfId="26525" xr:uid="{90626254-8013-4D5F-86CB-CA651D696536}"/>
    <cellStyle name="AggOrange9 3 3 58" xfId="28555" xr:uid="{3AFE2457-0237-4242-A5C9-9E298EFB21B4}"/>
    <cellStyle name="AggOrange9 3 3 59" xfId="29022" xr:uid="{DAAC8C51-2751-47D4-9DDF-9229182EBB36}"/>
    <cellStyle name="AggOrange9 3 3 6" xfId="2977" xr:uid="{8CD46B8B-EC03-423B-9DE3-CC3855C32E84}"/>
    <cellStyle name="AggOrange9 3 3 60" xfId="28170" xr:uid="{991800C9-B778-47C7-B757-4DF603BFA6D5}"/>
    <cellStyle name="AggOrange9 3 3 61" xfId="29811" xr:uid="{96910CD1-BEF2-4ABE-A3D2-9442E5A159D1}"/>
    <cellStyle name="AggOrange9 3 3 62" xfId="30217" xr:uid="{33B94F4D-83CB-4B94-9182-829261A257BD}"/>
    <cellStyle name="AggOrange9 3 3 63" xfId="30634" xr:uid="{5703A707-A2A3-4F0D-9B9E-60C1D4168261}"/>
    <cellStyle name="AggOrange9 3 3 64" xfId="30907" xr:uid="{12277BDB-51B9-485F-B5B7-07893BA1DDC9}"/>
    <cellStyle name="AggOrange9 3 3 65" xfId="31250" xr:uid="{05F1BD92-E1EE-44D7-BE82-0FCCACEEC758}"/>
    <cellStyle name="AggOrange9 3 3 7" xfId="4033" xr:uid="{B8B88F1A-2CD6-4076-8FA1-83F9936096C3}"/>
    <cellStyle name="AggOrange9 3 3 8" xfId="4470" xr:uid="{BA530C96-1789-498C-AB31-ADAA42CEEE55}"/>
    <cellStyle name="AggOrange9 3 3 9" xfId="4762" xr:uid="{173B5DDA-0D54-4A9B-A5DF-0796387BBBD6}"/>
    <cellStyle name="AggOrange9 4" xfId="266" xr:uid="{F19A7FC1-CAB0-4B57-AF9D-5991FC0FDFE3}"/>
    <cellStyle name="AggOrange9 4 10" xfId="3635" xr:uid="{16FFCA76-6020-4DF1-8A5C-39E398C4EEC4}"/>
    <cellStyle name="AggOrange9 4 11" xfId="2323" xr:uid="{9774574F-C5CE-4882-B2A6-BFC6C021060A}"/>
    <cellStyle name="AggOrange9 4 12" xfId="3707" xr:uid="{07B95B4A-B159-40AC-A069-C56E3E564BA3}"/>
    <cellStyle name="AggOrange9 4 13" xfId="1860" xr:uid="{4342FAB0-7038-41AA-B2EB-B4A64124F463}"/>
    <cellStyle name="AggOrange9 4 14" xfId="5812" xr:uid="{8F71FAE0-99E9-4973-8A5B-18486247292E}"/>
    <cellStyle name="AggOrange9 4 15" xfId="5855" xr:uid="{0F05F6A3-AAC7-4F99-A996-769A5C32CB56}"/>
    <cellStyle name="AggOrange9 4 16" xfId="6689" xr:uid="{39F4B7A7-21FD-403B-B2D1-3675D2EA1DCD}"/>
    <cellStyle name="AggOrange9 4 17" xfId="6996" xr:uid="{AF0A0346-8643-4748-80E0-89BDF507DE6C}"/>
    <cellStyle name="AggOrange9 4 18" xfId="7645" xr:uid="{9FAB2093-48A0-48E6-9942-245BD81CB9F5}"/>
    <cellStyle name="AggOrange9 4 19" xfId="8464" xr:uid="{D4E73BF5-0874-4C37-8D5E-F9445B52742D}"/>
    <cellStyle name="AggOrange9 4 2" xfId="605" xr:uid="{9643F564-E0CB-4D6D-8B31-EE6B194DE6A6}"/>
    <cellStyle name="AggOrange9 4 2 10" xfId="3468" xr:uid="{916871AB-7C6D-4798-8491-C20EC93D51AB}"/>
    <cellStyle name="AggOrange9 4 2 11" xfId="5253" xr:uid="{57A84A5D-583D-4E85-8971-4E82B75B36ED}"/>
    <cellStyle name="AggOrange9 4 2 12" xfId="4664" xr:uid="{50F2EE6E-7892-4B65-927A-CA025277FEF8}"/>
    <cellStyle name="AggOrange9 4 2 13" xfId="6010" xr:uid="{2BFA813C-83E2-4FE9-B54A-8A94AB332034}"/>
    <cellStyle name="AggOrange9 4 2 14" xfId="6671" xr:uid="{66105B4A-A00A-4BFE-9409-7E1D18135791}"/>
    <cellStyle name="AggOrange9 4 2 15" xfId="7325" xr:uid="{77B97920-F0A6-4133-A053-1251FB317368}"/>
    <cellStyle name="AggOrange9 4 2 16" xfId="7751" xr:uid="{834D0540-F674-49FE-B445-22C0CF2FAEB3}"/>
    <cellStyle name="AggOrange9 4 2 17" xfId="6948" xr:uid="{E7D83EFF-417E-44FD-A175-3913989D8F44}"/>
    <cellStyle name="AggOrange9 4 2 18" xfId="8851" xr:uid="{5DD23759-1A6E-46AE-ADF9-EEB7E39024E2}"/>
    <cellStyle name="AggOrange9 4 2 19" xfId="9539" xr:uid="{9CB04FC2-C789-4F10-8155-1BBC19573C15}"/>
    <cellStyle name="AggOrange9 4 2 2" xfId="820" xr:uid="{99C0289D-38E4-4189-B84E-3B54A4C7E13A}"/>
    <cellStyle name="AggOrange9 4 2 2 10" xfId="5468" xr:uid="{31ED65D9-7AF6-4113-A24C-FAF5145A927D}"/>
    <cellStyle name="AggOrange9 4 2 2 11" xfId="5815" xr:uid="{D76B2F6B-FC3E-46CC-8FBC-98E5EABBC859}"/>
    <cellStyle name="AggOrange9 4 2 2 12" xfId="4894" xr:uid="{B456F33F-BBDA-43AE-A7FF-61C73575005F}"/>
    <cellStyle name="AggOrange9 4 2 2 13" xfId="6410" xr:uid="{A091F031-347F-49D2-8717-22A2CB6CA371}"/>
    <cellStyle name="AggOrange9 4 2 2 14" xfId="7540" xr:uid="{16EB538A-535E-4464-93A6-0B267A9B9517}"/>
    <cellStyle name="AggOrange9 4 2 2 15" xfId="6980" xr:uid="{512A58CA-67EF-4521-B3B8-70581DB1C4AC}"/>
    <cellStyle name="AggOrange9 4 2 2 16" xfId="7906" xr:uid="{B8A23D15-113C-41B4-A44B-95D62E84E28E}"/>
    <cellStyle name="AggOrange9 4 2 2 17" xfId="8793" xr:uid="{24B69960-947D-4C7F-A2E1-00ECAFBD9AEA}"/>
    <cellStyle name="AggOrange9 4 2 2 18" xfId="9754" xr:uid="{015568B0-358F-4C9D-960C-A4AD0C2A4A3B}"/>
    <cellStyle name="AggOrange9 4 2 2 19" xfId="9321" xr:uid="{FB03BCA3-B2C1-47E3-A6EC-1C5D91129857}"/>
    <cellStyle name="AggOrange9 4 2 2 2" xfId="1294" xr:uid="{D1B4EAE7-46AA-4CFE-8F3E-002067E7AC1D}"/>
    <cellStyle name="AggOrange9 4 2 2 20" xfId="9842" xr:uid="{2D896CDF-DA11-4B1C-AF93-3EC34CF2FEF0}"/>
    <cellStyle name="AggOrange9 4 2 2 21" xfId="10657" xr:uid="{EBBF226E-64CC-4B1A-91EF-390E21DD37DC}"/>
    <cellStyle name="AggOrange9 4 2 2 22" xfId="9954" xr:uid="{4E98AB5B-7580-4571-9C1A-20CCFE2FAFF8}"/>
    <cellStyle name="AggOrange9 4 2 2 23" xfId="12173" xr:uid="{C92B288A-D120-4592-A87C-835581607704}"/>
    <cellStyle name="AggOrange9 4 2 2 24" xfId="12646" xr:uid="{E9C614DF-5A12-4B2C-9C03-9CD339D5F3BB}"/>
    <cellStyle name="AggOrange9 4 2 2 25" xfId="13080" xr:uid="{C13D9DA1-AF20-4741-87E2-5AFAC62F5E9A}"/>
    <cellStyle name="AggOrange9 4 2 2 26" xfId="13517" xr:uid="{B7D9964F-AFDD-421C-8AFE-9B1DA3FCCD95}"/>
    <cellStyle name="AggOrange9 4 2 2 27" xfId="11597" xr:uid="{2FB5C1B7-263D-4ACB-B5E9-BE3DBC7F80EB}"/>
    <cellStyle name="AggOrange9 4 2 2 28" xfId="13930" xr:uid="{198FD394-59EB-4195-BE1E-2FF8AF9CC68B}"/>
    <cellStyle name="AggOrange9 4 2 2 29" xfId="11367" xr:uid="{8B7F0F93-1DA6-4392-BE94-45E23915AA1A}"/>
    <cellStyle name="AggOrange9 4 2 2 3" xfId="1417" xr:uid="{D36C77D6-017B-43EF-BAF8-D1B817019ACD}"/>
    <cellStyle name="AggOrange9 4 2 2 30" xfId="11674" xr:uid="{D597FB59-AFBA-41B1-8ED6-BA8525D77732}"/>
    <cellStyle name="AggOrange9 4 2 2 31" xfId="15474" xr:uid="{52BAEA7C-8098-487B-A66D-2907200B9083}"/>
    <cellStyle name="AggOrange9 4 2 2 32" xfId="15577" xr:uid="{2BE9C6BE-2D2F-4DAF-84D6-6A0AC044C490}"/>
    <cellStyle name="AggOrange9 4 2 2 33" xfId="16865" xr:uid="{B6CE4414-EDBA-4CC7-A757-A5EBBDC88B44}"/>
    <cellStyle name="AggOrange9 4 2 2 34" xfId="16300" xr:uid="{8C50BEF7-B7B7-42BB-801C-1A2BC5904D99}"/>
    <cellStyle name="AggOrange9 4 2 2 35" xfId="16503" xr:uid="{812D777A-2136-4B95-BC96-DF0DFEB7923B}"/>
    <cellStyle name="AggOrange9 4 2 2 36" xfId="16104" xr:uid="{5D5B16CE-17DA-422F-BFA5-CDEF2E619240}"/>
    <cellStyle name="AggOrange9 4 2 2 37" xfId="18683" xr:uid="{4BF1A208-9007-4993-9509-D1569CDB66E3}"/>
    <cellStyle name="AggOrange9 4 2 2 38" xfId="18856" xr:uid="{C6AF3C06-3CF1-4788-9D51-0A928532A2A0}"/>
    <cellStyle name="AggOrange9 4 2 2 39" xfId="17861" xr:uid="{40FCA688-D60A-48E3-8539-F540AE7696D8}"/>
    <cellStyle name="AggOrange9 4 2 2 4" xfId="2642" xr:uid="{45507269-3B8D-4D04-B86E-461041BCEAF7}"/>
    <cellStyle name="AggOrange9 4 2 2 40" xfId="20202" xr:uid="{560B45D5-2FDB-4241-926D-CC020676CC90}"/>
    <cellStyle name="AggOrange9 4 2 2 41" xfId="19471" xr:uid="{E0FC883C-62BA-4E03-8729-3BD2001A8988}"/>
    <cellStyle name="AggOrange9 4 2 2 42" xfId="19829" xr:uid="{361952D2-7CD8-44E5-B3CE-9F073CBAEF3F}"/>
    <cellStyle name="AggOrange9 4 2 2 43" xfId="21628" xr:uid="{00022C36-2090-403D-BF57-9AA0A3C3FC09}"/>
    <cellStyle name="AggOrange9 4 2 2 44" xfId="21469" xr:uid="{B5F3D975-0025-409C-A68E-56756AE95B38}"/>
    <cellStyle name="AggOrange9 4 2 2 45" xfId="20938" xr:uid="{BAEC268B-91E0-4911-9EF8-3FE4367D4801}"/>
    <cellStyle name="AggOrange9 4 2 2 46" xfId="22244" xr:uid="{4699DDDE-D89B-4E1B-90CB-1C4E7BEE64B8}"/>
    <cellStyle name="AggOrange9 4 2 2 47" xfId="23133" xr:uid="{CC38DBAD-A21C-47FE-9645-4C51CE20203F}"/>
    <cellStyle name="AggOrange9 4 2 2 48" xfId="23159" xr:uid="{B256073A-7C1D-45AD-8318-0E0BF90D4DDC}"/>
    <cellStyle name="AggOrange9 4 2 2 49" xfId="24002" xr:uid="{8470D0A0-5C04-4D33-BD1C-2DA2C808243F}"/>
    <cellStyle name="AggOrange9 4 2 2 5" xfId="1916" xr:uid="{313C86AC-5074-4B77-BA74-03BFCBC3CE16}"/>
    <cellStyle name="AggOrange9 4 2 2 50" xfId="24910" xr:uid="{B6C7FF9B-B63C-44B2-89FE-56682B263A18}"/>
    <cellStyle name="AggOrange9 4 2 2 51" xfId="24188" xr:uid="{936F502B-34C3-42FA-86B0-BB0961F18FA9}"/>
    <cellStyle name="AggOrange9 4 2 2 52" xfId="25826" xr:uid="{C953925A-7D88-4A36-B28B-4928FAA8D8D5}"/>
    <cellStyle name="AggOrange9 4 2 2 53" xfId="24098" xr:uid="{69EC2441-5A63-4DDC-8908-42C061C4011D}"/>
    <cellStyle name="AggOrange9 4 2 2 54" xfId="26543" xr:uid="{D8CC7F0B-6722-4D62-ABAE-7E3D2F19AAA1}"/>
    <cellStyle name="AggOrange9 4 2 2 55" xfId="27114" xr:uid="{A3E9E199-A425-4156-8CA3-1AD9E3FFC244}"/>
    <cellStyle name="AggOrange9 4 2 2 56" xfId="27533" xr:uid="{B4796773-B32C-48B6-82C9-6AE8030882AF}"/>
    <cellStyle name="AggOrange9 4 2 2 57" xfId="26998" xr:uid="{7D5266D9-A672-48BF-BCDC-2811A4DBD340}"/>
    <cellStyle name="AggOrange9 4 2 2 58" xfId="28660" xr:uid="{6A3E9AC9-66BD-4DD5-BF6E-2CB90CCA877F}"/>
    <cellStyle name="AggOrange9 4 2 2 59" xfId="29127" xr:uid="{0ABFB195-D12E-4A68-AE2A-552EA3A567AF}"/>
    <cellStyle name="AggOrange9 4 2 2 6" xfId="2063" xr:uid="{863CFD4D-6458-4B25-929A-27F865C09E30}"/>
    <cellStyle name="AggOrange9 4 2 2 60" xfId="28105" xr:uid="{49686E34-CEDE-45ED-B611-09C05BE72531}"/>
    <cellStyle name="AggOrange9 4 2 2 61" xfId="29916" xr:uid="{63C4E035-CD72-4449-88B1-4BB882F48FCF}"/>
    <cellStyle name="AggOrange9 4 2 2 62" xfId="30322" xr:uid="{47601666-4AAA-4530-A740-377CBDA7326C}"/>
    <cellStyle name="AggOrange9 4 2 2 63" xfId="30739" xr:uid="{B12E32F9-5810-4C0E-8078-D4A9EB7F58B7}"/>
    <cellStyle name="AggOrange9 4 2 2 64" xfId="28209" xr:uid="{9B576642-A4AC-4FDA-9859-F0E99FA9FECB}"/>
    <cellStyle name="AggOrange9 4 2 2 65" xfId="31355" xr:uid="{53B8B356-1925-4405-9679-F1477D6AAB30}"/>
    <cellStyle name="AggOrange9 4 2 2 7" xfId="4138" xr:uid="{06631451-FB26-4953-BEF0-4E2C5511DE40}"/>
    <cellStyle name="AggOrange9 4 2 2 8" xfId="4575" xr:uid="{E8259133-329C-4973-B7C4-32E0BD06C8D8}"/>
    <cellStyle name="AggOrange9 4 2 2 9" xfId="4813" xr:uid="{4D3DEDE1-25D3-4BDA-8349-C54311190133}"/>
    <cellStyle name="AggOrange9 4 2 20" xfId="9965" xr:uid="{CE98A7E2-CB2A-4B2B-87A3-F8DC2BBAF8BE}"/>
    <cellStyle name="AggOrange9 4 2 21" xfId="10393" xr:uid="{A0724F1E-7099-44AC-86C2-414B510076F1}"/>
    <cellStyle name="AggOrange9 4 2 22" xfId="10648" xr:uid="{E3EC6B74-6A03-4426-993C-B4F4B08D7316}"/>
    <cellStyle name="AggOrange9 4 2 23" xfId="11288" xr:uid="{83EBC24E-FA60-4A7F-BE3B-0C69DC0A0D9E}"/>
    <cellStyle name="AggOrange9 4 2 24" xfId="11958" xr:uid="{B70A5892-AF32-455B-BC39-555C5C1F5EE3}"/>
    <cellStyle name="AggOrange9 4 2 25" xfId="12431" xr:uid="{E8F80738-9E91-4BB1-ADB4-EA58877ED6B1}"/>
    <cellStyle name="AggOrange9 4 2 26" xfId="12865" xr:uid="{6AC7AA05-C0C7-4846-BF93-C978EDF7BD64}"/>
    <cellStyle name="AggOrange9 4 2 27" xfId="13302" xr:uid="{8285752A-967C-474D-87A1-2EDD15A3F6F2}"/>
    <cellStyle name="AggOrange9 4 2 28" xfId="13168" xr:uid="{8A44D87C-02FF-4BFC-8263-27BBE39BF4B4}"/>
    <cellStyle name="AggOrange9 4 2 29" xfId="13606" xr:uid="{8DFFCAB6-F958-4AD2-83EF-896FC91E4D31}"/>
    <cellStyle name="AggOrange9 4 2 3" xfId="1088" xr:uid="{C288C543-0466-4F5E-92C5-7B4A6948B82F}"/>
    <cellStyle name="AggOrange9 4 2 30" xfId="14598" xr:uid="{9411DF3F-4711-4EEE-A931-A1C5C8E9B911}"/>
    <cellStyle name="AggOrange9 4 2 31" xfId="14603" xr:uid="{5D211ED8-4523-4EB5-97BF-1E6682BF284E}"/>
    <cellStyle name="AggOrange9 4 2 32" xfId="15357" xr:uid="{2733A9B3-CF5D-446F-8E6E-5646547F558B}"/>
    <cellStyle name="AggOrange9 4 2 33" xfId="15835" xr:uid="{AD23EFA9-FB43-4D8E-83FE-A551537FB002}"/>
    <cellStyle name="AggOrange9 4 2 34" xfId="16650" xr:uid="{6EA5D757-9D12-445F-A500-1C9BF149A8B2}"/>
    <cellStyle name="AggOrange9 4 2 35" xfId="17080" xr:uid="{2834E8D3-A47B-4806-A992-BA688AF2825E}"/>
    <cellStyle name="AggOrange9 4 2 36" xfId="17527" xr:uid="{1D6A06DA-A523-4DEB-879B-07C39978689D}"/>
    <cellStyle name="AggOrange9 4 2 37" xfId="18240" xr:uid="{48FB417B-476B-44FE-97B9-DE3EE1083DDD}"/>
    <cellStyle name="AggOrange9 4 2 38" xfId="18468" xr:uid="{80498092-6F16-46A9-A430-58F45C0F44ED}"/>
    <cellStyle name="AggOrange9 4 2 39" xfId="19007" xr:uid="{4F506C35-AAB5-42C7-925A-CFE75CE35F48}"/>
    <cellStyle name="AggOrange9 4 2 4" xfId="1727" xr:uid="{C4E7B601-FC19-462A-B4CC-77AC0FD1E64C}"/>
    <cellStyle name="AggOrange9 4 2 40" xfId="18779" xr:uid="{7CE8D081-BEF1-409D-9496-F02D7CC83FF0}"/>
    <cellStyle name="AggOrange9 4 2 41" xfId="19987" xr:uid="{9910DBD2-EABF-4A17-93D3-09F6953F2F09}"/>
    <cellStyle name="AggOrange9 4 2 42" xfId="20433" xr:uid="{855C365A-1353-4029-BE1D-ABC0CF30A6E6}"/>
    <cellStyle name="AggOrange9 4 2 43" xfId="20885" xr:uid="{1BE461DF-C9E8-4543-B4D7-2BD8A69BD9E0}"/>
    <cellStyle name="AggOrange9 4 2 44" xfId="21314" xr:uid="{6578E812-BC45-4976-B403-3BB4C1ABDDCF}"/>
    <cellStyle name="AggOrange9 4 2 45" xfId="21817" xr:uid="{5E9CD326-8528-46A9-BB84-9255DF10BCDC}"/>
    <cellStyle name="AggOrange9 4 2 46" xfId="22251" xr:uid="{FC5EE32A-43F7-4DAA-A3E6-999F65ADD0D2}"/>
    <cellStyle name="AggOrange9 4 2 47" xfId="22294" xr:uid="{C1466276-CFB4-4E5E-81E5-D22AF7B8A10A}"/>
    <cellStyle name="AggOrange9 4 2 48" xfId="23289" xr:uid="{DD6F17D4-7C1E-4DC2-BE13-B674EB0A2D72}"/>
    <cellStyle name="AggOrange9 4 2 49" xfId="22939" xr:uid="{6252B50F-202F-4C4D-A3E3-EC320BD53D6C}"/>
    <cellStyle name="AggOrange9 4 2 5" xfId="2427" xr:uid="{E5616025-F3E0-4E4C-8D0F-1230D99B1D19}"/>
    <cellStyle name="AggOrange9 4 2 50" xfId="23796" xr:uid="{CE42CC6E-8627-4AFC-A79B-E7748436F397}"/>
    <cellStyle name="AggOrange9 4 2 51" xfId="24695" xr:uid="{9887E212-61B7-4247-AA94-0C795338412E}"/>
    <cellStyle name="AggOrange9 4 2 52" xfId="25140" xr:uid="{9BB8BAFB-DF99-40EA-B0C4-085E209B197B}"/>
    <cellStyle name="AggOrange9 4 2 53" xfId="25613" xr:uid="{023F10FD-74E8-4367-BB83-1C5592E7E14D}"/>
    <cellStyle name="AggOrange9 4 2 54" xfId="25480" xr:uid="{BCCC05C6-C15C-450C-9369-948EC5656943}"/>
    <cellStyle name="AggOrange9 4 2 55" xfId="24219" xr:uid="{5C4164CB-BB80-4C97-BF22-7601ABA74259}"/>
    <cellStyle name="AggOrange9 4 2 56" xfId="26903" xr:uid="{E555CF90-3DCB-4982-8DAA-101E020A7D69}"/>
    <cellStyle name="AggOrange9 4 2 57" xfId="27322" xr:uid="{E16B6537-7E05-4199-9FCF-AAE370FE5CCE}"/>
    <cellStyle name="AggOrange9 4 2 58" xfId="27741" xr:uid="{1FEE3E32-5976-4936-ACE9-FE0D023D634F}"/>
    <cellStyle name="AggOrange9 4 2 59" xfId="28445" xr:uid="{5D6A7DA7-B5FE-44F4-BBA9-973F5FB48FE9}"/>
    <cellStyle name="AggOrange9 4 2 6" xfId="2281" xr:uid="{71E0E1C2-C3E7-421F-BEC7-48212177AF4A}"/>
    <cellStyle name="AggOrange9 4 2 60" xfId="28913" xr:uid="{260052E0-87F7-462F-A73C-4D546C9E0992}"/>
    <cellStyle name="AggOrange9 4 2 61" xfId="29292" xr:uid="{B628D91D-16A8-409C-8924-03C669B0779D}"/>
    <cellStyle name="AggOrange9 4 2 62" xfId="29703" xr:uid="{95970219-8877-4CEF-8EC7-CC18C07EAEBB}"/>
    <cellStyle name="AggOrange9 4 2 63" xfId="30111" xr:uid="{A4CC8FD8-D3E7-42FD-8E2D-336AE6564220}"/>
    <cellStyle name="AggOrange9 4 2 64" xfId="30525" xr:uid="{4FFAE84E-2A71-400D-8444-35A342F18257}"/>
    <cellStyle name="AggOrange9 4 2 65" xfId="30968" xr:uid="{668471AE-8CC2-4A1F-9CCE-B49202BA7363}"/>
    <cellStyle name="AggOrange9 4 2 66" xfId="31149" xr:uid="{EE75FE80-C92B-45DA-B732-B606197248DE}"/>
    <cellStyle name="AggOrange9 4 2 7" xfId="3594" xr:uid="{9F1C657F-86B1-43EA-A4C9-0085407EA1FF}"/>
    <cellStyle name="AggOrange9 4 2 8" xfId="3923" xr:uid="{A680C7BF-384D-4FF6-8493-62D45AF9C04A}"/>
    <cellStyle name="AggOrange9 4 2 9" xfId="4361" xr:uid="{602F0361-D98F-4E85-8872-F478951514F2}"/>
    <cellStyle name="AggOrange9 4 20" xfId="8736" xr:uid="{64D2C463-088E-4693-9607-D8B871FC2588}"/>
    <cellStyle name="AggOrange9 4 21" xfId="9210" xr:uid="{AB8B1CB1-F9BD-489A-8CE0-4BCD80CBCC57}"/>
    <cellStyle name="AggOrange9 4 22" xfId="9855" xr:uid="{26D2D4EF-6EC5-4B4A-920D-0CDDF6F9E84D}"/>
    <cellStyle name="AggOrange9 4 23" xfId="10298" xr:uid="{310E2DD0-8886-4790-94F1-1D6CE01F87E2}"/>
    <cellStyle name="AggOrange9 4 24" xfId="10483" xr:uid="{59BFC937-6103-4F05-A87D-71A925CF89AB}"/>
    <cellStyle name="AggOrange9 4 25" xfId="11306" xr:uid="{3D9AD390-64EE-437B-8A68-6C1CB4C5E21F}"/>
    <cellStyle name="AggOrange9 4 26" xfId="11622" xr:uid="{4E414B9D-3B25-4D5E-A64A-7F149CB4207F}"/>
    <cellStyle name="AggOrange9 4 27" xfId="11480" xr:uid="{29389DF5-ECDB-4F2B-A6E8-65970D8E04A5}"/>
    <cellStyle name="AggOrange9 4 28" xfId="12524" xr:uid="{F1178DA6-1347-4837-BFC8-ED7E0B9B672D}"/>
    <cellStyle name="AggOrange9 4 29" xfId="11605" xr:uid="{B01225F9-7448-457C-A145-A0A1AD701525}"/>
    <cellStyle name="AggOrange9 4 3" xfId="550" xr:uid="{75A3D90F-29A3-4F41-8BF4-77ED2E06F35B}"/>
    <cellStyle name="AggOrange9 4 3 10" xfId="4920" xr:uid="{963EA5BD-068E-44F4-90F9-38410E4DF4FB}"/>
    <cellStyle name="AggOrange9 4 3 11" xfId="5198" xr:uid="{67E7AE27-603D-469E-AD07-93CCCCFA08C6}"/>
    <cellStyle name="AggOrange9 4 3 12" xfId="5637" xr:uid="{2EA88A1B-717D-4081-A12A-8FA96BA1B64D}"/>
    <cellStyle name="AggOrange9 4 3 13" xfId="5586" xr:uid="{FA1DC34F-458C-483B-B546-1AD45BD827FC}"/>
    <cellStyle name="AggOrange9 4 3 14" xfId="6520" xr:uid="{C37DAC68-2BDE-47FA-8179-6C72D5394060}"/>
    <cellStyle name="AggOrange9 4 3 15" xfId="7270" xr:uid="{E3FCEA55-A549-4D8F-B13D-92F0F07D31ED}"/>
    <cellStyle name="AggOrange9 4 3 16" xfId="6960" xr:uid="{05FBA6CD-4C1C-417D-BB86-1860DFB6D96B}"/>
    <cellStyle name="AggOrange9 4 3 17" xfId="6848" xr:uid="{E0BA7E8F-68EA-4E70-9115-6CB0C846035D}"/>
    <cellStyle name="AggOrange9 4 3 18" xfId="8732" xr:uid="{75F2573B-58C0-4638-A68E-80A7FF92722B}"/>
    <cellStyle name="AggOrange9 4 3 19" xfId="9484" xr:uid="{97371AE2-718B-49BD-97D6-BE7553F2E71D}"/>
    <cellStyle name="AggOrange9 4 3 2" xfId="765" xr:uid="{CA1ECDF8-CD70-448B-B773-B39D4D9ED5BE}"/>
    <cellStyle name="AggOrange9 4 3 2 10" xfId="5413" xr:uid="{48871EDF-B343-4897-BA90-B5A444E35B6C}"/>
    <cellStyle name="AggOrange9 4 3 2 11" xfId="5734" xr:uid="{B8780AF0-B414-4B65-BAF2-E7E65489F318}"/>
    <cellStyle name="AggOrange9 4 3 2 12" xfId="6041" xr:uid="{1857BF93-1BC0-4DCD-8156-1AE0C827F593}"/>
    <cellStyle name="AggOrange9 4 3 2 13" xfId="4902" xr:uid="{DC782CE3-0088-4C6C-BD4E-5BBC1C7F26DF}"/>
    <cellStyle name="AggOrange9 4 3 2 14" xfId="7485" xr:uid="{92DADD6D-11CE-4C1E-B650-ED79160AF36D}"/>
    <cellStyle name="AggOrange9 4 3 2 15" xfId="6962" xr:uid="{F276672E-4C81-48E3-BD8C-9E3C54FAD9F6}"/>
    <cellStyle name="AggOrange9 4 3 2 16" xfId="8357" xr:uid="{6FDA2E27-1171-4892-ACCC-FE288C0A37D3}"/>
    <cellStyle name="AggOrange9 4 3 2 17" xfId="8388" xr:uid="{F0F235C2-5558-4C01-ACE2-7185E4B61B8B}"/>
    <cellStyle name="AggOrange9 4 3 2 18" xfId="9699" xr:uid="{9DE7CBD3-88E2-40A7-9443-BFD79CD14151}"/>
    <cellStyle name="AggOrange9 4 3 2 19" xfId="9175" xr:uid="{1F49378A-F37E-4C1F-8404-7CDE9D806A30}"/>
    <cellStyle name="AggOrange9 4 3 2 2" xfId="1239" xr:uid="{FC6DCDF0-8E6E-4E09-9A8F-80B508832AFB}"/>
    <cellStyle name="AggOrange9 4 3 2 20" xfId="9151" xr:uid="{E7667728-82AF-4679-9C1D-E9901D3ED5F0}"/>
    <cellStyle name="AggOrange9 4 3 2 21" xfId="10694" xr:uid="{E191A022-5339-456A-849B-D7B2C7A9FF12}"/>
    <cellStyle name="AggOrange9 4 3 2 22" xfId="11190" xr:uid="{307B7525-8C77-49EA-BBEC-30998005AD17}"/>
    <cellStyle name="AggOrange9 4 3 2 23" xfId="12118" xr:uid="{5A118DD6-B6AB-4974-B8C2-2BB48406BB8A}"/>
    <cellStyle name="AggOrange9 4 3 2 24" xfId="12591" xr:uid="{4610BE91-7AF2-4DC6-AA5F-C9D3AC46F6D5}"/>
    <cellStyle name="AggOrange9 4 3 2 25" xfId="13025" xr:uid="{1F31C577-E553-49E3-ABA5-0019E3F262C7}"/>
    <cellStyle name="AggOrange9 4 3 2 26" xfId="13462" xr:uid="{1BC28903-E045-406E-817B-B69B6EF8E617}"/>
    <cellStyle name="AggOrange9 4 3 2 27" xfId="11399" xr:uid="{3130B009-C9BE-4301-A2FB-F47AB41246C7}"/>
    <cellStyle name="AggOrange9 4 3 2 28" xfId="11476" xr:uid="{EB89C2F8-207F-4D02-B4DF-5106A078422C}"/>
    <cellStyle name="AggOrange9 4 3 2 29" xfId="14072" xr:uid="{630D1DF0-664F-4158-A712-7F92B3DF54CC}"/>
    <cellStyle name="AggOrange9 4 3 2 3" xfId="1648" xr:uid="{3E51A010-C52F-465C-A376-78396AC042CF}"/>
    <cellStyle name="AggOrange9 4 3 2 30" xfId="14336" xr:uid="{C742091E-4D0F-4B00-93EC-9DDACC0581C5}"/>
    <cellStyle name="AggOrange9 4 3 2 31" xfId="15482" xr:uid="{6B0BB290-A75A-4788-A2F3-1F017FC03A3E}"/>
    <cellStyle name="AggOrange9 4 3 2 32" xfId="15634" xr:uid="{435E2A03-8BE9-4961-90E4-4968C057F7E4}"/>
    <cellStyle name="AggOrange9 4 3 2 33" xfId="16810" xr:uid="{11448BC4-3A80-4489-A235-E24322354746}"/>
    <cellStyle name="AggOrange9 4 3 2 34" xfId="16281" xr:uid="{BDAA79D4-7B4C-4467-9798-9C63077597A4}"/>
    <cellStyle name="AggOrange9 4 3 2 35" xfId="16136" xr:uid="{789DFF93-1A6E-4D5F-A87C-ABC38EBE7C5C}"/>
    <cellStyle name="AggOrange9 4 3 2 36" xfId="17452" xr:uid="{0EBB21CE-7D1D-4FD7-AA1A-B4F95C8CCCF2}"/>
    <cellStyle name="AggOrange9 4 3 2 37" xfId="18628" xr:uid="{300D7A9A-541D-479E-96CA-41CC14391FCA}"/>
    <cellStyle name="AggOrange9 4 3 2 38" xfId="18126" xr:uid="{C7CF4883-51FA-4645-BC28-89B511131164}"/>
    <cellStyle name="AggOrange9 4 3 2 39" xfId="18339" xr:uid="{C7BA0A70-4DA7-4174-A8A1-EFD54CB39B00}"/>
    <cellStyle name="AggOrange9 4 3 2 4" xfId="2587" xr:uid="{C6998C78-3FB4-40C0-91B1-AD1306039636}"/>
    <cellStyle name="AggOrange9 4 3 2 40" xfId="20147" xr:uid="{F9EF6FEB-62F2-40BE-8F91-6F807C4F28CE}"/>
    <cellStyle name="AggOrange9 4 3 2 41" xfId="19614" xr:uid="{8424964E-1794-48F3-A0DC-56CDC062633A}"/>
    <cellStyle name="AggOrange9 4 3 2 42" xfId="19605" xr:uid="{00C273A9-30B4-4F38-88E0-06616E788468}"/>
    <cellStyle name="AggOrange9 4 3 2 43" xfId="21039" xr:uid="{2E346561-89D2-4F1E-83EB-156487F4CD16}"/>
    <cellStyle name="AggOrange9 4 3 2 44" xfId="21502" xr:uid="{7ECF8D12-92EA-4FEC-95EC-C5D97D451EAB}"/>
    <cellStyle name="AggOrange9 4 3 2 45" xfId="21784" xr:uid="{1126895B-3EC4-45B1-925D-8661C4F88EBF}"/>
    <cellStyle name="AggOrange9 4 3 2 46" xfId="21805" xr:uid="{83BFA7C8-F2E8-4E3B-ACF1-12AD62A1E221}"/>
    <cellStyle name="AggOrange9 4 3 2 47" xfId="20503" xr:uid="{686A5BC1-A0BF-4323-8DAA-818511E7A9D8}"/>
    <cellStyle name="AggOrange9 4 3 2 48" xfId="23436" xr:uid="{B68A3192-97EB-462F-8001-73EC67920476}"/>
    <cellStyle name="AggOrange9 4 3 2 49" xfId="23947" xr:uid="{8E598D9B-C5A4-41DF-9214-2840B4CF176E}"/>
    <cellStyle name="AggOrange9 4 3 2 5" xfId="1822" xr:uid="{4FD0E5A1-946D-481E-BF50-12B75B328123}"/>
    <cellStyle name="AggOrange9 4 3 2 50" xfId="24855" xr:uid="{99B75B70-0226-4EF5-BAAB-89B9965FE81F}"/>
    <cellStyle name="AggOrange9 4 3 2 51" xfId="24242" xr:uid="{E0B770EB-F785-4B47-A465-163D3917F23B}"/>
    <cellStyle name="AggOrange9 4 3 2 52" xfId="25771" xr:uid="{15160DF5-1668-4FCB-A70A-3C0A9FA990DC}"/>
    <cellStyle name="AggOrange9 4 3 2 53" xfId="25915" xr:uid="{8AEC9ACB-BA48-4195-89D5-70191EF350A6}"/>
    <cellStyle name="AggOrange9 4 3 2 54" xfId="26423" xr:uid="{ABF1BCC1-C9B6-4ACD-82CF-3EA327A86BB7}"/>
    <cellStyle name="AggOrange9 4 3 2 55" xfId="27059" xr:uid="{6DDAB664-E8FA-421C-AD01-0B82889C4C0E}"/>
    <cellStyle name="AggOrange9 4 3 2 56" xfId="27478" xr:uid="{FAD9B763-E374-4798-AE70-2869AE7682E3}"/>
    <cellStyle name="AggOrange9 4 3 2 57" xfId="24317" xr:uid="{AA30F070-AD45-4C8D-8B1E-3915839BFC90}"/>
    <cellStyle name="AggOrange9 4 3 2 58" xfId="28605" xr:uid="{B44C1BEC-C971-4375-95CB-122067D64299}"/>
    <cellStyle name="AggOrange9 4 3 2 59" xfId="29072" xr:uid="{20A6FFD1-7E32-445F-AC3B-8678E628D113}"/>
    <cellStyle name="AggOrange9 4 3 2 6" xfId="2724" xr:uid="{1FDFF4C4-CB40-48C9-8F07-13437154149C}"/>
    <cellStyle name="AggOrange9 4 3 2 60" xfId="28064" xr:uid="{637ADA5D-E08A-480E-B709-25667A819BF8}"/>
    <cellStyle name="AggOrange9 4 3 2 61" xfId="29861" xr:uid="{36C6E1E9-18E6-4A4F-B63F-A8B8CEDF56BA}"/>
    <cellStyle name="AggOrange9 4 3 2 62" xfId="30267" xr:uid="{076407B9-51EB-4994-845B-D137174BAF41}"/>
    <cellStyle name="AggOrange9 4 3 2 63" xfId="30684" xr:uid="{50CC1EB7-3A6B-4280-A950-44EFF4EEF9CC}"/>
    <cellStyle name="AggOrange9 4 3 2 64" xfId="28051" xr:uid="{517DDB80-2844-4B75-A1A4-CEE3F830329F}"/>
    <cellStyle name="AggOrange9 4 3 2 65" xfId="31300" xr:uid="{34FF801E-FF5A-4CCB-AB5D-63801F61CF6A}"/>
    <cellStyle name="AggOrange9 4 3 2 7" xfId="4083" xr:uid="{91A2F09E-B21A-45F4-A966-7896154D1C0E}"/>
    <cellStyle name="AggOrange9 4 3 2 8" xfId="4520" xr:uid="{6A2880A4-239D-4A14-8900-9195B16154AA}"/>
    <cellStyle name="AggOrange9 4 3 2 9" xfId="4454" xr:uid="{9EB85458-FE16-4298-AEF5-527381B1B362}"/>
    <cellStyle name="AggOrange9 4 3 20" xfId="9173" xr:uid="{5C2DA413-0F5C-4C66-9C51-C49FD8944163}"/>
    <cellStyle name="AggOrange9 4 3 21" xfId="8973" xr:uid="{E4C7351B-650C-4890-B170-913D87E2245E}"/>
    <cellStyle name="AggOrange9 4 3 22" xfId="10222" xr:uid="{04DB48A4-734C-45D2-91E5-ED66D8F35D0A}"/>
    <cellStyle name="AggOrange9 4 3 23" xfId="11128" xr:uid="{18B8147D-AFF9-4524-8AE8-216869CD97C7}"/>
    <cellStyle name="AggOrange9 4 3 24" xfId="11903" xr:uid="{C1AA24E6-66E8-4B8B-B6A0-882353A74FBF}"/>
    <cellStyle name="AggOrange9 4 3 25" xfId="12376" xr:uid="{A9183579-59BA-41B6-A836-48A114F16DD7}"/>
    <cellStyle name="AggOrange9 4 3 26" xfId="12810" xr:uid="{4761AB22-14BA-49C3-9C4B-7E423DE6A9FE}"/>
    <cellStyle name="AggOrange9 4 3 27" xfId="13247" xr:uid="{105437ED-2C7C-4524-AFD4-DA1FDAF0705E}"/>
    <cellStyle name="AggOrange9 4 3 28" xfId="12249" xr:uid="{EC325FF7-2E14-4E67-BCB6-310B57AC7F8D}"/>
    <cellStyle name="AggOrange9 4 3 29" xfId="14135" xr:uid="{A689D40F-C4C8-4129-BC34-BB94E15314F4}"/>
    <cellStyle name="AggOrange9 4 3 3" xfId="1033" xr:uid="{C7C36FD1-4794-4EFE-9487-2B08EF5398F9}"/>
    <cellStyle name="AggOrange9 4 3 30" xfId="14722" xr:uid="{F211E2EA-FB7E-44AA-BA64-559CC09A0EDF}"/>
    <cellStyle name="AggOrange9 4 3 31" xfId="15257" xr:uid="{7AAB7819-A7A2-49CC-B573-22FA52AD073B}"/>
    <cellStyle name="AggOrange9 4 3 32" xfId="15552" xr:uid="{167B3325-09B8-49AF-A003-EC041F424740}"/>
    <cellStyle name="AggOrange9 4 3 33" xfId="11400" xr:uid="{22379AB0-E5D2-44D6-B35F-938EE84C712F}"/>
    <cellStyle name="AggOrange9 4 3 34" xfId="16595" xr:uid="{9281A91F-6479-498B-9659-2AABA5970C8F}"/>
    <cellStyle name="AggOrange9 4 3 35" xfId="16279" xr:uid="{8E7C9881-B15D-4B4E-8ED7-636E7F78EBDF}"/>
    <cellStyle name="AggOrange9 4 3 36" xfId="16162" xr:uid="{77B4116A-A870-4FB4-A753-65E5972B86AE}"/>
    <cellStyle name="AggOrange9 4 3 37" xfId="17969" xr:uid="{A9B417EB-5E12-4000-8CF2-F6AF785714B7}"/>
    <cellStyle name="AggOrange9 4 3 38" xfId="18413" xr:uid="{E07E34FC-0D65-4382-AE0D-3C0D566AAFB6}"/>
    <cellStyle name="AggOrange9 4 3 39" xfId="18802" xr:uid="{1C7B9875-BC67-4A94-BF57-67936F00BF55}"/>
    <cellStyle name="AggOrange9 4 3 4" xfId="1456" xr:uid="{2ECD35EE-BA8C-49C3-B0E1-717B37E48AAA}"/>
    <cellStyle name="AggOrange9 4 3 40" xfId="17077" xr:uid="{06AF07AD-F051-41A2-BC6C-19637C4FAA62}"/>
    <cellStyle name="AggOrange9 4 3 41" xfId="19932" xr:uid="{14972848-99D6-49BB-A308-EAC8BFD7722A}"/>
    <cellStyle name="AggOrange9 4 3 42" xfId="19612" xr:uid="{61AF5BEC-126F-43C4-B04D-6886681C1C13}"/>
    <cellStyle name="AggOrange9 4 3 43" xfId="20543" xr:uid="{CB65300E-3D9C-4DF1-8053-54BE2C87F22C}"/>
    <cellStyle name="AggOrange9 4 3 44" xfId="20416" xr:uid="{77588E79-6418-444A-91B5-4678FC0D4833}"/>
    <cellStyle name="AggOrange9 4 3 45" xfId="19495" xr:uid="{4C1F4761-47D7-4968-80F3-782D30479BAE}"/>
    <cellStyle name="AggOrange9 4 3 46" xfId="21993" xr:uid="{367CCF08-4D8F-41E0-A14B-E1607823DB58}"/>
    <cellStyle name="AggOrange9 4 3 47" xfId="22194" xr:uid="{B8CE402F-661E-4EFA-9A78-856113D43792}"/>
    <cellStyle name="AggOrange9 4 3 48" xfId="23077" xr:uid="{5D3ABD66-FFA3-45DF-ADCE-A7969D853113}"/>
    <cellStyle name="AggOrange9 4 3 49" xfId="23432" xr:uid="{5447CFE2-4AA6-43BA-9424-26B38EA40D59}"/>
    <cellStyle name="AggOrange9 4 3 5" xfId="2372" xr:uid="{D82A7B88-5D4D-48D3-8B08-B54A19B11046}"/>
    <cellStyle name="AggOrange9 4 3 50" xfId="23741" xr:uid="{ACB20C98-440C-4B54-A137-1992F47286B5}"/>
    <cellStyle name="AggOrange9 4 3 51" xfId="24640" xr:uid="{492DA370-2ED6-4E0E-8767-4D29D6DD1068}"/>
    <cellStyle name="AggOrange9 4 3 52" xfId="24380" xr:uid="{22B62C12-1549-4563-BC80-F8ED904F0567}"/>
    <cellStyle name="AggOrange9 4 3 53" xfId="25558" xr:uid="{645CF2A6-DA45-4A61-BA66-817F1076C4DC}"/>
    <cellStyle name="AggOrange9 4 3 54" xfId="25430" xr:uid="{C5BF0C6A-33D3-4F9B-8132-EE54BCC23A80}"/>
    <cellStyle name="AggOrange9 4 3 55" xfId="26159" xr:uid="{C51776E8-06D9-47A6-A81D-E68C8AD8B9A8}"/>
    <cellStyle name="AggOrange9 4 3 56" xfId="26848" xr:uid="{A1B45116-0421-4472-9DD4-22A07FF7ECEB}"/>
    <cellStyle name="AggOrange9 4 3 57" xfId="27267" xr:uid="{B7699DC8-F2FE-40D2-82E4-C2AFAF712E8A}"/>
    <cellStyle name="AggOrange9 4 3 58" xfId="27763" xr:uid="{8BEE4B2A-3432-48D8-8044-DAD70A3A3E85}"/>
    <cellStyle name="AggOrange9 4 3 59" xfId="28390" xr:uid="{C27D9A47-2FB1-4078-B21C-5B36BFB4BEA9}"/>
    <cellStyle name="AggOrange9 4 3 6" xfId="1927" xr:uid="{E6BC8D25-3264-4797-BB85-F83B15E9A23D}"/>
    <cellStyle name="AggOrange9 4 3 60" xfId="28858" xr:uid="{D97E081D-09C5-4BB7-9EAE-285C20825C1D}"/>
    <cellStyle name="AggOrange9 4 3 61" xfId="28302" xr:uid="{BBE50F7D-4B5E-4A58-9E6A-EEF06FBA4F3C}"/>
    <cellStyle name="AggOrange9 4 3 62" xfId="29648" xr:uid="{836C7D60-6EF8-4F51-B4FA-0CE5D99627C1}"/>
    <cellStyle name="AggOrange9 4 3 63" xfId="30056" xr:uid="{D4C15300-D10D-4704-99F8-D1B0E3AC16E0}"/>
    <cellStyle name="AggOrange9 4 3 64" xfId="30470" xr:uid="{39B7229A-339C-4EE5-BDBC-4CFDA6C2704A}"/>
    <cellStyle name="AggOrange9 4 3 65" xfId="30951" xr:uid="{5E9C44E7-DD2A-48A6-BE99-212F29AA0690}"/>
    <cellStyle name="AggOrange9 4 3 66" xfId="31094" xr:uid="{0116FF38-068F-4A6B-B2BC-AE2DA1D6312D}"/>
    <cellStyle name="AggOrange9 4 3 7" xfId="1910" xr:uid="{8DA4AA6A-A0C0-4880-8A82-862C78CA17A3}"/>
    <cellStyle name="AggOrange9 4 3 8" xfId="3868" xr:uid="{11142174-9819-42BC-8598-EC0C6CA81656}"/>
    <cellStyle name="AggOrange9 4 3 9" xfId="4306" xr:uid="{EC3FDF1A-F88B-4F90-9C87-28A1E2AD7A6A}"/>
    <cellStyle name="AggOrange9 4 30" xfId="13746" xr:uid="{11DC4213-FAD0-44F6-8BE8-00FBFC4E4EC2}"/>
    <cellStyle name="AggOrange9 4 31" xfId="13169" xr:uid="{1AFCC467-FA85-44BB-8DD0-A66994627AC9}"/>
    <cellStyle name="AggOrange9 4 32" xfId="14233" xr:uid="{BC5415F7-EE74-4A04-A2F8-01D9560DCDFE}"/>
    <cellStyle name="AggOrange9 4 33" xfId="15192" xr:uid="{5A031D1A-033D-48BD-819D-58037935D276}"/>
    <cellStyle name="AggOrange9 4 34" xfId="15730" xr:uid="{24E05F66-198B-406B-845F-FE53D5A23909}"/>
    <cellStyle name="AggOrange9 4 35" xfId="15483" xr:uid="{2A1202F7-4155-47BA-9B0C-D64A20ABC496}"/>
    <cellStyle name="AggOrange9 4 36" xfId="16317" xr:uid="{90917186-20DB-4240-9A03-BFF234A56E9F}"/>
    <cellStyle name="AggOrange9 4 37" xfId="16971" xr:uid="{6DA5E42C-2631-467B-B35F-7BEA85712366}"/>
    <cellStyle name="AggOrange9 4 38" xfId="17422" xr:uid="{942BB0B3-AC5D-4749-BCAA-356C5C43D401}"/>
    <cellStyle name="AggOrange9 4 39" xfId="17818" xr:uid="{D919BA11-9683-40D7-8CDE-D53A6CF75525}"/>
    <cellStyle name="AggOrange9 4 4" xfId="596" xr:uid="{7B33F60E-248D-4227-B80D-2AFE44CEB7EF}"/>
    <cellStyle name="AggOrange9 4 4 10" xfId="2210" xr:uid="{F4067BA1-E0F0-4EBA-8E54-54E17AE8E1A2}"/>
    <cellStyle name="AggOrange9 4 4 11" xfId="5244" xr:uid="{B9773903-6171-4CF1-9D90-ACDB3A2DB83A}"/>
    <cellStyle name="AggOrange9 4 4 12" xfId="5985" xr:uid="{CCEC1FA3-81A9-4C50-8E07-A3B43FF27DDA}"/>
    <cellStyle name="AggOrange9 4 4 13" xfId="6349" xr:uid="{D4E50442-32CB-4393-9DA9-33C3705942D4}"/>
    <cellStyle name="AggOrange9 4 4 14" xfId="6430" xr:uid="{E84140F5-250D-43ED-B746-20E6BD033DE0}"/>
    <cellStyle name="AggOrange9 4 4 15" xfId="7316" xr:uid="{6B2B3379-041A-4444-B7FF-257D2ECF6EB6}"/>
    <cellStyle name="AggOrange9 4 4 16" xfId="7416" xr:uid="{6B722457-42D5-42D0-A591-5487E287B625}"/>
    <cellStyle name="AggOrange9 4 4 17" xfId="6767" xr:uid="{6E557AFA-9DE0-4231-9263-A2EAF8BD6710}"/>
    <cellStyle name="AggOrange9 4 4 18" xfId="8298" xr:uid="{11CE5950-B72A-4314-8AD3-A6CEF542262F}"/>
    <cellStyle name="AggOrange9 4 4 19" xfId="9530" xr:uid="{08EDE684-FB83-4344-A584-554989BA466A}"/>
    <cellStyle name="AggOrange9 4 4 2" xfId="811" xr:uid="{C269180F-39A6-4C77-9E44-20FF5D738C88}"/>
    <cellStyle name="AggOrange9 4 4 2 10" xfId="5459" xr:uid="{7F13BFD6-C5CF-4805-A962-F4E05532E2FB}"/>
    <cellStyle name="AggOrange9 4 4 2 11" xfId="5568" xr:uid="{3048DDCB-7917-4CD2-99AF-EDDDFB5254D1}"/>
    <cellStyle name="AggOrange9 4 4 2 12" xfId="5683" xr:uid="{8BE6DD0A-2515-4135-8C54-A0547E1A9895}"/>
    <cellStyle name="AggOrange9 4 4 2 13" xfId="6143" xr:uid="{A9F8736D-F4A2-40C5-A291-819AB64BEA05}"/>
    <cellStyle name="AggOrange9 4 4 2 14" xfId="7531" xr:uid="{E17A3E7D-2848-4071-B03F-E1217140F657}"/>
    <cellStyle name="AggOrange9 4 4 2 15" xfId="6928" xr:uid="{CC811194-A77B-4C26-A0D9-C401744D15A8}"/>
    <cellStyle name="AggOrange9 4 4 2 16" xfId="8450" xr:uid="{1604B2E2-F8C6-47E1-A3B0-BF9024C5283D}"/>
    <cellStyle name="AggOrange9 4 4 2 17" xfId="8870" xr:uid="{1F207A43-6A10-4A50-B9DF-31B4F3514275}"/>
    <cellStyle name="AggOrange9 4 4 2 18" xfId="9745" xr:uid="{0E001202-F070-48D0-A0C9-14A049FAFB7E}"/>
    <cellStyle name="AggOrange9 4 4 2 19" xfId="9141" xr:uid="{CFFAA265-5BC2-4A3A-839F-96E9A866922C}"/>
    <cellStyle name="AggOrange9 4 4 2 2" xfId="1285" xr:uid="{AE467267-8512-4584-8697-C92BC5B4C27B}"/>
    <cellStyle name="AggOrange9 4 4 2 20" xfId="10029" xr:uid="{79A87FCC-C913-4829-A77D-BF4B69193CB8}"/>
    <cellStyle name="AggOrange9 4 4 2 21" xfId="10700" xr:uid="{71E1E4DA-1656-4D71-B377-292C73CEE019}"/>
    <cellStyle name="AggOrange9 4 4 2 22" xfId="10430" xr:uid="{EDBF9F3C-F78F-477D-8984-A812435D0BAD}"/>
    <cellStyle name="AggOrange9 4 4 2 23" xfId="12164" xr:uid="{5FC73D75-CBEF-498F-A98F-D347E939C083}"/>
    <cellStyle name="AggOrange9 4 4 2 24" xfId="12637" xr:uid="{D04DD0FA-2F21-4291-AC83-BA1158242F8A}"/>
    <cellStyle name="AggOrange9 4 4 2 25" xfId="13071" xr:uid="{21B4DCA4-0A3E-411D-98E6-5CBFEF781DED}"/>
    <cellStyle name="AggOrange9 4 4 2 26" xfId="13508" xr:uid="{4245F649-B266-4110-8A76-D6214BEA0AB6}"/>
    <cellStyle name="AggOrange9 4 4 2 27" xfId="13616" xr:uid="{3E129FD2-098B-4F0C-B162-11DA0B0D55CD}"/>
    <cellStyle name="AggOrange9 4 4 2 28" xfId="11755" xr:uid="{C887F579-E678-4334-9904-57558C28E9D9}"/>
    <cellStyle name="AggOrange9 4 4 2 29" xfId="14144" xr:uid="{8272D276-5FF2-4528-B10B-DAACC3DEBB08}"/>
    <cellStyle name="AggOrange9 4 4 2 3" xfId="1478" xr:uid="{BDD5CEF5-BDCB-40C2-938A-C3E2695A5FCC}"/>
    <cellStyle name="AggOrange9 4 4 2 30" xfId="15005" xr:uid="{EF140341-0A0C-409C-BF99-7ACF3DDB4FC3}"/>
    <cellStyle name="AggOrange9 4 4 2 31" xfId="15551" xr:uid="{2760565A-85FE-498C-9FED-249C427E9E52}"/>
    <cellStyle name="AggOrange9 4 4 2 32" xfId="15725" xr:uid="{E3909823-D330-4C14-990F-CB747D66CC8F}"/>
    <cellStyle name="AggOrange9 4 4 2 33" xfId="16856" xr:uid="{F873487C-5F0A-4D67-B6B0-0CF90A2E88C6}"/>
    <cellStyle name="AggOrange9 4 4 2 34" xfId="16245" xr:uid="{5586C379-3ED1-4E42-A86D-BDE1D48B5CCB}"/>
    <cellStyle name="AggOrange9 4 4 2 35" xfId="17146" xr:uid="{DD3090C3-DADE-4541-A8B6-5DE124EC7016}"/>
    <cellStyle name="AggOrange9 4 4 2 36" xfId="16339" xr:uid="{D138F2A6-F3B4-4083-BF13-0E3E45D207F0}"/>
    <cellStyle name="AggOrange9 4 4 2 37" xfId="18674" xr:uid="{4A601D52-47AA-40E9-8FD4-1B6B4AFF3477}"/>
    <cellStyle name="AggOrange9 4 4 2 38" xfId="18981" xr:uid="{AE082344-20A0-41A0-BF51-641C702ADA27}"/>
    <cellStyle name="AggOrange9 4 4 2 39" xfId="19172" xr:uid="{711ECED7-649D-4564-B079-0A2579F6ED13}"/>
    <cellStyle name="AggOrange9 4 4 2 4" xfId="2633" xr:uid="{20E95111-C487-4257-B85E-8CE9DFBE0202}"/>
    <cellStyle name="AggOrange9 4 4 2 40" xfId="20193" xr:uid="{68D8A2A8-17EB-4301-AF43-6CB1D4163816}"/>
    <cellStyle name="AggOrange9 4 4 2 41" xfId="19578" xr:uid="{70A3094E-16C4-4CB0-98A6-D9C6C3826472}"/>
    <cellStyle name="AggOrange9 4 4 2 42" xfId="20398" xr:uid="{F7DAB4E5-875A-4E3E-BECB-62178346F6D9}"/>
    <cellStyle name="AggOrange9 4 4 2 43" xfId="21643" xr:uid="{3D2EC094-DA6D-4118-8B33-19CD14C1BA7A}"/>
    <cellStyle name="AggOrange9 4 4 2 44" xfId="21620" xr:uid="{145A76FA-F641-4711-B043-F8B295199396}"/>
    <cellStyle name="AggOrange9 4 4 2 45" xfId="21573" xr:uid="{9E99F0C0-5F14-44CF-90AF-4E3655E5FCBF}"/>
    <cellStyle name="AggOrange9 4 4 2 46" xfId="22625" xr:uid="{5C287899-008B-4C8E-9EE5-99CF55817B6C}"/>
    <cellStyle name="AggOrange9 4 4 2 47" xfId="23268" xr:uid="{4F303A0F-186F-480E-ABFA-F56F06C4A5B0}"/>
    <cellStyle name="AggOrange9 4 4 2 48" xfId="22434" xr:uid="{DA28DA09-B9DC-420C-80D2-A41D430FB4AB}"/>
    <cellStyle name="AggOrange9 4 4 2 49" xfId="23993" xr:uid="{62801DE1-4961-43F4-B212-6F05B578B351}"/>
    <cellStyle name="AggOrange9 4 4 2 5" xfId="2783" xr:uid="{FDA8F18D-DCD1-4FFC-AC8F-E7BDBD65108C}"/>
    <cellStyle name="AggOrange9 4 4 2 50" xfId="24901" xr:uid="{A9E872C3-1BA3-4833-B001-35438D205F62}"/>
    <cellStyle name="AggOrange9 4 4 2 51" xfId="24246" xr:uid="{81FF20E1-89FC-4C64-B640-D9EC0D17FEA4}"/>
    <cellStyle name="AggOrange9 4 4 2 52" xfId="25817" xr:uid="{7FEAFF2E-C3E0-4A4D-B1AE-5657261B1F9B}"/>
    <cellStyle name="AggOrange9 4 4 2 53" xfId="25202" xr:uid="{C94154BD-D0EF-4059-A356-44BC8BF96062}"/>
    <cellStyle name="AggOrange9 4 4 2 54" xfId="26044" xr:uid="{29D3F31D-19F5-4D10-8953-4CD53738D650}"/>
    <cellStyle name="AggOrange9 4 4 2 55" xfId="27105" xr:uid="{AA2F558C-EA58-4E06-B894-9AE483F04C44}"/>
    <cellStyle name="AggOrange9 4 4 2 56" xfId="27524" xr:uid="{EC47B5DE-18E7-4231-8311-CA7760EA9023}"/>
    <cellStyle name="AggOrange9 4 4 2 57" xfId="26216" xr:uid="{80987AA8-ED50-437F-B705-D8399472B5DF}"/>
    <cellStyle name="AggOrange9 4 4 2 58" xfId="28651" xr:uid="{0CE11147-0975-426F-ABB6-A2F464C7066B}"/>
    <cellStyle name="AggOrange9 4 4 2 59" xfId="29118" xr:uid="{084D7E2A-B2CE-46B7-88AD-78D311CDD000}"/>
    <cellStyle name="AggOrange9 4 4 2 6" xfId="2150" xr:uid="{66FF079D-D690-4025-A9F7-0514B97CA828}"/>
    <cellStyle name="AggOrange9 4 4 2 60" xfId="28294" xr:uid="{EC59B846-F396-4916-912F-CEFBF88A5F9C}"/>
    <cellStyle name="AggOrange9 4 4 2 61" xfId="29907" xr:uid="{D269143A-9857-4C24-A06F-926219553256}"/>
    <cellStyle name="AggOrange9 4 4 2 62" xfId="30313" xr:uid="{FBAECC1D-B999-43CC-AF10-281FF1DAB8A5}"/>
    <cellStyle name="AggOrange9 4 4 2 63" xfId="30730" xr:uid="{9286A1AB-A274-45E8-885C-F8F4D03EB85A}"/>
    <cellStyle name="AggOrange9 4 4 2 64" xfId="29218" xr:uid="{05016218-60C4-4F52-9F61-45735B5A839C}"/>
    <cellStyle name="AggOrange9 4 4 2 65" xfId="31346" xr:uid="{CAE16F39-7305-4F5E-8B62-F2487591EE88}"/>
    <cellStyle name="AggOrange9 4 4 2 7" xfId="4129" xr:uid="{4EE82F5F-C2B9-4AED-AA94-888801FC884C}"/>
    <cellStyle name="AggOrange9 4 4 2 8" xfId="4566" xr:uid="{C158A81D-2908-401D-85B1-E74C22DAF52B}"/>
    <cellStyle name="AggOrange9 4 4 2 9" xfId="2146" xr:uid="{0C20B0FE-69EE-4295-9ECE-38617765147F}"/>
    <cellStyle name="AggOrange9 4 4 20" xfId="9352" xr:uid="{837906D7-41AC-4AFF-9628-A5EFC6DDFA14}"/>
    <cellStyle name="AggOrange9 4 4 21" xfId="9967" xr:uid="{E86A04E5-E380-4D6F-974F-2E7D8F0F22D9}"/>
    <cellStyle name="AggOrange9 4 4 22" xfId="10092" xr:uid="{B0D74CBE-037D-47D1-B737-29D63B275172}"/>
    <cellStyle name="AggOrange9 4 4 23" xfId="11046" xr:uid="{DC41702F-5B75-44DF-B375-6883ADB471F0}"/>
    <cellStyle name="AggOrange9 4 4 24" xfId="11949" xr:uid="{7C552654-037E-4A4B-82D3-847609C0C423}"/>
    <cellStyle name="AggOrange9 4 4 25" xfId="12422" xr:uid="{51D73252-CB21-4088-920F-49059A2E7884}"/>
    <cellStyle name="AggOrange9 4 4 26" xfId="12856" xr:uid="{211C180A-B9EF-4FAE-8141-4D4B62C9809C}"/>
    <cellStyle name="AggOrange9 4 4 27" xfId="13293" xr:uid="{0E7DCE0C-EDFC-4CBB-B210-AD006A9609F1}"/>
    <cellStyle name="AggOrange9 4 4 28" xfId="11446" xr:uid="{843554A9-7D45-4FBF-B8BA-53576F52EB7A}"/>
    <cellStyle name="AggOrange9 4 4 29" xfId="13829" xr:uid="{F7885968-3567-4E38-9636-C4447E142740}"/>
    <cellStyle name="AggOrange9 4 4 3" xfId="1079" xr:uid="{C55640FF-311C-406F-8E0E-B09E0DF06539}"/>
    <cellStyle name="AggOrange9 4 4 30" xfId="14574" xr:uid="{9CE10C70-3816-4D5E-B0F5-4DDBBE421CF9}"/>
    <cellStyle name="AggOrange9 4 4 31" xfId="15364" xr:uid="{EFC4C9C6-19EC-4267-91CF-688081C306F1}"/>
    <cellStyle name="AggOrange9 4 4 32" xfId="14802" xr:uid="{03F84BB7-3C13-4C8D-9ECA-114FA13A6C38}"/>
    <cellStyle name="AggOrange9 4 4 33" xfId="15755" xr:uid="{D6198FE7-894D-4147-B904-E9C25A2C5A12}"/>
    <cellStyle name="AggOrange9 4 4 34" xfId="16641" xr:uid="{53146CF1-9C5A-47CF-936F-F29B49CEC0A6}"/>
    <cellStyle name="AggOrange9 4 4 35" xfId="16741" xr:uid="{CF850879-AD1A-482B-AB83-4B89562676B3}"/>
    <cellStyle name="AggOrange9 4 4 36" xfId="17091" xr:uid="{B78C0F24-DD10-4AC0-8753-694234716A2B}"/>
    <cellStyle name="AggOrange9 4 4 37" xfId="18097" xr:uid="{505E72F7-9457-405D-8DC2-6794DC4AAE03}"/>
    <cellStyle name="AggOrange9 4 4 38" xfId="18459" xr:uid="{1DFA6524-13D4-4046-806F-7B6DCBD3A25D}"/>
    <cellStyle name="AggOrange9 4 4 39" xfId="18174" xr:uid="{912A73A9-71F4-4391-B284-14CEB565F121}"/>
    <cellStyle name="AggOrange9 4 4 4" xfId="1581" xr:uid="{1A415F67-EABB-4A83-A877-C1B90E87D85A}"/>
    <cellStyle name="AggOrange9 4 4 40" xfId="18760" xr:uid="{6BF6074F-6E29-43B8-96BE-34AABB14AB83}"/>
    <cellStyle name="AggOrange9 4 4 41" xfId="19978" xr:uid="{D8FAE3FE-4CDF-4385-AB7A-DC9155927FEC}"/>
    <cellStyle name="AggOrange9 4 4 42" xfId="19793" xr:uid="{A4180781-8223-4BB6-8ADB-916A46FEF5C7}"/>
    <cellStyle name="AggOrange9 4 4 43" xfId="19413" xr:uid="{7AAD076E-CF4B-47AC-BF8C-E6AC7834007D}"/>
    <cellStyle name="AggOrange9 4 4 44" xfId="21037" xr:uid="{B53973E2-313D-4363-ACE9-1BD1ACDF0936}"/>
    <cellStyle name="AggOrange9 4 4 45" xfId="20910" xr:uid="{C0C04256-A9DB-46FA-A1BE-60C9C5158A20}"/>
    <cellStyle name="AggOrange9 4 4 46" xfId="21932" xr:uid="{81D20D4D-A7F4-420B-9197-B0F1D3687251}"/>
    <cellStyle name="AggOrange9 4 4 47" xfId="22272" xr:uid="{9C010C5C-5D94-4584-A15F-9D2813B3700B}"/>
    <cellStyle name="AggOrange9 4 4 48" xfId="22258" xr:uid="{431A8C82-F747-4D7E-A6E1-E260832B2F31}"/>
    <cellStyle name="AggOrange9 4 4 49" xfId="22246" xr:uid="{EDD33486-E70C-4141-94E0-41BBA44F2076}"/>
    <cellStyle name="AggOrange9 4 4 5" xfId="2418" xr:uid="{8340755A-D099-4B0E-8EF8-598E2CC21A1A}"/>
    <cellStyle name="AggOrange9 4 4 50" xfId="23787" xr:uid="{0639355C-6FAE-4BD5-B008-D603BF65D808}"/>
    <cellStyle name="AggOrange9 4 4 51" xfId="24686" xr:uid="{26AC7C81-D7B7-4D27-9FB3-3DC198A169A0}"/>
    <cellStyle name="AggOrange9 4 4 52" xfId="24222" xr:uid="{3CFEB1D8-43E8-441A-9051-8CC91B85E731}"/>
    <cellStyle name="AggOrange9 4 4 53" xfId="25604" xr:uid="{EAFFEACD-5824-4402-B0CE-7B0D00AF3347}"/>
    <cellStyle name="AggOrange9 4 4 54" xfId="25336" xr:uid="{1BB86C51-10C4-4123-AD09-720587FFB525}"/>
    <cellStyle name="AggOrange9 4 4 55" xfId="26020" xr:uid="{87C6C1CB-A001-4182-BBBB-4947C3B16505}"/>
    <cellStyle name="AggOrange9 4 4 56" xfId="26894" xr:uid="{56D92A40-CEFF-4BE6-90F1-77B85CF2B2A3}"/>
    <cellStyle name="AggOrange9 4 4 57" xfId="27313" xr:uid="{6BB5A0E9-DF22-49C4-9B9D-34B2C1E2CE44}"/>
    <cellStyle name="AggOrange9 4 4 58" xfId="26492" xr:uid="{9C8ACF66-770F-4325-ABCA-58798FF627A5}"/>
    <cellStyle name="AggOrange9 4 4 59" xfId="28436" xr:uid="{89F2BC2A-8E80-457A-9898-CF4EB6934981}"/>
    <cellStyle name="AggOrange9 4 4 6" xfId="1938" xr:uid="{ACF3C77E-734C-4221-94E2-BD0BFD2BEE81}"/>
    <cellStyle name="AggOrange9 4 4 60" xfId="28904" xr:uid="{B79FB5B7-BA2B-42B1-8497-DB2DEE8153FA}"/>
    <cellStyle name="AggOrange9 4 4 61" xfId="27951" xr:uid="{1928DB2F-246A-4837-8D70-2342CD113B51}"/>
    <cellStyle name="AggOrange9 4 4 62" xfId="29694" xr:uid="{09CA691B-0224-40DE-9BF1-5CCF2C2CD50D}"/>
    <cellStyle name="AggOrange9 4 4 63" xfId="30102" xr:uid="{1ACA1CCF-3169-4522-B5D1-02A1ECD11A8D}"/>
    <cellStyle name="AggOrange9 4 4 64" xfId="30516" xr:uid="{AF45982E-B5F7-4B62-B90E-F0D8E3578869}"/>
    <cellStyle name="AggOrange9 4 4 65" xfId="30966" xr:uid="{5FCAC689-BACA-4635-920F-61BC7700ACBE}"/>
    <cellStyle name="AggOrange9 4 4 66" xfId="31140" xr:uid="{4A5FC649-CEA6-41A5-AF0E-748F8279F063}"/>
    <cellStyle name="AggOrange9 4 4 7" xfId="3290" xr:uid="{44D9FB08-4028-4C2C-A961-DDE44268A92F}"/>
    <cellStyle name="AggOrange9 4 4 8" xfId="3914" xr:uid="{68A0BFDC-9CDD-4EA2-9190-D9301EC2F37A}"/>
    <cellStyle name="AggOrange9 4 4 9" xfId="4352" xr:uid="{E8C4FF03-3633-4AD2-A81B-A73D23D8515E}"/>
    <cellStyle name="AggOrange9 4 40" xfId="17970" xr:uid="{A9C5D530-65B9-476F-9531-9C9C578B0AEA}"/>
    <cellStyle name="AggOrange9 4 41" xfId="18845" xr:uid="{C7130523-6320-4492-AD4D-30F4431BB7EC}"/>
    <cellStyle name="AggOrange9 4 42" xfId="18912" xr:uid="{39B10BA0-3123-48F4-A9E1-068EE1D88014}"/>
    <cellStyle name="AggOrange9 4 43" xfId="19650" xr:uid="{6FFC3A34-918B-4B0F-AEDF-7D867DF189E6}"/>
    <cellStyle name="AggOrange9 4 44" xfId="20318" xr:uid="{33466BD7-81C5-42FD-B607-2CD62410A7B7}"/>
    <cellStyle name="AggOrange9 4 45" xfId="20774" xr:uid="{8FAD9C25-94C8-4AD3-806C-F4922C25C980}"/>
    <cellStyle name="AggOrange9 4 46" xfId="19883" xr:uid="{786C9BE1-5270-47BE-A067-A092C6CBF840}"/>
    <cellStyle name="AggOrange9 4 47" xfId="21400" xr:uid="{4964CBF0-1881-41B0-B380-DD6DE19E23AE}"/>
    <cellStyle name="AggOrange9 4 48" xfId="21259" xr:uid="{23DDB7C4-6FF4-42C4-ACA2-329A421A201D}"/>
    <cellStyle name="AggOrange9 4 49" xfId="22741" xr:uid="{B47D5BD2-ECA5-47AB-9684-D8E120273775}"/>
    <cellStyle name="AggOrange9 4 5" xfId="943" xr:uid="{2697D08C-3864-47F5-8CD7-50A7CE080E92}"/>
    <cellStyle name="AggOrange9 4 50" xfId="23121" xr:uid="{15BE6040-DCE5-477C-AABB-42FCCE8FE73D}"/>
    <cellStyle name="AggOrange9 4 51" xfId="23555" xr:uid="{3FA6B080-5524-445A-BCBB-915AE98C3721}"/>
    <cellStyle name="AggOrange9 4 52" xfId="23657" xr:uid="{FDC9D598-ABD1-4416-B8D7-113E2F09D62F}"/>
    <cellStyle name="AggOrange9 4 53" xfId="24370" xr:uid="{CE7235AA-DBB9-4A50-A42C-76B39C260CA4}"/>
    <cellStyle name="AggOrange9 4 54" xfId="24207" xr:uid="{E6B32460-3955-4F99-9BD8-123535EA4C1C}"/>
    <cellStyle name="AggOrange9 4 55" xfId="25172" xr:uid="{1AA2F440-26B1-44F0-A3D1-F0CE6772F4F8}"/>
    <cellStyle name="AggOrange9 4 56" xfId="24295" xr:uid="{2EE0FB35-D8FA-42E4-BE02-C6F0B93D5E8D}"/>
    <cellStyle name="AggOrange9 4 57" xfId="26345" xr:uid="{DE53D8FF-1EA8-4AD2-B340-AED61292A97C}"/>
    <cellStyle name="AggOrange9 4 58" xfId="26710" xr:uid="{6A230D1B-CB02-4484-BB82-8FFAE92D31BC}"/>
    <cellStyle name="AggOrange9 4 59" xfId="25494" xr:uid="{B9463467-9DC4-4063-9345-13C31F6FFACC}"/>
    <cellStyle name="AggOrange9 4 6" xfId="1590" xr:uid="{6A10806A-96B6-4F38-9F87-53E02B52EC45}"/>
    <cellStyle name="AggOrange9 4 60" xfId="26379" xr:uid="{76763C4C-8BF3-4CCD-83F4-12962D6EFDC8}"/>
    <cellStyle name="AggOrange9 4 61" xfId="28141" xr:uid="{1553C4E3-5EEE-4BFB-9DBF-5A4EF5B09CA6}"/>
    <cellStyle name="AggOrange9 4 62" xfId="28015" xr:uid="{61085557-82CC-49BE-9F85-46FDB999AEDD}"/>
    <cellStyle name="AggOrange9 4 63" xfId="28052" xr:uid="{5E54EAD9-455F-4F07-B8B5-EA79E5080D16}"/>
    <cellStyle name="AggOrange9 4 64" xfId="29535" xr:uid="{A9AC7526-8877-4C69-9E5C-20210BAEE4FB}"/>
    <cellStyle name="AggOrange9 4 65" xfId="29795" xr:uid="{E936EB2F-3DEE-4070-A523-AC7F0479BB2D}"/>
    <cellStyle name="AggOrange9 4 66" xfId="28235" xr:uid="{433E2230-19F4-4B17-A73B-48E6CA0233CD}"/>
    <cellStyle name="AggOrange9 4 67" xfId="28770" xr:uid="{89821E9D-2497-462E-BE9A-633E64104E9E}"/>
    <cellStyle name="AggOrange9 4 68" xfId="28076" xr:uid="{E7F7050C-D885-4530-BD00-4BE40AEBF071}"/>
    <cellStyle name="AggOrange9 4 7" xfId="2090" xr:uid="{9F98C779-4494-4C14-94DE-852E09FA8FD9}"/>
    <cellStyle name="AggOrange9 4 8" xfId="2911" xr:uid="{C8B24781-C1FA-44DC-85A1-C38BB197E988}"/>
    <cellStyle name="AggOrange9 4 9" xfId="3612" xr:uid="{776394EF-0CEB-40D4-BCB4-971F90AD0A13}"/>
    <cellStyle name="AggOrange9 5" xfId="69" xr:uid="{FC7CD900-2D58-4E90-B9B5-2048B46E06D5}"/>
    <cellStyle name="AggOrange9 5 10" xfId="16121" xr:uid="{58C4EDEB-EEF9-4D68-87A2-03EC98F1D9A4}"/>
    <cellStyle name="AggOrange9 5 11" xfId="18354" xr:uid="{7E580E63-E973-43A8-8E08-B20EE4B5228D}"/>
    <cellStyle name="AggOrange9 5 12" xfId="19454" xr:uid="{850FBC89-297A-48B5-869B-F026F2D0C622}"/>
    <cellStyle name="AggOrange9 5 13" xfId="22363" xr:uid="{CE47602D-D3C5-43B0-9913-A886FE2E5F8F}"/>
    <cellStyle name="AggOrange9 5 14" xfId="24175" xr:uid="{985183C8-72AC-4C7F-9370-6D82E64F37C0}"/>
    <cellStyle name="AggOrange9 5 15" xfId="26134" xr:uid="{FB1D3889-DE31-4150-A329-E1FA4A05793E}"/>
    <cellStyle name="AggOrange9 5 16" xfId="27968" xr:uid="{06735F70-B4F7-4B62-AAF2-4035AB77E3F6}"/>
    <cellStyle name="AggOrange9 5 2" xfId="916" xr:uid="{E8C92826-2960-4A85-B1EB-0F51F4A151BB}"/>
    <cellStyle name="AggOrange9 5 3" xfId="1898" xr:uid="{58BDF84B-BA61-4966-919A-3B9ECA028B6E}"/>
    <cellStyle name="AggOrange9 5 4" xfId="3465" xr:uid="{08E8ECC3-C724-48B9-8447-249E64D083C7}"/>
    <cellStyle name="AggOrange9 5 5" xfId="3372" xr:uid="{D7AA9822-342B-45A2-B429-5DE41266BFDA}"/>
    <cellStyle name="AggOrange9 5 6" xfId="6810" xr:uid="{8F6DA5A3-C003-48FF-BDB1-3C6A5BA55B56}"/>
    <cellStyle name="AggOrange9 5 7" xfId="8645" xr:uid="{AFB959AB-12EB-430D-9E7E-D447609DE8D2}"/>
    <cellStyle name="AggOrange9 5 8" xfId="9024" xr:uid="{660B4413-A586-46A7-A3E3-ECB1D0A0EAB5}"/>
    <cellStyle name="AggOrange9 5 9" xfId="11429" xr:uid="{02D6C0BB-3E42-4AFD-98D9-E334C7A51A0C}"/>
    <cellStyle name="AggOrangeLB_2x" xfId="28" xr:uid="{CC991F6A-F108-4DC1-A1A4-83BD1C3785D5}"/>
    <cellStyle name="AggOrangeLBorder" xfId="30" xr:uid="{8D130D96-ED23-4673-8CFE-2D02F908505E}"/>
    <cellStyle name="AggOrangeLBorder 2" xfId="118" xr:uid="{A47EB40F-5715-43A7-9A42-54800B57DDB3}"/>
    <cellStyle name="AggOrangeLBorder 2 2" xfId="411" xr:uid="{752D987F-3B32-462D-BD06-8572576B875A}"/>
    <cellStyle name="AggOrangeLBorder 2 2 2" xfId="3714" xr:uid="{87F82221-2E80-4123-B0BD-B783CD9643F1}"/>
    <cellStyle name="AggOrangeLBorder 2 2 3" xfId="16985" xr:uid="{F5D7F3C0-7BEB-4A82-9217-B239D72CED51}"/>
    <cellStyle name="AggOrangeLBorder 2 3" xfId="269" xr:uid="{2F4F0801-1BB3-46C9-8F7A-19C3806E2C03}"/>
    <cellStyle name="AggOrangeLBorder 2 3 10" xfId="3713" xr:uid="{18D76BD4-3D4A-4529-B9AE-81A99A367ED1}"/>
    <cellStyle name="AggOrangeLBorder 2 3 11" xfId="3368" xr:uid="{D3B17B85-9546-4641-BC0F-6E09C394F902}"/>
    <cellStyle name="AggOrangeLBorder 2 3 12" xfId="3565" xr:uid="{A7297F5A-36AD-47AF-B6C9-CD6B47AB47C7}"/>
    <cellStyle name="AggOrangeLBorder 2 3 13" xfId="3145" xr:uid="{07751F24-5FA4-40FF-AC67-71F2391DE6CC}"/>
    <cellStyle name="AggOrangeLBorder 2 3 14" xfId="4709" xr:uid="{33F749A1-1D16-4417-82F8-84924BA3B33B}"/>
    <cellStyle name="AggOrangeLBorder 2 3 15" xfId="4812" xr:uid="{3EFBBD1E-13BF-4843-96A7-01062E11CED4}"/>
    <cellStyle name="AggOrangeLBorder 2 3 16" xfId="6125" xr:uid="{EE8756B8-8790-4A12-AA38-30D2F362A45B}"/>
    <cellStyle name="AggOrangeLBorder 2 3 17" xfId="2927" xr:uid="{50521C4F-A5A4-4B7C-A976-7BA13F72F3DF}"/>
    <cellStyle name="AggOrangeLBorder 2 3 18" xfId="6999" xr:uid="{C823CD1A-84C6-423E-9D63-EF13FCDB0ACE}"/>
    <cellStyle name="AggOrangeLBorder 2 3 19" xfId="7644" xr:uid="{6F097394-065B-4C3F-9946-060B5740DF4F}"/>
    <cellStyle name="AggOrangeLBorder 2 3 2" xfId="608" xr:uid="{0E4CD936-AECF-43A6-896B-FF396200207A}"/>
    <cellStyle name="AggOrangeLBorder 2 3 2 10" xfId="1950" xr:uid="{2C01D802-F67B-4268-BBA8-AE9676CFE917}"/>
    <cellStyle name="AggOrangeLBorder 2 3 2 11" xfId="5256" xr:uid="{F1B374D4-1E19-4470-A1BC-784C6F0B9941}"/>
    <cellStyle name="AggOrangeLBorder 2 3 2 12" xfId="3392" xr:uid="{D2865A5C-B864-4608-B74D-ACABDF00C584}"/>
    <cellStyle name="AggOrangeLBorder 2 3 2 13" xfId="4835" xr:uid="{E3ADEB31-F585-4976-B926-F8F4C7DCAC6C}"/>
    <cellStyle name="AggOrangeLBorder 2 3 2 14" xfId="6325" xr:uid="{6C10985E-E2F0-4E9C-AADD-E99D718F0F6F}"/>
    <cellStyle name="AggOrangeLBorder 2 3 2 15" xfId="7328" xr:uid="{8D7AEDD8-4AAD-47E7-A31C-5FC358449383}"/>
    <cellStyle name="AggOrangeLBorder 2 3 2 16" xfId="7989" xr:uid="{B484FAB1-4D87-4DC3-87BE-0A8CACE5E882}"/>
    <cellStyle name="AggOrangeLBorder 2 3 2 17" xfId="7837" xr:uid="{36946216-205D-48CA-8FD9-AF236BC94B9B}"/>
    <cellStyle name="AggOrangeLBorder 2 3 2 18" xfId="8310" xr:uid="{19D2C4F9-91EB-4B5C-A4BD-B825D7B7A80A}"/>
    <cellStyle name="AggOrangeLBorder 2 3 2 19" xfId="9542" xr:uid="{28846011-70FA-4DC3-95BB-19BB758989ED}"/>
    <cellStyle name="AggOrangeLBorder 2 3 2 2" xfId="823" xr:uid="{52003FF5-B18C-46B6-BE4F-CF4D5ECF747C}"/>
    <cellStyle name="AggOrangeLBorder 2 3 2 2 10" xfId="5471" xr:uid="{1A92A188-6F8C-4C5E-982A-98B94127B617}"/>
    <cellStyle name="AggOrangeLBorder 2 3 2 2 11" xfId="3511" xr:uid="{AF652978-5767-4F6F-917A-C30F92DB21D3}"/>
    <cellStyle name="AggOrangeLBorder 2 3 2 2 12" xfId="5805" xr:uid="{7E842AEA-C06F-422A-907C-9A42279A863A}"/>
    <cellStyle name="AggOrangeLBorder 2 3 2 2 13" xfId="6096" xr:uid="{60D64AC0-408C-40B1-8004-7A8420F3A16B}"/>
    <cellStyle name="AggOrangeLBorder 2 3 2 2 14" xfId="7543" xr:uid="{CFB6F68D-B714-491A-9143-B886D441A5D0}"/>
    <cellStyle name="AggOrangeLBorder 2 3 2 2 15" xfId="6733" xr:uid="{0F423877-126E-4871-9834-3001DF52DDCB}"/>
    <cellStyle name="AggOrangeLBorder 2 3 2 2 16" xfId="8541" xr:uid="{B6AEE28B-9CDD-4D63-9FDA-D0AA1BD4DC18}"/>
    <cellStyle name="AggOrangeLBorder 2 3 2 2 17" xfId="8454" xr:uid="{88421A33-BCEC-4488-A288-79EB44079D7C}"/>
    <cellStyle name="AggOrangeLBorder 2 3 2 2 18" xfId="9757" xr:uid="{192E6ED2-B798-42A7-8DE2-93C3471A79CF}"/>
    <cellStyle name="AggOrangeLBorder 2 3 2 2 19" xfId="9185" xr:uid="{22C07611-DD0F-4822-AD3A-BB698513A357}"/>
    <cellStyle name="AggOrangeLBorder 2 3 2 2 2" xfId="1297" xr:uid="{D14C8E9C-D9E6-4B61-A37D-243B823D58D2}"/>
    <cellStyle name="AggOrangeLBorder 2 3 2 2 20" xfId="9370" xr:uid="{13A76AD3-D826-4174-892E-04BA5B819D94}"/>
    <cellStyle name="AggOrangeLBorder 2 3 2 2 21" xfId="10593" xr:uid="{C2EA0BF3-A177-40E3-B675-B3B185BB23D8}"/>
    <cellStyle name="AggOrangeLBorder 2 3 2 2 22" xfId="10825" xr:uid="{44D73667-35A4-4725-8ACC-776DC1098457}"/>
    <cellStyle name="AggOrangeLBorder 2 3 2 2 23" xfId="12176" xr:uid="{F201EAC7-4167-4B27-A8FC-058652899619}"/>
    <cellStyle name="AggOrangeLBorder 2 3 2 2 24" xfId="12649" xr:uid="{711D4C6F-003D-4DA5-A2CC-A7E73A4AB9AE}"/>
    <cellStyle name="AggOrangeLBorder 2 3 2 2 25" xfId="13083" xr:uid="{3F08775E-1218-489A-847E-3D9853FC6628}"/>
    <cellStyle name="AggOrangeLBorder 2 3 2 2 26" xfId="13520" xr:uid="{7D0EBEB7-C2BB-4592-B707-569C25565732}"/>
    <cellStyle name="AggOrangeLBorder 2 3 2 2 27" xfId="11692" xr:uid="{B7E6B151-160A-4EAA-A668-7DE98DBD5250}"/>
    <cellStyle name="AggOrangeLBorder 2 3 2 2 28" xfId="14133" xr:uid="{C9C6D485-463D-47D4-88B9-AC3F1C1CB038}"/>
    <cellStyle name="AggOrangeLBorder 2 3 2 2 29" xfId="12752" xr:uid="{0AB1ED58-E2FF-42BE-A73D-45F19CFDAA23}"/>
    <cellStyle name="AggOrangeLBorder 2 3 2 2 3" xfId="1504" xr:uid="{E021295B-2B86-4B12-ABF7-2FE5D4A260D5}"/>
    <cellStyle name="AggOrangeLBorder 2 3 2 2 30" xfId="14530" xr:uid="{8EA75ACF-8DF4-4F19-99DE-DA931825B284}"/>
    <cellStyle name="AggOrangeLBorder 2 3 2 2 31" xfId="15711" xr:uid="{4FA7FA6C-E9CF-455A-84CD-9F06F2156CEC}"/>
    <cellStyle name="AggOrangeLBorder 2 3 2 2 32" xfId="15026" xr:uid="{AF913AE5-8869-4786-9E15-5B4B66A24346}"/>
    <cellStyle name="AggOrangeLBorder 2 3 2 2 33" xfId="16868" xr:uid="{08EDDC6B-A1B7-4DF1-B8B7-83760B311835}"/>
    <cellStyle name="AggOrangeLBorder 2 3 2 2 34" xfId="16041" xr:uid="{61234569-6D56-4DC0-95FA-E7D43C10B256}"/>
    <cellStyle name="AggOrangeLBorder 2 3 2 2 35" xfId="16476" xr:uid="{22BB5BBB-8767-4BC1-8355-E981E25F7CFD}"/>
    <cellStyle name="AggOrangeLBorder 2 3 2 2 36" xfId="17776" xr:uid="{6334DF08-7828-49E9-BEC8-8C16E317C4C7}"/>
    <cellStyle name="AggOrangeLBorder 2 3 2 2 37" xfId="18686" xr:uid="{75C192EE-F2ED-4FB7-AD8F-B4CE042035CD}"/>
    <cellStyle name="AggOrangeLBorder 2 3 2 2 38" xfId="17929" xr:uid="{8621E11B-2716-44AD-9C66-B1669591EA97}"/>
    <cellStyle name="AggOrangeLBorder 2 3 2 2 39" xfId="17031" xr:uid="{E623D2CD-3C09-471E-8131-1BE7D8862D5F}"/>
    <cellStyle name="AggOrangeLBorder 2 3 2 2 4" xfId="2645" xr:uid="{E9ACC781-E48F-4E85-87BF-E0B708C5EB09}"/>
    <cellStyle name="AggOrangeLBorder 2 3 2 2 40" xfId="20205" xr:uid="{C8CDEAA2-125D-4C17-85DD-1B56A13321F4}"/>
    <cellStyle name="AggOrangeLBorder 2 3 2 2 41" xfId="19515" xr:uid="{684FCC94-5C8A-4800-9CF9-C861B5C97A39}"/>
    <cellStyle name="AggOrangeLBorder 2 3 2 2 42" xfId="20717" xr:uid="{784BE28D-5245-4861-A442-E52296894DF2}"/>
    <cellStyle name="AggOrangeLBorder 2 3 2 2 43" xfId="20787" xr:uid="{368BEFF3-E2C1-48DD-858B-FC69123E23FC}"/>
    <cellStyle name="AggOrangeLBorder 2 3 2 2 44" xfId="21351" xr:uid="{B792DDB1-7F1F-4B19-8B9D-D62F0EDEB722}"/>
    <cellStyle name="AggOrangeLBorder 2 3 2 2 45" xfId="21981" xr:uid="{41703B95-7809-44E0-BD0D-5424AC310E52}"/>
    <cellStyle name="AggOrangeLBorder 2 3 2 2 46" xfId="22276" xr:uid="{F4520275-45D6-431E-8B74-D6EBEB8114C5}"/>
    <cellStyle name="AggOrangeLBorder 2 3 2 2 47" xfId="22159" xr:uid="{8D543EC5-4DFE-4DED-9D35-056D52AC968B}"/>
    <cellStyle name="AggOrangeLBorder 2 3 2 2 48" xfId="23350" xr:uid="{C1608A02-2F6A-4642-B207-B22BEA7B665E}"/>
    <cellStyle name="AggOrangeLBorder 2 3 2 2 49" xfId="24005" xr:uid="{68CE4042-3CB7-4B4A-A5ED-A5F2393F64F6}"/>
    <cellStyle name="AggOrangeLBorder 2 3 2 2 5" xfId="1940" xr:uid="{58C06E1A-DCF9-466A-A85B-2F1BAE0FD594}"/>
    <cellStyle name="AggOrangeLBorder 2 3 2 2 50" xfId="24913" xr:uid="{973DEA4F-D0B1-4412-99CF-34C3AF83D6E5}"/>
    <cellStyle name="AggOrangeLBorder 2 3 2 2 51" xfId="24230" xr:uid="{942E8624-E17B-4062-95D8-F536AE154DC3}"/>
    <cellStyle name="AggOrangeLBorder 2 3 2 2 52" xfId="25829" xr:uid="{6CA38409-4B67-4154-A1AD-34E47FC89149}"/>
    <cellStyle name="AggOrangeLBorder 2 3 2 2 53" xfId="24479" xr:uid="{FEEB9E4C-C8C2-4EA8-87DA-D9BECA4AFBE2}"/>
    <cellStyle name="AggOrangeLBorder 2 3 2 2 54" xfId="26648" xr:uid="{BA42100F-7015-402F-88E7-6F5A3EDC9C99}"/>
    <cellStyle name="AggOrangeLBorder 2 3 2 2 55" xfId="27117" xr:uid="{C05D4B41-46D0-4041-B91E-8A5D3621C7C1}"/>
    <cellStyle name="AggOrangeLBorder 2 3 2 2 56" xfId="27536" xr:uid="{A50B0123-507E-4AB2-B712-D4EAC9788AF9}"/>
    <cellStyle name="AggOrangeLBorder 2 3 2 2 57" xfId="26555" xr:uid="{437740A6-6D4C-455B-96ED-151D1DD2CC2F}"/>
    <cellStyle name="AggOrangeLBorder 2 3 2 2 58" xfId="28663" xr:uid="{6677FF22-9CBF-4EAD-94D1-4C73F2B2762D}"/>
    <cellStyle name="AggOrangeLBorder 2 3 2 2 59" xfId="29130" xr:uid="{A693E42F-236B-4780-9A7B-3015DDC95B2E}"/>
    <cellStyle name="AggOrangeLBorder 2 3 2 2 6" xfId="3309" xr:uid="{0D5885B4-7D57-4B9B-A99D-5546653C70E8}"/>
    <cellStyle name="AggOrangeLBorder 2 3 2 2 60" xfId="27980" xr:uid="{D8812722-8BC8-4DE0-9311-7CB8E0B044D4}"/>
    <cellStyle name="AggOrangeLBorder 2 3 2 2 61" xfId="29919" xr:uid="{412613AF-944B-4758-BFD7-82A44F14C40C}"/>
    <cellStyle name="AggOrangeLBorder 2 3 2 2 62" xfId="30325" xr:uid="{BF90DA7A-3257-4D39-82FA-F57AEEB0E92E}"/>
    <cellStyle name="AggOrangeLBorder 2 3 2 2 63" xfId="30742" xr:uid="{32107360-D686-452D-9553-4FF7E22B0264}"/>
    <cellStyle name="AggOrangeLBorder 2 3 2 2 64" xfId="31003" xr:uid="{528254A7-1CF0-4F16-8D46-4D75EBEE8B29}"/>
    <cellStyle name="AggOrangeLBorder 2 3 2 2 65" xfId="31358" xr:uid="{A5FCCF00-F7A5-4524-995A-9D6E7ECB08AF}"/>
    <cellStyle name="AggOrangeLBorder 2 3 2 2 7" xfId="4141" xr:uid="{F406F10B-690F-4B80-93AB-BDEF322B2123}"/>
    <cellStyle name="AggOrangeLBorder 2 3 2 2 8" xfId="4578" xr:uid="{FFB738E8-4A0C-4243-A067-7657291F2755}"/>
    <cellStyle name="AggOrangeLBorder 2 3 2 2 9" xfId="4918" xr:uid="{3005C9F3-6BF0-4518-9284-22825D0E9A68}"/>
    <cellStyle name="AggOrangeLBorder 2 3 2 20" xfId="10205" xr:uid="{DFB7D3B7-41DF-440F-87F1-7B1B6B24ED84}"/>
    <cellStyle name="AggOrangeLBorder 2 3 2 21" xfId="10609" xr:uid="{723F8C6A-681A-469F-9F6D-0B5530F42CAF}"/>
    <cellStyle name="AggOrangeLBorder 2 3 2 22" xfId="9164" xr:uid="{66FE6981-64B0-41A9-954D-1AC202735510}"/>
    <cellStyle name="AggOrangeLBorder 2 3 2 23" xfId="11131" xr:uid="{9320C811-55EF-4638-A236-A03C1CE62949}"/>
    <cellStyle name="AggOrangeLBorder 2 3 2 24" xfId="11961" xr:uid="{04495F5F-B88B-499C-B98D-C29E9E129B66}"/>
    <cellStyle name="AggOrangeLBorder 2 3 2 25" xfId="12434" xr:uid="{A46296D7-D715-47F2-B3F0-ACB966F71EA6}"/>
    <cellStyle name="AggOrangeLBorder 2 3 2 26" xfId="12868" xr:uid="{9348B190-3EE2-45D8-8B29-470FDF99E6C8}"/>
    <cellStyle name="AggOrangeLBorder 2 3 2 27" xfId="13305" xr:uid="{FD6C765F-F8C0-468C-9DAF-45E5497CB689}"/>
    <cellStyle name="AggOrangeLBorder 2 3 2 28" xfId="12959" xr:uid="{9C1387A8-91BC-4334-B3E3-F6C0F4D362B5}"/>
    <cellStyle name="AggOrangeLBorder 2 3 2 29" xfId="13801" xr:uid="{EC6C1B56-C060-4FF6-8F28-AAB8B16BDD98}"/>
    <cellStyle name="AggOrangeLBorder 2 3 2 3" xfId="1091" xr:uid="{FD2D35C9-A18B-40EA-A173-1E898199931D}"/>
    <cellStyle name="AggOrangeLBorder 2 3 2 30" xfId="14137" xr:uid="{8663A1FC-2F62-4308-BF62-71256A1FD2A0}"/>
    <cellStyle name="AggOrangeLBorder 2 3 2 31" xfId="14698" xr:uid="{F4F342E1-6F8E-40DF-9506-3E0BB8D79905}"/>
    <cellStyle name="AggOrangeLBorder 2 3 2 32" xfId="15687" xr:uid="{285D2D8F-0523-4E1E-A9E9-C0C3E24C62F2}"/>
    <cellStyle name="AggOrangeLBorder 2 3 2 33" xfId="15968" xr:uid="{8E79B657-50DB-4575-AD64-29A63EDE07EF}"/>
    <cellStyle name="AggOrangeLBorder 2 3 2 34" xfId="16653" xr:uid="{3CCBDD88-CC96-462A-9DA2-A49346556307}"/>
    <cellStyle name="AggOrangeLBorder 2 3 2 35" xfId="17326" xr:uid="{9DD26224-C621-4A09-BC81-ED5CF5F7D2FA}"/>
    <cellStyle name="AggOrangeLBorder 2 3 2 36" xfId="17769" xr:uid="{0122EE54-405F-4946-B1C9-01FCE2B15503}"/>
    <cellStyle name="AggOrangeLBorder 2 3 2 37" xfId="17194" xr:uid="{0C558A1C-A22C-4C2D-B34D-2383A1B31901}"/>
    <cellStyle name="AggOrangeLBorder 2 3 2 38" xfId="18471" xr:uid="{E57FFCB2-0FBA-48A7-9EB6-915AF45D3F43}"/>
    <cellStyle name="AggOrangeLBorder 2 3 2 39" xfId="18336" xr:uid="{9578DE90-A9E5-4738-AA7D-F81D252C54F7}"/>
    <cellStyle name="AggOrangeLBorder 2 3 2 4" xfId="1686" xr:uid="{B291267E-991E-4FAC-B776-FF514227F15F}"/>
    <cellStyle name="AggOrangeLBorder 2 3 2 40" xfId="19280" xr:uid="{DF258199-E3F7-4B87-A24D-DB1C70305090}"/>
    <cellStyle name="AggOrangeLBorder 2 3 2 41" xfId="19990" xr:uid="{80C8AF9F-497E-4EB7-B5BD-A8BD6AB83CB7}"/>
    <cellStyle name="AggOrangeLBorder 2 3 2 42" xfId="20677" xr:uid="{E9DAB59C-2C65-43FD-8CA9-EDFB38F69F08}"/>
    <cellStyle name="AggOrangeLBorder 2 3 2 43" xfId="21133" xr:uid="{9BE8929F-0D59-4743-A3AA-BB4342CB677A}"/>
    <cellStyle name="AggOrangeLBorder 2 3 2 44" xfId="21194" xr:uid="{0824209A-5150-4E30-80D1-A73AFCEF1B04}"/>
    <cellStyle name="AggOrangeLBorder 2 3 2 45" xfId="22065" xr:uid="{08EC2D1C-3AB3-49C4-90FC-0F10551A6203}"/>
    <cellStyle name="AggOrangeLBorder 2 3 2 46" xfId="22493" xr:uid="{6F0C420D-877E-407B-85BA-758334C6C80C}"/>
    <cellStyle name="AggOrangeLBorder 2 3 2 47" xfId="22305" xr:uid="{8BA741E7-2825-4125-BE75-707C365FDBA8}"/>
    <cellStyle name="AggOrangeLBorder 2 3 2 48" xfId="22407" xr:uid="{50A19346-E195-4F30-AF01-A8B48C4B8972}"/>
    <cellStyle name="AggOrangeLBorder 2 3 2 49" xfId="23383" xr:uid="{107BECA3-C7D1-466D-BAF7-CFEF91D94B8C}"/>
    <cellStyle name="AggOrangeLBorder 2 3 2 5" xfId="2430" xr:uid="{B13248E1-8E94-4EBF-9FE2-4BDCE1213F29}"/>
    <cellStyle name="AggOrangeLBorder 2 3 2 50" xfId="23799" xr:uid="{FA41FD57-B866-461F-BC83-8EF6501CE63B}"/>
    <cellStyle name="AggOrangeLBorder 2 3 2 51" xfId="24698" xr:uid="{AA05D4BD-3482-4EB0-B8AF-EBD1B218F9DF}"/>
    <cellStyle name="AggOrangeLBorder 2 3 2 52" xfId="25380" xr:uid="{DC1E4ACF-586B-44B9-86C4-15DA69D1C3DE}"/>
    <cellStyle name="AggOrangeLBorder 2 3 2 53" xfId="25616" xr:uid="{989916D4-14A0-4405-BE31-BA1B467BEF64}"/>
    <cellStyle name="AggOrangeLBorder 2 3 2 54" xfId="25020" xr:uid="{6D0FF96E-CCFC-4816-8C8A-91C3ADBB0211}"/>
    <cellStyle name="AggOrangeLBorder 2 3 2 55" xfId="26580" xr:uid="{A1769718-7387-4CEA-B541-965A6E5FC6A6}"/>
    <cellStyle name="AggOrangeLBorder 2 3 2 56" xfId="26906" xr:uid="{850B2C04-EE78-477F-BAFF-D2B08D959553}"/>
    <cellStyle name="AggOrangeLBorder 2 3 2 57" xfId="27325" xr:uid="{66975B47-74FC-4A27-803F-060E3AA3341F}"/>
    <cellStyle name="AggOrangeLBorder 2 3 2 58" xfId="27195" xr:uid="{7A92DD32-C294-4CDB-A42E-779E632EA731}"/>
    <cellStyle name="AggOrangeLBorder 2 3 2 59" xfId="28448" xr:uid="{D809B51D-AB29-4829-ADD6-B5845F6AF80F}"/>
    <cellStyle name="AggOrangeLBorder 2 3 2 6" xfId="1913" xr:uid="{96316375-72CC-4311-9D13-6FD875D5E94F}"/>
    <cellStyle name="AggOrangeLBorder 2 3 2 60" xfId="28916" xr:uid="{06F43657-DFC7-4C3D-98D3-8DA2C1CF77CC}"/>
    <cellStyle name="AggOrangeLBorder 2 3 2 61" xfId="29502" xr:uid="{E36B86F8-E5B4-4B90-9BA6-6B67BF5563EF}"/>
    <cellStyle name="AggOrangeLBorder 2 3 2 62" xfId="29706" xr:uid="{0A540F4C-0084-4A98-85A8-60A80A7A1174}"/>
    <cellStyle name="AggOrangeLBorder 2 3 2 63" xfId="30114" xr:uid="{02EA2249-C07D-41A4-BB4A-F30FFC6E9411}"/>
    <cellStyle name="AggOrangeLBorder 2 3 2 64" xfId="30528" xr:uid="{E62400E3-E5B0-4B85-85E4-A3DF2859F0B4}"/>
    <cellStyle name="AggOrangeLBorder 2 3 2 65" xfId="30842" xr:uid="{F8046F29-DD60-4BB4-9FBB-2AD526FCAADF}"/>
    <cellStyle name="AggOrangeLBorder 2 3 2 66" xfId="31152" xr:uid="{F96B5A2B-B336-49AD-9392-C753FA2B8CB9}"/>
    <cellStyle name="AggOrangeLBorder 2 3 2 7" xfId="3667" xr:uid="{1944EBA9-C87F-4644-96AD-69D11DF8C486}"/>
    <cellStyle name="AggOrangeLBorder 2 3 2 8" xfId="3926" xr:uid="{603F7594-6B89-4C0F-A40F-1E1D4DCA35A8}"/>
    <cellStyle name="AggOrangeLBorder 2 3 2 9" xfId="4364" xr:uid="{CD98CC9D-9CFB-40E5-8D08-BF5D9FD036B8}"/>
    <cellStyle name="AggOrangeLBorder 2 3 20" xfId="8619" xr:uid="{8E9C7856-69B6-485E-87FD-A8BE1F9C5AA7}"/>
    <cellStyle name="AggOrangeLBorder 2 3 21" xfId="8775" xr:uid="{63AAE990-61C1-4B28-B0E9-4A247F04F6F5}"/>
    <cellStyle name="AggOrangeLBorder 2 3 22" xfId="9213" xr:uid="{5BC99588-E23D-4AB9-9B56-AC6C51B0F2EA}"/>
    <cellStyle name="AggOrangeLBorder 2 3 23" xfId="9854" xr:uid="{1C73B6A0-9FF3-4867-B311-4306EB050966}"/>
    <cellStyle name="AggOrangeLBorder 2 3 24" xfId="10297" xr:uid="{127C33DF-C9ED-43B1-99D9-8863839E2D5E}"/>
    <cellStyle name="AggOrangeLBorder 2 3 25" xfId="10183" xr:uid="{480BC6D3-9006-4A42-85DE-127379B9098B}"/>
    <cellStyle name="AggOrangeLBorder 2 3 26" xfId="10996" xr:uid="{85ACA22D-E458-4E88-8C7B-427E461EAE10}"/>
    <cellStyle name="AggOrangeLBorder 2 3 27" xfId="11625" xr:uid="{0B968416-01DB-4643-91CF-D3EA0D0C4BBE}"/>
    <cellStyle name="AggOrangeLBorder 2 3 28" xfId="12048" xr:uid="{B527C691-8490-4056-A588-B4BAC4A3D4A4}"/>
    <cellStyle name="AggOrangeLBorder 2 3 29" xfId="11795" xr:uid="{B6ED0FC2-C680-40DC-9F0F-7E411167168C}"/>
    <cellStyle name="AggOrangeLBorder 2 3 3" xfId="548" xr:uid="{D1E2162A-7FF6-4CE4-BD94-180E233BD522}"/>
    <cellStyle name="AggOrangeLBorder 2 3 3 10" xfId="3070" xr:uid="{00E02270-0509-4AF7-B945-C16EA105D5D7}"/>
    <cellStyle name="AggOrangeLBorder 2 3 3 11" xfId="5196" xr:uid="{87464E6A-06DF-4022-9B38-EFCF5826F8FB}"/>
    <cellStyle name="AggOrangeLBorder 2 3 3 12" xfId="5966" xr:uid="{0FD61E85-E807-4D9C-9519-263B0E47C886}"/>
    <cellStyle name="AggOrangeLBorder 2 3 3 13" xfId="6037" xr:uid="{300CFBAC-0180-4AC3-A1B5-E06D506EB5DD}"/>
    <cellStyle name="AggOrangeLBorder 2 3 3 14" xfId="5600" xr:uid="{DCD62C81-EB1E-44D2-B0CC-5450CFBB37D7}"/>
    <cellStyle name="AggOrangeLBorder 2 3 3 15" xfId="7268" xr:uid="{406404D6-0CD1-43F4-8CF3-B037DF42A4BA}"/>
    <cellStyle name="AggOrangeLBorder 2 3 3 16" xfId="6937" xr:uid="{011F7E8E-B47E-4489-88CA-596F682E08FC}"/>
    <cellStyle name="AggOrangeLBorder 2 3 3 17" xfId="8441" xr:uid="{71007B0A-B5F9-4E98-86F2-21A7AFB326DB}"/>
    <cellStyle name="AggOrangeLBorder 2 3 3 18" xfId="8824" xr:uid="{D9171D1C-A084-4997-819B-378BD68EFBFB}"/>
    <cellStyle name="AggOrangeLBorder 2 3 3 19" xfId="9482" xr:uid="{F4AFC65E-348E-4F37-BCAF-1074CE662C13}"/>
    <cellStyle name="AggOrangeLBorder 2 3 3 2" xfId="763" xr:uid="{E1F57CBC-41A0-4F52-BF25-9613FA7A8CA9}"/>
    <cellStyle name="AggOrangeLBorder 2 3 3 2 10" xfId="5411" xr:uid="{2723EE51-C975-4E45-9F96-83276C66AEC9}"/>
    <cellStyle name="AggOrangeLBorder 2 3 3 2 11" xfId="3697" xr:uid="{164C2502-AE88-45A9-9639-25D63D695145}"/>
    <cellStyle name="AggOrangeLBorder 2 3 3 2 12" xfId="5007" xr:uid="{98DD45A9-D992-4FC8-815B-B0718403960C}"/>
    <cellStyle name="AggOrangeLBorder 2 3 3 2 13" xfId="6616" xr:uid="{2654C85C-D0F6-4ED9-9B5E-EB267FEEC6B9}"/>
    <cellStyle name="AggOrangeLBorder 2 3 3 2 14" xfId="7483" xr:uid="{1D33B92A-2F2C-47FD-8C8B-4400C361206A}"/>
    <cellStyle name="AggOrangeLBorder 2 3 3 2 15" xfId="7196" xr:uid="{44620CF1-9372-4961-95F8-8A08EF3D6659}"/>
    <cellStyle name="AggOrangeLBorder 2 3 3 2 16" xfId="7182" xr:uid="{1B88333A-1CAB-4335-89B9-366606F9090C}"/>
    <cellStyle name="AggOrangeLBorder 2 3 3 2 17" xfId="8795" xr:uid="{E6B7010C-F878-4B64-8E26-DC9A0A93DF00}"/>
    <cellStyle name="AggOrangeLBorder 2 3 3 2 18" xfId="9697" xr:uid="{56CCB37D-16AF-4E3F-A26B-609E46624CE0}"/>
    <cellStyle name="AggOrangeLBorder 2 3 3 2 19" xfId="9409" xr:uid="{888C529B-840E-4D03-A201-D9F23467FC7B}"/>
    <cellStyle name="AggOrangeLBorder 2 3 3 2 2" xfId="1237" xr:uid="{48636564-C995-4C07-B210-205DCBA081CC}"/>
    <cellStyle name="AggOrangeLBorder 2 3 3 2 20" xfId="10060" xr:uid="{39435BF9-40EB-4877-B610-D943C6D124C9}"/>
    <cellStyle name="AggOrangeLBorder 2 3 3 2 21" xfId="10531" xr:uid="{47CA45B4-FD7B-4010-BF31-A120F6A2FC36}"/>
    <cellStyle name="AggOrangeLBorder 2 3 3 2 22" xfId="9295" xr:uid="{9029934E-4231-4047-BB5C-670F4B5F9B15}"/>
    <cellStyle name="AggOrangeLBorder 2 3 3 2 23" xfId="12116" xr:uid="{AFE092AB-20BC-4041-8EA8-13402C10A545}"/>
    <cellStyle name="AggOrangeLBorder 2 3 3 2 24" xfId="12589" xr:uid="{CDAF20C5-0B51-4514-963C-13E196708232}"/>
    <cellStyle name="AggOrangeLBorder 2 3 3 2 25" xfId="13023" xr:uid="{DB9E5ABC-68F8-4600-9363-6A63600AA599}"/>
    <cellStyle name="AggOrangeLBorder 2 3 3 2 26" xfId="13460" xr:uid="{AEAE2605-AB5B-497E-8D24-47FDB912EA9C}"/>
    <cellStyle name="AggOrangeLBorder 2 3 3 2 27" xfId="11461" xr:uid="{B1872EAE-3A44-4A51-BA3E-2730D4E4B302}"/>
    <cellStyle name="AggOrangeLBorder 2 3 3 2 28" xfId="11688" xr:uid="{49C5D9D5-7D6B-4DEA-AED4-E7B1BF198BA8}"/>
    <cellStyle name="AggOrangeLBorder 2 3 3 2 29" xfId="14268" xr:uid="{CCD63BD2-B537-4C86-B34D-E336324D8FE1}"/>
    <cellStyle name="AggOrangeLBorder 2 3 3 2 3" xfId="1622" xr:uid="{282E61BA-8A82-46DB-AC38-FFB3E01126C8}"/>
    <cellStyle name="AggOrangeLBorder 2 3 3 2 30" xfId="15235" xr:uid="{808D0634-713B-481C-9ACC-C83474AB44F9}"/>
    <cellStyle name="AggOrangeLBorder 2 3 3 2 31" xfId="15504" xr:uid="{CBFE39BF-AEF4-4932-B0E4-4959D8411BE6}"/>
    <cellStyle name="AggOrangeLBorder 2 3 3 2 32" xfId="15333" xr:uid="{88BC8945-599F-497C-9BDF-32E9B0A90377}"/>
    <cellStyle name="AggOrangeLBorder 2 3 3 2 33" xfId="16808" xr:uid="{2CB2F54B-DA12-46BB-98BC-83C875D15A2E}"/>
    <cellStyle name="AggOrangeLBorder 2 3 3 2 34" xfId="16518" xr:uid="{86698F12-4C25-422E-8E64-AF8ACE9CDC36}"/>
    <cellStyle name="AggOrangeLBorder 2 3 3 2 35" xfId="17178" xr:uid="{0D3064E3-585B-42DC-8014-E0FE94457C16}"/>
    <cellStyle name="AggOrangeLBorder 2 3 3 2 36" xfId="17985" xr:uid="{08B93F2F-1848-4B0B-97E3-286FB6CC30FD}"/>
    <cellStyle name="AggOrangeLBorder 2 3 3 2 37" xfId="18626" xr:uid="{41784CFF-EE3F-4FC1-B21E-0F9F8F9FDE6D}"/>
    <cellStyle name="AggOrangeLBorder 2 3 3 2 38" xfId="18926" xr:uid="{3B017034-8FE1-4AF7-9E7D-1BEE86809F83}"/>
    <cellStyle name="AggOrangeLBorder 2 3 3 2 39" xfId="17284" xr:uid="{CD996BB2-ECEC-4C9A-8C18-4A9395060F02}"/>
    <cellStyle name="AggOrangeLBorder 2 3 3 2 4" xfId="2585" xr:uid="{19462BB2-BF3D-4C61-BAD7-43D924516F94}"/>
    <cellStyle name="AggOrangeLBorder 2 3 3 2 40" xfId="20145" xr:uid="{3B056778-F9C0-4C19-916C-D8F7CB427653}"/>
    <cellStyle name="AggOrangeLBorder 2 3 3 2 41" xfId="19854" xr:uid="{8A7D41E4-B356-4544-B413-CD92D8A8F904}"/>
    <cellStyle name="AggOrangeLBorder 2 3 3 2 42" xfId="20372" xr:uid="{08E8E963-1033-4517-977F-3446EEF57E11}"/>
    <cellStyle name="AggOrangeLBorder 2 3 3 2 43" xfId="21537" xr:uid="{096EEF62-DAA8-450A-8B91-A63F7CAB865F}"/>
    <cellStyle name="AggOrangeLBorder 2 3 3 2 44" xfId="21229" xr:uid="{C2A2C23B-34BD-4E2E-AA9C-FA7DDFAEBAC8}"/>
    <cellStyle name="AggOrangeLBorder 2 3 3 2 45" xfId="21999" xr:uid="{0B6D42F8-E37E-4848-9003-2AD8CC227ECB}"/>
    <cellStyle name="AggOrangeLBorder 2 3 3 2 46" xfId="22296" xr:uid="{D83524E3-EA37-4B78-B336-2D9767DC170F}"/>
    <cellStyle name="AggOrangeLBorder 2 3 3 2 47" xfId="23211" xr:uid="{B6557A08-5054-4101-9EA9-8A66EBB36607}"/>
    <cellStyle name="AggOrangeLBorder 2 3 3 2 48" xfId="22451" xr:uid="{AACED697-45CF-438D-9D15-E43AE3848BE6}"/>
    <cellStyle name="AggOrangeLBorder 2 3 3 2 49" xfId="23945" xr:uid="{4DA3888C-8692-4956-9FF0-E52C4F718D5E}"/>
    <cellStyle name="AggOrangeLBorder 2 3 3 2 5" xfId="2003" xr:uid="{58BF26CA-0322-4A9B-854C-5C087C25A25E}"/>
    <cellStyle name="AggOrangeLBorder 2 3 3 2 50" xfId="24853" xr:uid="{27D1BB06-2E6D-4271-9F78-64176109B6AF}"/>
    <cellStyle name="AggOrangeLBorder 2 3 3 2 51" xfId="24519" xr:uid="{9172506C-A6FC-4AC0-A049-1A631CB58079}"/>
    <cellStyle name="AggOrangeLBorder 2 3 3 2 52" xfId="25769" xr:uid="{40DEE200-223E-449F-8E02-4704B7E83143}"/>
    <cellStyle name="AggOrangeLBorder 2 3 3 2 53" xfId="25203" xr:uid="{84431598-E84A-43A3-A2C7-1D9946DF4325}"/>
    <cellStyle name="AggOrangeLBorder 2 3 3 2 54" xfId="26638" xr:uid="{80A83614-9E7D-446B-9D88-81A17C46BD89}"/>
    <cellStyle name="AggOrangeLBorder 2 3 3 2 55" xfId="27057" xr:uid="{4C72C888-F7FE-41A1-A1F1-70348BE34139}"/>
    <cellStyle name="AggOrangeLBorder 2 3 3 2 56" xfId="27476" xr:uid="{DCBE08B3-BA44-4515-809F-59E0F0CB25F5}"/>
    <cellStyle name="AggOrangeLBorder 2 3 3 2 57" xfId="26218" xr:uid="{AB9D3FCA-4C04-497B-A92B-35E25E4DA849}"/>
    <cellStyle name="AggOrangeLBorder 2 3 3 2 58" xfId="28603" xr:uid="{B3852CB2-CF09-449D-A5B4-B47B9BC39817}"/>
    <cellStyle name="AggOrangeLBorder 2 3 3 2 59" xfId="29070" xr:uid="{823A2E9F-6566-444C-A24D-B1FB28788481}"/>
    <cellStyle name="AggOrangeLBorder 2 3 3 2 6" xfId="2717" xr:uid="{87413ABD-5815-405D-A4C4-10AF2E3765D0}"/>
    <cellStyle name="AggOrangeLBorder 2 3 3 2 60" xfId="28789" xr:uid="{046A5F16-31FF-4A0B-92B2-A2F1D59F79A7}"/>
    <cellStyle name="AggOrangeLBorder 2 3 3 2 61" xfId="29859" xr:uid="{CA5B019C-958B-4CFB-ABCE-25D140D62013}"/>
    <cellStyle name="AggOrangeLBorder 2 3 3 2 62" xfId="30265" xr:uid="{F6B85BA7-FF38-4D54-93EE-FE5AB85B2003}"/>
    <cellStyle name="AggOrangeLBorder 2 3 3 2 63" xfId="30682" xr:uid="{08129830-62A0-486B-8A7F-AFBC670F2319}"/>
    <cellStyle name="AggOrangeLBorder 2 3 3 2 64" xfId="28740" xr:uid="{D2519938-8686-417A-8CC2-77C4F17696E0}"/>
    <cellStyle name="AggOrangeLBorder 2 3 3 2 65" xfId="31298" xr:uid="{F7664949-8B87-4FC9-8BE9-0E03CD63967E}"/>
    <cellStyle name="AggOrangeLBorder 2 3 3 2 7" xfId="4081" xr:uid="{2613D0A3-148D-41CC-83D9-E23F0D308043}"/>
    <cellStyle name="AggOrangeLBorder 2 3 3 2 8" xfId="4518" xr:uid="{C6353920-BCA3-4A93-A6E4-D3F815D9E5E7}"/>
    <cellStyle name="AggOrangeLBorder 2 3 3 2 9" xfId="3238" xr:uid="{397E2184-A4FE-4D8F-B153-F9F33ABDC3E6}"/>
    <cellStyle name="AggOrangeLBorder 2 3 3 20" xfId="8951" xr:uid="{CED19DDB-E17C-4E6C-BA5D-6E57D42C8235}"/>
    <cellStyle name="AggOrangeLBorder 2 3 3 21" xfId="9403" xr:uid="{456F2C1E-A7C4-4554-853D-D3104DB472AC}"/>
    <cellStyle name="AggOrangeLBorder 2 3 3 22" xfId="10385" xr:uid="{781D8776-597D-44A0-B051-B8EAD939255E}"/>
    <cellStyle name="AggOrangeLBorder 2 3 3 23" xfId="11061" xr:uid="{584F3FD0-8DEF-44B0-8ABD-31A9F70227FE}"/>
    <cellStyle name="AggOrangeLBorder 2 3 3 24" xfId="11901" xr:uid="{2C9985E3-FF7F-4E35-A440-590E4B8EE20E}"/>
    <cellStyle name="AggOrangeLBorder 2 3 3 25" xfId="12374" xr:uid="{3DBB5282-FEAA-4ABC-A309-3A8802333D09}"/>
    <cellStyle name="AggOrangeLBorder 2 3 3 26" xfId="12808" xr:uid="{41906F99-B950-4F51-96B6-BB5F773AFE7C}"/>
    <cellStyle name="AggOrangeLBorder 2 3 3 27" xfId="13245" xr:uid="{A2BEAFB8-185A-4678-9707-8912F384861F}"/>
    <cellStyle name="AggOrangeLBorder 2 3 3 28" xfId="13164" xr:uid="{A2324AD3-3BD4-4428-9D49-94E9B25D39A3}"/>
    <cellStyle name="AggOrangeLBorder 2 3 3 29" xfId="14294" xr:uid="{ED20DF77-F57D-4177-8CD3-0041290E8DE7}"/>
    <cellStyle name="AggOrangeLBorder 2 3 3 3" xfId="1031" xr:uid="{0C5A87E3-983B-4B46-BC75-91ECFCC96474}"/>
    <cellStyle name="AggOrangeLBorder 2 3 3 30" xfId="12755" xr:uid="{95418C05-DE90-4A4E-92DE-15A36E8B0C7F}"/>
    <cellStyle name="AggOrangeLBorder 2 3 3 31" xfId="15172" xr:uid="{5D6A5BBE-688B-456D-9D75-092DF0AA3DD8}"/>
    <cellStyle name="AggOrangeLBorder 2 3 3 32" xfId="15743" xr:uid="{3303BDD5-0C87-4B97-9EAE-7CC0B32B769C}"/>
    <cellStyle name="AggOrangeLBorder 2 3 3 33" xfId="13743" xr:uid="{9F823B7A-AC6E-4D92-9844-32BD0A85D10F}"/>
    <cellStyle name="AggOrangeLBorder 2 3 3 34" xfId="16593" xr:uid="{C4A97C87-C4BD-4018-B970-DE715C60DC99}"/>
    <cellStyle name="AggOrangeLBorder 2 3 3 35" xfId="16255" xr:uid="{C9BA0AA6-A5CE-498E-9305-AA81357179B9}"/>
    <cellStyle name="AggOrangeLBorder 2 3 3 36" xfId="17136" xr:uid="{3CC745ED-765B-4078-A73F-825F4E036832}"/>
    <cellStyle name="AggOrangeLBorder 2 3 3 37" xfId="17719" xr:uid="{45BB0B61-AD57-4A77-834C-514CAC4D58BB}"/>
    <cellStyle name="AggOrangeLBorder 2 3 3 38" xfId="18411" xr:uid="{DD8104CE-1693-42C0-B88C-A9F195D778BD}"/>
    <cellStyle name="AggOrangeLBorder 2 3 3 39" xfId="18963" xr:uid="{6616AE0F-2860-4BEB-803D-8B0137F67EA5}"/>
    <cellStyle name="AggOrangeLBorder 2 3 3 4" xfId="1458" xr:uid="{CA7B6A29-2B53-40B3-AF78-1BED0786D9CE}"/>
    <cellStyle name="AggOrangeLBorder 2 3 3 40" xfId="19034" xr:uid="{E51C6E3E-547F-4455-BF51-E1278A744017}"/>
    <cellStyle name="AggOrangeLBorder 2 3 3 41" xfId="19930" xr:uid="{C81BC6E5-2631-463E-828A-6EAB4024B973}"/>
    <cellStyle name="AggOrangeLBorder 2 3 3 42" xfId="19585" xr:uid="{0CB55C6C-F097-4E0B-AD97-40201FF3D2E0}"/>
    <cellStyle name="AggOrangeLBorder 2 3 3 43" xfId="20694" xr:uid="{9AC4A521-EF8D-4A11-B88D-D063DF2BC789}"/>
    <cellStyle name="AggOrangeLBorder 2 3 3 44" xfId="21036" xr:uid="{C64E01E3-0CF0-44E1-A566-FB6A1ABC81D4}"/>
    <cellStyle name="AggOrangeLBorder 2 3 3 45" xfId="20797" xr:uid="{0E8CFB07-32ED-4509-A1F9-1B2350EE68FE}"/>
    <cellStyle name="AggOrangeLBorder 2 3 3 46" xfId="21499" xr:uid="{8F8811D6-F393-4ED5-92F8-32F6BA72148C}"/>
    <cellStyle name="AggOrangeLBorder 2 3 3 47" xfId="20532" xr:uid="{4714C392-45B3-4458-8BC8-A72E32093E48}"/>
    <cellStyle name="AggOrangeLBorder 2 3 3 48" xfId="23251" xr:uid="{B6946915-ACAB-4580-9529-8646E1122E9E}"/>
    <cellStyle name="AggOrangeLBorder 2 3 3 49" xfId="23543" xr:uid="{42A0C7B7-732A-43DC-8407-EFCA9AF75DEE}"/>
    <cellStyle name="AggOrangeLBorder 2 3 3 5" xfId="2370" xr:uid="{89C47AC0-C05F-4E7B-9AF3-A52D4EBC5964}"/>
    <cellStyle name="AggOrangeLBorder 2 3 3 50" xfId="23739" xr:uid="{8F268BB7-6984-4222-9791-7B24381E8B3E}"/>
    <cellStyle name="AggOrangeLBorder 2 3 3 51" xfId="24638" xr:uid="{2D089D09-CC49-4FA6-99C9-3B2C3B60E201}"/>
    <cellStyle name="AggOrangeLBorder 2 3 3 52" xfId="24350" xr:uid="{D86A445B-69E0-493C-865D-993293945E88}"/>
    <cellStyle name="AggOrangeLBorder 2 3 3 53" xfId="25556" xr:uid="{E7C24975-25F4-445D-977C-A644F04C2527}"/>
    <cellStyle name="AggOrangeLBorder 2 3 3 54" xfId="25125" xr:uid="{F62792E2-11C7-4496-BC1D-223CA6D59288}"/>
    <cellStyle name="AggOrangeLBorder 2 3 3 55" xfId="25912" xr:uid="{35BAE2B0-C4D2-41B4-83E6-E5393629C73A}"/>
    <cellStyle name="AggOrangeLBorder 2 3 3 56" xfId="26846" xr:uid="{E4C0575B-9701-4440-8043-4D23EAC49C31}"/>
    <cellStyle name="AggOrangeLBorder 2 3 3 57" xfId="27265" xr:uid="{CBE72F08-DA9A-4E4D-BCDC-F6EA947ECA9E}"/>
    <cellStyle name="AggOrangeLBorder 2 3 3 58" xfId="26680" xr:uid="{F0DE39A3-B9C8-49A5-A73D-F3E8031D6F29}"/>
    <cellStyle name="AggOrangeLBorder 2 3 3 59" xfId="28388" xr:uid="{25C5E8C5-9FA0-4D4F-9BA8-0B7A3A431AEA}"/>
    <cellStyle name="AggOrangeLBorder 2 3 3 6" xfId="2124" xr:uid="{F379B1CF-317F-4723-B92A-59E483734B29}"/>
    <cellStyle name="AggOrangeLBorder 2 3 3 60" xfId="28856" xr:uid="{3E963514-F2FD-4267-A880-F7E742EDF4E8}"/>
    <cellStyle name="AggOrangeLBorder 2 3 3 61" xfId="27984" xr:uid="{1324F23F-1D43-42A5-B012-C48EA8A29DDF}"/>
    <cellStyle name="AggOrangeLBorder 2 3 3 62" xfId="29646" xr:uid="{05C1FB46-EF2A-4C05-B9D8-7B95040BDECA}"/>
    <cellStyle name="AggOrangeLBorder 2 3 3 63" xfId="30054" xr:uid="{D78392AF-FE3E-4997-AC6F-7F1A9D2DA3B7}"/>
    <cellStyle name="AggOrangeLBorder 2 3 3 64" xfId="30468" xr:uid="{C88701FE-62A3-42F6-ABD2-B4641D932078}"/>
    <cellStyle name="AggOrangeLBorder 2 3 3 65" xfId="30838" xr:uid="{C4E1AD95-2106-4F66-A1F2-1B33521BD588}"/>
    <cellStyle name="AggOrangeLBorder 2 3 3 66" xfId="31092" xr:uid="{D861B222-021E-46D2-AFBC-60BF1D1A4B30}"/>
    <cellStyle name="AggOrangeLBorder 2 3 3 7" xfId="3193" xr:uid="{F0D18B7E-F989-40B1-8C3A-53B45605F407}"/>
    <cellStyle name="AggOrangeLBorder 2 3 3 8" xfId="3866" xr:uid="{5C70D69F-D234-4AD5-A3E1-768190233A64}"/>
    <cellStyle name="AggOrangeLBorder 2 3 3 9" xfId="4304" xr:uid="{FDE0D09B-344A-4092-80C0-47C5D22DDB1E}"/>
    <cellStyle name="AggOrangeLBorder 2 3 30" xfId="11854" xr:uid="{16746FD5-D423-48C2-831E-919D0728C6CE}"/>
    <cellStyle name="AggOrangeLBorder 2 3 31" xfId="13956" xr:uid="{6BD0459B-B4DD-47E1-8644-3174A0728E72}"/>
    <cellStyle name="AggOrangeLBorder 2 3 32" xfId="14020" xr:uid="{DA7A523C-9C4D-44FE-8CDD-76B0B5B834E8}"/>
    <cellStyle name="AggOrangeLBorder 2 3 33" xfId="13813" xr:uid="{1CA45A4D-8E9C-4D8B-A5A4-F6D74B537570}"/>
    <cellStyle name="AggOrangeLBorder 2 3 34" xfId="15086" xr:uid="{14F539EC-99F9-48A5-B458-FE69825B8C14}"/>
    <cellStyle name="AggOrangeLBorder 2 3 35" xfId="15449" xr:uid="{97D46526-A911-4CF0-9170-E67DF8C9C549}"/>
    <cellStyle name="AggOrangeLBorder 2 3 36" xfId="15719" xr:uid="{1888FCD3-84F8-480F-BD9E-B3E928C2A432}"/>
    <cellStyle name="AggOrangeLBorder 2 3 37" xfId="16320" xr:uid="{DAD82A91-0C64-486C-A496-27C6F1A36EB8}"/>
    <cellStyle name="AggOrangeLBorder 2 3 38" xfId="16970" xr:uid="{8DC61788-503B-4787-BE6A-7478ED313E7B}"/>
    <cellStyle name="AggOrangeLBorder 2 3 39" xfId="17421" xr:uid="{2879A09E-DC3F-490B-80B1-0709BEF19146}"/>
    <cellStyle name="AggOrangeLBorder 2 3 4" xfId="574" xr:uid="{A953E283-BF29-4FC5-AF9A-C44235210B41}"/>
    <cellStyle name="AggOrangeLBorder 2 3 4 10" xfId="3411" xr:uid="{3FE59C66-1B8D-4199-967F-76475DA2B5C7}"/>
    <cellStyle name="AggOrangeLBorder 2 3 4 11" xfId="5222" xr:uid="{F02A5023-D5B4-4806-85EA-475DB18BFFB4}"/>
    <cellStyle name="AggOrangeLBorder 2 3 4 12" xfId="3398" xr:uid="{EC6C4C4E-C850-479F-818F-9BFC0E4D879F}"/>
    <cellStyle name="AggOrangeLBorder 2 3 4 13" xfId="6273" xr:uid="{CBFA2F05-43F7-486B-B4E9-DF355440B844}"/>
    <cellStyle name="AggOrangeLBorder 2 3 4 14" xfId="6079" xr:uid="{A90B277A-32AE-4553-BE39-B4322B5427BD}"/>
    <cellStyle name="AggOrangeLBorder 2 3 4 15" xfId="7294" xr:uid="{7B762EFF-9974-4B40-BF2D-EB7300ABA32C}"/>
    <cellStyle name="AggOrangeLBorder 2 3 4 16" xfId="7189" xr:uid="{50C262DF-F549-42E2-8A71-17EBF02D0DAD}"/>
    <cellStyle name="AggOrangeLBorder 2 3 4 17" xfId="7669" xr:uid="{49C89806-F391-44CE-B4DD-12FE9397D50A}"/>
    <cellStyle name="AggOrangeLBorder 2 3 4 18" xfId="8725" xr:uid="{460F19D8-E7C1-4C92-8BDE-E0C3776F3720}"/>
    <cellStyle name="AggOrangeLBorder 2 3 4 19" xfId="9508" xr:uid="{D6F0FB04-2433-43AB-8F7F-442EB9D4D42D}"/>
    <cellStyle name="AggOrangeLBorder 2 3 4 2" xfId="789" xr:uid="{4E91DA4B-45E7-4F4A-83DD-F07402C3DF5F}"/>
    <cellStyle name="AggOrangeLBorder 2 3 4 2 10" xfId="5437" xr:uid="{C6905274-2527-4C0E-952A-00336213F227}"/>
    <cellStyle name="AggOrangeLBorder 2 3 4 2 11" xfId="3233" xr:uid="{5C50F7EA-E7A5-4D7B-9853-5E8AD4891842}"/>
    <cellStyle name="AggOrangeLBorder 2 3 4 2 12" xfId="4693" xr:uid="{05D4D1DD-325F-46ED-97F1-499D8156B4F9}"/>
    <cellStyle name="AggOrangeLBorder 2 3 4 2 13" xfId="6208" xr:uid="{8C3E2847-9DEE-468C-9DC9-BBF140412E4F}"/>
    <cellStyle name="AggOrangeLBorder 2 3 4 2 14" xfId="7509" xr:uid="{2AC55DBB-83AC-40E6-A999-B0E1D144B6C6}"/>
    <cellStyle name="AggOrangeLBorder 2 3 4 2 15" xfId="6957" xr:uid="{0326343B-355E-483A-9562-97D1246394DA}"/>
    <cellStyle name="AggOrangeLBorder 2 3 4 2 16" xfId="7757" xr:uid="{1E2F5D0B-DCFF-4F17-B76B-451A46548FEE}"/>
    <cellStyle name="AggOrangeLBorder 2 3 4 2 17" xfId="8771" xr:uid="{E37C1884-948F-487D-98EC-3B6CB2E186B0}"/>
    <cellStyle name="AggOrangeLBorder 2 3 4 2 18" xfId="9723" xr:uid="{EE3F38CE-7240-4882-B94F-7ACA336EA2D6}"/>
    <cellStyle name="AggOrangeLBorder 2 3 4 2 19" xfId="9309" xr:uid="{D35D223D-7EAA-4F32-BBCA-47A44ED3D005}"/>
    <cellStyle name="AggOrangeLBorder 2 3 4 2 2" xfId="1263" xr:uid="{169AD3A1-A1D3-4097-94B9-E5656E37BBBF}"/>
    <cellStyle name="AggOrangeLBorder 2 3 4 2 20" xfId="9117" xr:uid="{075F80AF-D20C-442E-8823-79DD11E716BD}"/>
    <cellStyle name="AggOrangeLBorder 2 3 4 2 21" xfId="10336" xr:uid="{DEC1876E-096B-45D8-BDAB-DB5E65A86357}"/>
    <cellStyle name="AggOrangeLBorder 2 3 4 2 22" xfId="10740" xr:uid="{2F64E0A8-6875-404A-AE53-039E8376AB1C}"/>
    <cellStyle name="AggOrangeLBorder 2 3 4 2 23" xfId="12142" xr:uid="{FFC6C778-5C7F-4ED9-AE46-CCD0DDC0ADFB}"/>
    <cellStyle name="AggOrangeLBorder 2 3 4 2 24" xfId="12615" xr:uid="{1AC5A5A5-1EE5-46B2-9E5C-BA7E99716AD2}"/>
    <cellStyle name="AggOrangeLBorder 2 3 4 2 25" xfId="13049" xr:uid="{28D9AE75-2D04-4545-B5D9-20FDDBD10539}"/>
    <cellStyle name="AggOrangeLBorder 2 3 4 2 26" xfId="13486" xr:uid="{65CEE84B-2D47-4FF2-B6BC-43AD4D140CE1}"/>
    <cellStyle name="AggOrangeLBorder 2 3 4 2 27" xfId="11648" xr:uid="{020560AB-4654-4645-BD55-4C3C06B56E90}"/>
    <cellStyle name="AggOrangeLBorder 2 3 4 2 28" xfId="11439" xr:uid="{26C70013-E436-452E-BD75-0363EE127D38}"/>
    <cellStyle name="AggOrangeLBorder 2 3 4 2 29" xfId="14352" xr:uid="{0673BC7C-5898-48F8-B952-5DA0CD74A461}"/>
    <cellStyle name="AggOrangeLBorder 2 3 4 2 3" xfId="1560" xr:uid="{8BF15D64-F85A-46EA-A1E8-120A144CCBA4}"/>
    <cellStyle name="AggOrangeLBorder 2 3 4 2 30" xfId="13654" xr:uid="{45C5CB07-B3E3-4335-B626-297BE4A0B100}"/>
    <cellStyle name="AggOrangeLBorder 2 3 4 2 31" xfId="15153" xr:uid="{9F9F85D6-C0A8-43D7-8145-02C8B02318D4}"/>
    <cellStyle name="AggOrangeLBorder 2 3 4 2 32" xfId="15586" xr:uid="{95359339-0376-4E48-8EF0-78DC0A31ED90}"/>
    <cellStyle name="AggOrangeLBorder 2 3 4 2 33" xfId="16834" xr:uid="{2E882CF5-8721-4C7D-ADA8-3B483D17C4BA}"/>
    <cellStyle name="AggOrangeLBorder 2 3 4 2 34" xfId="16276" xr:uid="{C575F71C-3797-4FCA-A7DB-674FC784107C}"/>
    <cellStyle name="AggOrangeLBorder 2 3 4 2 35" xfId="16221" xr:uid="{AE215BEB-1FD0-4BCD-B973-DE572C0F4913}"/>
    <cellStyle name="AggOrangeLBorder 2 3 4 2 36" xfId="18184" xr:uid="{9B857165-3016-4D21-B12C-BA1CD3F653E4}"/>
    <cellStyle name="AggOrangeLBorder 2 3 4 2 37" xfId="18652" xr:uid="{6843F47E-A1A4-4297-97F1-417F13031F3C}"/>
    <cellStyle name="AggOrangeLBorder 2 3 4 2 38" xfId="18917" xr:uid="{465F9D1B-130A-40F9-971D-053BC7A66024}"/>
    <cellStyle name="AggOrangeLBorder 2 3 4 2 39" xfId="18075" xr:uid="{D2F4B807-6575-4E19-8E94-89EA1CB58A15}"/>
    <cellStyle name="AggOrangeLBorder 2 3 4 2 4" xfId="2611" xr:uid="{00945495-A3AD-4068-84DB-94CBA47475B9}"/>
    <cellStyle name="AggOrangeLBorder 2 3 4 2 40" xfId="20171" xr:uid="{7836A94D-FAC0-4813-A988-B02F8A207844}"/>
    <cellStyle name="AggOrangeLBorder 2 3 4 2 41" xfId="19511" xr:uid="{7C455DCC-62D2-4156-A3AE-4C7110F654F2}"/>
    <cellStyle name="AggOrangeLBorder 2 3 4 2 42" xfId="20766" xr:uid="{64CBAB73-AFD5-4A39-AACD-38CDDB277426}"/>
    <cellStyle name="AggOrangeLBorder 2 3 4 2 43" xfId="21456" xr:uid="{6090004D-2895-4361-A5BD-5E51CF7EFCF6}"/>
    <cellStyle name="AggOrangeLBorder 2 3 4 2 44" xfId="20963" xr:uid="{F84CAF29-17A9-4E4B-ABB7-CFAE76225A1F}"/>
    <cellStyle name="AggOrangeLBorder 2 3 4 2 45" xfId="19603" xr:uid="{FA384106-5B27-421F-A677-45AD7EEAF9CD}"/>
    <cellStyle name="AggOrangeLBorder 2 3 4 2 46" xfId="22304" xr:uid="{CA88F9E0-4DC2-4762-A652-0193D926D7D9}"/>
    <cellStyle name="AggOrangeLBorder 2 3 4 2 47" xfId="23199" xr:uid="{5C8907CF-A073-4792-A931-3285A92CC301}"/>
    <cellStyle name="AggOrangeLBorder 2 3 4 2 48" xfId="23192" xr:uid="{A8D590CE-19FB-4059-B63D-F2F1040296BF}"/>
    <cellStyle name="AggOrangeLBorder 2 3 4 2 49" xfId="23971" xr:uid="{B9E3DC3D-64A0-4017-AFD3-79F7C1ABA5A0}"/>
    <cellStyle name="AggOrangeLBorder 2 3 4 2 5" xfId="2727" xr:uid="{D1264C8A-74D7-47D8-B7C5-190D5B050731}"/>
    <cellStyle name="AggOrangeLBorder 2 3 4 2 50" xfId="24879" xr:uid="{FA0FBFAE-91FD-48E3-8E20-2574878E8132}"/>
    <cellStyle name="AggOrangeLBorder 2 3 4 2 51" xfId="24226" xr:uid="{415063DE-5DF8-4B19-87CB-972501DAC52A}"/>
    <cellStyle name="AggOrangeLBorder 2 3 4 2 52" xfId="25795" xr:uid="{908922C1-ECCA-4DCA-B4D6-5A76E77A5F58}"/>
    <cellStyle name="AggOrangeLBorder 2 3 4 2 53" xfId="25329" xr:uid="{F0123780-9E96-4FE3-9618-8605C470D9BC}"/>
    <cellStyle name="AggOrangeLBorder 2 3 4 2 54" xfId="26269" xr:uid="{9027F325-1AF0-48FF-AA31-566F393A8CAA}"/>
    <cellStyle name="AggOrangeLBorder 2 3 4 2 55" xfId="27083" xr:uid="{5BACA9F0-BBFE-4207-B504-C693C758C7E7}"/>
    <cellStyle name="AggOrangeLBorder 2 3 4 2 56" xfId="27502" xr:uid="{792F4F60-56E2-42E8-84C3-4EC2C26ECA94}"/>
    <cellStyle name="AggOrangeLBorder 2 3 4 2 57" xfId="26342" xr:uid="{21475B0C-2C5B-4416-86B1-0A630F6E69B8}"/>
    <cellStyle name="AggOrangeLBorder 2 3 4 2 58" xfId="28629" xr:uid="{396F2F60-2335-4F35-A9A7-FF1D9E0482B5}"/>
    <cellStyle name="AggOrangeLBorder 2 3 4 2 59" xfId="29096" xr:uid="{778FAA2F-9880-4415-8068-AB4C4CEEB08E}"/>
    <cellStyle name="AggOrangeLBorder 2 3 4 2 6" xfId="1839" xr:uid="{50FA5A05-BC4E-468E-8658-19CCE006193A}"/>
    <cellStyle name="AggOrangeLBorder 2 3 4 2 60" xfId="28128" xr:uid="{31ABA8AE-2499-49FE-9B9F-100F56FD382D}"/>
    <cellStyle name="AggOrangeLBorder 2 3 4 2 61" xfId="29885" xr:uid="{3EC74A9F-88A5-4B5D-B239-154A6E051662}"/>
    <cellStyle name="AggOrangeLBorder 2 3 4 2 62" xfId="30291" xr:uid="{589D4FD1-EB64-4BE7-81AB-811A37548A32}"/>
    <cellStyle name="AggOrangeLBorder 2 3 4 2 63" xfId="30708" xr:uid="{805B09B0-29C8-4588-8DE6-C1AADA99A31A}"/>
    <cellStyle name="AggOrangeLBorder 2 3 4 2 64" xfId="31002" xr:uid="{196DDC8E-3F60-490C-872A-DFFC560D1412}"/>
    <cellStyle name="AggOrangeLBorder 2 3 4 2 65" xfId="31324" xr:uid="{DDC4BFAB-D75E-4E19-9B46-421FF26E002B}"/>
    <cellStyle name="AggOrangeLBorder 2 3 4 2 7" xfId="4107" xr:uid="{918EC8B4-7E12-4AE7-8162-B04745389DFA}"/>
    <cellStyle name="AggOrangeLBorder 2 3 4 2 8" xfId="4544" xr:uid="{E38EF5EC-6FCE-4F89-8FD6-CBD7B3831D0A}"/>
    <cellStyle name="AggOrangeLBorder 2 3 4 2 9" xfId="4239" xr:uid="{CEC6775F-B642-44FD-8F5E-8E5FD0E03D1F}"/>
    <cellStyle name="AggOrangeLBorder 2 3 4 20" xfId="9402" xr:uid="{585266B5-5215-4FD0-BCCC-05D851DC7391}"/>
    <cellStyle name="AggOrangeLBorder 2 3 4 21" xfId="9097" xr:uid="{1D67A7EA-8E13-4859-9C40-4A3C60C5B635}"/>
    <cellStyle name="AggOrangeLBorder 2 3 4 22" xfId="10926" xr:uid="{F6C68A8B-D90C-4215-BC3E-8C437BC158F8}"/>
    <cellStyle name="AggOrangeLBorder 2 3 4 23" xfId="11201" xr:uid="{02559A80-ED24-49CF-97A5-926E12DBBDEA}"/>
    <cellStyle name="AggOrangeLBorder 2 3 4 24" xfId="11927" xr:uid="{E0C0FD69-DDEB-47E6-B1EC-1B15937213F3}"/>
    <cellStyle name="AggOrangeLBorder 2 3 4 25" xfId="12400" xr:uid="{6DD6DC8F-73FC-4E61-83B5-BAE4BAA7E6DC}"/>
    <cellStyle name="AggOrangeLBorder 2 3 4 26" xfId="12834" xr:uid="{F9F85A77-B44E-48BD-AFD3-2E8A6929D796}"/>
    <cellStyle name="AggOrangeLBorder 2 3 4 27" xfId="13271" xr:uid="{455A4C88-E9B6-411B-ACEE-BDE8DB37ACF5}"/>
    <cellStyle name="AggOrangeLBorder 2 3 4 28" xfId="13960" xr:uid="{0EB8181C-E12A-45F2-B025-F7C4F811A59F}"/>
    <cellStyle name="AggOrangeLBorder 2 3 4 29" xfId="14285" xr:uid="{34D9C03C-3486-4961-9FCD-A042AF34D053}"/>
    <cellStyle name="AggOrangeLBorder 2 3 4 3" xfId="1057" xr:uid="{3F541256-B0A3-41B1-8657-68663D0758DD}"/>
    <cellStyle name="AggOrangeLBorder 2 3 4 30" xfId="12727" xr:uid="{C9BB0365-5DE4-4434-87F8-7C17973D0126}"/>
    <cellStyle name="AggOrangeLBorder 2 3 4 31" xfId="14944" xr:uid="{76EBA886-86A7-4F91-BEBF-3D8801D59BF0}"/>
    <cellStyle name="AggOrangeLBorder 2 3 4 32" xfId="15352" xr:uid="{0963B22E-E4D8-4C18-9599-D2C706847FD4}"/>
    <cellStyle name="AggOrangeLBorder 2 3 4 33" xfId="15427" xr:uid="{803FAB03-88F3-4B3E-BDC7-E73A96834B6E}"/>
    <cellStyle name="AggOrangeLBorder 2 3 4 34" xfId="16619" xr:uid="{08A859F5-2F12-4402-9D25-EF7511C7C5F4}"/>
    <cellStyle name="AggOrangeLBorder 2 3 4 35" xfId="16511" xr:uid="{395D39B3-6814-45A8-8C92-A57A64C664E7}"/>
    <cellStyle name="AggOrangeLBorder 2 3 4 36" xfId="16200" xr:uid="{E0B5E718-2A0E-4CA5-A092-24CCB2BC231C}"/>
    <cellStyle name="AggOrangeLBorder 2 3 4 37" xfId="17677" xr:uid="{ACE99942-629C-49FE-8679-97AC418E2354}"/>
    <cellStyle name="AggOrangeLBorder 2 3 4 38" xfId="18437" xr:uid="{995BFC55-4E4E-41EA-AA8E-21A8D544531F}"/>
    <cellStyle name="AggOrangeLBorder 2 3 4 39" xfId="19060" xr:uid="{22518966-4C68-4A18-934F-BA659DBE3BCA}"/>
    <cellStyle name="AggOrangeLBorder 2 3 4 4" xfId="1600" xr:uid="{867631B8-BA93-49AD-B8F2-47AB8948BB27}"/>
    <cellStyle name="AggOrangeLBorder 2 3 4 40" xfId="19316" xr:uid="{10D6C2A1-F385-4734-AE44-506C7DEFB460}"/>
    <cellStyle name="AggOrangeLBorder 2 3 4 41" xfId="19956" xr:uid="{6630C93C-DA34-42D8-BE74-2B95B1BE2202}"/>
    <cellStyle name="AggOrangeLBorder 2 3 4 42" xfId="19847" xr:uid="{4970E3C7-9069-4420-8094-05D0267E3351}"/>
    <cellStyle name="AggOrangeLBorder 2 3 4 43" xfId="19780" xr:uid="{DD3F2B21-3D57-4DC1-A7B3-6CA093EE6A38}"/>
    <cellStyle name="AggOrangeLBorder 2 3 4 44" xfId="21287" xr:uid="{2FF4B443-C121-4206-8892-01588D8A9C90}"/>
    <cellStyle name="AggOrangeLBorder 2 3 4 45" xfId="21676" xr:uid="{3B5DFB20-6767-4564-BF54-74612DDBAEE5}"/>
    <cellStyle name="AggOrangeLBorder 2 3 4 46" xfId="22115" xr:uid="{EC918C88-74DE-401E-A32E-1845C9E6CB71}"/>
    <cellStyle name="AggOrangeLBorder 2 3 4 47" xfId="22933" xr:uid="{4F73F256-27E1-4AAA-9143-60F6E515C23A}"/>
    <cellStyle name="AggOrangeLBorder 2 3 4 48" xfId="23337" xr:uid="{D4EAE699-0ACA-4B30-BADE-CD2454C09F82}"/>
    <cellStyle name="AggOrangeLBorder 2 3 4 49" xfId="23493" xr:uid="{B43F07E5-3DA9-4EA8-9712-DF90C3B01671}"/>
    <cellStyle name="AggOrangeLBorder 2 3 4 5" xfId="2396" xr:uid="{BFE67C4A-89FC-4F53-B50F-395D18CD322C}"/>
    <cellStyle name="AggOrangeLBorder 2 3 4 50" xfId="23765" xr:uid="{D395C475-B069-4168-BC44-45579C928316}"/>
    <cellStyle name="AggOrangeLBorder 2 3 4 51" xfId="24664" xr:uid="{354A906C-FB1B-451B-9ADA-282F0C9DD61E}"/>
    <cellStyle name="AggOrangeLBorder 2 3 4 52" xfId="24549" xr:uid="{6B6AEB76-194D-448C-948B-031BAE08EAC7}"/>
    <cellStyle name="AggOrangeLBorder 2 3 4 53" xfId="25582" xr:uid="{3E0D1E80-CC88-4A11-91F7-8284CBA6F46C}"/>
    <cellStyle name="AggOrangeLBorder 2 3 4 54" xfId="26049" xr:uid="{14B7AD2D-404B-49E3-8AFD-288D0123E116}"/>
    <cellStyle name="AggOrangeLBorder 2 3 4 55" xfId="26558" xr:uid="{4A148E34-CDF1-4EE3-B0AE-CD07581B88B1}"/>
    <cellStyle name="AggOrangeLBorder 2 3 4 56" xfId="26872" xr:uid="{216649A7-98C8-48C7-BC44-22F0BFC7BEF0}"/>
    <cellStyle name="AggOrangeLBorder 2 3 4 57" xfId="27291" xr:uid="{BCA60F78-6A4C-4D36-A320-8BBA67A73C62}"/>
    <cellStyle name="AggOrangeLBorder 2 3 4 58" xfId="27808" xr:uid="{B5BA26DA-36A3-44A4-BCE0-57747E256F7F}"/>
    <cellStyle name="AggOrangeLBorder 2 3 4 59" xfId="28414" xr:uid="{92AD8D4F-E933-4C7E-92E3-4A24EE50DC80}"/>
    <cellStyle name="AggOrangeLBorder 2 3 4 6" xfId="3129" xr:uid="{27DF5050-4977-4322-BEF5-809F952CA672}"/>
    <cellStyle name="AggOrangeLBorder 2 3 4 60" xfId="28882" xr:uid="{252E0C82-727A-4009-A1C9-868913FB041A}"/>
    <cellStyle name="AggOrangeLBorder 2 3 4 61" xfId="28098" xr:uid="{14A83B26-C941-4A2E-B345-81CD4881878E}"/>
    <cellStyle name="AggOrangeLBorder 2 3 4 62" xfId="29672" xr:uid="{EBFBE304-0FA8-4622-93A3-44F7D64BCD09}"/>
    <cellStyle name="AggOrangeLBorder 2 3 4 63" xfId="30080" xr:uid="{C2CFF43E-F96B-4A33-8066-EC6DCB61F4A9}"/>
    <cellStyle name="AggOrangeLBorder 2 3 4 64" xfId="30494" xr:uid="{CAD91F49-8497-4B05-A6B6-C7563556C19A}"/>
    <cellStyle name="AggOrangeLBorder 2 3 4 65" xfId="30987" xr:uid="{2887CBEE-B889-47D8-97F7-6EB8A2EB5735}"/>
    <cellStyle name="AggOrangeLBorder 2 3 4 66" xfId="31118" xr:uid="{32B98C43-BBF1-4271-8E1B-E159A44D9490}"/>
    <cellStyle name="AggOrangeLBorder 2 3 4 7" xfId="3377" xr:uid="{27D980F3-FD12-4C90-AFFA-4FEB23E28C66}"/>
    <cellStyle name="AggOrangeLBorder 2 3 4 8" xfId="3892" xr:uid="{63CB8F59-50A5-4BF4-AEA4-1760C7E0B3A6}"/>
    <cellStyle name="AggOrangeLBorder 2 3 4 9" xfId="4330" xr:uid="{8D748E43-BC67-45FC-8633-85B643993735}"/>
    <cellStyle name="AggOrangeLBorder 2 3 40" xfId="17065" xr:uid="{CB368766-F323-408B-8F90-7DF9ED2BEA86}"/>
    <cellStyle name="AggOrangeLBorder 2 3 41" xfId="16992" xr:uid="{5B2364A2-E4B3-4C9A-8F0D-A2A3AA5BA371}"/>
    <cellStyle name="AggOrangeLBorder 2 3 42" xfId="18972" xr:uid="{4813948F-3E8A-4D05-B30A-F9A71ADCFA28}"/>
    <cellStyle name="AggOrangeLBorder 2 3 43" xfId="18177" xr:uid="{4C9B40CA-2E2F-4B46-A215-E82355488006}"/>
    <cellStyle name="AggOrangeLBorder 2 3 44" xfId="19653" xr:uid="{98F93D91-5E60-4280-ACAA-5F79D27FE3EF}"/>
    <cellStyle name="AggOrangeLBorder 2 3 45" xfId="20317" xr:uid="{1704B468-A6C1-43AA-8104-0ED1575CEF41}"/>
    <cellStyle name="AggOrangeLBorder 2 3 46" xfId="20773" xr:uid="{DC2EE67E-861F-419C-8353-34EB237B9F13}"/>
    <cellStyle name="AggOrangeLBorder 2 3 47" xfId="21390" xr:uid="{31F25744-97ED-4C7B-A4C6-1EB493998A46}"/>
    <cellStyle name="AggOrangeLBorder 2 3 48" xfId="19752" xr:uid="{4671EB4E-001E-4A02-99B6-D761460AEFBE}"/>
    <cellStyle name="AggOrangeLBorder 2 3 49" xfId="21868" xr:uid="{FB41F498-1233-4C33-AAEC-520D77B17AD8}"/>
    <cellStyle name="AggOrangeLBorder 2 3 5" xfId="694" xr:uid="{076DE6C4-B3F0-423C-8D76-041B49EABAFE}"/>
    <cellStyle name="AggOrangeLBorder 2 3 5 2" xfId="5342" xr:uid="{8DBF9C98-B836-4971-9941-25E0DEF6F3AA}"/>
    <cellStyle name="AggOrangeLBorder 2 3 5 3" xfId="18758" xr:uid="{62F5CED3-EF75-40CC-8994-9346D1A51FE8}"/>
    <cellStyle name="AggOrangeLBorder 2 3 50" xfId="22930" xr:uid="{1449E838-3729-4B98-BB38-A2C411DB97B8}"/>
    <cellStyle name="AggOrangeLBorder 2 3 51" xfId="23258" xr:uid="{E074C477-1775-47B4-B878-D2BC2CA17FF6}"/>
    <cellStyle name="AggOrangeLBorder 2 3 52" xfId="21916" xr:uid="{0C46AFAF-5709-4CD9-97CA-85E150C7FA82}"/>
    <cellStyle name="AggOrangeLBorder 2 3 53" xfId="22989" xr:uid="{205D4969-159A-4226-96D2-E7A506A017B0}"/>
    <cellStyle name="AggOrangeLBorder 2 3 54" xfId="24373" xr:uid="{EC86F286-3093-42C1-A2F4-2166C5112388}"/>
    <cellStyle name="AggOrangeLBorder 2 3 55" xfId="24320" xr:uid="{999B7554-E7CF-4757-98FF-C97741FF7455}"/>
    <cellStyle name="AggOrangeLBorder 2 3 56" xfId="24357" xr:uid="{CD2ABBA0-134C-4BAF-A4E2-FCED42967530}"/>
    <cellStyle name="AggOrangeLBorder 2 3 57" xfId="24588" xr:uid="{722BFC14-42D0-4102-A195-415A1AA42A26}"/>
    <cellStyle name="AggOrangeLBorder 2 3 58" xfId="24483" xr:uid="{E4852E2B-7D7F-4CB5-9B07-D58F716993EF}"/>
    <cellStyle name="AggOrangeLBorder 2 3 59" xfId="25097" xr:uid="{94C21798-C0CF-4730-9E8F-D0A88ED9AF48}"/>
    <cellStyle name="AggOrangeLBorder 2 3 6" xfId="946" xr:uid="{96C4FF16-1A65-4559-AA0A-07DD8AE3D080}"/>
    <cellStyle name="AggOrangeLBorder 2 3 60" xfId="26806" xr:uid="{F2764E68-AD8C-4627-A644-99E902F1CD3D}"/>
    <cellStyle name="AggOrangeLBorder 2 3 61" xfId="26393" xr:uid="{4E144641-804F-428F-967F-ABB3398C3ADA}"/>
    <cellStyle name="AggOrangeLBorder 2 3 62" xfId="28144" xr:uid="{33EF023D-6085-44EF-A4E3-03BAA829564C}"/>
    <cellStyle name="AggOrangeLBorder 2 3 63" xfId="28268" xr:uid="{DAA15435-0BB3-43F6-8513-F9EF4EA7B143}"/>
    <cellStyle name="AggOrangeLBorder 2 3 64" xfId="28242" xr:uid="{C7AAC026-240D-4CB8-86EF-B9ACE46B535C}"/>
    <cellStyle name="AggOrangeLBorder 2 3 65" xfId="28817" xr:uid="{58F82F8F-DF0E-42D2-AE52-1AED51DD4401}"/>
    <cellStyle name="AggOrangeLBorder 2 3 66" xfId="28232" xr:uid="{B83DC031-9C54-4E93-8CEB-D702A7DEAA3E}"/>
    <cellStyle name="AggOrangeLBorder 2 3 67" xfId="30202" xr:uid="{37A03830-67AA-406D-A5AB-DC0BFE3BA48B}"/>
    <cellStyle name="AggOrangeLBorder 2 3 68" xfId="27933" xr:uid="{959D7265-CF65-4E1D-A75D-38BD7A659962}"/>
    <cellStyle name="AggOrangeLBorder 2 3 69" xfId="30935" xr:uid="{D9137357-B60A-4F8F-9FED-5E8E5C46DDAA}"/>
    <cellStyle name="AggOrangeLBorder 2 3 7" xfId="1589" xr:uid="{50255718-0DD7-4555-9AC4-EA65D0C4B6C1}"/>
    <cellStyle name="AggOrangeLBorder 2 3 8" xfId="2093" xr:uid="{C69229FA-BC25-470F-BC59-3DEA5DF7C01C}"/>
    <cellStyle name="AggOrangeLBorder 2 3 9" xfId="3125" xr:uid="{70C48C99-24E6-47C3-9BD6-E740381DC0C6}"/>
    <cellStyle name="AggOrangeLBorder 3" xfId="410" xr:uid="{C1908E62-12C2-473A-8694-8302058E3F10}"/>
    <cellStyle name="AggOrangeLBorder 3 2" xfId="2213" xr:uid="{C0748E5E-101B-4332-AC16-21ABA144EC7A}"/>
    <cellStyle name="AggOrangeLBorder 3 3" xfId="18863" xr:uid="{E18DA9BE-5737-44A8-B730-BC37121960B1}"/>
    <cellStyle name="AggOrangeLBorder 4" xfId="268" xr:uid="{BA9CC048-045E-467E-807B-AFF08F0CA33D}"/>
    <cellStyle name="AggOrangeLBorder 4 10" xfId="3251" xr:uid="{E61DA5CF-8A2F-42F0-956F-E91D13CC71E2}"/>
    <cellStyle name="AggOrangeLBorder 4 11" xfId="2004" xr:uid="{113167FD-3FE2-4BB2-95FB-581E40DD178E}"/>
    <cellStyle name="AggOrangeLBorder 4 12" xfId="3623" xr:uid="{6EB237D6-4A7C-4338-8DB4-7DB8B12F3054}"/>
    <cellStyle name="AggOrangeLBorder 4 13" xfId="3548" xr:uid="{DA24C981-BF93-401A-A2EA-BFA7084E45A7}"/>
    <cellStyle name="AggOrangeLBorder 4 14" xfId="2295" xr:uid="{DBBCDB13-E591-40CA-BE2B-D5E7DF63B3C5}"/>
    <cellStyle name="AggOrangeLBorder 4 15" xfId="4653" xr:uid="{7C136181-3AF6-4A82-BB07-F337420C012A}"/>
    <cellStyle name="AggOrangeLBorder 4 16" xfId="5589" xr:uid="{0FB6667E-086A-4898-9AE1-82463B4B03EB}"/>
    <cellStyle name="AggOrangeLBorder 4 17" xfId="5977" xr:uid="{2B161F5C-F2EF-4DF2-9DE6-C77131ADC66D}"/>
    <cellStyle name="AggOrangeLBorder 4 18" xfId="6998" xr:uid="{06F09126-8F43-4BA8-8657-D82B2A90A9A0}"/>
    <cellStyle name="AggOrangeLBorder 4 19" xfId="7643" xr:uid="{4E8C95F9-39E7-4468-A9DF-02AFF38ED272}"/>
    <cellStyle name="AggOrangeLBorder 4 2" xfId="607" xr:uid="{3761E87B-B348-4352-8869-D79966437C99}"/>
    <cellStyle name="AggOrangeLBorder 4 2 10" xfId="2517" xr:uid="{4C060662-0DFA-4BBE-AF58-B22B6F7782E0}"/>
    <cellStyle name="AggOrangeLBorder 4 2 11" xfId="5255" xr:uid="{35914B71-E4AF-4F87-B14E-F9BA563F358B}"/>
    <cellStyle name="AggOrangeLBorder 4 2 12" xfId="5698" xr:uid="{A6E4C179-A7B1-4546-BAC8-99EB6F787FC4}"/>
    <cellStyle name="AggOrangeLBorder 4 2 13" xfId="6145" xr:uid="{6B36750C-CECE-4516-9985-4A4CF8C9D773}"/>
    <cellStyle name="AggOrangeLBorder 4 2 14" xfId="6539" xr:uid="{798438A6-DAA5-4E48-88BF-6A86C6B3FAD0}"/>
    <cellStyle name="AggOrangeLBorder 4 2 15" xfId="7327" xr:uid="{00076814-55C2-44DA-911B-43FCF0E6B1FF}"/>
    <cellStyle name="AggOrangeLBorder 4 2 16" xfId="7732" xr:uid="{6586F1E2-2946-45C0-9EB8-9784614FDC15}"/>
    <cellStyle name="AggOrangeLBorder 4 2 17" xfId="8569" xr:uid="{F3F2C3CC-8A80-487F-91D1-C82AA27D1CAD}"/>
    <cellStyle name="AggOrangeLBorder 4 2 18" xfId="8753" xr:uid="{60E2BA70-4E9B-4C84-8A08-E3A33F19BD95}"/>
    <cellStyle name="AggOrangeLBorder 4 2 19" xfId="9541" xr:uid="{FE741632-43E1-4B31-B316-A6F73A490503}"/>
    <cellStyle name="AggOrangeLBorder 4 2 2" xfId="822" xr:uid="{3C7200B8-0D32-40DD-A098-8AA7EA5A3D17}"/>
    <cellStyle name="AggOrangeLBorder 4 2 2 10" xfId="5470" xr:uid="{2680D734-9B7A-4686-B8D8-689CF79A43DA}"/>
    <cellStyle name="AggOrangeLBorder 4 2 2 11" xfId="5919" xr:uid="{C4FFEF42-EA65-42FF-9474-578009388447}"/>
    <cellStyle name="AggOrangeLBorder 4 2 2 12" xfId="5826" xr:uid="{17454B56-AE0F-446B-86E6-2181D3D0723E}"/>
    <cellStyle name="AggOrangeLBorder 4 2 2 13" xfId="6503" xr:uid="{AE5727E1-F21B-4FA0-A8BC-103B7D29C01B}"/>
    <cellStyle name="AggOrangeLBorder 4 2 2 14" xfId="7542" xr:uid="{8348FDFF-3D3B-4052-8A9E-5F3310D5EBF8}"/>
    <cellStyle name="AggOrangeLBorder 4 2 2 15" xfId="7108" xr:uid="{80F70E44-25C0-484E-833E-DA0054E60340}"/>
    <cellStyle name="AggOrangeLBorder 4 2 2 16" xfId="8509" xr:uid="{0AF895AB-6933-4CF9-AFA7-7414400A6C5F}"/>
    <cellStyle name="AggOrangeLBorder 4 2 2 17" xfId="8280" xr:uid="{5189340A-A0EA-4D1B-A19C-29E3F77B1A9E}"/>
    <cellStyle name="AggOrangeLBorder 4 2 2 18" xfId="9756" xr:uid="{38D69B04-DCC0-442B-8477-264B95029143}"/>
    <cellStyle name="AggOrangeLBorder 4 2 2 19" xfId="9194" xr:uid="{128D3D18-C17B-4433-A205-5C0F4FAE165B}"/>
    <cellStyle name="AggOrangeLBorder 4 2 2 2" xfId="1296" xr:uid="{63E1B6EC-A380-4DB6-8CEB-045DB567F4F5}"/>
    <cellStyle name="AggOrangeLBorder 4 2 2 20" xfId="9393" xr:uid="{A4D1B60E-8811-4E75-9A57-2FE6E7E435B7}"/>
    <cellStyle name="AggOrangeLBorder 4 2 2 21" xfId="9870" xr:uid="{8F909A8F-8BC6-4116-97C4-19881A3B23FA}"/>
    <cellStyle name="AggOrangeLBorder 4 2 2 22" xfId="11103" xr:uid="{970E1BE5-C20D-4A33-BC52-616B0A944634}"/>
    <cellStyle name="AggOrangeLBorder 4 2 2 23" xfId="12175" xr:uid="{AB9A764B-E8C0-4576-AB91-FC58E78BE30F}"/>
    <cellStyle name="AggOrangeLBorder 4 2 2 24" xfId="12648" xr:uid="{E150B314-E028-4A1B-9F56-3DCB1900024D}"/>
    <cellStyle name="AggOrangeLBorder 4 2 2 25" xfId="13082" xr:uid="{333C1BF3-3A66-4073-A232-16AD201140B8}"/>
    <cellStyle name="AggOrangeLBorder 4 2 2 26" xfId="13519" xr:uid="{3192E4CD-33D1-409E-B6DF-2723AC70D904}"/>
    <cellStyle name="AggOrangeLBorder 4 2 2 27" xfId="11552" xr:uid="{2F0F61B4-BA82-4B04-9DB1-42939FCA1491}"/>
    <cellStyle name="AggOrangeLBorder 4 2 2 28" xfId="14329" xr:uid="{310B7627-C392-47D4-BD06-800ED5185C43}"/>
    <cellStyle name="AggOrangeLBorder 4 2 2 29" xfId="14361" xr:uid="{B318578A-9F46-47F3-A239-458D0FF1FD14}"/>
    <cellStyle name="AggOrangeLBorder 4 2 2 3" xfId="1416" xr:uid="{7EB6326D-796E-42FA-8FB9-7E60842193B9}"/>
    <cellStyle name="AggOrangeLBorder 4 2 2 30" xfId="14999" xr:uid="{8127912A-5426-4499-B281-383525C91178}"/>
    <cellStyle name="AggOrangeLBorder 4 2 2 31" xfId="15636" xr:uid="{D5AECFA5-171E-443C-8F3B-B15201437AA0}"/>
    <cellStyle name="AggOrangeLBorder 4 2 2 32" xfId="15585" xr:uid="{EE3E1243-10E6-4488-9E85-055C3CF039CD}"/>
    <cellStyle name="AggOrangeLBorder 4 2 2 33" xfId="16867" xr:uid="{ED4CE636-3A5E-475F-9DA7-5EF88AFE24FC}"/>
    <cellStyle name="AggOrangeLBorder 4 2 2 34" xfId="16430" xr:uid="{3AE82AB5-9ABE-46E8-B979-0B2226BE237C}"/>
    <cellStyle name="AggOrangeLBorder 4 2 2 35" xfId="16958" xr:uid="{6797B309-AA7A-4FA2-B76D-DF1408F1B756}"/>
    <cellStyle name="AggOrangeLBorder 4 2 2 36" xfId="17879" xr:uid="{6BF13AE4-113E-4A56-B61B-4B2D32C13B56}"/>
    <cellStyle name="AggOrangeLBorder 4 2 2 37" xfId="18685" xr:uid="{EF705D96-A49B-49AA-A803-5B75173AA7DE}"/>
    <cellStyle name="AggOrangeLBorder 4 2 2 38" xfId="17947" xr:uid="{9080E580-BA35-4BCD-B922-3F0F37C7DBF2}"/>
    <cellStyle name="AggOrangeLBorder 4 2 2 39" xfId="17273" xr:uid="{0C6E36D1-F3EF-426B-9A0B-E37103748BCF}"/>
    <cellStyle name="AggOrangeLBorder 4 2 2 4" xfId="2644" xr:uid="{AC5FD24F-D27A-4660-B564-9C151FB8A854}"/>
    <cellStyle name="AggOrangeLBorder 4 2 2 40" xfId="20204" xr:uid="{7EA7AD1C-FEA7-4F55-BC5B-78BD8EE8221E}"/>
    <cellStyle name="AggOrangeLBorder 4 2 2 41" xfId="19472" xr:uid="{FB5F11CB-8F20-4602-9373-1CC2E8BE6655}"/>
    <cellStyle name="AggOrangeLBorder 4 2 2 42" xfId="19520" xr:uid="{7EB422EE-849E-4BEE-B6F8-630FED51AAF8}"/>
    <cellStyle name="AggOrangeLBorder 4 2 2 43" xfId="21505" xr:uid="{4A4D59E8-1DC4-404E-B322-957D1404F21C}"/>
    <cellStyle name="AggOrangeLBorder 4 2 2 44" xfId="20624" xr:uid="{818472C9-5B24-4990-8B29-83C930A12F0C}"/>
    <cellStyle name="AggOrangeLBorder 4 2 2 45" xfId="21266" xr:uid="{39DF498D-7BB5-4B00-ACDB-BF0E99DFD81F}"/>
    <cellStyle name="AggOrangeLBorder 4 2 2 46" xfId="21269" xr:uid="{D19F03FE-77DC-4853-B8A1-D253E56A9F01}"/>
    <cellStyle name="AggOrangeLBorder 4 2 2 47" xfId="22986" xr:uid="{23913B2A-653B-47CB-AD3A-954FC1A2745C}"/>
    <cellStyle name="AggOrangeLBorder 4 2 2 48" xfId="23402" xr:uid="{1E4AFE69-1017-4D68-B098-967A5317328B}"/>
    <cellStyle name="AggOrangeLBorder 4 2 2 49" xfId="24004" xr:uid="{47C999BE-D7F5-4E3E-B9B4-C78C37FB67E3}"/>
    <cellStyle name="AggOrangeLBorder 4 2 2 5" xfId="2275" xr:uid="{33946D93-FAE5-4754-A955-B98DC9719462}"/>
    <cellStyle name="AggOrangeLBorder 4 2 2 50" xfId="24912" xr:uid="{384C6FD5-0AEE-474A-9596-0573AF40EF9E}"/>
    <cellStyle name="AggOrangeLBorder 4 2 2 51" xfId="24307" xr:uid="{BA86C758-193F-45C8-813B-41F48C3FFD0C}"/>
    <cellStyle name="AggOrangeLBorder 4 2 2 52" xfId="25828" xr:uid="{7FA4083F-1CC7-4264-A946-6C293220FC9E}"/>
    <cellStyle name="AggOrangeLBorder 4 2 2 53" xfId="25474" xr:uid="{897EB9A3-B0CB-451A-A196-7F0AAA01A62E}"/>
    <cellStyle name="AggOrangeLBorder 4 2 2 54" xfId="26616" xr:uid="{5BDDDD58-2A8C-4859-A032-7CE51BA6B69F}"/>
    <cellStyle name="AggOrangeLBorder 4 2 2 55" xfId="27116" xr:uid="{929F2A6E-7C68-4E75-9821-86131A65C024}"/>
    <cellStyle name="AggOrangeLBorder 4 2 2 56" xfId="27535" xr:uid="{3410560F-969D-4001-A610-03171D30DA1F}"/>
    <cellStyle name="AggOrangeLBorder 4 2 2 57" xfId="27210" xr:uid="{1938B729-DF8F-4B1E-AB60-040ECEDC53D0}"/>
    <cellStyle name="AggOrangeLBorder 4 2 2 58" xfId="28662" xr:uid="{7A0A65AC-4949-49F7-87F6-38181A2AF5C4}"/>
    <cellStyle name="AggOrangeLBorder 4 2 2 59" xfId="29129" xr:uid="{5C55B400-EC19-471D-B161-11D00B3F3D1E}"/>
    <cellStyle name="AggOrangeLBorder 4 2 2 6" xfId="3541" xr:uid="{D0C911C6-604A-4870-97E4-0F777E35F942}"/>
    <cellStyle name="AggOrangeLBorder 4 2 2 60" xfId="28319" xr:uid="{E4481871-B60C-494B-BF02-F5DBF82C8067}"/>
    <cellStyle name="AggOrangeLBorder 4 2 2 61" xfId="29918" xr:uid="{11B1828E-9AEB-48F1-B324-F3BF3008EAFA}"/>
    <cellStyle name="AggOrangeLBorder 4 2 2 62" xfId="30324" xr:uid="{6A1F4782-56DF-4948-9AC7-01FCA5E45261}"/>
    <cellStyle name="AggOrangeLBorder 4 2 2 63" xfId="30741" xr:uid="{A085F92F-0BA0-4700-8769-5C4115A76445}"/>
    <cellStyle name="AggOrangeLBorder 4 2 2 64" xfId="30833" xr:uid="{352E5617-0D6C-4984-9E6E-7C9DE113EFC2}"/>
    <cellStyle name="AggOrangeLBorder 4 2 2 65" xfId="31357" xr:uid="{E51E21C4-500C-4473-BEDE-1787FD238E54}"/>
    <cellStyle name="AggOrangeLBorder 4 2 2 7" xfId="4140" xr:uid="{53A053F5-2154-498C-AB14-1F80A9D14CEE}"/>
    <cellStyle name="AggOrangeLBorder 4 2 2 8" xfId="4577" xr:uid="{EF4D5DD1-8ECD-4D02-8F18-7479CF9F83CC}"/>
    <cellStyle name="AggOrangeLBorder 4 2 2 9" xfId="4885" xr:uid="{E424A8D0-62C9-4C6B-BA37-D90BB5C258B3}"/>
    <cellStyle name="AggOrangeLBorder 4 2 20" xfId="9946" xr:uid="{E8D20D01-DF72-49E7-BFBB-DFEAB841A764}"/>
    <cellStyle name="AggOrangeLBorder 4 2 21" xfId="10376" xr:uid="{80B255A5-0272-4926-A90E-844F85E41BDA}"/>
    <cellStyle name="AggOrangeLBorder 4 2 22" xfId="10985" xr:uid="{F0CF0C19-9D28-43DA-89D6-1DB49D217E23}"/>
    <cellStyle name="AggOrangeLBorder 4 2 23" xfId="11001" xr:uid="{C1C4C188-4567-4050-B16B-DEE1ADC975E5}"/>
    <cellStyle name="AggOrangeLBorder 4 2 24" xfId="11960" xr:uid="{2B0FA5C6-FBD8-4E1D-B47C-1547CE83278D}"/>
    <cellStyle name="AggOrangeLBorder 4 2 25" xfId="12433" xr:uid="{DAD3000B-A7FD-4355-B00B-34B198008CB3}"/>
    <cellStyle name="AggOrangeLBorder 4 2 26" xfId="12867" xr:uid="{062B3D42-8648-4681-B222-F49669412971}"/>
    <cellStyle name="AggOrangeLBorder 4 2 27" xfId="13304" xr:uid="{C81EE3B8-9C99-4A3B-9C83-868A2CC37172}"/>
    <cellStyle name="AggOrangeLBorder 4 2 28" xfId="11521" xr:uid="{D965BEB8-3052-4A80-9CD7-C73DD366D4BC}"/>
    <cellStyle name="AggOrangeLBorder 4 2 29" xfId="14004" xr:uid="{ED4FE27D-1925-4F43-9B86-4326FB1BAF68}"/>
    <cellStyle name="AggOrangeLBorder 4 2 3" xfId="1090" xr:uid="{492395FA-8BE2-4715-BB90-DA5B1010846F}"/>
    <cellStyle name="AggOrangeLBorder 4 2 30" xfId="14654" xr:uid="{79865519-829E-4BD4-84A5-01B4E54CB6FF}"/>
    <cellStyle name="AggOrangeLBorder 4 2 31" xfId="14513" xr:uid="{1EE258AB-A3B4-4B78-817E-332F4713AECD}"/>
    <cellStyle name="AggOrangeLBorder 4 2 32" xfId="14995" xr:uid="{95A951E3-E24A-45D2-BBAC-1A04B58637E5}"/>
    <cellStyle name="AggOrangeLBorder 4 2 33" xfId="15826" xr:uid="{53AE69CB-E525-4F71-B0CF-B287473D655B}"/>
    <cellStyle name="AggOrangeLBorder 4 2 34" xfId="16652" xr:uid="{7F2B2979-3112-4904-A091-67151860892A}"/>
    <cellStyle name="AggOrangeLBorder 4 2 35" xfId="17060" xr:uid="{1F432E02-3492-4E2F-9CA4-C1C3457E7238}"/>
    <cellStyle name="AggOrangeLBorder 4 2 36" xfId="17506" xr:uid="{A98ADB09-F2F0-45B8-A63E-CE2B09B06915}"/>
    <cellStyle name="AggOrangeLBorder 4 2 37" xfId="17708" xr:uid="{B77D01C0-0531-45B8-9FA6-28F9D812D317}"/>
    <cellStyle name="AggOrangeLBorder 4 2 38" xfId="18470" xr:uid="{ECD78D37-AE7A-4EF9-88A3-35021488D7C5}"/>
    <cellStyle name="AggOrangeLBorder 4 2 39" xfId="18855" xr:uid="{298010BA-180C-4696-A19D-07A2CC76B923}"/>
    <cellStyle name="AggOrangeLBorder 4 2 4" xfId="1522" xr:uid="{14C2909D-58F1-4DD5-BBE8-3BB36C6258C6}"/>
    <cellStyle name="AggOrangeLBorder 4 2 40" xfId="19250" xr:uid="{CF5278C2-F47A-4188-AE77-403CD155A63D}"/>
    <cellStyle name="AggOrangeLBorder 4 2 41" xfId="19989" xr:uid="{E08F3A15-093A-4ACE-BEE8-E3C78E42C38F}"/>
    <cellStyle name="AggOrangeLBorder 4 2 42" xfId="20412" xr:uid="{A7DCDB3A-D855-42D2-AAFF-448CA1D4753C}"/>
    <cellStyle name="AggOrangeLBorder 4 2 43" xfId="20865" xr:uid="{8EB03841-D924-44CA-AD93-8133208C7FEA}"/>
    <cellStyle name="AggOrangeLBorder 4 2 44" xfId="21638" xr:uid="{4B1292B1-0AFE-4E06-8C08-23C64C4784F0}"/>
    <cellStyle name="AggOrangeLBorder 4 2 45" xfId="21797" xr:uid="{0DB6D9AB-C18E-43EA-A2E2-E91B360C558B}"/>
    <cellStyle name="AggOrangeLBorder 4 2 46" xfId="22234" xr:uid="{6F8B8940-B789-47F4-8137-299C3C1C7F65}"/>
    <cellStyle name="AggOrangeLBorder 4 2 47" xfId="21944" xr:uid="{A9FA301D-DF63-470B-94EB-95CA5EE5B2F1}"/>
    <cellStyle name="AggOrangeLBorder 4 2 48" xfId="23132" xr:uid="{06C7725E-2476-4AD9-A38D-54C1CBD376DD}"/>
    <cellStyle name="AggOrangeLBorder 4 2 49" xfId="23536" xr:uid="{5E88B42C-74B7-46B6-BF3E-C4183A75D175}"/>
    <cellStyle name="AggOrangeLBorder 4 2 5" xfId="2429" xr:uid="{29077D49-4DE7-4322-B730-C05D51A61131}"/>
    <cellStyle name="AggOrangeLBorder 4 2 50" xfId="23798" xr:uid="{43B3199B-82CF-42B4-A10B-108D8DAA3F03}"/>
    <cellStyle name="AggOrangeLBorder 4 2 51" xfId="24697" xr:uid="{67375747-2447-48FF-A9D3-4F35B47CB249}"/>
    <cellStyle name="AggOrangeLBorder 4 2 52" xfId="25120" xr:uid="{DC93F5B8-2B41-451B-9809-0C258BB850AE}"/>
    <cellStyle name="AggOrangeLBorder 4 2 53" xfId="25615" xr:uid="{0A5F4D97-0CC8-475B-BB58-146E8275A971}"/>
    <cellStyle name="AggOrangeLBorder 4 2 54" xfId="25113" xr:uid="{13F08D84-89C5-40CD-8296-46B18BAD8F65}"/>
    <cellStyle name="AggOrangeLBorder 4 2 55" xfId="25932" xr:uid="{FA51EEF9-710D-492D-802A-6F367E71C924}"/>
    <cellStyle name="AggOrangeLBorder 4 2 56" xfId="26905" xr:uid="{AA99841E-AF98-4EA9-B55B-547201A2672C}"/>
    <cellStyle name="AggOrangeLBorder 4 2 57" xfId="27324" xr:uid="{6E97B63C-6894-4350-9A6D-602132168E86}"/>
    <cellStyle name="AggOrangeLBorder 4 2 58" xfId="25291" xr:uid="{4C36EA6E-A3D7-4A40-8175-2C5D902EBCDB}"/>
    <cellStyle name="AggOrangeLBorder 4 2 59" xfId="28447" xr:uid="{04C299ED-10E6-4F2F-AA21-A3233026D333}"/>
    <cellStyle name="AggOrangeLBorder 4 2 6" xfId="1917" xr:uid="{2C34EAAC-8830-4243-B636-3A2738CD026B}"/>
    <cellStyle name="AggOrangeLBorder 4 2 60" xfId="28915" xr:uid="{AE7790CE-7F3B-42EB-AF95-6A7B45A4B380}"/>
    <cellStyle name="AggOrangeLBorder 4 2 61" xfId="29275" xr:uid="{2E54CEDB-6A27-41AB-B401-4F19EF00BF68}"/>
    <cellStyle name="AggOrangeLBorder 4 2 62" xfId="29705" xr:uid="{56E6559A-8978-4BA5-BB2A-316A46396A26}"/>
    <cellStyle name="AggOrangeLBorder 4 2 63" xfId="30113" xr:uid="{F903D24D-6747-4CA6-8DC8-033E44D16405}"/>
    <cellStyle name="AggOrangeLBorder 4 2 64" xfId="30527" xr:uid="{01060AFB-EA02-434E-B400-D12D8AAA171B}"/>
    <cellStyle name="AggOrangeLBorder 4 2 65" xfId="30957" xr:uid="{A9464E3A-EFE4-4617-B884-8BC3F40A8471}"/>
    <cellStyle name="AggOrangeLBorder 4 2 66" xfId="31151" xr:uid="{5F2D250F-C451-4723-8EA5-2D508827B414}"/>
    <cellStyle name="AggOrangeLBorder 4 2 7" xfId="3517" xr:uid="{E5F26E4E-A17B-48AC-BB3A-47DF8A0E621E}"/>
    <cellStyle name="AggOrangeLBorder 4 2 8" xfId="3925" xr:uid="{EA6D7BDC-EC8B-4273-9426-920440E9769B}"/>
    <cellStyle name="AggOrangeLBorder 4 2 9" xfId="4363" xr:uid="{FC23A3E5-A60A-443E-AFF1-716013C64FDC}"/>
    <cellStyle name="AggOrangeLBorder 4 20" xfId="7821" xr:uid="{A39062F2-92EA-46F7-B0CA-961E884D467E}"/>
    <cellStyle name="AggOrangeLBorder 4 21" xfId="8780" xr:uid="{878BFBDF-87C4-4D64-B6C3-AA76254C53EC}"/>
    <cellStyle name="AggOrangeLBorder 4 22" xfId="9212" xr:uid="{D3A728BA-2347-47DA-B6CA-0F799BC59719}"/>
    <cellStyle name="AggOrangeLBorder 4 23" xfId="9853" xr:uid="{7B1BB6B6-BA51-4418-BE0A-AF7D9AAC4615}"/>
    <cellStyle name="AggOrangeLBorder 4 24" xfId="10296" xr:uid="{F9CFF00E-F83E-41E4-8EAC-FAC097D7CE39}"/>
    <cellStyle name="AggOrangeLBorder 4 25" xfId="10534" xr:uid="{081027CC-5804-4B1A-ABF4-4B3CC2B077D3}"/>
    <cellStyle name="AggOrangeLBorder 4 26" xfId="10744" xr:uid="{56F95038-5D23-495D-AEFE-2ABE851E5A77}"/>
    <cellStyle name="AggOrangeLBorder 4 27" xfId="11624" xr:uid="{8659EACA-CB6E-4FD9-B85B-11069E08307E}"/>
    <cellStyle name="AggOrangeLBorder 4 28" xfId="11432" xr:uid="{DAEECC0E-94F6-4172-ACAB-3445F01B96CA}"/>
    <cellStyle name="AggOrangeLBorder 4 29" xfId="11598" xr:uid="{D0FE9AA8-C85F-4C54-972C-1D18B8A3C78B}"/>
    <cellStyle name="AggOrangeLBorder 4 3" xfId="549" xr:uid="{DA466A5D-C337-4134-8E17-B82726A57CC0}"/>
    <cellStyle name="AggOrangeLBorder 4 3 10" xfId="4882" xr:uid="{4E451AEE-0A39-40A4-8241-2EF5CBDF3607}"/>
    <cellStyle name="AggOrangeLBorder 4 3 11" xfId="5197" xr:uid="{1E831811-2BAD-42BC-BDF8-6A9D105C845C}"/>
    <cellStyle name="AggOrangeLBorder 4 3 12" xfId="5547" xr:uid="{97DA1167-3DF7-4499-9A98-5B4DB92D62E7}"/>
    <cellStyle name="AggOrangeLBorder 4 3 13" xfId="6124" xr:uid="{7809A8D7-C708-4303-8E2E-AE234E37F45D}"/>
    <cellStyle name="AggOrangeLBorder 4 3 14" xfId="6579" xr:uid="{8D59D138-79C3-449C-B547-BB3356186FBD}"/>
    <cellStyle name="AggOrangeLBorder 4 3 15" xfId="7269" xr:uid="{C04FC6E4-BAA1-4AE2-8B9F-250AD8AFDCBC}"/>
    <cellStyle name="AggOrangeLBorder 4 3 16" xfId="6943" xr:uid="{31A4BA38-C7D8-4564-9F70-799CD774979C}"/>
    <cellStyle name="AggOrangeLBorder 4 3 17" xfId="7672" xr:uid="{4D575653-875D-4448-B0C9-5AE268FD48EC}"/>
    <cellStyle name="AggOrangeLBorder 4 3 18" xfId="8798" xr:uid="{02A989C3-9089-4A47-8B8D-7AD3E89003A2}"/>
    <cellStyle name="AggOrangeLBorder 4 3 19" xfId="9483" xr:uid="{1182C70E-4FD5-4C07-91ED-B9C1D769EE52}"/>
    <cellStyle name="AggOrangeLBorder 4 3 2" xfId="764" xr:uid="{CEF07C67-37DE-499D-A67A-77226F86054F}"/>
    <cellStyle name="AggOrangeLBorder 4 3 2 10" xfId="5412" xr:uid="{124F73D0-8017-478F-B905-40B96643A815}"/>
    <cellStyle name="AggOrangeLBorder 4 3 2 11" xfId="5116" xr:uid="{731DA0F3-5922-41FC-B984-23A28A0B2BA0}"/>
    <cellStyle name="AggOrangeLBorder 4 3 2 12" xfId="4697" xr:uid="{A95A68D1-BEE1-45C8-9672-CCFF944DACC8}"/>
    <cellStyle name="AggOrangeLBorder 4 3 2 13" xfId="5947" xr:uid="{504C564F-6634-4ED4-9DBC-047631F405AD}"/>
    <cellStyle name="AggOrangeLBorder 4 3 2 14" xfId="7484" xr:uid="{A3930603-297C-46F3-AF53-6B4D6C190799}"/>
    <cellStyle name="AggOrangeLBorder 4 3 2 15" xfId="6987" xr:uid="{D1D46C81-CEB7-4756-A237-2F7B430D24E9}"/>
    <cellStyle name="AggOrangeLBorder 4 3 2 16" xfId="6946" xr:uid="{3C0ACFFC-A782-4594-9B24-9E4C97522A45}"/>
    <cellStyle name="AggOrangeLBorder 4 3 2 17" xfId="8592" xr:uid="{C5620AFB-B364-4E42-BF0F-3245CB1A8740}"/>
    <cellStyle name="AggOrangeLBorder 4 3 2 18" xfId="9698" xr:uid="{44FDBE71-73BF-4BC5-979D-A49F1701DA3F}"/>
    <cellStyle name="AggOrangeLBorder 4 3 2 19" xfId="9328" xr:uid="{5955FB61-5B44-4E36-934A-D9427233E886}"/>
    <cellStyle name="AggOrangeLBorder 4 3 2 2" xfId="1238" xr:uid="{96C5E97E-E128-4800-8F03-82E2CE67EAB1}"/>
    <cellStyle name="AggOrangeLBorder 4 3 2 20" xfId="9876" xr:uid="{0A73E101-720B-40FB-8189-99BD60ADAF37}"/>
    <cellStyle name="AggOrangeLBorder 4 3 2 21" xfId="10379" xr:uid="{30D223CB-A819-4723-8A2F-6F2E29A26E85}"/>
    <cellStyle name="AggOrangeLBorder 4 3 2 22" xfId="10615" xr:uid="{6319E578-C132-4FE2-BBD8-F69B3BA837A8}"/>
    <cellStyle name="AggOrangeLBorder 4 3 2 23" xfId="12117" xr:uid="{BE698086-3BD6-4489-96C9-A6045425E2C0}"/>
    <cellStyle name="AggOrangeLBorder 4 3 2 24" xfId="12590" xr:uid="{A498DBB3-F91F-443C-9FB6-D8A2958E1096}"/>
    <cellStyle name="AggOrangeLBorder 4 3 2 25" xfId="13024" xr:uid="{ED69C35F-9AF6-400E-AA65-F29BEFCA09DC}"/>
    <cellStyle name="AggOrangeLBorder 4 3 2 26" xfId="13461" xr:uid="{862AFBC0-F590-4822-9ABE-ADBEDDABABBD}"/>
    <cellStyle name="AggOrangeLBorder 4 3 2 27" xfId="11382" xr:uid="{02C19912-9296-4C56-9C4E-4DD2BA98E46F}"/>
    <cellStyle name="AggOrangeLBorder 4 3 2 28" xfId="11442" xr:uid="{8AE8451C-A1F7-48B6-B3D4-C66C32CCDD08}"/>
    <cellStyle name="AggOrangeLBorder 4 3 2 29" xfId="14375" xr:uid="{37C17C60-2B52-4045-9696-ACB590D2682C}"/>
    <cellStyle name="AggOrangeLBorder 4 3 2 3" xfId="1740" xr:uid="{F9D4ED72-CDC8-421D-AAFD-0F0962C528AD}"/>
    <cellStyle name="AggOrangeLBorder 4 3 2 30" xfId="14975" xr:uid="{6F60296E-BF6F-443C-AC3B-A65DC0D38857}"/>
    <cellStyle name="AggOrangeLBorder 4 3 2 31" xfId="15418" xr:uid="{312A8C69-5A8A-4ED6-ABD7-37D3A5CC1E5B}"/>
    <cellStyle name="AggOrangeLBorder 4 3 2 32" xfId="14296" xr:uid="{69453D82-8519-498C-B448-CF788FDA9BFE}"/>
    <cellStyle name="AggOrangeLBorder 4 3 2 33" xfId="16809" xr:uid="{7F460A7E-EF4C-40CF-8FB0-2EEC1925B740}"/>
    <cellStyle name="AggOrangeLBorder 4 3 2 34" xfId="16307" xr:uid="{344D9C58-E13C-4846-815D-74243BAFA486}"/>
    <cellStyle name="AggOrangeLBorder 4 3 2 35" xfId="16469" xr:uid="{435BDC55-3109-4C56-84B4-97E80B421275}"/>
    <cellStyle name="AggOrangeLBorder 4 3 2 36" xfId="16186" xr:uid="{5574AB05-9DA8-47D7-9E5B-7CF0A30D8043}"/>
    <cellStyle name="AggOrangeLBorder 4 3 2 37" xfId="18627" xr:uid="{4282557B-5DC3-45E9-BA04-4F3100086241}"/>
    <cellStyle name="AggOrangeLBorder 4 3 2 38" xfId="17681" xr:uid="{3361B95A-5736-4465-839A-D1289A33F425}"/>
    <cellStyle name="AggOrangeLBorder 4 3 2 39" xfId="18815" xr:uid="{B54247C0-3989-4ACC-8F20-6AFD7489CAB6}"/>
    <cellStyle name="AggOrangeLBorder 4 3 2 4" xfId="2586" xr:uid="{2490633A-0889-4B5D-B9EC-FB149E63DFB7}"/>
    <cellStyle name="AggOrangeLBorder 4 3 2 40" xfId="20146" xr:uid="{A059386D-567B-44F2-8129-EE06F021AC4C}"/>
    <cellStyle name="AggOrangeLBorder 4 3 2 41" xfId="19575" xr:uid="{32941923-588A-4A02-9850-4831FA23E697}"/>
    <cellStyle name="AggOrangeLBorder 4 3 2 42" xfId="19580" xr:uid="{38DF5421-C23B-41F7-8C49-AF87D2A923E8}"/>
    <cellStyle name="AggOrangeLBorder 4 3 2 43" xfId="21427" xr:uid="{AE9C3A29-ADB1-49DA-87E3-93AFEDE9F10D}"/>
    <cellStyle name="AggOrangeLBorder 4 3 2 44" xfId="20363" xr:uid="{D784C891-E4A0-4895-BC1C-92CC38FA1D39}"/>
    <cellStyle name="AggOrangeLBorder 4 3 2 45" xfId="21861" xr:uid="{686B93B8-E2D9-444A-948F-A87102C05FCE}"/>
    <cellStyle name="AggOrangeLBorder 4 3 2 46" xfId="21083" xr:uid="{295C6DF4-9740-47DD-8202-C53D96C08781}"/>
    <cellStyle name="AggOrangeLBorder 4 3 2 47" xfId="22260" xr:uid="{B5515380-B630-4AE1-A2D5-949F7665F738}"/>
    <cellStyle name="AggOrangeLBorder 4 3 2 48" xfId="22072" xr:uid="{9320DC23-7441-4A4B-BCA7-66182D61DCE5}"/>
    <cellStyle name="AggOrangeLBorder 4 3 2 49" xfId="23946" xr:uid="{D716E710-760C-468A-ABF4-15979BEA67F5}"/>
    <cellStyle name="AggOrangeLBorder 4 3 2 5" xfId="2722" xr:uid="{F41D87CF-0559-4249-94CE-3CD7F3CC1BBE}"/>
    <cellStyle name="AggOrangeLBorder 4 3 2 50" xfId="24854" xr:uid="{D82E2841-B19B-4CE9-93CB-6A240927CB93}"/>
    <cellStyle name="AggOrangeLBorder 4 3 2 51" xfId="24198" xr:uid="{A4C1B53B-7EC7-4953-BC4F-F8E45343FD1E}"/>
    <cellStyle name="AggOrangeLBorder 4 3 2 52" xfId="25770" xr:uid="{2A3819F0-404F-47C0-9C8E-EFE9CF260E28}"/>
    <cellStyle name="AggOrangeLBorder 4 3 2 53" xfId="25304" xr:uid="{EA88985C-B5B2-48FD-AEC8-5EF69BA9F99D}"/>
    <cellStyle name="AggOrangeLBorder 4 3 2 54" xfId="26400" xr:uid="{D3074404-392E-4A6D-B40E-043C7FEAE27F}"/>
    <cellStyle name="AggOrangeLBorder 4 3 2 55" xfId="27058" xr:uid="{096595E7-3F6D-4B9B-B773-29B3C1872C14}"/>
    <cellStyle name="AggOrangeLBorder 4 3 2 56" xfId="27477" xr:uid="{0247FC9B-F4CD-49DC-8539-E6EA8B3C4FDB}"/>
    <cellStyle name="AggOrangeLBorder 4 3 2 57" xfId="26797" xr:uid="{C2C3900E-DD11-4DEB-8F6E-4BEEA0E96AD6}"/>
    <cellStyle name="AggOrangeLBorder 4 3 2 58" xfId="28604" xr:uid="{7EE7261A-8DFD-4D7A-A75F-47D50F08475F}"/>
    <cellStyle name="AggOrangeLBorder 4 3 2 59" xfId="29071" xr:uid="{B022CCE8-2798-4D0A-B704-02ECA8E0ABCF}"/>
    <cellStyle name="AggOrangeLBorder 4 3 2 6" xfId="3457" xr:uid="{A0F94E8B-5B4F-47AB-920E-C2197E9EC1AE}"/>
    <cellStyle name="AggOrangeLBorder 4 3 2 60" xfId="28287" xr:uid="{2FE89668-DBD1-48E0-94E1-9839A67FCEF1}"/>
    <cellStyle name="AggOrangeLBorder 4 3 2 61" xfId="29860" xr:uid="{BBB6956E-E4CB-469E-92EB-68F5D38335B0}"/>
    <cellStyle name="AggOrangeLBorder 4 3 2 62" xfId="30266" xr:uid="{F468FFCF-C5E2-45BF-AA75-38F2AF9BEB3D}"/>
    <cellStyle name="AggOrangeLBorder 4 3 2 63" xfId="30683" xr:uid="{1859B62C-89EF-49F2-A37A-4D6DFEAA9F6B}"/>
    <cellStyle name="AggOrangeLBorder 4 3 2 64" xfId="29606" xr:uid="{628155D9-CF71-4122-A1DD-622B0FDCC8D5}"/>
    <cellStyle name="AggOrangeLBorder 4 3 2 65" xfId="31299" xr:uid="{A0E87018-22B3-4632-ADC4-B3443B705DD7}"/>
    <cellStyle name="AggOrangeLBorder 4 3 2 7" xfId="4082" xr:uid="{27C1D06F-B795-400F-896F-FE728ABB44A0}"/>
    <cellStyle name="AggOrangeLBorder 4 3 2 8" xfId="4519" xr:uid="{CF514A66-D6F1-496E-B7F4-040C154BBD8C}"/>
    <cellStyle name="AggOrangeLBorder 4 3 2 9" xfId="3561" xr:uid="{B1206D37-9A51-4579-99A1-192C652CAE18}"/>
    <cellStyle name="AggOrangeLBorder 4 3 20" xfId="8953" xr:uid="{BF5B0861-263F-4E83-8F43-83AA38FA95E7}"/>
    <cellStyle name="AggOrangeLBorder 4 3 21" xfId="9123" xr:uid="{796401C0-325C-444D-AC2D-E4FABEA621B2}"/>
    <cellStyle name="AggOrangeLBorder 4 3 22" xfId="10848" xr:uid="{CED9663A-6618-4B4C-8B51-F716D4F353E0}"/>
    <cellStyle name="AggOrangeLBorder 4 3 23" xfId="11210" xr:uid="{F1F8E96F-2325-490B-83D8-24AB9C3C6FF4}"/>
    <cellStyle name="AggOrangeLBorder 4 3 24" xfId="11902" xr:uid="{2B42668E-76F7-4AC0-AB5C-B8DACFC269AD}"/>
    <cellStyle name="AggOrangeLBorder 4 3 25" xfId="12375" xr:uid="{31EEAF0D-7B0C-48CC-9426-2EA2C7688606}"/>
    <cellStyle name="AggOrangeLBorder 4 3 26" xfId="12809" xr:uid="{B36E0C39-4476-4DD8-BA45-63A831D6142C}"/>
    <cellStyle name="AggOrangeLBorder 4 3 27" xfId="13246" xr:uid="{4B73B29F-EF41-47F4-AB54-34A9B454EAB6}"/>
    <cellStyle name="AggOrangeLBorder 4 3 28" xfId="13719" xr:uid="{B159A400-8DE1-48D4-9738-D9EB197DC495}"/>
    <cellStyle name="AggOrangeLBorder 4 3 29" xfId="14331" xr:uid="{EA1B95D7-8831-45AC-B421-A8B40D5126CE}"/>
    <cellStyle name="AggOrangeLBorder 4 3 3" xfId="1032" xr:uid="{EBAE6C41-8411-4F3E-B3CD-76C7CEE795B7}"/>
    <cellStyle name="AggOrangeLBorder 4 3 30" xfId="14449" xr:uid="{F2421874-4271-4CDE-893C-58E39C6BE4DA}"/>
    <cellStyle name="AggOrangeLBorder 4 3 31" xfId="14524" xr:uid="{8263B5F7-32E2-408F-888F-281E6A253883}"/>
    <cellStyle name="AggOrangeLBorder 4 3 32" xfId="15609" xr:uid="{FCFEEDDE-64B3-47DB-AC68-755D7E2FD085}"/>
    <cellStyle name="AggOrangeLBorder 4 3 33" xfId="15575" xr:uid="{8F23FACE-F1C4-4ACA-A52C-B32375D8AB98}"/>
    <cellStyle name="AggOrangeLBorder 4 3 34" xfId="16594" xr:uid="{396E7BBA-2F4A-4D08-A390-C79F62AA6E54}"/>
    <cellStyle name="AggOrangeLBorder 4 3 35" xfId="16261" xr:uid="{66812F39-2427-4DAF-A8F1-A5C906355862}"/>
    <cellStyle name="AggOrangeLBorder 4 3 36" xfId="16940" xr:uid="{328AA59A-05C9-4824-B7F5-BCC06CDEBFD4}"/>
    <cellStyle name="AggOrangeLBorder 4 3 37" xfId="18003" xr:uid="{05265C01-A6CF-430A-9E6D-4053C226BF40}"/>
    <cellStyle name="AggOrangeLBorder 4 3 38" xfId="18412" xr:uid="{64CCF9FF-5BB0-452D-87B7-DB9BA8C5CD83}"/>
    <cellStyle name="AggOrangeLBorder 4 3 39" xfId="17558" xr:uid="{C0ECC20A-EB47-4AC4-8BEB-CA38C96503A2}"/>
    <cellStyle name="AggOrangeLBorder 4 3 4" xfId="1457" xr:uid="{549A723E-7084-4892-B133-6C46CC8EE80B}"/>
    <cellStyle name="AggOrangeLBorder 4 3 40" xfId="18840" xr:uid="{04916553-A342-4FBC-BDF0-7CE87F57B943}"/>
    <cellStyle name="AggOrangeLBorder 4 3 41" xfId="19931" xr:uid="{E07BCF55-86F1-45C8-B0CD-84AE247F4DFB}"/>
    <cellStyle name="AggOrangeLBorder 4 3 42" xfId="19591" xr:uid="{BF91CB0E-DA65-4230-8385-CC269F6A8D77}"/>
    <cellStyle name="AggOrangeLBorder 4 3 43" xfId="19606" xr:uid="{92770CD2-8838-4C13-BB91-AE0CA5FEB427}"/>
    <cellStyle name="AggOrangeLBorder 4 3 44" xfId="21556" xr:uid="{3A88E1C1-A04E-4A0C-903B-0D6A6D2794EA}"/>
    <cellStyle name="AggOrangeLBorder 4 3 45" xfId="21482" xr:uid="{B3A8448E-9E16-4AC5-B6A1-2957E21999F9}"/>
    <cellStyle name="AggOrangeLBorder 4 3 46" xfId="20369" xr:uid="{B413C7E3-2EE5-47FB-973B-5C7CD4D18BB4}"/>
    <cellStyle name="AggOrangeLBorder 4 3 47" xfId="22715" xr:uid="{FB83013B-EEC6-42A7-9CD8-C0DEECB3F684}"/>
    <cellStyle name="AggOrangeLBorder 4 3 48" xfId="22778" xr:uid="{0D878F31-014A-4CF0-9341-7EDC3D9274F8}"/>
    <cellStyle name="AggOrangeLBorder 4 3 49" xfId="23653" xr:uid="{D056A9A5-B17B-4A04-810F-88D3C4300441}"/>
    <cellStyle name="AggOrangeLBorder 4 3 5" xfId="2371" xr:uid="{82EBADB3-82B4-4A48-8817-19DE16A95391}"/>
    <cellStyle name="AggOrangeLBorder 4 3 50" xfId="23740" xr:uid="{17DFA6EC-813C-4D04-942A-AF7A59B24005}"/>
    <cellStyle name="AggOrangeLBorder 4 3 51" xfId="24639" xr:uid="{A22EC343-4C98-490F-B472-D076419B61BE}"/>
    <cellStyle name="AggOrangeLBorder 4 3 52" xfId="24356" xr:uid="{03CA39AA-283F-43F8-AB4F-EE4A069FF906}"/>
    <cellStyle name="AggOrangeLBorder 4 3 53" xfId="25557" xr:uid="{11FA6159-2240-42E2-802A-7FF91FAA962C}"/>
    <cellStyle name="AggOrangeLBorder 4 3 54" xfId="26019" xr:uid="{02E987FB-A2C6-4641-9914-77B3D918DECA}"/>
    <cellStyle name="AggOrangeLBorder 4 3 55" xfId="26621" xr:uid="{EA36B3CC-F043-4EEC-8D42-EABF4EB5699A}"/>
    <cellStyle name="AggOrangeLBorder 4 3 56" xfId="26847" xr:uid="{6756D1EB-6CDA-43AA-B68A-2C4AB5A3173C}"/>
    <cellStyle name="AggOrangeLBorder 4 3 57" xfId="27266" xr:uid="{9DFCCD9D-86AC-44F1-97EC-5E5D550234CA}"/>
    <cellStyle name="AggOrangeLBorder 4 3 58" xfId="27721" xr:uid="{1BEFC6C1-1E44-43D7-A1EA-047ECFC6F659}"/>
    <cellStyle name="AggOrangeLBorder 4 3 59" xfId="28389" xr:uid="{8FD5B51E-54E8-4ABA-9951-477A189A1CC5}"/>
    <cellStyle name="AggOrangeLBorder 4 3 6" xfId="2884" xr:uid="{87B3D19F-91C6-42C7-915F-6F3877733A16}"/>
    <cellStyle name="AggOrangeLBorder 4 3 60" xfId="28857" xr:uid="{ABFF2F53-E3E2-4691-B82E-AF1892692DA3}"/>
    <cellStyle name="AggOrangeLBorder 4 3 61" xfId="28228" xr:uid="{8E36E46E-7BB2-431F-B1C1-03B49B05209B}"/>
    <cellStyle name="AggOrangeLBorder 4 3 62" xfId="29647" xr:uid="{496ACDE9-CF9B-4803-B4F7-D5496F6337D1}"/>
    <cellStyle name="AggOrangeLBorder 4 3 63" xfId="30055" xr:uid="{4BFE58DC-C5BE-486D-9414-9405213DDF6B}"/>
    <cellStyle name="AggOrangeLBorder 4 3 64" xfId="30469" xr:uid="{213432A7-6EDC-4C92-9DE2-BB85DE80736B}"/>
    <cellStyle name="AggOrangeLBorder 4 3 65" xfId="30920" xr:uid="{0F2FDD23-E591-4846-870A-8A3F4640DB57}"/>
    <cellStyle name="AggOrangeLBorder 4 3 66" xfId="31093" xr:uid="{FBA56EDE-7A76-4EFB-BD36-F43CC3C66FA9}"/>
    <cellStyle name="AggOrangeLBorder 4 3 7" xfId="2803" xr:uid="{E8DB8D54-AA35-4771-A6B0-8FFCB714DEA3}"/>
    <cellStyle name="AggOrangeLBorder 4 3 8" xfId="3867" xr:uid="{DBB2B61E-DF06-4E2C-9655-088D7EE3C05D}"/>
    <cellStyle name="AggOrangeLBorder 4 3 9" xfId="4305" xr:uid="{8DDCE302-EA9D-4D94-B444-7FB24CEADF09}"/>
    <cellStyle name="AggOrangeLBorder 4 30" xfId="11496" xr:uid="{8DC6C779-B21E-4250-B221-A24EBD2B793D}"/>
    <cellStyle name="AggOrangeLBorder 4 31" xfId="13716" xr:uid="{2FE76C81-4913-4F29-B378-01BD72A3EC60}"/>
    <cellStyle name="AggOrangeLBorder 4 32" xfId="13692" xr:uid="{75713E9B-0858-4719-A38F-BDE23E66D280}"/>
    <cellStyle name="AggOrangeLBorder 4 33" xfId="14065" xr:uid="{D7893C62-A149-4CB6-8554-C72CB118C48B}"/>
    <cellStyle name="AggOrangeLBorder 4 34" xfId="14555" xr:uid="{092A9E6D-CC6C-44EF-8023-F1A4E9D3D19A}"/>
    <cellStyle name="AggOrangeLBorder 4 35" xfId="15061" xr:uid="{260A2FE1-13C1-482A-96B9-4474933C9338}"/>
    <cellStyle name="AggOrangeLBorder 4 36" xfId="15071" xr:uid="{F2C3A443-4175-4716-A559-0C0D205A0F94}"/>
    <cellStyle name="AggOrangeLBorder 4 37" xfId="16319" xr:uid="{D59696D7-793B-4E0F-B590-E31829D461B8}"/>
    <cellStyle name="AggOrangeLBorder 4 38" xfId="16969" xr:uid="{87039E78-777F-4C35-BB34-85A2BAE72193}"/>
    <cellStyle name="AggOrangeLBorder 4 39" xfId="17420" xr:uid="{EEA0700D-68E8-4BDA-9839-1601CCF7E048}"/>
    <cellStyle name="AggOrangeLBorder 4 4" xfId="570" xr:uid="{502CC28D-1109-45C1-B6CC-F38E797BC80B}"/>
    <cellStyle name="AggOrangeLBorder 4 4 10" xfId="3266" xr:uid="{4B4885F7-1980-4F3D-8539-9DC1DB4DCC02}"/>
    <cellStyle name="AggOrangeLBorder 4 4 11" xfId="5218" xr:uid="{BF1FBF8E-73EF-48AA-B81C-719D82A1B01C}"/>
    <cellStyle name="AggOrangeLBorder 4 4 12" xfId="4896" xr:uid="{FAE582BC-0FC8-4BF5-8D7F-ABDAD6A88771}"/>
    <cellStyle name="AggOrangeLBorder 4 4 13" xfId="5958" xr:uid="{066A4927-E6BD-4ED8-A011-04A0E2EAA802}"/>
    <cellStyle name="AggOrangeLBorder 4 4 14" xfId="6684" xr:uid="{15A4A7F1-80A0-41A7-B40D-FDBA253AB4C6}"/>
    <cellStyle name="AggOrangeLBorder 4 4 15" xfId="7290" xr:uid="{0DE2D18B-7518-490B-A0A3-355522C94C60}"/>
    <cellStyle name="AggOrangeLBorder 4 4 16" xfId="7053" xr:uid="{5E271A2B-77B1-4F33-9A74-55581B096882}"/>
    <cellStyle name="AggOrangeLBorder 4 4 17" xfId="8618" xr:uid="{C7251BC5-21CF-4215-BF5A-06BC94C9BF19}"/>
    <cellStyle name="AggOrangeLBorder 4 4 18" xfId="8776" xr:uid="{46C6F897-C924-4923-B982-D7D9E9C75260}"/>
    <cellStyle name="AggOrangeLBorder 4 4 19" xfId="9504" xr:uid="{8D384622-77B6-4BBA-AE9F-FB5CCB9B0076}"/>
    <cellStyle name="AggOrangeLBorder 4 4 2" xfId="785" xr:uid="{5DDACE16-FD17-47CE-92EA-FCD786B905DE}"/>
    <cellStyle name="AggOrangeLBorder 4 4 2 10" xfId="5433" xr:uid="{C33AC736-0391-4762-BB3F-3F9F85F4EF10}"/>
    <cellStyle name="AggOrangeLBorder 4 4 2 11" xfId="5100" xr:uid="{7C3E8CF6-25C9-4F8B-9D77-3E510B0D9C9C}"/>
    <cellStyle name="AggOrangeLBorder 4 4 2 12" xfId="5983" xr:uid="{09E600F3-99CE-4D70-9C3A-45E05CADECFB}"/>
    <cellStyle name="AggOrangeLBorder 4 4 2 13" xfId="6514" xr:uid="{F798E7CE-BF20-4FAE-9286-81BF2F3281E3}"/>
    <cellStyle name="AggOrangeLBorder 4 4 2 14" xfId="7505" xr:uid="{4B8DC95E-4317-4999-BB71-5C5C7E4ABEEC}"/>
    <cellStyle name="AggOrangeLBorder 4 4 2 15" xfId="6863" xr:uid="{1CA19BC0-B93B-495D-AB3F-4B3BD59F2E97}"/>
    <cellStyle name="AggOrangeLBorder 4 4 2 16" xfId="8590" xr:uid="{68041B25-E729-43C3-84C8-275FF0B08654}"/>
    <cellStyle name="AggOrangeLBorder 4 4 2 17" xfId="6909" xr:uid="{036E9235-3314-4678-B348-CF47E161E7DA}"/>
    <cellStyle name="AggOrangeLBorder 4 4 2 18" xfId="9719" xr:uid="{3FC4795B-E450-4245-910D-D25A82C1D225}"/>
    <cellStyle name="AggOrangeLBorder 4 4 2 19" xfId="9079" xr:uid="{6AFD38C9-65C3-48AB-92AE-BF588C958001}"/>
    <cellStyle name="AggOrangeLBorder 4 4 2 2" xfId="1259" xr:uid="{337FC2D7-D18A-4A00-A13E-73EEA2784A0D}"/>
    <cellStyle name="AggOrangeLBorder 4 4 2 20" xfId="10246" xr:uid="{926A9A20-F1EC-43B4-9E26-03B3AFA993E7}"/>
    <cellStyle name="AggOrangeLBorder 4 4 2 21" xfId="10438" xr:uid="{80D9C2E1-9EEF-4D4F-9A9F-D7705819996A}"/>
    <cellStyle name="AggOrangeLBorder 4 4 2 22" xfId="9902" xr:uid="{F2A579E3-BC05-4064-9382-2A10FA434E44}"/>
    <cellStyle name="AggOrangeLBorder 4 4 2 23" xfId="12138" xr:uid="{23E82066-E57E-42C1-B499-A63FC8B28595}"/>
    <cellStyle name="AggOrangeLBorder 4 4 2 24" xfId="12611" xr:uid="{9D42C8C0-C65D-4111-9A39-A11627190DA7}"/>
    <cellStyle name="AggOrangeLBorder 4 4 2 25" xfId="13045" xr:uid="{74CBCCB2-94E6-433E-9AF1-47DA1EA256AA}"/>
    <cellStyle name="AggOrangeLBorder 4 4 2 26" xfId="13482" xr:uid="{1BBF5F24-FF2F-401F-859C-2BECD1421C1F}"/>
    <cellStyle name="AggOrangeLBorder 4 4 2 27" xfId="12248" xr:uid="{3EA73C0F-3723-452A-9337-0DA8F030E4C8}"/>
    <cellStyle name="AggOrangeLBorder 4 4 2 28" xfId="11349" xr:uid="{68A8CC47-0B60-4CCD-ACCA-FDBDBFAC4673}"/>
    <cellStyle name="AggOrangeLBorder 4 4 2 29" xfId="14507" xr:uid="{44E27788-A26F-4C93-949C-58A13D476ADB}"/>
    <cellStyle name="AggOrangeLBorder 4 4 2 3" xfId="1562" xr:uid="{F239E1F7-BF66-4E40-A18B-01A7986AAACC}"/>
    <cellStyle name="AggOrangeLBorder 4 4 2 30" xfId="15149" xr:uid="{B145DF08-233E-44B2-9ABE-71EF012E8F9B}"/>
    <cellStyle name="AggOrangeLBorder 4 4 2 31" xfId="15097" xr:uid="{250BD812-CC02-44CD-8FE3-92698DB17329}"/>
    <cellStyle name="AggOrangeLBorder 4 4 2 32" xfId="15490" xr:uid="{4400D282-15AB-43EE-9CED-36C714A50CD1}"/>
    <cellStyle name="AggOrangeLBorder 4 4 2 33" xfId="16830" xr:uid="{16CCA6F3-9476-4E13-93A3-0AE527429581}"/>
    <cellStyle name="AggOrangeLBorder 4 4 2 34" xfId="16179" xr:uid="{A7869391-1CE5-4FBC-AB88-6544F8D203AC}"/>
    <cellStyle name="AggOrangeLBorder 4 4 2 35" xfId="17367" xr:uid="{D476CBD5-8F48-4E58-8468-3B986BDC7F64}"/>
    <cellStyle name="AggOrangeLBorder 4 4 2 36" xfId="17208" xr:uid="{4F1BC41D-190E-4236-8EA7-8D71525E0DB6}"/>
    <cellStyle name="AggOrangeLBorder 4 4 2 37" xfId="18648" xr:uid="{8605142B-8DD7-4EFA-A3B4-0048ED033A39}"/>
    <cellStyle name="AggOrangeLBorder 4 4 2 38" xfId="16268" xr:uid="{DEEEC664-6B86-4750-A4BD-929F23E19828}"/>
    <cellStyle name="AggOrangeLBorder 4 4 2 39" xfId="18197" xr:uid="{6BA311CF-D627-4B9F-A627-BE1827E9611A}"/>
    <cellStyle name="AggOrangeLBorder 4 4 2 4" xfId="2607" xr:uid="{70C543FB-A78E-425D-80A2-15686D10AA8A}"/>
    <cellStyle name="AggOrangeLBorder 4 4 2 40" xfId="20167" xr:uid="{BC367701-D34C-405E-B5F5-345B23040429}"/>
    <cellStyle name="AggOrangeLBorder 4 4 2 41" xfId="19607" xr:uid="{65120FDA-B1B5-462F-8D84-8102C3F6A2D8}"/>
    <cellStyle name="AggOrangeLBorder 4 4 2 42" xfId="20444" xr:uid="{D040EC65-504E-463D-9277-B72377ECFCF0}"/>
    <cellStyle name="AggOrangeLBorder 4 4 2 43" xfId="19560" xr:uid="{94576808-6406-4AA3-A21D-0F04ECD362EE}"/>
    <cellStyle name="AggOrangeLBorder 4 4 2 44" xfId="19770" xr:uid="{BA9E7AC5-E380-45E5-8C54-DC95DA6C3643}"/>
    <cellStyle name="AggOrangeLBorder 4 4 2 45" xfId="21584" xr:uid="{18FAF4C0-1467-41BE-8739-5828CBCD8E3A}"/>
    <cellStyle name="AggOrangeLBorder 4 4 2 46" xfId="22503" xr:uid="{8EC86914-1EF8-4B15-A8BB-A3C204B01257}"/>
    <cellStyle name="AggOrangeLBorder 4 4 2 47" xfId="22971" xr:uid="{744B3915-E2C5-4797-9CE7-771AD47EA72B}"/>
    <cellStyle name="AggOrangeLBorder 4 4 2 48" xfId="22858" xr:uid="{109B3A94-64A6-4572-AD50-6FF079524027}"/>
    <cellStyle name="AggOrangeLBorder 4 4 2 49" xfId="23967" xr:uid="{AFCCEA3B-02FE-4FCA-9E91-0B1488B5505B}"/>
    <cellStyle name="AggOrangeLBorder 4 4 2 5" xfId="1843" xr:uid="{187F4156-A7DE-45D0-8360-9B8071083962}"/>
    <cellStyle name="AggOrangeLBorder 4 4 2 50" xfId="24875" xr:uid="{88362E40-1194-4A8C-8A86-31EF95E7FC50}"/>
    <cellStyle name="AggOrangeLBorder 4 4 2 51" xfId="24136" xr:uid="{D229EAD2-579C-4D46-85CD-838EF45956B1}"/>
    <cellStyle name="AggOrangeLBorder 4 4 2 52" xfId="25791" xr:uid="{33D69F34-6141-4DDF-B989-4A37F9297DBE}"/>
    <cellStyle name="AggOrangeLBorder 4 4 2 53" xfId="25057" xr:uid="{DE2E172A-8928-4A75-9B80-C9CF1FBD6E94}"/>
    <cellStyle name="AggOrangeLBorder 4 4 2 54" xfId="26394" xr:uid="{9BCC74CE-1EF8-4E01-A451-0B63B50E2D03}"/>
    <cellStyle name="AggOrangeLBorder 4 4 2 55" xfId="27079" xr:uid="{B5FE02FF-60BC-4AED-A0E5-66222807EBFB}"/>
    <cellStyle name="AggOrangeLBorder 4 4 2 56" xfId="27498" xr:uid="{D3ED9570-7D13-4AB6-A751-A0C3845DB30A}"/>
    <cellStyle name="AggOrangeLBorder 4 4 2 57" xfId="26346" xr:uid="{87270E35-D70E-4F89-A971-5777402D4CC8}"/>
    <cellStyle name="AggOrangeLBorder 4 4 2 58" xfId="28625" xr:uid="{A4CF343B-A059-4BC5-8436-9E3FCC7CC511}"/>
    <cellStyle name="AggOrangeLBorder 4 4 2 59" xfId="29092" xr:uid="{C74381DE-01FE-4C5D-B875-7879B404217F}"/>
    <cellStyle name="AggOrangeLBorder 4 4 2 6" xfId="2231" xr:uid="{D5DD1DF9-0FAF-443E-AB35-B24CF05D119E}"/>
    <cellStyle name="AggOrangeLBorder 4 4 2 60" xfId="27916" xr:uid="{8D2F7D73-59D8-4AE9-AB14-253C3A28300A}"/>
    <cellStyle name="AggOrangeLBorder 4 4 2 61" xfId="29881" xr:uid="{E5DB611A-BB8A-46C9-B64E-A04CF46E4293}"/>
    <cellStyle name="AggOrangeLBorder 4 4 2 62" xfId="30287" xr:uid="{27598617-AA50-42B3-8EBB-83443B70E958}"/>
    <cellStyle name="AggOrangeLBorder 4 4 2 63" xfId="30704" xr:uid="{20DD58A5-F14E-4EC1-875F-C2630C814638}"/>
    <cellStyle name="AggOrangeLBorder 4 4 2 64" xfId="31021" xr:uid="{5C2F00F6-9358-45C4-9A68-E7ACBF78C4CF}"/>
    <cellStyle name="AggOrangeLBorder 4 4 2 65" xfId="31320" xr:uid="{83E200A1-DB7F-4480-BA03-4C2039E7D864}"/>
    <cellStyle name="AggOrangeLBorder 4 4 2 7" xfId="4103" xr:uid="{3E0D7665-2FFD-43DE-BF50-00D03615019A}"/>
    <cellStyle name="AggOrangeLBorder 4 4 2 8" xfId="4540" xr:uid="{3577F758-E016-4897-99CC-2CBDB287BB10}"/>
    <cellStyle name="AggOrangeLBorder 4 4 2 9" xfId="2983" xr:uid="{B8DD31C8-CA58-408C-A395-4A7BA00A109C}"/>
    <cellStyle name="AggOrangeLBorder 4 4 20" xfId="9266" xr:uid="{59F984AC-05B6-4190-82B8-853893D0304B}"/>
    <cellStyle name="AggOrangeLBorder 4 4 21" xfId="10226" xr:uid="{188FDA62-CBD8-43FB-AEFE-8A710161D9D2}"/>
    <cellStyle name="AggOrangeLBorder 4 4 22" xfId="10907" xr:uid="{FE3C2F61-74E3-47C9-901B-9E68E709EB70}"/>
    <cellStyle name="AggOrangeLBorder 4 4 23" xfId="11301" xr:uid="{77B6CBEF-6E71-44AA-ACE4-119D107001FC}"/>
    <cellStyle name="AggOrangeLBorder 4 4 24" xfId="11923" xr:uid="{BD259BF8-FF68-49B9-B829-29640A1CF45C}"/>
    <cellStyle name="AggOrangeLBorder 4 4 25" xfId="12396" xr:uid="{B418DBD1-1F59-47C5-9E0E-546E6E7E4427}"/>
    <cellStyle name="AggOrangeLBorder 4 4 26" xfId="12830" xr:uid="{5C67721A-6D39-4A1B-A7AC-FC9C714A0FDC}"/>
    <cellStyle name="AggOrangeLBorder 4 4 27" xfId="13267" xr:uid="{FA37AE01-4322-4F32-9D52-F41F6BBE8660}"/>
    <cellStyle name="AggOrangeLBorder 4 4 28" xfId="13921" xr:uid="{1FDBD54C-3E4F-4FED-B034-2712C028466C}"/>
    <cellStyle name="AggOrangeLBorder 4 4 29" xfId="14439" xr:uid="{BE2D0466-ACE3-4E01-9A71-2697151E8DA4}"/>
    <cellStyle name="AggOrangeLBorder 4 4 3" xfId="1053" xr:uid="{1F4A5728-AA40-4690-8A03-1020370A5110}"/>
    <cellStyle name="AggOrangeLBorder 4 4 30" xfId="14287" xr:uid="{AE524752-304E-4F95-977F-193D9BFEEC6C}"/>
    <cellStyle name="AggOrangeLBorder 4 4 31" xfId="14344" xr:uid="{B505AA3D-E133-462C-816D-52BCA5A0C8D8}"/>
    <cellStyle name="AggOrangeLBorder 4 4 32" xfId="15744" xr:uid="{16DEA78E-F969-4D24-A477-AD940114E114}"/>
    <cellStyle name="AggOrangeLBorder 4 4 33" xfId="13184" xr:uid="{86DCA0E4-56D6-4672-9493-E25DA84C54F5}"/>
    <cellStyle name="AggOrangeLBorder 4 4 34" xfId="16615" xr:uid="{3D725555-A902-43DC-A16B-E6381408B34B}"/>
    <cellStyle name="AggOrangeLBorder 4 4 35" xfId="16375" xr:uid="{88641AE0-117D-4A6F-8CAE-69B10150C5E7}"/>
    <cellStyle name="AggOrangeLBorder 4 4 36" xfId="17347" xr:uid="{816415B2-B257-4F1B-A630-20535180C69A}"/>
    <cellStyle name="AggOrangeLBorder 4 4 37" xfId="18262" xr:uid="{49AA306E-41F7-43B4-AACB-1C0D9C16FB3D}"/>
    <cellStyle name="AggOrangeLBorder 4 4 38" xfId="18433" xr:uid="{5764FFE1-D0F5-43BF-A256-C5E9A5B2A083}"/>
    <cellStyle name="AggOrangeLBorder 4 4 39" xfId="19086" xr:uid="{3E7DA326-37BD-4602-906F-5B4F56DA17E4}"/>
    <cellStyle name="AggOrangeLBorder 4 4 4" xfId="1732" xr:uid="{F254E39B-E661-4334-8699-525A22B54788}"/>
    <cellStyle name="AggOrangeLBorder 4 4 40" xfId="19302" xr:uid="{693342FE-3B88-4F8F-9CF7-6BA96B677576}"/>
    <cellStyle name="AggOrangeLBorder 4 4 41" xfId="19952" xr:uid="{AC55A8D9-6C1B-44EA-88A5-0E893F4F4E3C}"/>
    <cellStyle name="AggOrangeLBorder 4 4 42" xfId="19709" xr:uid="{7BBAB10C-9D9F-4509-85C3-3B8DEB18AA01}"/>
    <cellStyle name="AggOrangeLBorder 4 4 43" xfId="19699" xr:uid="{8A508A26-4EAB-4F8F-8AE9-BDB0266CBB94}"/>
    <cellStyle name="AggOrangeLBorder 4 4 44" xfId="21391" xr:uid="{123AF0C8-70B2-416A-95A5-DE93D37D4371}"/>
    <cellStyle name="AggOrangeLBorder 4 4 45" xfId="19497" xr:uid="{2419BB4A-FF4E-4822-866D-6D0F5CC39B3A}"/>
    <cellStyle name="AggOrangeLBorder 4 4 46" xfId="20695" xr:uid="{A79D166A-D2EC-4FD5-865A-530C8DEA07F5}"/>
    <cellStyle name="AggOrangeLBorder 4 4 47" xfId="22897" xr:uid="{F5E4F69F-DEFB-4518-86A1-E254632613F7}"/>
    <cellStyle name="AggOrangeLBorder 4 4 48" xfId="23364" xr:uid="{33DC0863-C7EB-4C54-BD3D-5453459BD4C4}"/>
    <cellStyle name="AggOrangeLBorder 4 4 49" xfId="23477" xr:uid="{F336AC42-D8BC-42DB-8D5A-426776D1891E}"/>
    <cellStyle name="AggOrangeLBorder 4 4 5" xfId="2392" xr:uid="{0C019066-CA7B-45AD-B67C-F67CF184210E}"/>
    <cellStyle name="AggOrangeLBorder 4 4 50" xfId="23761" xr:uid="{7C7895DE-26C6-48D8-A43E-EC7B9DC4A32F}"/>
    <cellStyle name="AggOrangeLBorder 4 4 51" xfId="24660" xr:uid="{2F4BBF19-2060-4F3C-B921-2E1AAA5216AE}"/>
    <cellStyle name="AggOrangeLBorder 4 4 52" xfId="24384" xr:uid="{791EFF81-E647-4E00-BEA6-35ECC8EA7ADA}"/>
    <cellStyle name="AggOrangeLBorder 4 4 53" xfId="25578" xr:uid="{7F71C687-2A7F-40DD-BD35-43676AF121A4}"/>
    <cellStyle name="AggOrangeLBorder 4 4 54" xfId="26011" xr:uid="{42BB1209-8667-4796-8DC0-0C1DE14F80D7}"/>
    <cellStyle name="AggOrangeLBorder 4 4 55" xfId="25477" xr:uid="{B9FA3994-7231-4900-B1A3-5547FABFA7F1}"/>
    <cellStyle name="AggOrangeLBorder 4 4 56" xfId="26868" xr:uid="{D837776B-5A86-4880-A42E-B786579E9F55}"/>
    <cellStyle name="AggOrangeLBorder 4 4 57" xfId="27287" xr:uid="{8E3F5235-16FD-456C-AF57-B05FB3BA2F6A}"/>
    <cellStyle name="AggOrangeLBorder 4 4 58" xfId="24204" xr:uid="{7058CBD6-08C1-42CF-ABA2-968BFADC2D02}"/>
    <cellStyle name="AggOrangeLBorder 4 4 59" xfId="28410" xr:uid="{40598B01-B2BC-4492-99DA-21543F5AB721}"/>
    <cellStyle name="AggOrangeLBorder 4 4 6" xfId="3089" xr:uid="{5841D55E-9F39-469E-AC8B-AC4D17459937}"/>
    <cellStyle name="AggOrangeLBorder 4 4 60" xfId="28878" xr:uid="{C81B814F-0160-42B5-B7A2-6AAA12FA897B}"/>
    <cellStyle name="AggOrangeLBorder 4 4 61" xfId="28771" xr:uid="{3DADD449-D2D3-480E-BBB8-364B4339ACF3}"/>
    <cellStyle name="AggOrangeLBorder 4 4 62" xfId="29668" xr:uid="{035D93F9-C280-4AED-BCD7-51890A86CF08}"/>
    <cellStyle name="AggOrangeLBorder 4 4 63" xfId="30076" xr:uid="{16033DD4-2974-44D6-A508-0996ABB9FCE2}"/>
    <cellStyle name="AggOrangeLBorder 4 4 64" xfId="30490" xr:uid="{AECA9A87-6115-4B79-9DD5-AD978BC9FCEB}"/>
    <cellStyle name="AggOrangeLBorder 4 4 65" xfId="31017" xr:uid="{84515D24-197D-4FDB-B513-90DC4C2E1DB2}"/>
    <cellStyle name="AggOrangeLBorder 4 4 66" xfId="31114" xr:uid="{045AF0C2-6C1A-4CCA-B969-9DCF3FDAF093}"/>
    <cellStyle name="AggOrangeLBorder 4 4 7" xfId="3712" xr:uid="{A12EE8BD-7C25-40E5-B97A-2F16BB7FEFC4}"/>
    <cellStyle name="AggOrangeLBorder 4 4 8" xfId="3888" xr:uid="{F45104CA-2CD3-4066-A9A4-33888CFC9FC1}"/>
    <cellStyle name="AggOrangeLBorder 4 4 9" xfId="4326" xr:uid="{9568936C-75C0-4EAD-A3A4-A76A5D6F09C5}"/>
    <cellStyle name="AggOrangeLBorder 4 40" xfId="17495" xr:uid="{2B315CA3-B019-45E2-ACF2-29C08DE05387}"/>
    <cellStyle name="AggOrangeLBorder 4 41" xfId="17991" xr:uid="{47C82D81-A34F-413B-95BE-4296A5294D6B}"/>
    <cellStyle name="AggOrangeLBorder 4 42" xfId="18179" xr:uid="{E0C21833-7051-4514-9A33-F1288BBC0E16}"/>
    <cellStyle name="AggOrangeLBorder 4 43" xfId="17638" xr:uid="{B63DACAF-724A-4AAF-90F6-8F8B19C0FE53}"/>
    <cellStyle name="AggOrangeLBorder 4 44" xfId="19652" xr:uid="{B6C37869-F707-4562-92CC-C5471441464E}"/>
    <cellStyle name="AggOrangeLBorder 4 45" xfId="20316" xr:uid="{74917B70-9142-4EE0-9226-AA3E1E246FF0}"/>
    <cellStyle name="AggOrangeLBorder 4 46" xfId="20772" xr:uid="{2BA37067-567F-48C7-94C4-B7A0F70C2422}"/>
    <cellStyle name="AggOrangeLBorder 4 47" xfId="21451" xr:uid="{5BC1957D-C28E-4194-8857-AFB785E374CD}"/>
    <cellStyle name="AggOrangeLBorder 4 48" xfId="21106" xr:uid="{7EB6B3EE-0851-4FF2-A1E5-25505F270870}"/>
    <cellStyle name="AggOrangeLBorder 4 49" xfId="21428" xr:uid="{2BCBB604-63A4-45F9-9041-E305E4E36D18}"/>
    <cellStyle name="AggOrangeLBorder 4 5" xfId="693" xr:uid="{A971E2FC-1129-4779-BE81-C8AAA0A76EAB}"/>
    <cellStyle name="AggOrangeLBorder 4 5 2" xfId="5341" xr:uid="{4880002D-3ACF-4A2E-81F4-04B16A04C4E1}"/>
    <cellStyle name="AggOrangeLBorder 4 5 3" xfId="18247" xr:uid="{D2FA19F4-D600-4DC7-A171-8391C3B8BD48}"/>
    <cellStyle name="AggOrangeLBorder 4 50" xfId="22712" xr:uid="{2EDA2DF4-31F0-4B08-8AA5-B0E52E0262E9}"/>
    <cellStyle name="AggOrangeLBorder 4 51" xfId="19415" xr:uid="{6336D226-5B31-4DAC-86AE-0B609D5CAE62}"/>
    <cellStyle name="AggOrangeLBorder 4 52" xfId="23223" xr:uid="{C5EF4F6C-6455-4D2D-9659-17B25C4D938F}"/>
    <cellStyle name="AggOrangeLBorder 4 53" xfId="23561" xr:uid="{6DA287D1-D9E2-4165-AC0A-728EC528D21C}"/>
    <cellStyle name="AggOrangeLBorder 4 54" xfId="24372" xr:uid="{E8D119DF-13E7-41D8-9F5F-4013CD89CE45}"/>
    <cellStyle name="AggOrangeLBorder 4 55" xfId="25032" xr:uid="{31E2CDEF-E595-4984-9408-3B6F3332ECDE}"/>
    <cellStyle name="AggOrangeLBorder 4 56" xfId="25355" xr:uid="{CB36B15C-ED29-4344-98E9-3A6F843D3AB3}"/>
    <cellStyle name="AggOrangeLBorder 4 57" xfId="26236" xr:uid="{E0A86D15-9ED9-4D27-A20B-393F9D26AB1F}"/>
    <cellStyle name="AggOrangeLBorder 4 58" xfId="26427" xr:uid="{160D7289-1780-4524-ABCF-4E70FC2CAD99}"/>
    <cellStyle name="AggOrangeLBorder 4 59" xfId="25073" xr:uid="{C424EB6B-A728-4583-818E-35B213682C9B}"/>
    <cellStyle name="AggOrangeLBorder 4 6" xfId="945" xr:uid="{3249D5D9-9B68-4AFA-AD4C-739E94A638DC}"/>
    <cellStyle name="AggOrangeLBorder 4 60" xfId="26993" xr:uid="{6A8FA818-480E-4585-A606-4DAD09764A5D}"/>
    <cellStyle name="AggOrangeLBorder 4 61" xfId="26258" xr:uid="{50336A07-F8FA-4153-92CD-4C3CC3440A4B}"/>
    <cellStyle name="AggOrangeLBorder 4 62" xfId="28143" xr:uid="{F695F02C-5D14-4C47-812B-FC992F952A15}"/>
    <cellStyle name="AggOrangeLBorder 4 63" xfId="28267" xr:uid="{9D6DD9A1-A21D-4585-AC3E-56D61910D6EF}"/>
    <cellStyle name="AggOrangeLBorder 4 64" xfId="28731" xr:uid="{01BE88B2-AFDE-4B7A-82F8-DBA95C7A0394}"/>
    <cellStyle name="AggOrangeLBorder 4 65" xfId="29367" xr:uid="{73063961-3CCE-43F2-A914-57D5A5430199}"/>
    <cellStyle name="AggOrangeLBorder 4 66" xfId="29247" xr:uid="{DC730849-F988-4FB9-A84B-A6DDBF32A521}"/>
    <cellStyle name="AggOrangeLBorder 4 67" xfId="28286" xr:uid="{C2CBBF6D-49A7-4E92-A169-00F9482D8FD4}"/>
    <cellStyle name="AggOrangeLBorder 4 68" xfId="29471" xr:uid="{A24E15DF-6D36-4DC2-9767-C9E04FE45F73}"/>
    <cellStyle name="AggOrangeLBorder 4 69" xfId="30825" xr:uid="{0B2285B8-781A-4167-B109-69A7EBFB18F5}"/>
    <cellStyle name="AggOrangeLBorder 4 7" xfId="1588" xr:uid="{A76513F8-D836-4C86-A999-151ABD4B3328}"/>
    <cellStyle name="AggOrangeLBorder 4 8" xfId="2092" xr:uid="{AFC97032-8B02-4844-B7CD-AE3C0E0BF12A}"/>
    <cellStyle name="AggOrangeLBorder 4 9" xfId="2881" xr:uid="{FBA92CD3-2E43-4797-8D2A-C59C438B6CB3}"/>
    <cellStyle name="AggOrangeLBorder 5" xfId="77" xr:uid="{EB5CA716-4A0A-45E1-84C2-443E6321562C}"/>
    <cellStyle name="AggOrangeLBorder 5 2" xfId="4741" xr:uid="{5988D7A4-4A8E-42D7-BD6E-D47DB7D349D5}"/>
    <cellStyle name="AggOrangeLBorder 5 3" xfId="18899" xr:uid="{2DB3F43D-D686-4A94-B293-DB44DEBB9BF8}"/>
    <cellStyle name="AggOrangeRBorder" xfId="19" xr:uid="{8D8A4B21-4DF8-4D08-903C-AFF08CBBF8E1}"/>
    <cellStyle name="AggOrangeRBorder 2" xfId="119" xr:uid="{50C1C0CA-B400-4C81-B242-3A06CD4B0166}"/>
    <cellStyle name="AggOrangeRBorder 2 2" xfId="413" xr:uid="{99F60842-29AF-440B-BA1A-5983B0EEDC1B}"/>
    <cellStyle name="AggOrangeRBorder 2 2 2" xfId="525" xr:uid="{6D924AED-6C10-4002-88B9-36ACBCEC2996}"/>
    <cellStyle name="AggOrangeRBorder 2 2 2 10" xfId="4792" xr:uid="{34CB8085-4A4C-4308-AE0B-BCCAECE818BC}"/>
    <cellStyle name="AggOrangeRBorder 2 2 2 11" xfId="5173" xr:uid="{9936F174-ADD2-4998-AC4B-F412276300A3}"/>
    <cellStyle name="AggOrangeRBorder 2 2 2 12" xfId="6006" xr:uid="{D1947205-BA87-4FFA-A013-DDD471FCF6B8}"/>
    <cellStyle name="AggOrangeRBorder 2 2 2 13" xfId="6368" xr:uid="{04E1BB57-BADD-4BAC-889C-E33ED49CB6DA}"/>
    <cellStyle name="AggOrangeRBorder 2 2 2 14" xfId="5542" xr:uid="{0972B6EB-2334-4763-AEA7-610F7B053A6A}"/>
    <cellStyle name="AggOrangeRBorder 2 2 2 15" xfId="7245" xr:uid="{53730A8C-FB57-4E27-A76A-65610F83970F}"/>
    <cellStyle name="AggOrangeRBorder 2 2 2 16" xfId="7019" xr:uid="{8B7AD777-CD3A-49F4-8172-5547B05DEA7D}"/>
    <cellStyle name="AggOrangeRBorder 2 2 2 17" xfId="7846" xr:uid="{DCA41EDF-C7D1-4DA6-8685-552FAF1C9BCB}"/>
    <cellStyle name="AggOrangeRBorder 2 2 2 18" xfId="6940" xr:uid="{53386537-AFFF-4D23-8C91-8FD57C3CE7C0}"/>
    <cellStyle name="AggOrangeRBorder 2 2 2 19" xfId="9459" xr:uid="{61372F7B-B3F1-4AD7-9678-8CFAE119024C}"/>
    <cellStyle name="AggOrangeRBorder 2 2 2 2" xfId="740" xr:uid="{099FF38E-B1AF-4DAE-AF4F-528DBB827FD4}"/>
    <cellStyle name="AggOrangeRBorder 2 2 2 2 10" xfId="5388" xr:uid="{9CAE0975-E97C-4221-8AB5-E3F3E2359CCC}"/>
    <cellStyle name="AggOrangeRBorder 2 2 2 2 11" xfId="5761" xr:uid="{11ADC646-D49B-48D5-9680-2533DA348A14}"/>
    <cellStyle name="AggOrangeRBorder 2 2 2 2 12" xfId="6160" xr:uid="{D969C80C-1FBE-4E8A-BA8C-61464CCC8B70}"/>
    <cellStyle name="AggOrangeRBorder 2 2 2 2 13" xfId="6426" xr:uid="{E5FA3FDB-B8E6-489F-A945-F642E587DFC4}"/>
    <cellStyle name="AggOrangeRBorder 2 2 2 2 14" xfId="7460" xr:uid="{9CF818AE-4BA1-437C-8EE6-DC285B0BE009}"/>
    <cellStyle name="AggOrangeRBorder 2 2 2 2 15" xfId="7151" xr:uid="{8A418F6B-5151-44D8-AEDD-8F904DEDB503}"/>
    <cellStyle name="AggOrangeRBorder 2 2 2 2 16" xfId="8201" xr:uid="{51BD79F1-E027-410D-8F09-5FE73A27C05D}"/>
    <cellStyle name="AggOrangeRBorder 2 2 2 2 17" xfId="8485" xr:uid="{902A6FEC-93B8-411D-A769-8CD0DE6776B0}"/>
    <cellStyle name="AggOrangeRBorder 2 2 2 2 18" xfId="9674" xr:uid="{AED3C53D-0994-44F7-A4FF-A0F3274BE53B}"/>
    <cellStyle name="AggOrangeRBorder 2 2 2 2 19" xfId="9366" xr:uid="{8B889B1F-3325-4E79-8DC7-0022FDBF5BB7}"/>
    <cellStyle name="AggOrangeRBorder 2 2 2 2 2" xfId="1214" xr:uid="{DC101EE4-0AE9-4B31-BF03-8E4845E5E50A}"/>
    <cellStyle name="AggOrangeRBorder 2 2 2 2 20" xfId="9364" xr:uid="{18976122-C10A-480F-8AE4-FA20A8D956BB}"/>
    <cellStyle name="AggOrangeRBorder 2 2 2 2 21" xfId="10961" xr:uid="{132675C9-88C9-4B0B-A1D4-5790BF3DC76D}"/>
    <cellStyle name="AggOrangeRBorder 2 2 2 2 22" xfId="11237" xr:uid="{3F0B92E8-7127-4786-9535-7513855EEB3D}"/>
    <cellStyle name="AggOrangeRBorder 2 2 2 2 23" xfId="12093" xr:uid="{CB37C2E9-1232-48A1-9659-2086BEBFD4DD}"/>
    <cellStyle name="AggOrangeRBorder 2 2 2 2 24" xfId="12566" xr:uid="{D95B60E1-04B2-48F8-AB63-39576633675B}"/>
    <cellStyle name="AggOrangeRBorder 2 2 2 2 25" xfId="13000" xr:uid="{F52BEDAC-BB51-47E1-898F-31DF192C664D}"/>
    <cellStyle name="AggOrangeRBorder 2 2 2 2 26" xfId="13437" xr:uid="{E791202C-4197-46CB-85CF-BE93407D6F06}"/>
    <cellStyle name="AggOrangeRBorder 2 2 2 2 27" xfId="12333" xr:uid="{2A6515F9-E642-4C2B-A363-030AD246FABB}"/>
    <cellStyle name="AggOrangeRBorder 2 2 2 2 28" xfId="13805" xr:uid="{CE1A33DE-592C-4A27-9AD2-6056DA0A7AC7}"/>
    <cellStyle name="AggOrangeRBorder 2 2 2 2 29" xfId="14112" xr:uid="{BE9EE390-21FF-442D-921B-795EA3847BEC}"/>
    <cellStyle name="AggOrangeRBorder 2 2 2 2 3" xfId="1487" xr:uid="{A5E9792F-3829-470E-934B-E8FC16F70F04}"/>
    <cellStyle name="AggOrangeRBorder 2 2 2 2 30" xfId="14264" xr:uid="{31DA4650-BE8A-471E-B971-F93D591825BF}"/>
    <cellStyle name="AggOrangeRBorder 2 2 2 2 31" xfId="15161" xr:uid="{52B01C74-76E3-4E48-9CEF-ED10F170A3D8}"/>
    <cellStyle name="AggOrangeRBorder 2 2 2 2 32" xfId="15518" xr:uid="{A1BBC39B-0782-4A7A-9608-D9CED7C39A9B}"/>
    <cellStyle name="AggOrangeRBorder 2 2 2 2 33" xfId="16785" xr:uid="{37A18F68-AA44-4E9D-9911-5782E5A7A235}"/>
    <cellStyle name="AggOrangeRBorder 2 2 2 2 34" xfId="16472" xr:uid="{91299E18-334E-4C21-9220-B6C9EE731478}"/>
    <cellStyle name="AggOrangeRBorder 2 2 2 2 35" xfId="16470" xr:uid="{D7087159-50C2-4F94-B2D5-25D4DF2B72D6}"/>
    <cellStyle name="AggOrangeRBorder 2 2 2 2 36" xfId="17999" xr:uid="{F218E2DE-807D-4952-8C7D-0F2159A01C00}"/>
    <cellStyle name="AggOrangeRBorder 2 2 2 2 37" xfId="18603" xr:uid="{4328C663-1791-4763-A78C-58FA1341AB1C}"/>
    <cellStyle name="AggOrangeRBorder 2 2 2 2 38" xfId="17882" xr:uid="{C92C36CC-8F7B-4C38-94E6-A51538D8218B}"/>
    <cellStyle name="AggOrangeRBorder 2 2 2 2 39" xfId="17100" xr:uid="{4F8CE0F6-803B-45FD-9355-24008A2D67CB}"/>
    <cellStyle name="AggOrangeRBorder 2 2 2 2 4" xfId="2562" xr:uid="{850D6A8E-7ACC-4349-9EFF-6D44AF9F5B2A}"/>
    <cellStyle name="AggOrangeRBorder 2 2 2 2 40" xfId="20122" xr:uid="{74A21CF0-6B5C-45E5-91D6-8D1D1298E478}"/>
    <cellStyle name="AggOrangeRBorder 2 2 2 2 41" xfId="19808" xr:uid="{E867353E-AE0D-4FBA-9458-113BF25286E3}"/>
    <cellStyle name="AggOrangeRBorder 2 2 2 2 42" xfId="20588" xr:uid="{24CC6BA2-0714-4709-A510-08DD80FDCB1F}"/>
    <cellStyle name="AggOrangeRBorder 2 2 2 2 43" xfId="21255" xr:uid="{A73B164A-FCB4-48F4-BEC0-7269A1595345}"/>
    <cellStyle name="AggOrangeRBorder 2 2 2 2 44" xfId="21248" xr:uid="{7B729BC2-310F-485F-9443-B5121754DCCF}"/>
    <cellStyle name="AggOrangeRBorder 2 2 2 2 45" xfId="20804" xr:uid="{EA7E5731-261C-45CE-94D6-EEC01C6BD9F5}"/>
    <cellStyle name="AggOrangeRBorder 2 2 2 2 46" xfId="21245" xr:uid="{588C207E-F032-4049-A141-9C53FEA0CD45}"/>
    <cellStyle name="AggOrangeRBorder 2 2 2 2 47" xfId="22973" xr:uid="{89EE4B46-863B-41F4-8681-C5CC12172F3A}"/>
    <cellStyle name="AggOrangeRBorder 2 2 2 2 48" xfId="23519" xr:uid="{1CD5761D-4918-455A-A9DD-84C8BCD4A2AC}"/>
    <cellStyle name="AggOrangeRBorder 2 2 2 2 49" xfId="23922" xr:uid="{C211B7AC-6CA8-41C7-AA97-66D8A3A87C92}"/>
    <cellStyle name="AggOrangeRBorder 2 2 2 2 5" xfId="2244" xr:uid="{9FA472B8-0AA5-4A8D-9E66-9130F48770AD}"/>
    <cellStyle name="AggOrangeRBorder 2 2 2 2 50" xfId="24830" xr:uid="{083465A5-9AF9-4EF0-BB91-C3B7D756C77D}"/>
    <cellStyle name="AggOrangeRBorder 2 2 2 2 51" xfId="24555" xr:uid="{F90E04DB-FB87-4C55-8F9B-D62D60824E69}"/>
    <cellStyle name="AggOrangeRBorder 2 2 2 2 52" xfId="25746" xr:uid="{639C4607-7D2F-48CD-A0B6-8E697EAA3969}"/>
    <cellStyle name="AggOrangeRBorder 2 2 2 2 53" xfId="24163" xr:uid="{4144B280-9FEC-4B68-835D-F4A4045BBDFF}"/>
    <cellStyle name="AggOrangeRBorder 2 2 2 2 54" xfId="26373" xr:uid="{02508653-29CA-436A-BE92-FA0CFC92CF80}"/>
    <cellStyle name="AggOrangeRBorder 2 2 2 2 55" xfId="27034" xr:uid="{05AB24B3-14A3-4481-8B5E-D8476DC414F6}"/>
    <cellStyle name="AggOrangeRBorder 2 2 2 2 56" xfId="27453" xr:uid="{9DABF0B2-E776-496E-9C4F-F1925344FCD9}"/>
    <cellStyle name="AggOrangeRBorder 2 2 2 2 57" xfId="26398" xr:uid="{08DA4307-F002-4B7F-AF4C-31DB448773A0}"/>
    <cellStyle name="AggOrangeRBorder 2 2 2 2 58" xfId="28580" xr:uid="{24FE4083-55A5-45A4-9720-25C700B163CE}"/>
    <cellStyle name="AggOrangeRBorder 2 2 2 2 59" xfId="29047" xr:uid="{8C341E22-6CED-4F01-9274-C04A2091EEAB}"/>
    <cellStyle name="AggOrangeRBorder 2 2 2 2 6" xfId="3349" xr:uid="{DE689FB4-1441-429F-BC92-F45AD70B8160}"/>
    <cellStyle name="AggOrangeRBorder 2 2 2 2 60" xfId="28785" xr:uid="{E8313339-CCAE-4E34-A07A-E031EE6CA123}"/>
    <cellStyle name="AggOrangeRBorder 2 2 2 2 61" xfId="29836" xr:uid="{4BF654BD-876A-4D69-8ED6-4FF9349F49E6}"/>
    <cellStyle name="AggOrangeRBorder 2 2 2 2 62" xfId="30242" xr:uid="{4A916859-3A8E-4010-8823-4D6E37FA65C7}"/>
    <cellStyle name="AggOrangeRBorder 2 2 2 2 63" xfId="30659" xr:uid="{884DC5E8-7863-4CE2-A2C1-B38A909612F4}"/>
    <cellStyle name="AggOrangeRBorder 2 2 2 2 64" xfId="30401" xr:uid="{81EA5947-A0CD-4EB6-B345-564FB9599152}"/>
    <cellStyle name="AggOrangeRBorder 2 2 2 2 65" xfId="31275" xr:uid="{DAD68417-8D90-40CB-8F9E-99E9DCCF17D6}"/>
    <cellStyle name="AggOrangeRBorder 2 2 2 2 7" xfId="4058" xr:uid="{243416B2-7BCE-43D8-93E3-71551F697795}"/>
    <cellStyle name="AggOrangeRBorder 2 2 2 2 8" xfId="4495" xr:uid="{089341EF-7A98-40A0-BDFB-47B9C3A6AE9B}"/>
    <cellStyle name="AggOrangeRBorder 2 2 2 2 9" xfId="4234" xr:uid="{CB081691-FEA0-4CE3-9207-C4016BE469E6}"/>
    <cellStyle name="AggOrangeRBorder 2 2 2 20" xfId="9233" xr:uid="{082B0340-A724-4422-90F8-139462A54494}"/>
    <cellStyle name="AggOrangeRBorder 2 2 2 21" xfId="10006" xr:uid="{FF753CD1-D1E5-424E-B01B-26B99A75F789}"/>
    <cellStyle name="AggOrangeRBorder 2 2 2 22" xfId="10776" xr:uid="{3DF21258-FDCF-4143-917D-79F10B4BC159}"/>
    <cellStyle name="AggOrangeRBorder 2 2 2 23" xfId="11048" xr:uid="{11EC055C-9B85-4A52-A85A-450E64923B85}"/>
    <cellStyle name="AggOrangeRBorder 2 2 2 24" xfId="11878" xr:uid="{C5CE8298-7097-4BEB-9A4F-40976213A089}"/>
    <cellStyle name="AggOrangeRBorder 2 2 2 25" xfId="12351" xr:uid="{D35B995E-4379-4F6C-93C0-6D76767C4A71}"/>
    <cellStyle name="AggOrangeRBorder 2 2 2 26" xfId="12785" xr:uid="{D170BF79-2B4E-4D23-A79F-72C6276DB23F}"/>
    <cellStyle name="AggOrangeRBorder 2 2 2 27" xfId="13222" xr:uid="{364C568C-8C0E-4A35-9064-EA5FDDB29DCB}"/>
    <cellStyle name="AggOrangeRBorder 2 2 2 28" xfId="12272" xr:uid="{7F8996DF-981D-4881-A143-4EE12ED359BD}"/>
    <cellStyle name="AggOrangeRBorder 2 2 2 29" xfId="13951" xr:uid="{9FB08706-2A75-475E-82D2-AFF8E82E5042}"/>
    <cellStyle name="AggOrangeRBorder 2 2 2 3" xfId="1008" xr:uid="{1CD14584-B6A1-4278-B8F3-EB88C7836D7B}"/>
    <cellStyle name="AggOrangeRBorder 2 2 2 30" xfId="14914" xr:uid="{A8CA6C10-B3BD-47A9-B6A0-DB6B13F0FE2D}"/>
    <cellStyle name="AggOrangeRBorder 2 2 2 31" xfId="15385" xr:uid="{AF91A7F5-9819-4218-8B44-5E3BB9602A50}"/>
    <cellStyle name="AggOrangeRBorder 2 2 2 32" xfId="15608" xr:uid="{354E2C51-89FE-4D76-A090-8E4AA85327EC}"/>
    <cellStyle name="AggOrangeRBorder 2 2 2 33" xfId="15705" xr:uid="{68B9FCBB-9A0B-4766-B589-E392160DDC66}"/>
    <cellStyle name="AggOrangeRBorder 2 2 2 34" xfId="16570" xr:uid="{6C759AFE-ACC3-42CF-8C6C-D213E615A4EB}"/>
    <cellStyle name="AggOrangeRBorder 2 2 2 35" xfId="16341" xr:uid="{98F033C5-23AD-4FAC-A320-4EEB01A2AA2C}"/>
    <cellStyle name="AggOrangeRBorder 2 2 2 36" xfId="17122" xr:uid="{AA7C761F-EEFB-4082-A243-35B25640AA37}"/>
    <cellStyle name="AggOrangeRBorder 2 2 2 37" xfId="17206" xr:uid="{0EABC8DD-AE1F-4BD6-81FC-E5872EECAB19}"/>
    <cellStyle name="AggOrangeRBorder 2 2 2 38" xfId="18388" xr:uid="{B6F8B227-01C2-478A-AFC9-92B655E5D687}"/>
    <cellStyle name="AggOrangeRBorder 2 2 2 39" xfId="16407" xr:uid="{937FE871-25E1-4A4E-AF78-334DFEB8F97C}"/>
    <cellStyle name="AggOrangeRBorder 2 2 2 4" xfId="1549" xr:uid="{5EA7724D-4417-4A6E-BD53-676DFBF90C5A}"/>
    <cellStyle name="AggOrangeRBorder 2 2 2 40" xfId="16980" xr:uid="{93619DE6-86CA-424C-ABC6-465EAA5E5794}"/>
    <cellStyle name="AggOrangeRBorder 2 2 2 41" xfId="19907" xr:uid="{AA25EF3C-D90E-4A76-8DA2-E4BD166F353B}"/>
    <cellStyle name="AggOrangeRBorder 2 2 2 42" xfId="19674" xr:uid="{D2DEEEF0-6094-4981-89C6-4EBA519E4082}"/>
    <cellStyle name="AggOrangeRBorder 2 2 2 43" xfId="19581" xr:uid="{55961637-5C9A-4D2D-8942-BC1B1F89C89F}"/>
    <cellStyle name="AggOrangeRBorder 2 2 2 44" xfId="20427" xr:uid="{A47F32F8-83D0-4A21-B880-CEBDD86BF7DC}"/>
    <cellStyle name="AggOrangeRBorder 2 2 2 45" xfId="21301" xr:uid="{D3A2A580-C62B-4240-886F-627E8EE04DA4}"/>
    <cellStyle name="AggOrangeRBorder 2 2 2 46" xfId="21921" xr:uid="{09CC3255-24B2-4084-B474-A545A4541BA1}"/>
    <cellStyle name="AggOrangeRBorder 2 2 2 47" xfId="21225" xr:uid="{D1C502F2-CDF9-4FA4-BD42-D20C8D21400C}"/>
    <cellStyle name="AggOrangeRBorder 2 2 2 48" xfId="20430" xr:uid="{4A974242-6917-4D67-BADE-5A696FD97885}"/>
    <cellStyle name="AggOrangeRBorder 2 2 2 49" xfId="23642" xr:uid="{2B86DAD4-D0C7-4E05-98D9-D71FC92B81B1}"/>
    <cellStyle name="AggOrangeRBorder 2 2 2 5" xfId="2347" xr:uid="{F4180944-15E1-4ACB-ACB8-53A992BDAD7E}"/>
    <cellStyle name="AggOrangeRBorder 2 2 2 50" xfId="23716" xr:uid="{09669F00-8CAB-4ACD-997D-B6157DFB9633}"/>
    <cellStyle name="AggOrangeRBorder 2 2 2 51" xfId="24615" xr:uid="{AA57AA58-A818-481D-A085-26FD62269C73}"/>
    <cellStyle name="AggOrangeRBorder 2 2 2 52" xfId="24548" xr:uid="{1132563A-AF5E-4314-ADA0-CFA2D78D4A41}"/>
    <cellStyle name="AggOrangeRBorder 2 2 2 53" xfId="25533" xr:uid="{E6C8EDE4-876A-409C-B072-0426AA754CA2}"/>
    <cellStyle name="AggOrangeRBorder 2 2 2 54" xfId="26186" xr:uid="{3480265F-9159-4506-B935-32737FC72D38}"/>
    <cellStyle name="AggOrangeRBorder 2 2 2 55" xfId="26431" xr:uid="{41648752-4989-4ABB-A4AA-7940F377984F}"/>
    <cellStyle name="AggOrangeRBorder 2 2 2 56" xfId="26823" xr:uid="{F727CFB9-542D-4641-82BB-30C3226A8A21}"/>
    <cellStyle name="AggOrangeRBorder 2 2 2 57" xfId="27242" xr:uid="{72B172C4-B076-46C9-9B95-D7AEDF2866D4}"/>
    <cellStyle name="AggOrangeRBorder 2 2 2 58" xfId="27706" xr:uid="{0FCDD58D-0912-479B-9D13-D4F7055DD331}"/>
    <cellStyle name="AggOrangeRBorder 2 2 2 59" xfId="28365" xr:uid="{A0DB5A44-4AD6-4861-A131-3C2B704DBCBD}"/>
    <cellStyle name="AggOrangeRBorder 2 2 2 6" xfId="1857" xr:uid="{EC545A1F-0063-4ECA-B42D-BE2ED750F689}"/>
    <cellStyle name="AggOrangeRBorder 2 2 2 60" xfId="28833" xr:uid="{5536BBF4-5CB1-4016-A2AC-AADC53962559}"/>
    <cellStyle name="AggOrangeRBorder 2 2 2 61" xfId="28777" xr:uid="{31D51970-4D5B-47F8-A03D-F83DBB8C9C22}"/>
    <cellStyle name="AggOrangeRBorder 2 2 2 62" xfId="29623" xr:uid="{9569E680-445F-4FE3-8182-64125F234916}"/>
    <cellStyle name="AggOrangeRBorder 2 2 2 63" xfId="30031" xr:uid="{E0AA2903-401B-494E-8C75-3E1715DC28AC}"/>
    <cellStyle name="AggOrangeRBorder 2 2 2 64" xfId="30445" xr:uid="{5DBEAF58-B949-4C50-B079-5B8628E19159}"/>
    <cellStyle name="AggOrangeRBorder 2 2 2 65" xfId="30919" xr:uid="{0C78BF59-07CF-41EF-9B86-8F88E25D0020}"/>
    <cellStyle name="AggOrangeRBorder 2 2 2 66" xfId="31069" xr:uid="{245EFD9F-E017-4357-860E-DF9B18D4AB3D}"/>
    <cellStyle name="AggOrangeRBorder 2 2 2 7" xfId="3403" xr:uid="{F795790D-1F81-4452-9535-7CCE13C41ECA}"/>
    <cellStyle name="AggOrangeRBorder 2 2 2 8" xfId="3843" xr:uid="{1E1E1292-4E18-4564-BF9A-B01EFDBD6916}"/>
    <cellStyle name="AggOrangeRBorder 2 2 2 9" xfId="4281" xr:uid="{BC43FE3B-662E-48DD-A1E1-C8F0FE6643B5}"/>
    <cellStyle name="AggOrangeRBorder 2 3" xfId="271" xr:uid="{2DC8BC9D-87DC-43C9-96DB-603A54B33BE1}"/>
    <cellStyle name="AggOrangeRBorder 2 3 10" xfId="3286" xr:uid="{3055E48C-0AB1-4E06-8910-AA8965E67855}"/>
    <cellStyle name="AggOrangeRBorder 2 3 11" xfId="3743" xr:uid="{FC6373DF-0B43-4E4E-8277-C1E2485A344A}"/>
    <cellStyle name="AggOrangeRBorder 2 3 12" xfId="2301" xr:uid="{4B46A2F3-0035-4F6C-BE0C-98A036093E7D}"/>
    <cellStyle name="AggOrangeRBorder 2 3 13" xfId="2789" xr:uid="{F9665A73-19B1-496E-8327-FBBD0C1413F3}"/>
    <cellStyle name="AggOrangeRBorder 2 3 14" xfId="4898" xr:uid="{73B2D109-9012-40EB-A37B-290F06D00945}"/>
    <cellStyle name="AggOrangeRBorder 2 3 15" xfId="1867" xr:uid="{F890CFFC-0C68-40A2-A8AD-EE0AB54CE566}"/>
    <cellStyle name="AggOrangeRBorder 2 3 16" xfId="6282" xr:uid="{93D533F7-CE7F-46D6-AD53-78E775CF81C4}"/>
    <cellStyle name="AggOrangeRBorder 2 3 17" xfId="6623" xr:uid="{3558B028-DEF6-4C36-9F99-1E7EFD320DF6}"/>
    <cellStyle name="AggOrangeRBorder 2 3 18" xfId="7001" xr:uid="{C03ABE97-7A9F-454F-B0B1-DD2ADF522C74}"/>
    <cellStyle name="AggOrangeRBorder 2 3 19" xfId="6927" xr:uid="{6EB1565E-8D5E-4105-A769-672974D1F90E}"/>
    <cellStyle name="AggOrangeRBorder 2 3 2" xfId="610" xr:uid="{B89BEFDA-FF0B-4D37-BE82-29C2FF3F2991}"/>
    <cellStyle name="AggOrangeRBorder 2 3 2 10" xfId="2916" xr:uid="{87B56B11-FFBD-4205-BDF4-37035C97B79D}"/>
    <cellStyle name="AggOrangeRBorder 2 3 2 11" xfId="5258" xr:uid="{898A8FB1-DA16-4C98-8E4A-4986B4D4A2D9}"/>
    <cellStyle name="AggOrangeRBorder 2 3 2 12" xfId="4760" xr:uid="{E784AEA8-8CAD-4A09-8213-9024DD23D98C}"/>
    <cellStyle name="AggOrangeRBorder 2 3 2 13" xfId="6164" xr:uid="{B69291CF-C57D-40C1-9A26-ACE6E3FFC22A}"/>
    <cellStyle name="AggOrangeRBorder 2 3 2 14" xfId="6266" xr:uid="{2B59037A-2FC1-4AC7-BACD-A8FE479FA87B}"/>
    <cellStyle name="AggOrangeRBorder 2 3 2 15" xfId="7330" xr:uid="{2347131D-26D4-4BC9-BEF0-6582D2294CD9}"/>
    <cellStyle name="AggOrangeRBorder 2 3 2 16" xfId="7415" xr:uid="{1BB704D1-E576-4473-81B5-9D37721E7B77}"/>
    <cellStyle name="AggOrangeRBorder 2 3 2 17" xfId="8451" xr:uid="{B94C29C1-1942-4309-90B8-02F3D96EEA0F}"/>
    <cellStyle name="AggOrangeRBorder 2 3 2 18" xfId="8765" xr:uid="{60B7288D-A7C7-4C3D-B1E6-054A8D366E29}"/>
    <cellStyle name="AggOrangeRBorder 2 3 2 19" xfId="9544" xr:uid="{C05D5672-96BB-43CD-8E52-9F0C04CB064F}"/>
    <cellStyle name="AggOrangeRBorder 2 3 2 2" xfId="825" xr:uid="{40AF0C93-35EA-4CBC-895F-C94165B4FC4D}"/>
    <cellStyle name="AggOrangeRBorder 2 3 2 2 10" xfId="5473" xr:uid="{054473AE-6786-4A9A-B963-70CDADF0F664}"/>
    <cellStyle name="AggOrangeRBorder 2 3 2 2 11" xfId="3179" xr:uid="{18C93898-26AA-461C-B4FB-D70B14F87859}"/>
    <cellStyle name="AggOrangeRBorder 2 3 2 2 12" xfId="5136" xr:uid="{10B0BA94-9C7B-4F2E-BA62-7C4FE5A76F46}"/>
    <cellStyle name="AggOrangeRBorder 2 3 2 2 13" xfId="6112" xr:uid="{4F9AA7DB-1B72-4B67-BD68-5CD0B68DE24D}"/>
    <cellStyle name="AggOrangeRBorder 2 3 2 2 14" xfId="7545" xr:uid="{FCD9C98F-67BA-4674-B867-9AF3C30943B4}"/>
    <cellStyle name="AggOrangeRBorder 2 3 2 2 15" xfId="6972" xr:uid="{6538C654-53E9-49D8-A35A-42863C9DC1CE}"/>
    <cellStyle name="AggOrangeRBorder 2 3 2 2 16" xfId="7424" xr:uid="{014B837E-3CE1-4A0C-A546-932E83848337}"/>
    <cellStyle name="AggOrangeRBorder 2 3 2 2 17" xfId="8634" xr:uid="{E345B16B-CE09-48E1-B079-B47FBA61FFFB}"/>
    <cellStyle name="AggOrangeRBorder 2 3 2 2 18" xfId="9759" xr:uid="{FF47BAD8-3C08-453D-A731-33AEF6899EBF}"/>
    <cellStyle name="AggOrangeRBorder 2 3 2 2 19" xfId="9083" xr:uid="{C2F12ADA-FBE3-4028-88E2-C420B677AAE2}"/>
    <cellStyle name="AggOrangeRBorder 2 3 2 2 2" xfId="1299" xr:uid="{77FCEBBC-1CEA-49E9-B9D4-F294FE526E33}"/>
    <cellStyle name="AggOrangeRBorder 2 3 2 2 20" xfId="9109" xr:uid="{A226C13B-2DA2-4DF6-9024-535698C8566B}"/>
    <cellStyle name="AggOrangeRBorder 2 3 2 2 21" xfId="10176" xr:uid="{7528D1BC-0A44-45AE-9F34-94BF8DAD9475}"/>
    <cellStyle name="AggOrangeRBorder 2 3 2 2 22" xfId="10842" xr:uid="{EAC2994D-C2BA-4CAB-90DB-C88F0C7257F2}"/>
    <cellStyle name="AggOrangeRBorder 2 3 2 2 23" xfId="12178" xr:uid="{48612821-A0F9-4A7C-B590-2D4D8C2EBEF2}"/>
    <cellStyle name="AggOrangeRBorder 2 3 2 2 24" xfId="12651" xr:uid="{FDA57294-831E-41BD-BF05-3C47498905D2}"/>
    <cellStyle name="AggOrangeRBorder 2 3 2 2 25" xfId="13085" xr:uid="{16863C44-C406-4A71-BEEE-4CCAE29D67AA}"/>
    <cellStyle name="AggOrangeRBorder 2 3 2 2 26" xfId="13522" xr:uid="{0CC63C19-5067-4580-BAD4-33B4041B8AD2}"/>
    <cellStyle name="AggOrangeRBorder 2 3 2 2 27" xfId="12766" xr:uid="{03D3F32B-7A0D-41BD-95AF-2BA618A8BD4F}"/>
    <cellStyle name="AggOrangeRBorder 2 3 2 2 28" xfId="11697" xr:uid="{7786F3C8-106F-4C40-9ADA-7E1BAE87AC9C}"/>
    <cellStyle name="AggOrangeRBorder 2 3 2 2 29" xfId="13941" xr:uid="{01969CFD-A1B8-49D6-BB3E-384C2B2F6D6C}"/>
    <cellStyle name="AggOrangeRBorder 2 3 2 2 3" xfId="1503" xr:uid="{ADB56C23-A26D-4328-B344-E1FBCF53E2A4}"/>
    <cellStyle name="AggOrangeRBorder 2 3 2 2 30" xfId="12753" xr:uid="{25D5DE90-4C63-40DF-8532-87FF43B1A71D}"/>
    <cellStyle name="AggOrangeRBorder 2 3 2 2 31" xfId="15185" xr:uid="{D172C059-D112-42C3-A0F1-3A9537B97D87}"/>
    <cellStyle name="AggOrangeRBorder 2 3 2 2 32" xfId="15764" xr:uid="{6BB4D89B-6F66-4DCF-B223-E6BEACDD6393}"/>
    <cellStyle name="AggOrangeRBorder 2 3 2 2 33" xfId="16870" xr:uid="{0C89B696-5F66-4710-B45F-54BB630A49A2}"/>
    <cellStyle name="AggOrangeRBorder 2 3 2 2 34" xfId="16292" xr:uid="{9A0CCBD7-09FD-432C-9B2E-CAB2ABD5F962}"/>
    <cellStyle name="AggOrangeRBorder 2 3 2 2 35" xfId="16212" xr:uid="{AD6F88C6-1AF7-4C11-B650-8254E590F63E}"/>
    <cellStyle name="AggOrangeRBorder 2 3 2 2 36" xfId="17964" xr:uid="{427388A7-6204-4591-BCA6-26560B75B667}"/>
    <cellStyle name="AggOrangeRBorder 2 3 2 2 37" xfId="18688" xr:uid="{17C3D19E-7323-497C-9D70-FAF2094E3A7E}"/>
    <cellStyle name="AggOrangeRBorder 2 3 2 2 38" xfId="18223" xr:uid="{3CE0020D-ECAC-4407-881A-517EA0D01E75}"/>
    <cellStyle name="AggOrangeRBorder 2 3 2 2 39" xfId="18809" xr:uid="{E9D04763-6366-4223-8FF3-E7E08682A9AB}"/>
    <cellStyle name="AggOrangeRBorder 2 3 2 2 4" xfId="2647" xr:uid="{FDF60FA1-B622-428A-895B-FA6CC7B851F8}"/>
    <cellStyle name="AggOrangeRBorder 2 3 2 2 40" xfId="20207" xr:uid="{C6C7A284-7E29-4BF4-9FE9-705D040080DB}"/>
    <cellStyle name="AggOrangeRBorder 2 3 2 2 41" xfId="19797" xr:uid="{ACD38B35-7120-4B21-B94B-5245E6F05C44}"/>
    <cellStyle name="AggOrangeRBorder 2 3 2 2 42" xfId="20572" xr:uid="{75BEE360-27CB-4C55-B128-80FC28804DBE}"/>
    <cellStyle name="AggOrangeRBorder 2 3 2 2 43" xfId="20888" xr:uid="{F0FB6FF7-180D-4170-BB9F-915F6E082E7C}"/>
    <cellStyle name="AggOrangeRBorder 2 3 2 2 44" xfId="21594" xr:uid="{40D4E71C-7D5B-4D00-AB92-91CEC59CF178}"/>
    <cellStyle name="AggOrangeRBorder 2 3 2 2 45" xfId="21389" xr:uid="{C96970A1-719A-40EB-9D8F-5FB02D633B00}"/>
    <cellStyle name="AggOrangeRBorder 2 3 2 2 46" xfId="22406" xr:uid="{3FC51933-88AC-4503-9AEC-2EABF60D01C4}"/>
    <cellStyle name="AggOrangeRBorder 2 3 2 2 47" xfId="22961" xr:uid="{655EAEEA-B336-490F-87F6-89D775E193C7}"/>
    <cellStyle name="AggOrangeRBorder 2 3 2 2 48" xfId="20930" xr:uid="{99935BDA-9F42-42E7-9FB9-89E61CFFFD17}"/>
    <cellStyle name="AggOrangeRBorder 2 3 2 2 49" xfId="24007" xr:uid="{56C4CCBC-2DC6-480A-8BA7-810CF38FB6EA}"/>
    <cellStyle name="AggOrangeRBorder 2 3 2 2 5" xfId="1936" xr:uid="{C30FEB13-084B-4B2C-AE9A-4ADA4E4B3B96}"/>
    <cellStyle name="AggOrangeRBorder 2 3 2 2 50" xfId="24915" xr:uid="{74A2F778-700F-41EB-9D67-C7D4FC764E9C}"/>
    <cellStyle name="AggOrangeRBorder 2 3 2 2 51" xfId="24231" xr:uid="{B59CFCC0-B542-44E4-B71E-1272B29A821D}"/>
    <cellStyle name="AggOrangeRBorder 2 3 2 2 52" xfId="25831" xr:uid="{A63F0883-2B9A-41ED-B8EB-B48616CAB13C}"/>
    <cellStyle name="AggOrangeRBorder 2 3 2 2 53" xfId="25701" xr:uid="{58C9DD8A-A30E-443B-A2CE-85C6BE0F1E87}"/>
    <cellStyle name="AggOrangeRBorder 2 3 2 2 54" xfId="26024" xr:uid="{637ECB78-1B7F-422A-9C4A-14B142FAA6A4}"/>
    <cellStyle name="AggOrangeRBorder 2 3 2 2 55" xfId="27119" xr:uid="{CB222544-4191-45CD-99F4-A0779C386F05}"/>
    <cellStyle name="AggOrangeRBorder 2 3 2 2 56" xfId="27538" xr:uid="{3E161CD7-5A94-41F7-919B-97991B0E7463}"/>
    <cellStyle name="AggOrangeRBorder 2 3 2 2 57" xfId="26727" xr:uid="{F1148BDD-175B-4E4E-B501-79E120341285}"/>
    <cellStyle name="AggOrangeRBorder 2 3 2 2 58" xfId="28665" xr:uid="{986F28E0-28BF-44E5-AA32-1223C9FD0F10}"/>
    <cellStyle name="AggOrangeRBorder 2 3 2 2 59" xfId="29132" xr:uid="{DBCD40CC-CC25-40CF-820C-8F49B18E917E}"/>
    <cellStyle name="AggOrangeRBorder 2 3 2 2 6" xfId="3618" xr:uid="{1E95B92B-F79D-42C2-8E22-FD428E02EB98}"/>
    <cellStyle name="AggOrangeRBorder 2 3 2 2 60" xfId="28266" xr:uid="{A16F69B3-64A0-43F8-AEF8-98249E11C00C}"/>
    <cellStyle name="AggOrangeRBorder 2 3 2 2 61" xfId="29921" xr:uid="{9619D38F-451A-4D6A-AA96-D23669291B76}"/>
    <cellStyle name="AggOrangeRBorder 2 3 2 2 62" xfId="30327" xr:uid="{BFEB20DB-02A0-4C45-8C3C-19A37DFACC31}"/>
    <cellStyle name="AggOrangeRBorder 2 3 2 2 63" xfId="30744" xr:uid="{ACFA4CA1-CBF4-411F-B3A8-842A327B635C}"/>
    <cellStyle name="AggOrangeRBorder 2 3 2 2 64" xfId="31001" xr:uid="{14D8EB9A-682A-4DF1-BDB3-23D9CC466731}"/>
    <cellStyle name="AggOrangeRBorder 2 3 2 2 65" xfId="31360" xr:uid="{BDD3F053-6C33-47F2-9E30-86BE5508D7B1}"/>
    <cellStyle name="AggOrangeRBorder 2 3 2 2 7" xfId="4143" xr:uid="{02844CBF-4C34-4BC0-9CFA-F5B2311B92A5}"/>
    <cellStyle name="AggOrangeRBorder 2 3 2 2 8" xfId="4580" xr:uid="{CAF581EF-DD64-4BD7-A5BE-7C7E91A7ED02}"/>
    <cellStyle name="AggOrangeRBorder 2 3 2 2 9" xfId="2723" xr:uid="{8AC18927-44A6-449B-B4C1-C565B3ABBD30}"/>
    <cellStyle name="AggOrangeRBorder 2 3 2 20" xfId="9027" xr:uid="{5C887621-AAAE-4ADF-A16B-02FF6862A3BA}"/>
    <cellStyle name="AggOrangeRBorder 2 3 2 21" xfId="9056" xr:uid="{AAE42352-BC32-4B9D-A797-B7B3FB4E5D75}"/>
    <cellStyle name="AggOrangeRBorder 2 3 2 22" xfId="9950" xr:uid="{67A9E0C3-D33A-4B4B-9EBB-FF6B8C5D045C}"/>
    <cellStyle name="AggOrangeRBorder 2 3 2 23" xfId="11040" xr:uid="{5FC13ADF-C396-4FBA-99E2-9460C7E94CE2}"/>
    <cellStyle name="AggOrangeRBorder 2 3 2 24" xfId="11963" xr:uid="{F519BE7F-ECD8-4D5F-93C0-AE97FDB81D49}"/>
    <cellStyle name="AggOrangeRBorder 2 3 2 25" xfId="12436" xr:uid="{84C40EC5-B067-4C33-B356-77B646341134}"/>
    <cellStyle name="AggOrangeRBorder 2 3 2 26" xfId="12870" xr:uid="{63D0078E-C8A1-4FFC-B49B-5EB61D09F765}"/>
    <cellStyle name="AggOrangeRBorder 2 3 2 27" xfId="13307" xr:uid="{CAB1A8E1-DA1F-4C66-A1C8-486C8E6101CA}"/>
    <cellStyle name="AggOrangeRBorder 2 3 2 28" xfId="11751" xr:uid="{70B2651A-A6BA-4816-BF30-09B0205E4342}"/>
    <cellStyle name="AggOrangeRBorder 2 3 2 29" xfId="14392" xr:uid="{E69BA2FA-C6AD-4995-B4BC-C4A0D2C4EE79}"/>
    <cellStyle name="AggOrangeRBorder 2 3 2 3" xfId="1093" xr:uid="{E90E1843-5E83-4B25-AA2D-6E365AE1B8F0}"/>
    <cellStyle name="AggOrangeRBorder 2 3 2 30" xfId="14736" xr:uid="{76F1626B-8DBC-48F7-8029-005694D21B24}"/>
    <cellStyle name="AggOrangeRBorder 2 3 2 31" xfId="14101" xr:uid="{1DC094F8-CEF6-43ED-B1E2-54F8D7DF0F0C}"/>
    <cellStyle name="AggOrangeRBorder 2 3 2 32" xfId="15667" xr:uid="{9D525AD8-1369-4251-AFFA-26CF0D8CB509}"/>
    <cellStyle name="AggOrangeRBorder 2 3 2 33" xfId="14273" xr:uid="{35D275F0-A7DD-4DC1-A6C9-A34C6FB074E4}"/>
    <cellStyle name="AggOrangeRBorder 2 3 2 34" xfId="16655" xr:uid="{0149C2B8-93AA-4876-B1CE-E7E270086045}"/>
    <cellStyle name="AggOrangeRBorder 2 3 2 35" xfId="16740" xr:uid="{40C9C187-3BC1-4944-8793-926D85917BC0}"/>
    <cellStyle name="AggOrangeRBorder 2 3 2 36" xfId="16546" xr:uid="{5A76ADF0-A040-438D-9790-34F7AEBE109D}"/>
    <cellStyle name="AggOrangeRBorder 2 3 2 37" xfId="17641" xr:uid="{DAA24BD5-9EF9-4332-B851-66B3F62E5526}"/>
    <cellStyle name="AggOrangeRBorder 2 3 2 38" xfId="18473" xr:uid="{C6988DFA-1686-426F-AD6F-3C16D5FE2985}"/>
    <cellStyle name="AggOrangeRBorder 2 3 2 39" xfId="18852" xr:uid="{28D1F224-0E01-45FD-81CC-C7595CB7F7DC}"/>
    <cellStyle name="AggOrangeRBorder 2 3 2 4" xfId="1628" xr:uid="{3B81A163-CDFD-49E5-8CE1-6B207C5D60DF}"/>
    <cellStyle name="AggOrangeRBorder 2 3 2 40" xfId="19151" xr:uid="{D9FE5E88-6B2F-4124-AF81-E815E60E725C}"/>
    <cellStyle name="AggOrangeRBorder 2 3 2 41" xfId="19992" xr:uid="{386E9D63-EFE3-4DC6-A875-551C78B11AFA}"/>
    <cellStyle name="AggOrangeRBorder 2 3 2 42" xfId="19389" xr:uid="{2D18BCC8-623E-4F80-9E81-F35DFA9FC3D5}"/>
    <cellStyle name="AggOrangeRBorder 2 3 2 43" xfId="20531" xr:uid="{7ECDAFB4-CC13-4DF3-A9B4-E50B2DF0F3E1}"/>
    <cellStyle name="AggOrangeRBorder 2 3 2 44" xfId="19382" xr:uid="{1A46F13A-0153-466C-B15D-869190498BD9}"/>
    <cellStyle name="AggOrangeRBorder 2 3 2 45" xfId="19598" xr:uid="{798CD209-183E-4C14-84A4-50BEB577F4E8}"/>
    <cellStyle name="AggOrangeRBorder 2 3 2 46" xfId="21903" xr:uid="{FF3DE358-8FBC-4B51-941D-F3F507846E63}"/>
    <cellStyle name="AggOrangeRBorder 2 3 2 47" xfId="22596" xr:uid="{2584CEA5-2625-44F5-A4AA-435C26D1D554}"/>
    <cellStyle name="AggOrangeRBorder 2 3 2 48" xfId="23129" xr:uid="{9C4D8400-5CD6-47BC-9FD2-FD1A77FB8611}"/>
    <cellStyle name="AggOrangeRBorder 2 3 2 49" xfId="23075" xr:uid="{A881D18C-097F-488D-A86C-25E5195EAE14}"/>
    <cellStyle name="AggOrangeRBorder 2 3 2 5" xfId="2432" xr:uid="{7AD301C6-8237-4EB8-BED7-B8B22BA7BB9A}"/>
    <cellStyle name="AggOrangeRBorder 2 3 2 50" xfId="23801" xr:uid="{92E2EEC7-2155-4320-86A4-3B6FB52FC958}"/>
    <cellStyle name="AggOrangeRBorder 2 3 2 51" xfId="24700" xr:uid="{30C66DDE-479B-4EE0-87D5-321CF3CE0970}"/>
    <cellStyle name="AggOrangeRBorder 2 3 2 52" xfId="24123" xr:uid="{BA80C9A7-4EA8-4678-9749-BF5E11CB4146}"/>
    <cellStyle name="AggOrangeRBorder 2 3 2 53" xfId="25618" xr:uid="{D80AB61F-5CAA-46F8-8A65-0A44527B8713}"/>
    <cellStyle name="AggOrangeRBorder 2 3 2 54" xfId="25900" xr:uid="{6FFC25EC-0847-412F-A697-F3C6C1935A96}"/>
    <cellStyle name="AggOrangeRBorder 2 3 2 55" xfId="26570" xr:uid="{D3B1BDFE-4EC6-49E8-839A-311C7604803C}"/>
    <cellStyle name="AggOrangeRBorder 2 3 2 56" xfId="26908" xr:uid="{02545DC4-1FBC-45EE-971C-A8C56C4BDA01}"/>
    <cellStyle name="AggOrangeRBorder 2 3 2 57" xfId="27327" xr:uid="{CBC31624-895E-4763-B38E-C985D275937D}"/>
    <cellStyle name="AggOrangeRBorder 2 3 2 58" xfId="25426" xr:uid="{2533853B-EF07-40E3-B2D9-C7DAECAA48D4}"/>
    <cellStyle name="AggOrangeRBorder 2 3 2 59" xfId="28450" xr:uid="{112D8BC2-866F-4CCF-97E8-E48B272364BC}"/>
    <cellStyle name="AggOrangeRBorder 2 3 2 6" xfId="2753" xr:uid="{66404DD5-19F8-4BB5-8773-242B324B98C9}"/>
    <cellStyle name="AggOrangeRBorder 2 3 2 60" xfId="28918" xr:uid="{0B8CF59E-576C-491F-85A1-438CF35094B4}"/>
    <cellStyle name="AggOrangeRBorder 2 3 2 61" xfId="28733" xr:uid="{E4A179B7-95B4-4D5E-8D46-7CFCD379D52C}"/>
    <cellStyle name="AggOrangeRBorder 2 3 2 62" xfId="29708" xr:uid="{B36A3FD7-3E6E-4851-9BA0-0B6C2421F254}"/>
    <cellStyle name="AggOrangeRBorder 2 3 2 63" xfId="30116" xr:uid="{EC5FD7D8-7125-4F27-96E3-68E29535C106}"/>
    <cellStyle name="AggOrangeRBorder 2 3 2 64" xfId="30530" xr:uid="{ED07286B-8A17-48A0-B4AB-22F1730F2EB2}"/>
    <cellStyle name="AggOrangeRBorder 2 3 2 65" xfId="30873" xr:uid="{97670F82-F44D-43E9-9423-C66CBFD5BEDE}"/>
    <cellStyle name="AggOrangeRBorder 2 3 2 66" xfId="31154" xr:uid="{381A0B1B-08BF-41DE-9FD2-48AAD7509D99}"/>
    <cellStyle name="AggOrangeRBorder 2 3 2 7" xfId="2037" xr:uid="{E8851CF2-C588-44E4-BC03-9E12A720BA92}"/>
    <cellStyle name="AggOrangeRBorder 2 3 2 8" xfId="3928" xr:uid="{5C8A1EC1-AA53-4E49-A63F-E410C40F76CE}"/>
    <cellStyle name="AggOrangeRBorder 2 3 2 9" xfId="4366" xr:uid="{DA3BF0B6-4CB5-42A8-AACF-405D1B641156}"/>
    <cellStyle name="AggOrangeRBorder 2 3 20" xfId="8049" xr:uid="{79152F64-EA88-40B8-B638-F0A37BE88A67}"/>
    <cellStyle name="AggOrangeRBorder 2 3 21" xfId="8817" xr:uid="{E7EA5D4D-AC5B-4BAC-BE6A-1E3E84968DCE}"/>
    <cellStyle name="AggOrangeRBorder 2 3 22" xfId="9215" xr:uid="{4D37BE3A-B8F4-48A1-A325-0630E7569311}"/>
    <cellStyle name="AggOrangeRBorder 2 3 23" xfId="9286" xr:uid="{BD1B4A5C-7424-4C42-A04D-833C45C03CD5}"/>
    <cellStyle name="AggOrangeRBorder 2 3 24" xfId="9988" xr:uid="{0DB50E8A-A823-42B8-BA5A-4F7C28D132FD}"/>
    <cellStyle name="AggOrangeRBorder 2 3 25" xfId="10237" xr:uid="{405DC40A-E6AE-4342-9CAE-8816CD46FFB0}"/>
    <cellStyle name="AggOrangeRBorder 2 3 26" xfId="10934" xr:uid="{8CB3102E-786B-4B57-BE8B-C4F265C798BC}"/>
    <cellStyle name="AggOrangeRBorder 2 3 27" xfId="11627" xr:uid="{503516DA-E128-4827-A84C-6BA1C0A7ECAD}"/>
    <cellStyle name="AggOrangeRBorder 2 3 28" xfId="11765" xr:uid="{D4E856FE-01DC-4930-B67A-E515290C5371}"/>
    <cellStyle name="AggOrangeRBorder 2 3 29" xfId="11413" xr:uid="{1F9DA13B-BE44-4324-B882-39DE7D1DD403}"/>
    <cellStyle name="AggOrangeRBorder 2 3 3" xfId="586" xr:uid="{AA7D6A97-4B7B-43E4-97B3-470A0E1808FB}"/>
    <cellStyle name="AggOrangeRBorder 2 3 3 10" xfId="3509" xr:uid="{42B04F0C-8DE2-427C-97B2-CC14C153919B}"/>
    <cellStyle name="AggOrangeRBorder 2 3 3 11" xfId="5234" xr:uid="{F905E973-BFE8-4FBB-871E-1D06A4A69409}"/>
    <cellStyle name="AggOrangeRBorder 2 3 3 12" xfId="5676" xr:uid="{E00FFE55-BBBD-4AFC-8E73-D673BA69BB54}"/>
    <cellStyle name="AggOrangeRBorder 2 3 3 13" xfId="6117" xr:uid="{1F772296-3AD2-484A-8496-FE600927EC97}"/>
    <cellStyle name="AggOrangeRBorder 2 3 3 14" xfId="6557" xr:uid="{C12203ED-B51F-4D3C-9A5C-F2300C1A3475}"/>
    <cellStyle name="AggOrangeRBorder 2 3 3 15" xfId="7306" xr:uid="{CE9FB1EF-C46B-4328-A602-87DE6B319BB0}"/>
    <cellStyle name="AggOrangeRBorder 2 3 3 16" xfId="7822" xr:uid="{7835F1B9-EFD0-4962-AA92-1B01B0A717AC}"/>
    <cellStyle name="AggOrangeRBorder 2 3 3 17" xfId="8479" xr:uid="{241AF960-C73E-4F15-BD0E-9DDD9FB9363D}"/>
    <cellStyle name="AggOrangeRBorder 2 3 3 18" xfId="8617" xr:uid="{E12918CF-6BBD-45E6-8AA5-E2D98AEA61AB}"/>
    <cellStyle name="AggOrangeRBorder 2 3 3 19" xfId="9520" xr:uid="{17A71879-2950-4EB3-92F4-B8B5403F560E}"/>
    <cellStyle name="AggOrangeRBorder 2 3 3 2" xfId="801" xr:uid="{02FA6421-3F7D-4A39-9E89-BFAF14902B99}"/>
    <cellStyle name="AggOrangeRBorder 2 3 3 2 10" xfId="5449" xr:uid="{CD4A33E4-2875-42F9-91EF-F7E45FAF834C}"/>
    <cellStyle name="AggOrangeRBorder 2 3 3 2 11" xfId="3988" xr:uid="{3262CA44-2299-4163-BAF3-3161BC36F111}"/>
    <cellStyle name="AggOrangeRBorder 2 3 3 2 12" xfId="4818" xr:uid="{83D02F02-2CB5-4B17-AB24-368B7B486302}"/>
    <cellStyle name="AggOrangeRBorder 2 3 3 2 13" xfId="6412" xr:uid="{E46C3FF4-CC7A-4005-85E4-1D159A3126A5}"/>
    <cellStyle name="AggOrangeRBorder 2 3 3 2 14" xfId="7521" xr:uid="{D6E652E7-4D89-4099-AF6B-080EA30434E3}"/>
    <cellStyle name="AggOrangeRBorder 2 3 3 2 15" xfId="7055" xr:uid="{BE6E8A77-84E9-46AD-A2D1-5A3788A16110}"/>
    <cellStyle name="AggOrangeRBorder 2 3 3 2 16" xfId="8393" xr:uid="{60CD3380-A8BB-4054-974D-BE6514F09CCE}"/>
    <cellStyle name="AggOrangeRBorder 2 3 3 2 17" xfId="7803" xr:uid="{79D99FAA-05EF-41F9-99EF-C8E827A1A24D}"/>
    <cellStyle name="AggOrangeRBorder 2 3 3 2 18" xfId="9735" xr:uid="{2FD27A3A-60A5-4083-A4A5-B6313C18DD3A}"/>
    <cellStyle name="AggOrangeRBorder 2 3 3 2 19" xfId="9268" xr:uid="{0FEEB291-3BFE-409A-99D4-7422A629604A}"/>
    <cellStyle name="AggOrangeRBorder 2 3 3 2 2" xfId="1275" xr:uid="{41B5412D-4CA0-4856-A67C-F53547A12E8B}"/>
    <cellStyle name="AggOrangeRBorder 2 3 3 2 20" xfId="10214" xr:uid="{5D1C0E08-7FEA-442D-A581-7F21DF1D6300}"/>
    <cellStyle name="AggOrangeRBorder 2 3 3 2 21" xfId="9884" xr:uid="{B0F5EBA8-84FA-4A16-926B-DB26120DDA9A}"/>
    <cellStyle name="AggOrangeRBorder 2 3 3 2 22" xfId="9889" xr:uid="{01268E75-00D0-4898-B1D8-44676FCD0F12}"/>
    <cellStyle name="AggOrangeRBorder 2 3 3 2 23" xfId="12154" xr:uid="{5B9574B6-3194-4044-B7CD-D3459F988E79}"/>
    <cellStyle name="AggOrangeRBorder 2 3 3 2 24" xfId="12627" xr:uid="{DB0A2B95-E10A-425B-B41B-65E2F5EEF192}"/>
    <cellStyle name="AggOrangeRBorder 2 3 3 2 25" xfId="13061" xr:uid="{42897353-4D7F-403A-92C5-7DA87B1DE969}"/>
    <cellStyle name="AggOrangeRBorder 2 3 3 2 26" xfId="13498" xr:uid="{EB20B67A-1903-4F5E-B23D-144063BA5328}"/>
    <cellStyle name="AggOrangeRBorder 2 3 3 2 27" xfId="13904" xr:uid="{85335305-C8B9-4E67-B3EB-465595F436F6}"/>
    <cellStyle name="AggOrangeRBorder 2 3 3 2 28" xfId="13824" xr:uid="{9BD5C557-8501-4184-8766-314D60FF9E92}"/>
    <cellStyle name="AggOrangeRBorder 2 3 3 2 29" xfId="14408" xr:uid="{C67B9F80-02E6-4BA9-B0C0-2EF9D08CCEEB}"/>
    <cellStyle name="AggOrangeRBorder 2 3 3 2 3" xfId="1647" xr:uid="{D83F4F2C-2B93-4043-BC23-9D9C3B351CDE}"/>
    <cellStyle name="AggOrangeRBorder 2 3 3 2 30" xfId="14534" xr:uid="{FC8C3CF5-F5FF-4A14-AFF6-CA9C5060E9EC}"/>
    <cellStyle name="AggOrangeRBorder 2 3 3 2 31" xfId="14539" xr:uid="{4CEF9A3F-3FB1-4449-8387-0B4A62D52D13}"/>
    <cellStyle name="AggOrangeRBorder 2 3 3 2 32" xfId="14982" xr:uid="{53ACD454-F2F3-4BD4-A537-C26F36083E36}"/>
    <cellStyle name="AggOrangeRBorder 2 3 3 2 33" xfId="16846" xr:uid="{A6916C2C-E7CA-4558-B509-B5404C2CC428}"/>
    <cellStyle name="AggOrangeRBorder 2 3 3 2 34" xfId="16377" xr:uid="{B486065D-B5B6-4958-B4A5-3E16F4893BD6}"/>
    <cellStyle name="AggOrangeRBorder 2 3 3 2 35" xfId="17335" xr:uid="{3E17319A-C287-4384-A612-4DD9F7731E8F}"/>
    <cellStyle name="AggOrangeRBorder 2 3 3 2 36" xfId="17653" xr:uid="{884A36F8-3B11-40E0-9ED6-898A14C53704}"/>
    <cellStyle name="AggOrangeRBorder 2 3 3 2 37" xfId="18664" xr:uid="{2750CA7C-F0A5-46FB-AEE7-62836C0E317C}"/>
    <cellStyle name="AggOrangeRBorder 2 3 3 2 38" xfId="18348" xr:uid="{AB22CA1A-64E2-4854-86F2-630C25C5CB49}"/>
    <cellStyle name="AggOrangeRBorder 2 3 3 2 39" xfId="19291" xr:uid="{71451C96-5D41-4715-88D7-DC7F86EA5A3A}"/>
    <cellStyle name="AggOrangeRBorder 2 3 3 2 4" xfId="2623" xr:uid="{280B6DD0-FB1B-4FE0-B8C1-0BF1D810C752}"/>
    <cellStyle name="AggOrangeRBorder 2 3 3 2 40" xfId="20183" xr:uid="{6C4017ED-ADCF-4B47-A3D1-82126E2FEECC}"/>
    <cellStyle name="AggOrangeRBorder 2 3 3 2 41" xfId="19711" xr:uid="{89D72110-1B90-4A1A-BB09-AF4741272AB3}"/>
    <cellStyle name="AggOrangeRBorder 2 3 3 2 42" xfId="20558" xr:uid="{B74739B3-92A5-404F-A5D9-1CB284BE8A78}"/>
    <cellStyle name="AggOrangeRBorder 2 3 3 2 43" xfId="20292" xr:uid="{E03FA922-156A-4074-9144-4B370D0E7291}"/>
    <cellStyle name="AggOrangeRBorder 2 3 3 2 44" xfId="21506" xr:uid="{BEE5FEEF-AC4F-49C4-9CBE-FA5889CC87FA}"/>
    <cellStyle name="AggOrangeRBorder 2 3 3 2 45" xfId="21793" xr:uid="{45A30ACB-CB4C-4AFF-87AC-E6D81258A7D5}"/>
    <cellStyle name="AggOrangeRBorder 2 3 3 2 46" xfId="22884" xr:uid="{39F5AD5D-AD87-48D2-A188-52871AC37A51}"/>
    <cellStyle name="AggOrangeRBorder 2 3 3 2 47" xfId="22950" xr:uid="{40CBD9E2-0C13-4E2D-AE2E-A989A2BFC5B6}"/>
    <cellStyle name="AggOrangeRBorder 2 3 3 2 48" xfId="22893" xr:uid="{B8C8991D-8079-432A-9CA4-F692E85C6E67}"/>
    <cellStyle name="AggOrangeRBorder 2 3 3 2 49" xfId="23983" xr:uid="{9DB6BC3B-1319-4000-9252-C1BEE421A02A}"/>
    <cellStyle name="AggOrangeRBorder 2 3 3 2 5" xfId="3072" xr:uid="{1D7E5A46-3081-46EA-9008-ED98CA4481BB}"/>
    <cellStyle name="AggOrangeRBorder 2 3 3 2 50" xfId="24891" xr:uid="{DB026610-F48A-4F59-B1B9-DAFA309D5696}"/>
    <cellStyle name="AggOrangeRBorder 2 3 3 2 51" xfId="24562" xr:uid="{A95DA936-BF45-42D0-B6E4-857D2E08B302}"/>
    <cellStyle name="AggOrangeRBorder 2 3 3 2 52" xfId="25807" xr:uid="{4B7E3AE0-ED93-4AE4-998A-93D8E3436423}"/>
    <cellStyle name="AggOrangeRBorder 2 3 3 2 53" xfId="25072" xr:uid="{656DAE1C-A0E5-4F03-AA2E-60A38F8922EC}"/>
    <cellStyle name="AggOrangeRBorder 2 3 3 2 54" xfId="26008" xr:uid="{00D3AC07-746C-4695-A95D-BD038B9C8C22}"/>
    <cellStyle name="AggOrangeRBorder 2 3 3 2 55" xfId="27095" xr:uid="{FB382C9E-254B-4250-9054-1542CF7A2EA4}"/>
    <cellStyle name="AggOrangeRBorder 2 3 3 2 56" xfId="27514" xr:uid="{124A6DB2-7E06-4BC5-93F9-52F8D9E02E23}"/>
    <cellStyle name="AggOrangeRBorder 2 3 3 2 57" xfId="27822" xr:uid="{D9368EC5-75AA-4448-8A4A-C42225FD4619}"/>
    <cellStyle name="AggOrangeRBorder 2 3 3 2 58" xfId="28641" xr:uid="{B859AB07-10E1-451C-A96A-DDCF6B162513}"/>
    <cellStyle name="AggOrangeRBorder 2 3 3 2 59" xfId="29108" xr:uid="{3B2E3515-0A9D-453A-AB3C-41AE26683766}"/>
    <cellStyle name="AggOrangeRBorder 2 3 3 2 6" xfId="2829" xr:uid="{00670E13-F3B2-40EF-A7F3-534A2AA817CF}"/>
    <cellStyle name="AggOrangeRBorder 2 3 3 2 60" xfId="28791" xr:uid="{891F95A5-86BA-4D62-A86C-BB482C0B59A9}"/>
    <cellStyle name="AggOrangeRBorder 2 3 3 2 61" xfId="29897" xr:uid="{4BD440D8-311C-4B22-B588-E56297DEDED0}"/>
    <cellStyle name="AggOrangeRBorder 2 3 3 2 62" xfId="30303" xr:uid="{4D2C44C1-D543-48B8-A73C-514B27FAB364}"/>
    <cellStyle name="AggOrangeRBorder 2 3 3 2 63" xfId="30720" xr:uid="{490B31CA-4C59-482E-96E9-E3B9AE45CC48}"/>
    <cellStyle name="AggOrangeRBorder 2 3 3 2 64" xfId="28049" xr:uid="{3B442ABD-78A5-4E62-95A5-3387C5CFABAC}"/>
    <cellStyle name="AggOrangeRBorder 2 3 3 2 65" xfId="31336" xr:uid="{6D493D75-9F1D-4D56-ACB5-F7DF836B864F}"/>
    <cellStyle name="AggOrangeRBorder 2 3 3 2 7" xfId="4119" xr:uid="{CEBBE96F-AC54-4DDA-AC73-261111F19B9E}"/>
    <cellStyle name="AggOrangeRBorder 2 3 3 2 8" xfId="4556" xr:uid="{6B2AF672-E09C-486A-93ED-F6E67B3106B6}"/>
    <cellStyle name="AggOrangeRBorder 2 3 3 2 9" xfId="3316" xr:uid="{3DFC0CFE-6B48-4DED-8E91-B21F0DEF281D}"/>
    <cellStyle name="AggOrangeRBorder 2 3 3 20" xfId="10034" xr:uid="{B76DAC27-EFB2-409E-8C43-5BEE153ABB6C}"/>
    <cellStyle name="AggOrangeRBorder 2 3 3 21" xfId="10455" xr:uid="{9CFD6418-FC61-4FAE-9215-2FEF1515FA93}"/>
    <cellStyle name="AggOrangeRBorder 2 3 3 22" xfId="10019" xr:uid="{FA95809C-767F-4D20-BABF-14A8E86EEC03}"/>
    <cellStyle name="AggOrangeRBorder 2 3 3 23" xfId="11137" xr:uid="{F9C64A23-1467-49F4-9F20-258F1BC17A12}"/>
    <cellStyle name="AggOrangeRBorder 2 3 3 24" xfId="11939" xr:uid="{41D6020C-E67D-4D5C-BFF9-1C87302060AC}"/>
    <cellStyle name="AggOrangeRBorder 2 3 3 25" xfId="12412" xr:uid="{AAE77B98-79AA-4327-BE49-8F62CE30A7E7}"/>
    <cellStyle name="AggOrangeRBorder 2 3 3 26" xfId="12846" xr:uid="{3EC33F43-93A3-45B7-BF57-DF7B74CC72A5}"/>
    <cellStyle name="AggOrangeRBorder 2 3 3 27" xfId="13283" xr:uid="{1EDAB5AF-E20B-4649-955C-773926415726}"/>
    <cellStyle name="AggOrangeRBorder 2 3 3 28" xfId="13985" xr:uid="{7F1D998D-C7BB-4409-B2A2-66D450F3733A}"/>
    <cellStyle name="AggOrangeRBorder 2 3 3 29" xfId="11421" xr:uid="{B9667828-E33E-49EE-BF87-EA5383CA3B9C}"/>
    <cellStyle name="AggOrangeRBorder 2 3 3 3" xfId="1069" xr:uid="{A5EC4597-8DBA-4BEB-9DB5-27F694D3AF0B}"/>
    <cellStyle name="AggOrangeRBorder 2 3 3 30" xfId="14062" xr:uid="{4A16262E-ED27-4E59-9B1C-318C0DF78A9B}"/>
    <cellStyle name="AggOrangeRBorder 2 3 3 31" xfId="13872" xr:uid="{810D8A7E-F627-48B9-9F5F-404C8A56F09A}"/>
    <cellStyle name="AggOrangeRBorder 2 3 3 32" xfId="14628" xr:uid="{5CB425EA-F0D2-48A3-8B2F-16B8631C17E6}"/>
    <cellStyle name="AggOrangeRBorder 2 3 3 33" xfId="15869" xr:uid="{C56FCB7D-2056-4ED4-9C53-7B26BA87EA10}"/>
    <cellStyle name="AggOrangeRBorder 2 3 3 34" xfId="16631" xr:uid="{56473E57-035F-468B-9BB9-0C01036C3754}"/>
    <cellStyle name="AggOrangeRBorder 2 3 3 35" xfId="17152" xr:uid="{A4C65DF7-BD8C-4AC3-9E8D-14E344A07664}"/>
    <cellStyle name="AggOrangeRBorder 2 3 3 36" xfId="17597" xr:uid="{78D0318E-2D73-4397-8D67-3F4F5D0AD774}"/>
    <cellStyle name="AggOrangeRBorder 2 3 3 37" xfId="17475" xr:uid="{9EB6BA17-DD09-45E0-9B4B-FF281AAE02A4}"/>
    <cellStyle name="AggOrangeRBorder 2 3 3 38" xfId="18449" xr:uid="{2A0A0FEC-9488-4F31-9E83-3C4378DE43C8}"/>
    <cellStyle name="AggOrangeRBorder 2 3 3 39" xfId="18304" xr:uid="{70A65AFE-C09F-4901-9F5C-C6F133D6B181}"/>
    <cellStyle name="AggOrangeRBorder 2 3 3 4" xfId="1524" xr:uid="{AE372526-05F6-45D1-9CDA-610941FDAE9D}"/>
    <cellStyle name="AggOrangeRBorder 2 3 3 40" xfId="18334" xr:uid="{3F6C4488-4FB7-49F5-B510-70A8D376E802}"/>
    <cellStyle name="AggOrangeRBorder 2 3 3 41" xfId="19968" xr:uid="{84C5589E-AB04-4502-9FAB-CEC3C8B52C88}"/>
    <cellStyle name="AggOrangeRBorder 2 3 3 42" xfId="20504" xr:uid="{74A07791-F175-42F9-AFD5-5C539DCD1014}"/>
    <cellStyle name="AggOrangeRBorder 2 3 3 43" xfId="20958" xr:uid="{7B5D9048-C2FF-460B-A3F6-0AC99B51351E}"/>
    <cellStyle name="AggOrangeRBorder 2 3 3 44" xfId="19643" xr:uid="{477BB6CE-8744-46F7-94A4-6B68D8A3F276}"/>
    <cellStyle name="AggOrangeRBorder 2 3 3 45" xfId="21888" xr:uid="{B3103CA3-C7FC-4F5C-826C-F7B040D12F3A}"/>
    <cellStyle name="AggOrangeRBorder 2 3 3 46" xfId="22324" xr:uid="{FBC381A0-B4C4-4508-83FE-1E2BECDD2AA3}"/>
    <cellStyle name="AggOrangeRBorder 2 3 3 47" xfId="22957" xr:uid="{1248DA1A-38CD-4198-9ECB-A65614C6C497}"/>
    <cellStyle name="AggOrangeRBorder 2 3 3 48" xfId="22463" xr:uid="{0C89B57E-27F1-463F-A87F-0F1D92415B31}"/>
    <cellStyle name="AggOrangeRBorder 2 3 3 49" xfId="22243" xr:uid="{A7336CC2-D743-474B-B270-3B6B573BBDAE}"/>
    <cellStyle name="AggOrangeRBorder 2 3 3 5" xfId="2408" xr:uid="{2B0DF68A-6F06-406E-99E8-542FC5456FC3}"/>
    <cellStyle name="AggOrangeRBorder 2 3 3 50" xfId="23777" xr:uid="{BA040B9B-4040-4D63-995E-D0905E062E08}"/>
    <cellStyle name="AggOrangeRBorder 2 3 3 51" xfId="24676" xr:uid="{51CDE25E-F101-4CBE-9C96-CA50AFC26CA4}"/>
    <cellStyle name="AggOrangeRBorder 2 3 3 52" xfId="25213" xr:uid="{9D1B56BB-6DC4-422E-98CD-F91ECA4D02D3}"/>
    <cellStyle name="AggOrangeRBorder 2 3 3 53" xfId="25594" xr:uid="{2050A5B7-51B6-4C0C-9E23-B9C95427CA28}"/>
    <cellStyle name="AggOrangeRBorder 2 3 3 54" xfId="26264" xr:uid="{F6095605-2B38-4456-89EF-5D1E3B99D48B}"/>
    <cellStyle name="AggOrangeRBorder 2 3 3 55" xfId="26429" xr:uid="{8BE8342F-040B-44D7-A9F7-F8EC052A1BE0}"/>
    <cellStyle name="AggOrangeRBorder 2 3 3 56" xfId="26884" xr:uid="{586CD795-11C5-416D-80E4-E3815550A637}"/>
    <cellStyle name="AggOrangeRBorder 2 3 3 57" xfId="27303" xr:uid="{C914A492-651A-47A2-8340-CE9B43407BC0}"/>
    <cellStyle name="AggOrangeRBorder 2 3 3 58" xfId="27818" xr:uid="{AAB4DEB8-C4A5-4907-9FB2-EC4F0195FCC2}"/>
    <cellStyle name="AggOrangeRBorder 2 3 3 59" xfId="28426" xr:uid="{51B6B335-D209-43DB-BAEA-9AF94AD5DFE8}"/>
    <cellStyle name="AggOrangeRBorder 2 3 3 6" xfId="3156" xr:uid="{3A97DEBA-5466-4602-A0E7-FC3F878F0ABF}"/>
    <cellStyle name="AggOrangeRBorder 2 3 3 60" xfId="28894" xr:uid="{744AB883-A0A2-413C-8DBB-40DEC6D62AC0}"/>
    <cellStyle name="AggOrangeRBorder 2 3 3 61" xfId="29354" xr:uid="{71A5D964-0B40-4EA3-9E55-2AC697408F68}"/>
    <cellStyle name="AggOrangeRBorder 2 3 3 62" xfId="29684" xr:uid="{BC8587F6-4103-45F6-AA65-DDD9BDED2748}"/>
    <cellStyle name="AggOrangeRBorder 2 3 3 63" xfId="30092" xr:uid="{520386BC-1CA4-478D-B073-24B6594AF11C}"/>
    <cellStyle name="AggOrangeRBorder 2 3 3 64" xfId="30506" xr:uid="{1653FCFB-C8D7-41A3-A568-DA71FC251F64}"/>
    <cellStyle name="AggOrangeRBorder 2 3 3 65" xfId="30988" xr:uid="{7637BA96-B47D-43D6-998F-9FE7BAE8246F}"/>
    <cellStyle name="AggOrangeRBorder 2 3 3 66" xfId="31130" xr:uid="{900EDDE3-E49E-4262-B959-C8AA15043028}"/>
    <cellStyle name="AggOrangeRBorder 2 3 3 7" xfId="3387" xr:uid="{46C5503A-173A-4B26-AD99-E176B797A01F}"/>
    <cellStyle name="AggOrangeRBorder 2 3 3 8" xfId="3904" xr:uid="{8EDB3B6A-6067-44EC-A8AE-291D4F5055EC}"/>
    <cellStyle name="AggOrangeRBorder 2 3 3 9" xfId="4342" xr:uid="{7E1C9265-9232-45D1-89E2-613652FD6401}"/>
    <cellStyle name="AggOrangeRBorder 2 3 30" xfId="11491" xr:uid="{88FB614C-BFA4-4771-8ADD-C3B1F0C945A3}"/>
    <cellStyle name="AggOrangeRBorder 2 3 31" xfId="11534" xr:uid="{176F9285-3FC2-4107-BBB8-88EE68FF1DCA}"/>
    <cellStyle name="AggOrangeRBorder 2 3 32" xfId="13780" xr:uid="{3F5EC70F-0BD6-4FB2-9D11-B8E5F891268C}"/>
    <cellStyle name="AggOrangeRBorder 2 3 33" xfId="13711" xr:uid="{E15E3735-D86E-4BA5-AAB2-223D57575175}"/>
    <cellStyle name="AggOrangeRBorder 2 3 34" xfId="15024" xr:uid="{CB9EE8FF-2644-487A-ABB7-330D679CD207}"/>
    <cellStyle name="AggOrangeRBorder 2 3 35" xfId="15672" xr:uid="{FE55FE15-5746-40C0-AA70-A48452D5173A}"/>
    <cellStyle name="AggOrangeRBorder 2 3 36" xfId="14554" xr:uid="{DC3F6EEF-025A-44EF-844F-003982701AC7}"/>
    <cellStyle name="AggOrangeRBorder 2 3 37" xfId="16322" xr:uid="{554F83C7-705C-4DB1-A6A0-C2C1FD57DFE6}"/>
    <cellStyle name="AggOrangeRBorder 2 3 38" xfId="16244" xr:uid="{95D0B99D-EDB9-4161-8511-21D542F89450}"/>
    <cellStyle name="AggOrangeRBorder 2 3 39" xfId="17193" xr:uid="{B97CF873-8936-4FAD-ACC8-3D915D68B0C8}"/>
    <cellStyle name="AggOrangeRBorder 2 3 4" xfId="568" xr:uid="{5DD55455-57CE-41BF-893A-AA02779FD01B}"/>
    <cellStyle name="AggOrangeRBorder 2 3 4 10" xfId="4992" xr:uid="{1C86FB74-2CE2-46C2-92BA-2B30C6CCB519}"/>
    <cellStyle name="AggOrangeRBorder 2 3 4 11" xfId="5216" xr:uid="{91335EF5-3317-4860-9BBB-80C5B4B68785}"/>
    <cellStyle name="AggOrangeRBorder 2 3 4 12" xfId="2153" xr:uid="{D2A0DAEF-DC71-4E51-A9FB-9883DFD46D75}"/>
    <cellStyle name="AggOrangeRBorder 2 3 4 13" xfId="6103" xr:uid="{7D4FC985-F6B7-4C94-8F45-0846B6DF347F}"/>
    <cellStyle name="AggOrangeRBorder 2 3 4 14" xfId="6669" xr:uid="{43B4ED6C-0D93-4955-A2E9-7F06EA8A9D38}"/>
    <cellStyle name="AggOrangeRBorder 2 3 4 15" xfId="7288" xr:uid="{99E256E0-BE2D-4082-A785-82275A62329C}"/>
    <cellStyle name="AggOrangeRBorder 2 3 4 16" xfId="6738" xr:uid="{F7905A07-DF48-4B5A-9268-34D61E879A02}"/>
    <cellStyle name="AggOrangeRBorder 2 3 4 17" xfId="8612" xr:uid="{4A1E3273-B46C-4756-BFC0-B5A492192EB7}"/>
    <cellStyle name="AggOrangeRBorder 2 3 4 18" xfId="6918" xr:uid="{F9041674-4811-4542-A3B0-292C9B21975F}"/>
    <cellStyle name="AggOrangeRBorder 2 3 4 19" xfId="9502" xr:uid="{6FF07E6C-1C24-4B69-9451-C17BCC725C7A}"/>
    <cellStyle name="AggOrangeRBorder 2 3 4 2" xfId="783" xr:uid="{C75D32A1-1058-4BEB-9BF1-C4FB33BD1563}"/>
    <cellStyle name="AggOrangeRBorder 2 3 4 2 10" xfId="5431" xr:uid="{6322FC67-EDAB-4946-8FB7-B276A0532438}"/>
    <cellStyle name="AggOrangeRBorder 2 3 4 2 11" xfId="5769" xr:uid="{CC17DC76-4A7C-4DD8-8D6C-7AC6D10DB399}"/>
    <cellStyle name="AggOrangeRBorder 2 3 4 2 12" xfId="4722" xr:uid="{F0774C31-77B3-4BE4-A545-5B4E789EA03B}"/>
    <cellStyle name="AggOrangeRBorder 2 3 4 2 13" xfId="6633" xr:uid="{A13E886C-EC7E-4135-AB76-D9CBA6210F95}"/>
    <cellStyle name="AggOrangeRBorder 2 3 4 2 14" xfId="7503" xr:uid="{3A03E8DB-B3A9-44AA-8459-93A1DDE94E45}"/>
    <cellStyle name="AggOrangeRBorder 2 3 4 2 15" xfId="7090" xr:uid="{EEFEAC81-05A3-4DC2-9708-FBC553513E10}"/>
    <cellStyle name="AggOrangeRBorder 2 3 4 2 16" xfId="8178" xr:uid="{9BF651F7-8D77-46B2-946D-38F3C506AAA7}"/>
    <cellStyle name="AggOrangeRBorder 2 3 4 2 17" xfId="8783" xr:uid="{F1CA6FE3-A42B-4D9C-9170-73DE9F05CABE}"/>
    <cellStyle name="AggOrangeRBorder 2 3 4 2 18" xfId="9717" xr:uid="{651FF791-BC4E-4D59-BE25-4728AFBA3856}"/>
    <cellStyle name="AggOrangeRBorder 2 3 4 2 19" xfId="9077" xr:uid="{03BBBF40-168A-480A-8683-99E23912C2D0}"/>
    <cellStyle name="AggOrangeRBorder 2 3 4 2 2" xfId="1257" xr:uid="{1C81316B-1754-4CFD-AED1-6ACF3DDEA9DD}"/>
    <cellStyle name="AggOrangeRBorder 2 3 4 2 20" xfId="9049" xr:uid="{5784351F-DD45-4B78-9333-F5D047AD4625}"/>
    <cellStyle name="AggOrangeRBorder 2 3 4 2 21" xfId="8999" xr:uid="{E5364DD2-09CC-45B2-8F8D-6B8E3A9BCCDF}"/>
    <cellStyle name="AggOrangeRBorder 2 3 4 2 22" xfId="11119" xr:uid="{D6432D3C-3E53-4A91-9618-3EA8E28EF582}"/>
    <cellStyle name="AggOrangeRBorder 2 3 4 2 23" xfId="12136" xr:uid="{FA82B58C-31DA-4601-AC20-D8303044C8B0}"/>
    <cellStyle name="AggOrangeRBorder 2 3 4 2 24" xfId="12609" xr:uid="{53436C3C-A8C5-4FF5-A44F-FD18057D6E02}"/>
    <cellStyle name="AggOrangeRBorder 2 3 4 2 25" xfId="13043" xr:uid="{43FF470B-63A7-453B-A753-D4223F41ED6F}"/>
    <cellStyle name="AggOrangeRBorder 2 3 4 2 26" xfId="13480" xr:uid="{5C0B8765-231F-47FF-A993-11EC6DA2629F}"/>
    <cellStyle name="AggOrangeRBorder 2 3 4 2 27" xfId="11451" xr:uid="{DCDFEB47-8FC9-4211-AF27-7FCBCC6EB20F}"/>
    <cellStyle name="AggOrangeRBorder 2 3 4 2 28" xfId="14231" xr:uid="{0C98EA33-3824-4CC3-895D-8719ADA415B5}"/>
    <cellStyle name="AggOrangeRBorder 2 3 4 2 29" xfId="11550" xr:uid="{46A2CE7A-10DA-49B8-AB04-D5305791585B}"/>
    <cellStyle name="AggOrangeRBorder 2 3 4 2 3" xfId="1425" xr:uid="{CF8F88F8-D3B5-44A4-93A9-984CF13CB5FA}"/>
    <cellStyle name="AggOrangeRBorder 2 3 4 2 30" xfId="14318" xr:uid="{502E2C1C-C0F4-49A7-B289-61E492A21224}"/>
    <cellStyle name="AggOrangeRBorder 2 3 4 2 31" xfId="15288" xr:uid="{C152824B-CA58-4958-AE42-EC5A50BDABCF}"/>
    <cellStyle name="AggOrangeRBorder 2 3 4 2 32" xfId="14719" xr:uid="{03B159CF-32EA-4B2F-96B7-7B75511F0E05}"/>
    <cellStyle name="AggOrangeRBorder 2 3 4 2 33" xfId="16828" xr:uid="{11E81E6B-E91A-46AB-9B47-0FB72A7E4AC8}"/>
    <cellStyle name="AggOrangeRBorder 2 3 4 2 34" xfId="16412" xr:uid="{B955955A-86DB-4973-9C94-BB566BD6DAB3}"/>
    <cellStyle name="AggOrangeRBorder 2 3 4 2 35" xfId="16146" xr:uid="{BBD5530F-F79F-4524-80FF-29D8F76EF048}"/>
    <cellStyle name="AggOrangeRBorder 2 3 4 2 36" xfId="18089" xr:uid="{456E8CFE-5774-47DF-B0E3-5787F4A45B2B}"/>
    <cellStyle name="AggOrangeRBorder 2 3 4 2 37" xfId="18646" xr:uid="{74FB1912-4A4C-4226-943C-945662BFBCDC}"/>
    <cellStyle name="AggOrangeRBorder 2 3 4 2 38" xfId="18898" xr:uid="{53837658-E49C-4455-ABA0-2FABFEB91AB2}"/>
    <cellStyle name="AggOrangeRBorder 2 3 4 2 39" xfId="19146" xr:uid="{15E2CD25-7795-4011-9D74-9B7A300E3069}"/>
    <cellStyle name="AggOrangeRBorder 2 3 4 2 4" xfId="2605" xr:uid="{FE3AA365-2918-4608-A5F2-5099BF1D6667}"/>
    <cellStyle name="AggOrangeRBorder 2 3 4 2 40" xfId="20165" xr:uid="{172F9768-8902-4B09-86E3-EADD412FF0A1}"/>
    <cellStyle name="AggOrangeRBorder 2 3 4 2 41" xfId="19510" xr:uid="{DA7BA768-2C4B-40A3-B284-8D54583904B0}"/>
    <cellStyle name="AggOrangeRBorder 2 3 4 2 42" xfId="19417" xr:uid="{B1CEDECC-482D-43F2-AD8E-678E3FA51409}"/>
    <cellStyle name="AggOrangeRBorder 2 3 4 2 43" xfId="21148" xr:uid="{02FDDE39-8658-4105-A878-3256A05094F8}"/>
    <cellStyle name="AggOrangeRBorder 2 3 4 2 44" xfId="19777" xr:uid="{99E1620F-1A38-4AAE-A405-948D32EE0494}"/>
    <cellStyle name="AggOrangeRBorder 2 3 4 2 45" xfId="20800" xr:uid="{854F39F8-8006-488E-BD65-E780F4C48841}"/>
    <cellStyle name="AggOrangeRBorder 2 3 4 2 46" xfId="22587" xr:uid="{695E8D39-24DB-4E9C-ADCD-AF6AA023B2F8}"/>
    <cellStyle name="AggOrangeRBorder 2 3 4 2 47" xfId="23174" xr:uid="{9C9B24A3-043D-416C-B69E-5C012F00F8CF}"/>
    <cellStyle name="AggOrangeRBorder 2 3 4 2 48" xfId="22888" xr:uid="{1A712ED0-AF0A-4CD9-86DD-F3D5309B5D31}"/>
    <cellStyle name="AggOrangeRBorder 2 3 4 2 49" xfId="23965" xr:uid="{B6499BBF-F090-4A15-943E-E7BEC02F48E5}"/>
    <cellStyle name="AggOrangeRBorder 2 3 4 2 5" xfId="2743" xr:uid="{5214EFFD-1ED5-438D-AFFE-3ADB77A7C692}"/>
    <cellStyle name="AggOrangeRBorder 2 3 4 2 50" xfId="24873" xr:uid="{E1C1587B-B4A1-4ED3-A330-80385DE99F88}"/>
    <cellStyle name="AggOrangeRBorder 2 3 4 2 51" xfId="24505" xr:uid="{923B0A56-55D0-4360-ABB7-4350488EF18B}"/>
    <cellStyle name="AggOrangeRBorder 2 3 4 2 52" xfId="25789" xr:uid="{2DB04AF2-1BC6-4ABC-9620-7B7BCDA9EB7E}"/>
    <cellStyle name="AggOrangeRBorder 2 3 4 2 53" xfId="24249" xr:uid="{9C70FD2E-E7B0-404B-96FE-4755DE0516CF}"/>
    <cellStyle name="AggOrangeRBorder 2 3 4 2 54" xfId="26389" xr:uid="{B7B86E60-1672-4F8E-BFBC-6117903D3EA0}"/>
    <cellStyle name="AggOrangeRBorder 2 3 4 2 55" xfId="27077" xr:uid="{B9B24E9C-08CC-44A2-8412-C5172AF568B2}"/>
    <cellStyle name="AggOrangeRBorder 2 3 4 2 56" xfId="27496" xr:uid="{5AE3754F-75A4-4D82-9237-1F731B172C01}"/>
    <cellStyle name="AggOrangeRBorder 2 3 4 2 57" xfId="26656" xr:uid="{7C4CA6E6-A415-41F6-9E9D-E955269A910F}"/>
    <cellStyle name="AggOrangeRBorder 2 3 4 2 58" xfId="28623" xr:uid="{AD059A59-3FEE-4839-BFD3-7A19E1BACA1E}"/>
    <cellStyle name="AggOrangeRBorder 2 3 4 2 59" xfId="29090" xr:uid="{5B2B951D-8137-4A8E-B1B7-640FAF88E585}"/>
    <cellStyle name="AggOrangeRBorder 2 3 4 2 6" xfId="3520" xr:uid="{9A3A3B14-A565-4810-BA07-00EFD46FEA97}"/>
    <cellStyle name="AggOrangeRBorder 2 3 4 2 60" xfId="29007" xr:uid="{5DF00D8D-92FD-4587-9CF9-04FDD65E45E5}"/>
    <cellStyle name="AggOrangeRBorder 2 3 4 2 61" xfId="29879" xr:uid="{0AA52500-F284-41DB-92D6-4539346C1145}"/>
    <cellStyle name="AggOrangeRBorder 2 3 4 2 62" xfId="30285" xr:uid="{A98B7D19-98A9-40A9-9D19-BEBE9A7F27EF}"/>
    <cellStyle name="AggOrangeRBorder 2 3 4 2 63" xfId="30702" xr:uid="{3E2F9A8F-1D3F-4CC7-9667-5A79910F91FE}"/>
    <cellStyle name="AggOrangeRBorder 2 3 4 2 64" xfId="28768" xr:uid="{FE589772-3EAB-4D5B-98D4-DF873B9E99F6}"/>
    <cellStyle name="AggOrangeRBorder 2 3 4 2 65" xfId="31318" xr:uid="{E6D1E1BA-CC4F-44AC-A64C-399A6A20BFC6}"/>
    <cellStyle name="AggOrangeRBorder 2 3 4 2 7" xfId="4101" xr:uid="{FEC6C50C-08DF-4327-ADCE-D74395ED5521}"/>
    <cellStyle name="AggOrangeRBorder 2 3 4 2 8" xfId="4538" xr:uid="{4C878C00-4997-4057-A6B5-5DE6DAB08CB7}"/>
    <cellStyle name="AggOrangeRBorder 2 3 4 2 9" xfId="5016" xr:uid="{05071EA7-8888-468E-A046-55C64815ABB6}"/>
    <cellStyle name="AggOrangeRBorder 2 3 4 20" xfId="9040" xr:uid="{FF5DE4F7-4847-4574-8793-5FEB78BB2CFD}"/>
    <cellStyle name="AggOrangeRBorder 2 3 4 21" xfId="9891" xr:uid="{8F8B1DBF-4203-4556-B3F6-445523B8E8AD}"/>
    <cellStyle name="AggOrangeRBorder 2 3 4 22" xfId="10587" xr:uid="{15E9A605-BEAC-475E-84D7-6C425FB143C5}"/>
    <cellStyle name="AggOrangeRBorder 2 3 4 23" xfId="11286" xr:uid="{D3D03E63-2B54-4317-BFDD-E0E4F37DC7C6}"/>
    <cellStyle name="AggOrangeRBorder 2 3 4 24" xfId="11921" xr:uid="{6E30EA58-BAF0-4040-95B8-125EBD9A040C}"/>
    <cellStyle name="AggOrangeRBorder 2 3 4 25" xfId="12394" xr:uid="{E3B01629-7485-4E30-931D-95EDC2A73B7F}"/>
    <cellStyle name="AggOrangeRBorder 2 3 4 26" xfId="12828" xr:uid="{CF9A3C6A-2127-4510-824D-B5A5E19FF19E}"/>
    <cellStyle name="AggOrangeRBorder 2 3 4 27" xfId="13265" xr:uid="{7EDB1E5D-A917-4A08-A048-7CCD1ABB3EFD}"/>
    <cellStyle name="AggOrangeRBorder 2 3 4 28" xfId="12261" xr:uid="{68ED3E1A-DAD1-48C1-871F-117588902726}"/>
    <cellStyle name="AggOrangeRBorder 2 3 4 29" xfId="14207" xr:uid="{B6930019-07E1-4E11-9CB8-7EEDA4A881CD}"/>
    <cellStyle name="AggOrangeRBorder 2 3 4 3" xfId="1051" xr:uid="{36B0DA7D-2402-4B63-BF60-AD0FFD9FBFFB}"/>
    <cellStyle name="AggOrangeRBorder 2 3 4 30" xfId="13155" xr:uid="{437B8D6A-D851-4685-8CEF-9D15AF859573}"/>
    <cellStyle name="AggOrangeRBorder 2 3 4 31" xfId="15098" xr:uid="{4C9F2D9C-64B6-4F81-BE3E-AB72D2F50634}"/>
    <cellStyle name="AggOrangeRBorder 2 3 4 32" xfId="15051" xr:uid="{F0631E6B-8FF1-40A1-BE22-6737ABA1E5D4}"/>
    <cellStyle name="AggOrangeRBorder 2 3 4 33" xfId="15514" xr:uid="{1D0EB4C2-DE80-4006-BBAC-451DCDB47768}"/>
    <cellStyle name="AggOrangeRBorder 2 3 4 34" xfId="16613" xr:uid="{583D710F-A05C-42F7-A94E-6269C081FE8E}"/>
    <cellStyle name="AggOrangeRBorder 2 3 4 35" xfId="16046" xr:uid="{1799343D-9B1E-496D-B02C-F81C2D196DE9}"/>
    <cellStyle name="AggOrangeRBorder 2 3 4 36" xfId="16512" xr:uid="{A8825D63-1A82-419B-BEE3-5A89788AD1D7}"/>
    <cellStyle name="AggOrangeRBorder 2 3 4 37" xfId="17584" xr:uid="{B690D915-FC42-4BF2-A370-7CA188C179BD}"/>
    <cellStyle name="AggOrangeRBorder 2 3 4 38" xfId="18431" xr:uid="{38A8A6D6-DC54-48DD-96A9-C992A5BC34D9}"/>
    <cellStyle name="AggOrangeRBorder 2 3 4 39" xfId="17778" xr:uid="{4886D408-F63B-4AFD-A506-E2BBC05465EA}"/>
    <cellStyle name="AggOrangeRBorder 2 3 4 4" xfId="1716" xr:uid="{2A80F205-C02D-461B-9C8D-D6ECBE6B4026}"/>
    <cellStyle name="AggOrangeRBorder 2 3 4 40" xfId="17868" xr:uid="{D66BB7C4-7603-4EB6-ABA1-046DC5C3927B}"/>
    <cellStyle name="AggOrangeRBorder 2 3 4 41" xfId="19950" xr:uid="{4E5F111B-D5A6-4001-9812-F9056C028E08}"/>
    <cellStyle name="AggOrangeRBorder 2 3 4 42" xfId="19467" xr:uid="{B13FE072-9BBB-4CC0-B7B6-1904B2A667C5}"/>
    <cellStyle name="AggOrangeRBorder 2 3 4 43" xfId="20486" xr:uid="{BF9416FB-AFE9-40D3-8197-9A0EBB12158B}"/>
    <cellStyle name="AggOrangeRBorder 2 3 4 44" xfId="21034" xr:uid="{1D89F164-525F-48BD-A083-E3BFDA3725A8}"/>
    <cellStyle name="AggOrangeRBorder 2 3 4 45" xfId="19872" xr:uid="{4E7B19EA-6144-4704-984D-B32807F78594}"/>
    <cellStyle name="AggOrangeRBorder 2 3 4 46" xfId="20337" xr:uid="{650C3BD9-530D-4C1F-9123-876FA03E2AA6}"/>
    <cellStyle name="AggOrangeRBorder 2 3 4 47" xfId="21974" xr:uid="{B3BAF0D8-DE88-4E45-9A75-DDFB5BBE137D}"/>
    <cellStyle name="AggOrangeRBorder 2 3 4 48" xfId="21393" xr:uid="{46C57908-D5AF-438D-9450-0E37AFF308E7}"/>
    <cellStyle name="AggOrangeRBorder 2 3 4 49" xfId="22774" xr:uid="{BCF00A3F-9C5E-451D-A7EB-37E31A3F29A1}"/>
    <cellStyle name="AggOrangeRBorder 2 3 4 5" xfId="2390" xr:uid="{8CA8A9C7-20B2-43E1-85C4-455CE1D950BD}"/>
    <cellStyle name="AggOrangeRBorder 2 3 4 50" xfId="23759" xr:uid="{E4C57241-804A-457F-AC71-55B967A15A88}"/>
    <cellStyle name="AggOrangeRBorder 2 3 4 51" xfId="24658" xr:uid="{59714EC6-9473-4774-95B4-D5F4CB79AA4D}"/>
    <cellStyle name="AggOrangeRBorder 2 3 4 52" xfId="24474" xr:uid="{4C6A47FE-FC02-4F15-BFD4-B4287F1B496F}"/>
    <cellStyle name="AggOrangeRBorder 2 3 4 53" xfId="25576" xr:uid="{3DC689D1-B5BD-4DF2-AB73-02E3C3E2413E}"/>
    <cellStyle name="AggOrangeRBorder 2 3 4 54" xfId="25074" xr:uid="{94A7A781-B15A-4A36-ACF8-FF7A192F7FE3}"/>
    <cellStyle name="AggOrangeRBorder 2 3 4 55" xfId="24507" xr:uid="{91FB08F3-D7E6-442B-AAE4-DEB7E180729C}"/>
    <cellStyle name="AggOrangeRBorder 2 3 4 56" xfId="26866" xr:uid="{F3B8D7DD-57CC-42D3-B80F-1A08B7D3E1A8}"/>
    <cellStyle name="AggOrangeRBorder 2 3 4 57" xfId="27285" xr:uid="{53B462EB-C9C4-44C1-9428-BDE38D0CE10D}"/>
    <cellStyle name="AggOrangeRBorder 2 3 4 58" xfId="27792" xr:uid="{B05F2F44-296C-46AF-B55E-054F839E86E2}"/>
    <cellStyle name="AggOrangeRBorder 2 3 4 59" xfId="28408" xr:uid="{E85DCE91-7E5A-4AC7-A671-820946469B25}"/>
    <cellStyle name="AggOrangeRBorder 2 3 4 6" xfId="1835" xr:uid="{B0ADB99A-AE9E-4F52-924C-6F59CAFFC180}"/>
    <cellStyle name="AggOrangeRBorder 2 3 4 60" xfId="28876" xr:uid="{B6440DF0-9A94-4A5E-A10A-9CA0B0F45969}"/>
    <cellStyle name="AggOrangeRBorder 2 3 4 61" xfId="28107" xr:uid="{441EF42D-2146-413D-9406-25BF506800C8}"/>
    <cellStyle name="AggOrangeRBorder 2 3 4 62" xfId="29666" xr:uid="{E0A2FFDC-E676-44FF-9E35-C510B0AAE59A}"/>
    <cellStyle name="AggOrangeRBorder 2 3 4 63" xfId="30074" xr:uid="{CF348F1E-93E0-4103-95BB-D31A6047F31B}"/>
    <cellStyle name="AggOrangeRBorder 2 3 4 64" xfId="30488" xr:uid="{2B47FAF7-6531-4A09-A274-2F70BAC76557}"/>
    <cellStyle name="AggOrangeRBorder 2 3 4 65" xfId="30419" xr:uid="{F4405288-670A-4B4F-A8B8-56EFCED225C2}"/>
    <cellStyle name="AggOrangeRBorder 2 3 4 66" xfId="31112" xr:uid="{B94BD95D-05F1-47E7-BC13-C3E5C7982AA2}"/>
    <cellStyle name="AggOrangeRBorder 2 3 4 7" xfId="3706" xr:uid="{C178FFA4-581C-4888-9879-5A9BD971DAF6}"/>
    <cellStyle name="AggOrangeRBorder 2 3 4 8" xfId="3886" xr:uid="{8595D57C-32DF-4F11-A1C7-4159A83C2FD3}"/>
    <cellStyle name="AggOrangeRBorder 2 3 4 9" xfId="4324" xr:uid="{6304457A-EC4D-437D-9BB7-03DF07D3F18C}"/>
    <cellStyle name="AggOrangeRBorder 2 3 40" xfId="18083" xr:uid="{1B7EE885-4F7A-407B-BB8F-4A49A768AA84}"/>
    <cellStyle name="AggOrangeRBorder 2 3 41" xfId="18081" xr:uid="{1F7F4146-45B3-4B44-BA7F-7CF76B00C71F}"/>
    <cellStyle name="AggOrangeRBorder 2 3 42" xfId="18953" xr:uid="{B7CAC9B1-16B3-4786-93CC-802FE8D482DC}"/>
    <cellStyle name="AggOrangeRBorder 2 3 43" xfId="17463" xr:uid="{239EC60E-D768-4FAE-A615-ADEB60B99241}"/>
    <cellStyle name="AggOrangeRBorder 2 3 44" xfId="19655" xr:uid="{87001E7D-19A6-4415-9D91-EA9BE9B33489}"/>
    <cellStyle name="AggOrangeRBorder 2 3 45" xfId="19377" xr:uid="{37EF8A75-F011-4B6B-95D2-4D1624D5B623}"/>
    <cellStyle name="AggOrangeRBorder 2 3 46" xfId="20487" xr:uid="{C8B2839F-C5ED-4B96-899F-CA89AA2C1D7A}"/>
    <cellStyle name="AggOrangeRBorder 2 3 47" xfId="21376" xr:uid="{71775A8D-E2CC-49C7-B6E0-A9B4EBFC31D8}"/>
    <cellStyle name="AggOrangeRBorder 2 3 48" xfId="21513" xr:uid="{37081DDF-107D-4F21-BF41-F603A3B7C23D}"/>
    <cellStyle name="AggOrangeRBorder 2 3 49" xfId="21872" xr:uid="{8884C5A1-58AD-4394-8D7C-F66BACD70F48}"/>
    <cellStyle name="AggOrangeRBorder 2 3 5" xfId="696" xr:uid="{E8CAE640-33BD-468B-A4B1-1603DB2B7D26}"/>
    <cellStyle name="AggOrangeRBorder 2 3 5 2" xfId="5344" xr:uid="{13A002BD-5CF6-41DC-870C-0EB2B11145C9}"/>
    <cellStyle name="AggOrangeRBorder 2 3 5 3" xfId="18294" xr:uid="{1385D300-FD66-46F3-A9F0-7AAC5608FD3C}"/>
    <cellStyle name="AggOrangeRBorder 2 3 5 4" xfId="20078" xr:uid="{0D80BF45-2D4F-4625-AA06-0A89561F4A95}"/>
    <cellStyle name="AggOrangeRBorder 2 3 5 5" xfId="24786" xr:uid="{96793B27-055A-455B-8A49-571E4AFD0CBF}"/>
    <cellStyle name="AggOrangeRBorder 2 3 5 6" xfId="28536" xr:uid="{6F0AE973-70FA-40DB-A520-112B6DB3FCE6}"/>
    <cellStyle name="AggOrangeRBorder 2 3 50" xfId="22431" xr:uid="{EE8E5281-CB03-49C0-AD90-F6A661169964}"/>
    <cellStyle name="AggOrangeRBorder 2 3 51" xfId="23240" xr:uid="{9B78B5BC-F56B-42DD-9E6F-ECC18C1CEC5B}"/>
    <cellStyle name="AggOrangeRBorder 2 3 52" xfId="23105" xr:uid="{8D99FBB8-B184-4FBF-A913-71C315A1A8D4}"/>
    <cellStyle name="AggOrangeRBorder 2 3 53" xfId="23637" xr:uid="{ADCB4ABA-808D-4256-8038-630654311250}"/>
    <cellStyle name="AggOrangeRBorder 2 3 54" xfId="24375" xr:uid="{2AD532AF-6DA7-4147-A60C-FEF6DB0BA994}"/>
    <cellStyle name="AggOrangeRBorder 2 3 55" xfId="24297" xr:uid="{F63316A4-EF8D-4FE3-A37A-6CA6EBD51532}"/>
    <cellStyle name="AggOrangeRBorder 2 3 56" xfId="24587" xr:uid="{BCF9C0EE-B951-458F-9B03-41691CC293B7}"/>
    <cellStyle name="AggOrangeRBorder 2 3 57" xfId="24265" xr:uid="{649EF466-44A4-4E93-98DA-8F754B47D6BE}"/>
    <cellStyle name="AggOrangeRBorder 2 3 58" xfId="26137" xr:uid="{940550D8-3EA6-4E8F-9362-42BB1C5C9910}"/>
    <cellStyle name="AggOrangeRBorder 2 3 59" xfId="26620" xr:uid="{0797E405-AB0A-44CD-B54A-68D98EC7DAE5}"/>
    <cellStyle name="AggOrangeRBorder 2 3 6" xfId="948" xr:uid="{7BADE54F-E330-4B4C-A8BB-E9225737B494}"/>
    <cellStyle name="AggOrangeRBorder 2 3 60" xfId="26522" xr:uid="{C7EDE208-C9C9-454B-B634-A4B1627C4875}"/>
    <cellStyle name="AggOrangeRBorder 2 3 61" xfId="26592" xr:uid="{EBDB6700-50D8-4F72-9D2A-D4EC6BD6DBE9}"/>
    <cellStyle name="AggOrangeRBorder 2 3 62" xfId="28146" xr:uid="{40CEBC08-6C57-4735-8EC0-5DA7257B5830}"/>
    <cellStyle name="AggOrangeRBorder 2 3 63" xfId="27906" xr:uid="{81A7D0E4-82F9-4704-AD6B-B2DE809AA233}"/>
    <cellStyle name="AggOrangeRBorder 2 3 64" xfId="29002" xr:uid="{B159D253-D61D-4EAB-8DEC-A41201BB1737}"/>
    <cellStyle name="AggOrangeRBorder 2 3 65" xfId="29388" xr:uid="{7345C10D-82B4-4743-8501-F31931758979}"/>
    <cellStyle name="AggOrangeRBorder 2 3 66" xfId="29464" xr:uid="{57F478A2-AFC7-4584-8E93-528271A3640A}"/>
    <cellStyle name="AggOrangeRBorder 2 3 67" xfId="30015" xr:uid="{5205F66F-0713-4890-9691-122E37CD7C2E}"/>
    <cellStyle name="AggOrangeRBorder 2 3 68" xfId="29487" xr:uid="{585D4ED2-5FAC-4060-98B9-0FAABD454A1C}"/>
    <cellStyle name="AggOrangeRBorder 2 3 69" xfId="28063" xr:uid="{30D410BE-A474-4D28-BACC-72564C464459}"/>
    <cellStyle name="AggOrangeRBorder 2 3 7" xfId="1533" xr:uid="{82445B80-9B9F-42A7-9539-3899DB71715B}"/>
    <cellStyle name="AggOrangeRBorder 2 3 8" xfId="2095" xr:uid="{CD105BD7-C0CF-4CA7-AD5A-1A54B4841D95}"/>
    <cellStyle name="AggOrangeRBorder 2 3 9" xfId="1991" xr:uid="{B56C915A-A56B-422E-9CE0-DAE2854BB6B0}"/>
    <cellStyle name="AggOrangeRBorder 3" xfId="412" xr:uid="{7A3B9651-F864-47F4-8291-EBAB23A9AFA0}"/>
    <cellStyle name="AggOrangeRBorder 3 2" xfId="44" xr:uid="{A1680057-236D-4E78-848D-1C1262F54CA4}"/>
    <cellStyle name="AggOrangeRBorder 3 2 2" xfId="644" xr:uid="{231A8365-1988-4AC7-81F1-468B3D98B559}"/>
    <cellStyle name="AggOrangeRBorder 3 2 2 10" xfId="5292" xr:uid="{17918BCD-6360-4296-BF3A-624E84F33BAD}"/>
    <cellStyle name="AggOrangeRBorder 3 2 2 11" xfId="5603" xr:uid="{CDD21BBC-4845-4D75-B17F-A75119842C7D}"/>
    <cellStyle name="AggOrangeRBorder 3 2 2 12" xfId="2844" xr:uid="{A5730A97-B654-4840-9B0D-0BACCD9F3A7A}"/>
    <cellStyle name="AggOrangeRBorder 3 2 2 13" xfId="5111" xr:uid="{39B249EA-2FF4-405E-BFF6-5234882A4E8A}"/>
    <cellStyle name="AggOrangeRBorder 3 2 2 14" xfId="7364" xr:uid="{5E9D4AF1-4DA3-4401-A0D0-995923C7593A}"/>
    <cellStyle name="AggOrangeRBorder 3 2 2 15" xfId="8023" xr:uid="{E33C71FC-E48E-4C4B-A6A2-31087FF4255F}"/>
    <cellStyle name="AggOrangeRBorder 3 2 2 16" xfId="8380" xr:uid="{684921F4-1274-499F-BCB0-7CA8BB6076D4}"/>
    <cellStyle name="AggOrangeRBorder 3 2 2 17" xfId="8622" xr:uid="{80CA9A5C-22CA-4AFF-8F4B-D070C02FF59C}"/>
    <cellStyle name="AggOrangeRBorder 3 2 2 18" xfId="9578" xr:uid="{FB081A25-317A-4F98-82C0-714B44D7002C}"/>
    <cellStyle name="AggOrangeRBorder 3 2 2 19" xfId="10242" xr:uid="{E5B57503-649B-4F40-8204-ED1564F96F02}"/>
    <cellStyle name="AggOrangeRBorder 3 2 2 2" xfId="1127" xr:uid="{9A29F241-9999-4F78-93E3-BF59D426D4C4}"/>
    <cellStyle name="AggOrangeRBorder 3 2 2 20" xfId="10637" xr:uid="{E82AE3E3-687B-41B2-9AA3-753424B103AC}"/>
    <cellStyle name="AggOrangeRBorder 3 2 2 21" xfId="10120" xr:uid="{5EE63792-E364-46C3-B911-0E51858DE76E}"/>
    <cellStyle name="AggOrangeRBorder 3 2 2 22" xfId="10762" xr:uid="{732DF441-F05B-4DD9-8665-78F3F342F904}"/>
    <cellStyle name="AggOrangeRBorder 3 2 2 23" xfId="11997" xr:uid="{DAAE4135-4B2E-4FC4-9FA6-681B558B15B2}"/>
    <cellStyle name="AggOrangeRBorder 3 2 2 24" xfId="12470" xr:uid="{AE903D0C-3F4F-42AC-A04B-50A21A196CAF}"/>
    <cellStyle name="AggOrangeRBorder 3 2 2 25" xfId="12904" xr:uid="{7FF3B6E7-3CE6-4C3D-BC27-AB0A905503F3}"/>
    <cellStyle name="AggOrangeRBorder 3 2 2 26" xfId="13341" xr:uid="{D1E2692F-994A-4FED-8F05-A3B1549146FC}"/>
    <cellStyle name="AggOrangeRBorder 3 2 2 27" xfId="11840" xr:uid="{F30B21D9-0330-4080-84E9-B0E94DAA4D7B}"/>
    <cellStyle name="AggOrangeRBorder 3 2 2 28" xfId="14388" xr:uid="{3C172C49-F8FB-4C71-BAAD-D4DEEFD4E82B}"/>
    <cellStyle name="AggOrangeRBorder 3 2 2 29" xfId="13838" xr:uid="{5026431C-39BB-4532-A9DD-5D85F65C5205}"/>
    <cellStyle name="AggOrangeRBorder 3 2 2 3" xfId="1521" xr:uid="{682311E9-E511-4B52-B7B3-F992715A0F97}"/>
    <cellStyle name="AggOrangeRBorder 3 2 2 30" xfId="15132" xr:uid="{50DD4A23-F26E-4371-BC68-DE3245F18727}"/>
    <cellStyle name="AggOrangeRBorder 3 2 2 31" xfId="15526" xr:uid="{2FEB2D55-ED9B-4D45-8611-7F8B66A159EE}"/>
    <cellStyle name="AggOrangeRBorder 3 2 2 32" xfId="15983" xr:uid="{B1789DC7-690A-4291-BD88-5B820E51DEC9}"/>
    <cellStyle name="AggOrangeRBorder 3 2 2 33" xfId="16689" xr:uid="{EDBEFA7F-3ABC-4B53-8A96-71D81665949E}"/>
    <cellStyle name="AggOrangeRBorder 3 2 2 34" xfId="17363" xr:uid="{1FE224D2-F449-4A5E-892A-4FB3265185A1}"/>
    <cellStyle name="AggOrangeRBorder 3 2 2 35" xfId="17805" xr:uid="{6604A0C0-D707-4C1C-832E-EDAFB24B3F4A}"/>
    <cellStyle name="AggOrangeRBorder 3 2 2 36" xfId="17458" xr:uid="{01B57CCD-E8FC-4CA0-9E3B-8A32B222F68B}"/>
    <cellStyle name="AggOrangeRBorder 3 2 2 37" xfId="18507" xr:uid="{33AFDAFA-75D5-435D-A261-CC5A08F0FA37}"/>
    <cellStyle name="AggOrangeRBorder 3 2 2 38" xfId="17957" xr:uid="{8BA3416A-6DEA-460E-AB5E-FBF1D3BA0A93}"/>
    <cellStyle name="AggOrangeRBorder 3 2 2 39" xfId="18831" xr:uid="{CB87494A-B758-4E3C-BEC7-C8F6BEFFE693}"/>
    <cellStyle name="AggOrangeRBorder 3 2 2 4" xfId="2466" xr:uid="{6A6BDB36-E009-4050-95C3-AA535192C237}"/>
    <cellStyle name="AggOrangeRBorder 3 2 2 40" xfId="20026" xr:uid="{DC1569E3-C70A-46FC-AF34-D765DB4CEB5B}"/>
    <cellStyle name="AggOrangeRBorder 3 2 2 41" xfId="20713" xr:uid="{1AFB1B7B-EFB4-4221-8FA0-A14A2814E964}"/>
    <cellStyle name="AggOrangeRBorder 3 2 2 42" xfId="21171" xr:uid="{839DFC21-8F93-442C-9F65-AC30B720BAF6}"/>
    <cellStyle name="AggOrangeRBorder 3 2 2 43" xfId="20893" xr:uid="{D6434AA7-00E8-4C05-AE3E-4FF4BD42575B}"/>
    <cellStyle name="AggOrangeRBorder 3 2 2 44" xfId="22102" xr:uid="{9C5AAFA0-F952-4E6F-9553-1651E3918A20}"/>
    <cellStyle name="AggOrangeRBorder 3 2 2 45" xfId="22530" xr:uid="{427C59A7-393B-4D36-9D4D-B54A05B2BA80}"/>
    <cellStyle name="AggOrangeRBorder 3 2 2 46" xfId="19405" xr:uid="{4BC6EBEF-FD52-4A12-BD10-444A628D96D7}"/>
    <cellStyle name="AggOrangeRBorder 3 2 2 47" xfId="22085" xr:uid="{A68D55C4-BDB7-4F72-83FD-80C80A4E85A6}"/>
    <cellStyle name="AggOrangeRBorder 3 2 2 48" xfId="23053" xr:uid="{B59A5CEB-6DCB-479A-B461-7F5024774C61}"/>
    <cellStyle name="AggOrangeRBorder 3 2 2 49" xfId="23835" xr:uid="{94D4FD96-658D-40D7-AD66-F6FC5152EFF7}"/>
    <cellStyle name="AggOrangeRBorder 3 2 2 5" xfId="1818" xr:uid="{465F0A5D-F068-495E-B738-3A354AEFBDD8}"/>
    <cellStyle name="AggOrangeRBorder 3 2 2 50" xfId="24734" xr:uid="{FDDE1BA3-8FA3-4B40-9736-E3DA9974FC24}"/>
    <cellStyle name="AggOrangeRBorder 3 2 2 51" xfId="25417" xr:uid="{312C03A1-05FE-43F3-B643-93C4A40DF51E}"/>
    <cellStyle name="AggOrangeRBorder 3 2 2 52" xfId="25652" xr:uid="{33BF997C-66EC-4643-B90D-C7A197E219FD}"/>
    <cellStyle name="AggOrangeRBorder 3 2 2 53" xfId="25237" xr:uid="{C560C097-49B0-4BD5-A508-D47E37C6FA46}"/>
    <cellStyle name="AggOrangeRBorder 3 2 2 54" xfId="25946" xr:uid="{0EECBE09-FF9D-41F7-BAB4-7C7D16176484}"/>
    <cellStyle name="AggOrangeRBorder 3 2 2 55" xfId="26942" xr:uid="{E3C8A495-21D5-4EBB-8CAA-4719C8AE0D9A}"/>
    <cellStyle name="AggOrangeRBorder 3 2 2 56" xfId="27361" xr:uid="{3EB5E643-9B9F-4461-8BC8-3AC93CE13BF1}"/>
    <cellStyle name="AggOrangeRBorder 3 2 2 57" xfId="27821" xr:uid="{8DE12A31-3FE7-497B-8D8F-48D726222838}"/>
    <cellStyle name="AggOrangeRBorder 3 2 2 58" xfId="28484" xr:uid="{ECDE1CF4-9A81-4484-BC1A-C4223ADABAE4}"/>
    <cellStyle name="AggOrangeRBorder 3 2 2 59" xfId="28952" xr:uid="{E0E601A5-C8CF-48F9-87A4-F403EB487B3D}"/>
    <cellStyle name="AggOrangeRBorder 3 2 2 6" xfId="3507" xr:uid="{D3C7C36A-8028-4BFE-8646-8B0171787B9F}"/>
    <cellStyle name="AggOrangeRBorder 3 2 2 60" xfId="29531" xr:uid="{F4854036-2CC8-45D8-8E63-498EAC54D92A}"/>
    <cellStyle name="AggOrangeRBorder 3 2 2 61" xfId="29742" xr:uid="{17CD456E-DD43-4B7F-9B46-E0E86C4E5EC9}"/>
    <cellStyle name="AggOrangeRBorder 3 2 2 62" xfId="30150" xr:uid="{EEFF211A-CD0D-4CC4-AEE3-45B476BFF5A3}"/>
    <cellStyle name="AggOrangeRBorder 3 2 2 63" xfId="30564" xr:uid="{29C3CA96-02CA-41DE-9E8C-02CA39E3500D}"/>
    <cellStyle name="AggOrangeRBorder 3 2 2 64" xfId="29216" xr:uid="{A5751C6E-A989-45C9-AC3A-2A7D2E18EBF2}"/>
    <cellStyle name="AggOrangeRBorder 3 2 2 65" xfId="31188" xr:uid="{CCF2FDC0-EEE3-4391-9DA4-560F69B21028}"/>
    <cellStyle name="AggOrangeRBorder 3 2 2 7" xfId="3962" xr:uid="{CCE48FCD-060A-4EEA-B7F6-82564461819B}"/>
    <cellStyle name="AggOrangeRBorder 3 2 2 8" xfId="4400" xr:uid="{B92F6CAD-A63C-4C2F-AE6E-3A785F6FE728}"/>
    <cellStyle name="AggOrangeRBorder 3 2 2 9" xfId="4750" xr:uid="{308991D7-6B8A-499D-953E-F746897493C1}"/>
    <cellStyle name="AggOrangeRBorder 3 2 3" xfId="859" xr:uid="{1F3DBFD2-93D4-4634-9098-CBC40F4AD027}"/>
    <cellStyle name="AggOrangeRBorder 3 2 3 10" xfId="5507" xr:uid="{1A3CEDF7-3B22-4F88-989C-097E552312F8}"/>
    <cellStyle name="AggOrangeRBorder 3 2 3 11" xfId="5651" xr:uid="{01BDCC29-1E74-4ED0-815F-FBDF7F636AEE}"/>
    <cellStyle name="AggOrangeRBorder 3 2 3 12" xfId="4847" xr:uid="{4FB8AF8D-3920-4925-B1F9-D174039B05D5}"/>
    <cellStyle name="AggOrangeRBorder 3 2 3 13" xfId="6447" xr:uid="{4F5C3FF2-CF16-4C0F-BA4A-9F77E5E49870}"/>
    <cellStyle name="AggOrangeRBorder 3 2 3 14" xfId="7579" xr:uid="{EA3ED944-951E-441A-9564-76FF49792DBE}"/>
    <cellStyle name="AggOrangeRBorder 3 2 3 15" xfId="6983" xr:uid="{3844852D-3263-4CC7-B1C7-A120FAE425BE}"/>
    <cellStyle name="AggOrangeRBorder 3 2 3 16" xfId="8560" xr:uid="{DA83D7D4-894D-4EEA-9584-DF6A222F5E94}"/>
    <cellStyle name="AggOrangeRBorder 3 2 3 17" xfId="8790" xr:uid="{570FC702-346B-4B5D-887F-A3F0B83AAF58}"/>
    <cellStyle name="AggOrangeRBorder 3 2 3 18" xfId="9793" xr:uid="{A95388FD-9D2A-4617-AF09-A4A406402DFF}"/>
    <cellStyle name="AggOrangeRBorder 3 2 3 19" xfId="9324" xr:uid="{240E4978-3B05-42B5-9AEF-79CA4153046E}"/>
    <cellStyle name="AggOrangeRBorder 3 2 3 2" xfId="1333" xr:uid="{8E5CA5E2-FAE9-4999-8F90-F708DB245A2B}"/>
    <cellStyle name="AggOrangeRBorder 3 2 3 20" xfId="9881" xr:uid="{0BD32DA4-79E2-4F4C-A6A2-D0E1FB25C09E}"/>
    <cellStyle name="AggOrangeRBorder 3 2 3 21" xfId="10368" xr:uid="{F6AE7119-4836-4D2E-A8F4-FDD7044DD42A}"/>
    <cellStyle name="AggOrangeRBorder 3 2 3 22" xfId="10809" xr:uid="{9EB7275B-D9D3-4D14-AEAA-261712006832}"/>
    <cellStyle name="AggOrangeRBorder 3 2 3 23" xfId="12212" xr:uid="{FD1BB52F-8075-46A9-90CC-F8D8AADB863A}"/>
    <cellStyle name="AggOrangeRBorder 3 2 3 24" xfId="12685" xr:uid="{EF8FB831-17C5-419B-998B-CCC79A1D89C7}"/>
    <cellStyle name="AggOrangeRBorder 3 2 3 25" xfId="13119" xr:uid="{C66C8B32-D252-4EDD-9613-0B68219255BC}"/>
    <cellStyle name="AggOrangeRBorder 3 2 3 26" xfId="13556" xr:uid="{C6229E58-2237-4E54-AF1A-2CA1BC388D62}"/>
    <cellStyle name="AggOrangeRBorder 3 2 3 27" xfId="11596" xr:uid="{19097486-35C3-48D5-863B-F8B72FBDA451}"/>
    <cellStyle name="AggOrangeRBorder 3 2 3 28" xfId="14475" xr:uid="{CF3FDD8D-8FDD-427B-B1C1-B64ADA5E96B3}"/>
    <cellStyle name="AggOrangeRBorder 3 2 3 29" xfId="12246" xr:uid="{0E05C693-AD11-485B-9F1A-1BE096FEA019}"/>
    <cellStyle name="AggOrangeRBorder 3 2 3 3" xfId="1782" xr:uid="{D6271B2E-CCD2-434A-B363-EBA63D8CEC7A}"/>
    <cellStyle name="AggOrangeRBorder 3 2 3 30" xfId="13868" xr:uid="{DB2718C7-5B36-45B0-8B64-61FD191F8484}"/>
    <cellStyle name="AggOrangeRBorder 3 2 3 31" xfId="14986" xr:uid="{E2DDAF4A-04AC-42DE-860C-2A854B134E25}"/>
    <cellStyle name="AggOrangeRBorder 3 2 3 32" xfId="15058" xr:uid="{EBA91E51-00FF-4CB2-A1A0-8864C7AC9F01}"/>
    <cellStyle name="AggOrangeRBorder 3 2 3 33" xfId="16904" xr:uid="{4D08BD8D-3B79-4A5F-9343-00DB175720D9}"/>
    <cellStyle name="AggOrangeRBorder 3 2 3 34" xfId="16303" xr:uid="{A92AFED6-400C-48CF-BC16-5048CD57D860}"/>
    <cellStyle name="AggOrangeRBorder 3 2 3 35" xfId="17071" xr:uid="{AFF13DD5-5246-459A-9521-7264BCD90EC7}"/>
    <cellStyle name="AggOrangeRBorder 3 2 3 36" xfId="18040" xr:uid="{34FA7250-1569-46E0-893D-B30FB55BA2D1}"/>
    <cellStyle name="AggOrangeRBorder 3 2 3 37" xfId="18722" xr:uid="{503C7B73-01A4-4648-8BF4-0A111C59DCD7}"/>
    <cellStyle name="AggOrangeRBorder 3 2 3 38" xfId="18924" xr:uid="{7DFCDE87-2E4A-49C5-969F-2DC1EE0AF831}"/>
    <cellStyle name="AggOrangeRBorder 3 2 3 39" xfId="18987" xr:uid="{D3409BA3-FDCB-436A-B397-E92AED12BBFE}"/>
    <cellStyle name="AggOrangeRBorder 3 2 3 4" xfId="2681" xr:uid="{EDF80AE8-BD48-48AB-A898-F71E97243B1C}"/>
    <cellStyle name="AggOrangeRBorder 3 2 3 40" xfId="20241" xr:uid="{0786E6B5-59EE-4981-8EDD-D7FECFBD54F3}"/>
    <cellStyle name="AggOrangeRBorder 3 2 3 41" xfId="19633" xr:uid="{298669F7-299C-41B4-8E19-BC093040FB1A}"/>
    <cellStyle name="AggOrangeRBorder 3 2 3 42" xfId="19478" xr:uid="{1160EFA1-0D5A-4648-8227-D45B9E57FD8A}"/>
    <cellStyle name="AggOrangeRBorder 3 2 3 43" xfId="21526" xr:uid="{29B06A0E-BEF8-4872-8149-8C371DE94BD3}"/>
    <cellStyle name="AggOrangeRBorder 3 2 3 44" xfId="19824" xr:uid="{70AE2B1A-2610-4464-8B62-F0865B432239}"/>
    <cellStyle name="AggOrangeRBorder 3 2 3 45" xfId="19484" xr:uid="{A33443B4-5269-44EA-9E71-6D1DA158AD74}"/>
    <cellStyle name="AggOrangeRBorder 3 2 3 46" xfId="21408" xr:uid="{C87721C9-4D02-4C2D-A833-C19DF12CEE0A}"/>
    <cellStyle name="AggOrangeRBorder 3 2 3 47" xfId="23207" xr:uid="{B590B377-F8C9-4C47-9445-CF7EA8F1703A}"/>
    <cellStyle name="AggOrangeRBorder 3 2 3 48" xfId="23109" xr:uid="{DC651882-E8D3-488F-A83B-D964482A35CE}"/>
    <cellStyle name="AggOrangeRBorder 3 2 3 49" xfId="24041" xr:uid="{49165C6A-BBC7-4C44-8868-563200524CFD}"/>
    <cellStyle name="AggOrangeRBorder 3 2 3 5" xfId="1915" xr:uid="{A72F077E-E500-4FAB-BAB8-B217300B289F}"/>
    <cellStyle name="AggOrangeRBorder 3 2 3 50" xfId="24949" xr:uid="{8932E907-3D45-4DDC-87C0-446909AA867F}"/>
    <cellStyle name="AggOrangeRBorder 3 2 3 51" xfId="24104" xr:uid="{384812DF-BE8E-462F-B62B-7BD3043AE816}"/>
    <cellStyle name="AggOrangeRBorder 3 2 3 52" xfId="25865" xr:uid="{E1D9CD89-7A43-4887-8ADD-31BC3E85F7DF}"/>
    <cellStyle name="AggOrangeRBorder 3 2 3 53" xfId="24252" xr:uid="{251D98B3-C9A9-4B36-B3C5-FFC38FBA426C}"/>
    <cellStyle name="AggOrangeRBorder 3 2 3 54" xfId="26732" xr:uid="{7406E27D-A094-4B7B-B65D-C4561A130826}"/>
    <cellStyle name="AggOrangeRBorder 3 2 3 55" xfId="27153" xr:uid="{37E3A43F-BDA4-4D63-A8BD-01C928FA56D4}"/>
    <cellStyle name="AggOrangeRBorder 3 2 3 56" xfId="27572" xr:uid="{C4425737-8C15-4D87-BD3F-45427879D70F}"/>
    <cellStyle name="AggOrangeRBorder 3 2 3 57" xfId="25339" xr:uid="{22568B11-52DE-48C5-A640-10B19D8029B6}"/>
    <cellStyle name="AggOrangeRBorder 3 2 3 58" xfId="28699" xr:uid="{224672D9-5165-4FE9-BAB4-01A1F4DC7339}"/>
    <cellStyle name="AggOrangeRBorder 3 2 3 59" xfId="29166" xr:uid="{2F71A5F9-CE93-4A41-AB18-2C98F04FD1CE}"/>
    <cellStyle name="AggOrangeRBorder 3 2 3 6" xfId="3637" xr:uid="{C9AA98D2-D3C1-4E06-BD57-244B661BEFB3}"/>
    <cellStyle name="AggOrangeRBorder 3 2 3 60" xfId="28230" xr:uid="{4621A4B4-CC17-4989-93C5-A742A80EA040}"/>
    <cellStyle name="AggOrangeRBorder 3 2 3 61" xfId="29955" xr:uid="{6BE36704-AC2F-4DAE-805C-3D192689AFC5}"/>
    <cellStyle name="AggOrangeRBorder 3 2 3 62" xfId="30361" xr:uid="{7BA47A42-FC2B-4560-9AFB-CAC1C039C0D4}"/>
    <cellStyle name="AggOrangeRBorder 3 2 3 63" xfId="30778" xr:uid="{30A9C23F-F273-4CF5-81F2-EC86B4A36090}"/>
    <cellStyle name="AggOrangeRBorder 3 2 3 64" xfId="28769" xr:uid="{47F771CD-6E65-49DF-B193-6072524B1EC1}"/>
    <cellStyle name="AggOrangeRBorder 3 2 3 65" xfId="31394" xr:uid="{2A5D2288-EAFF-4D92-8252-368602DFB2DE}"/>
    <cellStyle name="AggOrangeRBorder 3 2 3 7" xfId="4177" xr:uid="{671A4D71-C04C-4526-8387-B72AFF6DA599}"/>
    <cellStyle name="AggOrangeRBorder 3 2 3 8" xfId="4614" xr:uid="{34B3CFC2-5885-45E4-9DCA-6A467803B058}"/>
    <cellStyle name="AggOrangeRBorder 3 2 3 9" xfId="5060" xr:uid="{4C5214B6-1321-440C-8115-AD66DA498A9F}"/>
    <cellStyle name="AggOrangeRBorder 4" xfId="270" xr:uid="{51C982D1-0C6B-4FDF-B4C3-28BE0C0805A8}"/>
    <cellStyle name="AggOrangeRBorder 4 10" xfId="2023" xr:uid="{1D4326A6-83AF-42FA-851F-609837029034}"/>
    <cellStyle name="AggOrangeRBorder 4 11" xfId="3788" xr:uid="{C0D74441-3335-49E9-A5B9-378315142458}"/>
    <cellStyle name="AggOrangeRBorder 4 12" xfId="3764" xr:uid="{87F3A14E-9A1C-4A8C-9B1D-A2C100A78F8E}"/>
    <cellStyle name="AggOrangeRBorder 4 13" xfId="3816" xr:uid="{5A29B342-6761-4EA0-98DD-7401C1D3DCAA}"/>
    <cellStyle name="AggOrangeRBorder 4 14" xfId="4911" xr:uid="{4B53C5F9-9EA2-4B07-BA9F-97B5D8259A0F}"/>
    <cellStyle name="AggOrangeRBorder 4 15" xfId="4875" xr:uid="{1E14922F-0E0C-4B11-8B57-BFA68D38FAF1}"/>
    <cellStyle name="AggOrangeRBorder 4 16" xfId="6318" xr:uid="{53918C0B-1FB3-487C-B21A-08C6C21C6579}"/>
    <cellStyle name="AggOrangeRBorder 4 17" xfId="6446" xr:uid="{D15EEEB1-42DB-4A0E-944D-ECC3E4F4672A}"/>
    <cellStyle name="AggOrangeRBorder 4 18" xfId="7000" xr:uid="{B64DBBB7-D25A-4E84-A078-8B4DE80BBCEA}"/>
    <cellStyle name="AggOrangeRBorder 4 19" xfId="7081" xr:uid="{B18DB28E-F1B2-41C1-81C3-EF74F69E5869}"/>
    <cellStyle name="AggOrangeRBorder 4 2" xfId="609" xr:uid="{6D1DE3B5-C4A0-4823-99CF-3B8E9324EBE4}"/>
    <cellStyle name="AggOrangeRBorder 4 2 10" xfId="4262" xr:uid="{6A9A3F15-EED5-4CBA-85C5-11C29450959A}"/>
    <cellStyle name="AggOrangeRBorder 4 2 11" xfId="5257" xr:uid="{3516C90D-B0BE-4153-B348-67B0C43681EF}"/>
    <cellStyle name="AggOrangeRBorder 4 2 12" xfId="5020" xr:uid="{8552649A-6B35-4DEF-A349-541812FE0AEA}"/>
    <cellStyle name="AggOrangeRBorder 4 2 13" xfId="6221" xr:uid="{2118FBDB-DE63-4604-A9DE-588FDB62DC53}"/>
    <cellStyle name="AggOrangeRBorder 4 2 14" xfId="6441" xr:uid="{B53019E6-E591-49BB-AF6E-376F75E47539}"/>
    <cellStyle name="AggOrangeRBorder 4 2 15" xfId="7329" xr:uid="{5E056D7F-0FC3-4B83-95BA-93A7AC882FD4}"/>
    <cellStyle name="AggOrangeRBorder 4 2 16" xfId="7787" xr:uid="{C9738A22-4784-4617-826C-547DB51FC2FE}"/>
    <cellStyle name="AggOrangeRBorder 4 2 17" xfId="8547" xr:uid="{2ECB952C-76BD-4DFA-B568-BCF9BF57170F}"/>
    <cellStyle name="AggOrangeRBorder 4 2 18" xfId="6858" xr:uid="{48DAE3A3-9604-4759-957F-EA491EEAF19C}"/>
    <cellStyle name="AggOrangeRBorder 4 2 19" xfId="9543" xr:uid="{1773B560-4999-483C-8C32-3C1494F04958}"/>
    <cellStyle name="AggOrangeRBorder 4 2 2" xfId="824" xr:uid="{EF216758-8A26-4C8E-AA9C-11E5FDC7EE57}"/>
    <cellStyle name="AggOrangeRBorder 4 2 2 10" xfId="5472" xr:uid="{B644418C-2DC3-433F-99CA-5EB5A58769D3}"/>
    <cellStyle name="AggOrangeRBorder 4 2 2 11" xfId="5748" xr:uid="{A7C205B3-9146-47F3-A0D7-BF4A5C5376A6}"/>
    <cellStyle name="AggOrangeRBorder 4 2 2 12" xfId="4688" xr:uid="{4AF77172-0D73-4D9D-BF68-B8948EFC103A}"/>
    <cellStyle name="AggOrangeRBorder 4 2 2 13" xfId="6311" xr:uid="{4BC4FDBF-7C9B-45EB-B002-D4FC870575FD}"/>
    <cellStyle name="AggOrangeRBorder 4 2 2 14" xfId="7544" xr:uid="{82436B48-D274-47F8-BDB7-79DBBC8F76DC}"/>
    <cellStyle name="AggOrangeRBorder 4 2 2 15" xfId="6981" xr:uid="{1150BDF3-67C2-4341-8C4F-6A7500D3B0DD}"/>
    <cellStyle name="AggOrangeRBorder 4 2 2 16" xfId="8233" xr:uid="{83AB37E1-A3FE-4E25-93A5-C8B2120169CF}"/>
    <cellStyle name="AggOrangeRBorder 4 2 2 17" xfId="7977" xr:uid="{617359BD-31B3-4EF2-AD8E-D11D841221A2}"/>
    <cellStyle name="AggOrangeRBorder 4 2 2 18" xfId="9758" xr:uid="{DA411EBD-750D-4933-8180-C6C870DE45CE}"/>
    <cellStyle name="AggOrangeRBorder 4 2 2 19" xfId="9322" xr:uid="{153BB73D-9704-4A83-98B0-2ADE57D8FF86}"/>
    <cellStyle name="AggOrangeRBorder 4 2 2 2" xfId="1298" xr:uid="{A2317E52-2F9D-4F43-97E2-1797598A7EAF}"/>
    <cellStyle name="AggOrangeRBorder 4 2 2 20" xfId="9638" xr:uid="{B6258ADF-2278-4A21-B12D-185A70F11B5E}"/>
    <cellStyle name="AggOrangeRBorder 4 2 2 21" xfId="10451" xr:uid="{32404442-B42A-4C0F-906B-DFC88250C5A8}"/>
    <cellStyle name="AggOrangeRBorder 4 2 2 22" xfId="11099" xr:uid="{5F501A28-A75D-461B-9610-5A1A95BAB1F9}"/>
    <cellStyle name="AggOrangeRBorder 4 2 2 23" xfId="12177" xr:uid="{8B95FCBD-E197-4094-B8C2-17143B924D12}"/>
    <cellStyle name="AggOrangeRBorder 4 2 2 24" xfId="12650" xr:uid="{422ABFCA-267C-4171-A524-598F4B856529}"/>
    <cellStyle name="AggOrangeRBorder 4 2 2 25" xfId="13084" xr:uid="{9F07F6B8-D7EE-40A4-A5D4-44290D3AAF87}"/>
    <cellStyle name="AggOrangeRBorder 4 2 2 26" xfId="13521" xr:uid="{5E43F7DF-14E2-4BA0-A521-B170794B27FE}"/>
    <cellStyle name="AggOrangeRBorder 4 2 2 27" xfId="11545" xr:uid="{B395CA4A-29B7-4CC4-ACA9-C6C792F44C59}"/>
    <cellStyle name="AggOrangeRBorder 4 2 2 28" xfId="11519" xr:uid="{3DEA4392-F834-4369-9AE1-3243C11638AA}"/>
    <cellStyle name="AggOrangeRBorder 4 2 2 29" xfId="13815" xr:uid="{F448F5F8-496A-4B67-9027-1912B26C4C9F}"/>
    <cellStyle name="AggOrangeRBorder 4 2 2 3" xfId="1556" xr:uid="{957D0897-6304-49BC-B114-75DE80644C86}"/>
    <cellStyle name="AggOrangeRBorder 4 2 2 30" xfId="15344" xr:uid="{62CC1EA7-E619-48B9-A5A8-525A6DAF5646}"/>
    <cellStyle name="AggOrangeRBorder 4 2 2 31" xfId="15443" xr:uid="{B3AA980A-93E0-43CF-9028-C8B972A6A320}"/>
    <cellStyle name="AggOrangeRBorder 4 2 2 32" xfId="15200" xr:uid="{29DDAC68-99B1-4B5C-9F93-A5C656E21E01}"/>
    <cellStyle name="AggOrangeRBorder 4 2 2 33" xfId="16869" xr:uid="{E407986A-306D-417B-BC6D-32D6D4AFDC2C}"/>
    <cellStyle name="AggOrangeRBorder 4 2 2 34" xfId="16301" xr:uid="{691E2539-D73B-40FE-A119-8E09C785E1D7}"/>
    <cellStyle name="AggOrangeRBorder 4 2 2 35" xfId="16502" xr:uid="{96230F4E-B18D-4290-89E2-7224CFDFD24F}"/>
    <cellStyle name="AggOrangeRBorder 4 2 2 36" xfId="18100" xr:uid="{9D3FEEDC-802A-46C5-8CEF-C423A6B7394D}"/>
    <cellStyle name="AggOrangeRBorder 4 2 2 37" xfId="18687" xr:uid="{D855267C-050C-4D28-A875-2BAE28B1614C}"/>
    <cellStyle name="AggOrangeRBorder 4 2 2 38" xfId="18020" xr:uid="{78C25EC4-0FFD-49F6-9CC9-AC827B520C50}"/>
    <cellStyle name="AggOrangeRBorder 4 2 2 39" xfId="17454" xr:uid="{8BCCCE7B-89E6-4105-A855-898C1C1C5808}"/>
    <cellStyle name="AggOrangeRBorder 4 2 2 4" xfId="2646" xr:uid="{A68B633D-EA98-4BD2-98C0-F897871CAD71}"/>
    <cellStyle name="AggOrangeRBorder 4 2 2 40" xfId="20206" xr:uid="{16A73556-55AF-4232-A45E-68E86E096D25}"/>
    <cellStyle name="AggOrangeRBorder 4 2 2 41" xfId="19783" xr:uid="{83ECF960-A1F8-4B59-BDBE-4526A5DEB08E}"/>
    <cellStyle name="AggOrangeRBorder 4 2 2 42" xfId="19386" xr:uid="{144161A1-C08F-4350-BA55-43B2854F47BD}"/>
    <cellStyle name="AggOrangeRBorder 4 2 2 43" xfId="21227" xr:uid="{5CBB9AF0-3E9E-4CC5-8A90-6BEF69A249C8}"/>
    <cellStyle name="AggOrangeRBorder 4 2 2 44" xfId="21384" xr:uid="{A3B33295-2494-419E-8550-F8E0557006F4}"/>
    <cellStyle name="AggOrangeRBorder 4 2 2 45" xfId="21303" xr:uid="{E5DF1B35-07B9-4EA6-963F-1184795EB617}"/>
    <cellStyle name="AggOrangeRBorder 4 2 2 46" xfId="22162" xr:uid="{6FB4C92A-9832-42B8-8A1F-CBBB42C29D3D}"/>
    <cellStyle name="AggOrangeRBorder 4 2 2 47" xfId="22631" xr:uid="{2F405831-523D-4A28-B856-D5A9376C0B0C}"/>
    <cellStyle name="AggOrangeRBorder 4 2 2 48" xfId="22951" xr:uid="{672CCCB5-0341-46A5-90CD-25A158E0C42D}"/>
    <cellStyle name="AggOrangeRBorder 4 2 2 49" xfId="24006" xr:uid="{312BADB9-B74A-402B-82C2-C3B269D63FD1}"/>
    <cellStyle name="AggOrangeRBorder 4 2 2 5" xfId="1829" xr:uid="{41E72E4F-A2AD-4218-8088-5D8CC205531A}"/>
    <cellStyle name="AggOrangeRBorder 4 2 2 50" xfId="24914" xr:uid="{E3878F4C-A92E-4DCB-8C56-7D8A07493D45}"/>
    <cellStyle name="AggOrangeRBorder 4 2 2 51" xfId="24189" xr:uid="{B65CDEAD-3171-4606-BE75-441227F12C70}"/>
    <cellStyle name="AggOrangeRBorder 4 2 2 52" xfId="25830" xr:uid="{77880E0E-EFA6-4AD2-AE37-B690D7EC5058}"/>
    <cellStyle name="AggOrangeRBorder 4 2 2 53" xfId="25251" xr:uid="{4F833A13-EE0E-42AD-8FDF-066408D368E4}"/>
    <cellStyle name="AggOrangeRBorder 4 2 2 54" xfId="26665" xr:uid="{CF9834A8-4490-406F-9269-FED4D6AC0FEA}"/>
    <cellStyle name="AggOrangeRBorder 4 2 2 55" xfId="27118" xr:uid="{4FC33A07-080A-4548-A5A4-E394B58F14BE}"/>
    <cellStyle name="AggOrangeRBorder 4 2 2 56" xfId="27537" xr:uid="{F0858CD2-9CC0-4873-859D-553D8CBB28AA}"/>
    <cellStyle name="AggOrangeRBorder 4 2 2 57" xfId="26765" xr:uid="{28EABD9C-C57F-4A77-A551-1A2393F69E9A}"/>
    <cellStyle name="AggOrangeRBorder 4 2 2 58" xfId="28664" xr:uid="{67E99B95-8BFE-4089-BE3B-7C126D97069B}"/>
    <cellStyle name="AggOrangeRBorder 4 2 2 59" xfId="29131" xr:uid="{8D276953-BCE6-4EA7-A4C0-3CE62FD6A944}"/>
    <cellStyle name="AggOrangeRBorder 4 2 2 6" xfId="2985" xr:uid="{7047C487-8663-426F-9D81-651EE550B0EE}"/>
    <cellStyle name="AggOrangeRBorder 4 2 2 60" xfId="27925" xr:uid="{EED29715-6479-4719-AB4C-5D53AE539626}"/>
    <cellStyle name="AggOrangeRBorder 4 2 2 61" xfId="29920" xr:uid="{A3259CA3-380C-4FF0-82BC-24AB9F0C100F}"/>
    <cellStyle name="AggOrangeRBorder 4 2 2 62" xfId="30326" xr:uid="{1F428D0C-65D7-4E2A-BDD4-A7407E3703E9}"/>
    <cellStyle name="AggOrangeRBorder 4 2 2 63" xfId="30743" xr:uid="{5DBAB869-7D0D-4D6B-9108-8355B4FA4C0B}"/>
    <cellStyle name="AggOrangeRBorder 4 2 2 64" xfId="30886" xr:uid="{D010AAC1-F8CE-4C00-8B83-E7FE48E65DE7}"/>
    <cellStyle name="AggOrangeRBorder 4 2 2 65" xfId="31359" xr:uid="{01BB20DF-C9F8-4442-8933-D5A003C8B092}"/>
    <cellStyle name="AggOrangeRBorder 4 2 2 7" xfId="4142" xr:uid="{A5F79F9C-702B-42CB-8267-882372A022EF}"/>
    <cellStyle name="AggOrangeRBorder 4 2 2 8" xfId="4579" xr:uid="{30F62323-0D84-4EF4-B9F5-B4E9769C202D}"/>
    <cellStyle name="AggOrangeRBorder 4 2 2 9" xfId="4715" xr:uid="{016BC0B9-4E78-4213-A5E5-D04B1C744AF5}"/>
    <cellStyle name="AggOrangeRBorder 4 2 20" xfId="10000" xr:uid="{3EE0992A-0958-4170-8FA2-EFAFA042DBC6}"/>
    <cellStyle name="AggOrangeRBorder 4 2 21" xfId="10425" xr:uid="{C05E5358-DF24-4286-9995-E55D8B454673}"/>
    <cellStyle name="AggOrangeRBorder 4 2 22" xfId="10571" xr:uid="{72C32AF8-9487-41D9-9DE1-91B9AF2DDAC9}"/>
    <cellStyle name="AggOrangeRBorder 4 2 23" xfId="10413" xr:uid="{0ACDD567-35BD-45CF-B471-0079624CCE0C}"/>
    <cellStyle name="AggOrangeRBorder 4 2 24" xfId="11962" xr:uid="{67286575-3F06-4CE1-92DA-1C38F7A1483D}"/>
    <cellStyle name="AggOrangeRBorder 4 2 25" xfId="12435" xr:uid="{4F469B70-198A-4222-AB01-E8FAE68498F9}"/>
    <cellStyle name="AggOrangeRBorder 4 2 26" xfId="12869" xr:uid="{4EBACD6C-B3B1-40E5-9546-60885D1B3A46}"/>
    <cellStyle name="AggOrangeRBorder 4 2 27" xfId="13306" xr:uid="{FEBCCD0B-3700-43CC-8BC9-7EB94B90BB4B}"/>
    <cellStyle name="AggOrangeRBorder 4 2 28" xfId="13681" xr:uid="{B16DEFAF-6990-40DF-8BD0-632B80141710}"/>
    <cellStyle name="AggOrangeRBorder 4 2 29" xfId="13948" xr:uid="{40DB2081-B9D3-4FBE-AB3D-DEF34EDC9CCF}"/>
    <cellStyle name="AggOrangeRBorder 4 2 3" xfId="1092" xr:uid="{5EF71910-E07C-474B-89FA-362FBAF0AC5E}"/>
    <cellStyle name="AggOrangeRBorder 4 2 30" xfId="13627" xr:uid="{F4FF7A49-0FF5-4DDA-94B1-28FD3891509B}"/>
    <cellStyle name="AggOrangeRBorder 4 2 31" xfId="15251" xr:uid="{F55A884D-227F-42F9-80B7-4B4587ADCEFA}"/>
    <cellStyle name="AggOrangeRBorder 4 2 32" xfId="14624" xr:uid="{0847B51D-8CF2-4C3A-B2A7-1EAE7EC34F3D}"/>
    <cellStyle name="AggOrangeRBorder 4 2 33" xfId="15855" xr:uid="{6DA451B5-D1EE-4650-9C35-70C8B93EA013}"/>
    <cellStyle name="AggOrangeRBorder 4 2 34" xfId="16654" xr:uid="{C83DACF9-6D47-45BA-B721-EE2D05EB80FD}"/>
    <cellStyle name="AggOrangeRBorder 4 2 35" xfId="17116" xr:uid="{CBCC07B3-E1D7-485D-946C-3915D68912F3}"/>
    <cellStyle name="AggOrangeRBorder 4 2 36" xfId="17563" xr:uid="{98F09453-60DC-45E1-AACE-9E1B51DF87C0}"/>
    <cellStyle name="AggOrangeRBorder 4 2 37" xfId="17971" xr:uid="{AC1FDC30-4F6E-4B4A-BC0F-D720309E7B4E}"/>
    <cellStyle name="AggOrangeRBorder 4 2 38" xfId="18472" xr:uid="{278CF7DB-5AFC-441F-9E10-25D28F7E98C8}"/>
    <cellStyle name="AggOrangeRBorder 4 2 39" xfId="17977" xr:uid="{A02B16D9-21F1-43C3-B4BD-7E0AADB5D7A0}"/>
    <cellStyle name="AggOrangeRBorder 4 2 4" xfId="1720" xr:uid="{EDE73353-5F9B-4D06-8A3C-B3E62FC0AB9A}"/>
    <cellStyle name="AggOrangeRBorder 4 2 40" xfId="17006" xr:uid="{17C4393F-646B-4F30-B782-BEA947D3E816}"/>
    <cellStyle name="AggOrangeRBorder 4 2 41" xfId="19991" xr:uid="{8CF8CF2E-BD98-4AEC-9185-90A718F10D29}"/>
    <cellStyle name="AggOrangeRBorder 4 2 42" xfId="20469" xr:uid="{25BCEB71-7F3E-4206-9C66-25F99E8FE1EC}"/>
    <cellStyle name="AggOrangeRBorder 4 2 43" xfId="20922" xr:uid="{E8B1699C-EAA4-4E72-AB41-F592E118D58F}"/>
    <cellStyle name="AggOrangeRBorder 4 2 44" xfId="21417" xr:uid="{86716B1E-0720-42CF-BAA9-AAF615E246F7}"/>
    <cellStyle name="AggOrangeRBorder 4 2 45" xfId="21851" xr:uid="{9480987D-B18B-40A3-BD68-1AD200BA02B5}"/>
    <cellStyle name="AggOrangeRBorder 4 2 46" xfId="22288" xr:uid="{2647E103-523C-421F-BA08-66E263123C1F}"/>
    <cellStyle name="AggOrangeRBorder 4 2 47" xfId="22680" xr:uid="{1C90C5F7-8F03-4A18-928F-DDA163383AD3}"/>
    <cellStyle name="AggOrangeRBorder 4 2 48" xfId="22584" xr:uid="{146CDAC1-6A81-4191-B349-D649E9E65298}"/>
    <cellStyle name="AggOrangeRBorder 4 2 49" xfId="23552" xr:uid="{9DDAF84C-F13C-422A-B1AC-E3F6D2540FF1}"/>
    <cellStyle name="AggOrangeRBorder 4 2 5" xfId="2431" xr:uid="{B4E1F5F6-AC80-4D92-9282-799F80D43711}"/>
    <cellStyle name="AggOrangeRBorder 4 2 50" xfId="23800" xr:uid="{7944CF90-980B-443E-9527-AB1A86205B17}"/>
    <cellStyle name="AggOrangeRBorder 4 2 51" xfId="24699" xr:uid="{DA6BC08C-84E7-41D5-B7B9-5FB2FD96D420}"/>
    <cellStyle name="AggOrangeRBorder 4 2 52" xfId="25177" xr:uid="{3B208B68-38E7-47DD-AA89-DBD75B1BE515}"/>
    <cellStyle name="AggOrangeRBorder 4 2 53" xfId="25617" xr:uid="{6818A104-3D47-40D6-A8B8-BD9EA074A1E0}"/>
    <cellStyle name="AggOrangeRBorder 4 2 54" xfId="25984" xr:uid="{A49DBE74-026D-4AB3-A26E-F8B7A8F72657}"/>
    <cellStyle name="AggOrangeRBorder 4 2 55" xfId="25493" xr:uid="{E1451902-4C38-4209-B197-D4617FDA6AB6}"/>
    <cellStyle name="AggOrangeRBorder 4 2 56" xfId="26907" xr:uid="{78012918-E2F4-4296-893E-BCC13007AF01}"/>
    <cellStyle name="AggOrangeRBorder 4 2 57" xfId="27326" xr:uid="{12ACA8A1-B0F4-4F64-9415-4A5430D6CE15}"/>
    <cellStyle name="AggOrangeRBorder 4 2 58" xfId="26514" xr:uid="{432BEB8E-7AEC-4B07-8667-78E101A6B02A}"/>
    <cellStyle name="AggOrangeRBorder 4 2 59" xfId="28449" xr:uid="{A0FD7F60-8D1D-45F6-9182-8280D787906A}"/>
    <cellStyle name="AggOrangeRBorder 4 2 6" xfId="2846" xr:uid="{F0A8A16F-D1B6-4499-A5CD-04E63C69C6DB}"/>
    <cellStyle name="AggOrangeRBorder 4 2 60" xfId="28917" xr:uid="{18568E70-5ABB-48C6-9D81-CEFC30FC7736}"/>
    <cellStyle name="AggOrangeRBorder 4 2 61" xfId="29324" xr:uid="{0B71D88B-D272-42BD-B5EC-FD2810243C71}"/>
    <cellStyle name="AggOrangeRBorder 4 2 62" xfId="29707" xr:uid="{F61C11A5-4F60-4AA1-BB7C-AEF99BBE0606}"/>
    <cellStyle name="AggOrangeRBorder 4 2 63" xfId="30115" xr:uid="{3C01FC58-48F2-4556-994D-78FBDFC51F52}"/>
    <cellStyle name="AggOrangeRBorder 4 2 64" xfId="30529" xr:uid="{7722BD1B-4852-4E3B-BE36-B8E21171841B}"/>
    <cellStyle name="AggOrangeRBorder 4 2 65" xfId="30986" xr:uid="{2B86D00A-2BFF-4B71-BC9C-B490D75C97F2}"/>
    <cellStyle name="AggOrangeRBorder 4 2 66" xfId="31153" xr:uid="{1C3B8971-3CB5-49E5-A2D1-C7758B04AB66}"/>
    <cellStyle name="AggOrangeRBorder 4 2 7" xfId="2872" xr:uid="{1DD27257-9FEC-459D-A501-96E97172498C}"/>
    <cellStyle name="AggOrangeRBorder 4 2 8" xfId="3927" xr:uid="{69FA96D2-AE81-47A5-AE1F-F6A11C16444D}"/>
    <cellStyle name="AggOrangeRBorder 4 2 9" xfId="4365" xr:uid="{C6467DC5-B5D2-42EA-92D2-6355F19633C8}"/>
    <cellStyle name="AggOrangeRBorder 4 20" xfId="8203" xr:uid="{3E191B4B-A107-450E-9B10-CE1A836981D0}"/>
    <cellStyle name="AggOrangeRBorder 4 21" xfId="8894" xr:uid="{378C52EB-97C4-45F7-BCEE-C0AAF079D8E0}"/>
    <cellStyle name="AggOrangeRBorder 4 22" xfId="9214" xr:uid="{7A47A513-DDAF-4FC3-8C29-6C7DD0A3E93A}"/>
    <cellStyle name="AggOrangeRBorder 4 23" xfId="9058" xr:uid="{3DECD84D-9D78-494E-B6B4-A95F951B1789}"/>
    <cellStyle name="AggOrangeRBorder 4 24" xfId="9132" xr:uid="{51A15711-9990-45A5-BC30-4EA07DE9AE38}"/>
    <cellStyle name="AggOrangeRBorder 4 25" xfId="10333" xr:uid="{E85DAF39-10CC-40C4-9B78-3A052D438E9D}"/>
    <cellStyle name="AggOrangeRBorder 4 26" xfId="10880" xr:uid="{859F433E-D031-4D14-8F94-5719A4B81B75}"/>
    <cellStyle name="AggOrangeRBorder 4 27" xfId="11626" xr:uid="{B285DB69-402F-4AF1-98BC-92C69618D656}"/>
    <cellStyle name="AggOrangeRBorder 4 28" xfId="11388" xr:uid="{168D8C30-84ED-40F0-8773-143515C44EF6}"/>
    <cellStyle name="AggOrangeRBorder 4 29" xfId="12052" xr:uid="{70F42CC0-8588-45C0-9532-F8DB965F9C00}"/>
    <cellStyle name="AggOrangeRBorder 4 3" xfId="642" xr:uid="{979957BC-1731-4B60-B2BD-8479884C19B4}"/>
    <cellStyle name="AggOrangeRBorder 4 3 10" xfId="4253" xr:uid="{30D7DEBB-9AAC-44FF-AD9E-47E78E8E7595}"/>
    <cellStyle name="AggOrangeRBorder 4 3 11" xfId="5290" xr:uid="{C97194BB-5BEA-4DAA-9EAC-E88F4A5940B5}"/>
    <cellStyle name="AggOrangeRBorder 4 3 12" xfId="4681" xr:uid="{9BD9B39A-0659-4EFD-BFB9-CFE88DBD22A1}"/>
    <cellStyle name="AggOrangeRBorder 4 3 13" xfId="5813" xr:uid="{10A66891-85F7-4EC5-8F1B-3AF47C01A50D}"/>
    <cellStyle name="AggOrangeRBorder 4 3 14" xfId="5849" xr:uid="{65BD8DF1-35C1-4746-9A61-0D9780E89C09}"/>
    <cellStyle name="AggOrangeRBorder 4 3 15" xfId="7362" xr:uid="{D7C5A570-6526-408A-B046-D61DC7FE9988}"/>
    <cellStyle name="AggOrangeRBorder 4 3 16" xfId="6813" xr:uid="{685F81FD-F2F8-4E38-87B3-73B8393792AE}"/>
    <cellStyle name="AggOrangeRBorder 4 3 17" xfId="7068" xr:uid="{24C261BF-7EF0-432F-9E36-D3C86BD9D862}"/>
    <cellStyle name="AggOrangeRBorder 4 3 18" xfId="7179" xr:uid="{60020C14-10D5-43FA-BA2F-0299B4334F6D}"/>
    <cellStyle name="AggOrangeRBorder 4 3 19" xfId="9576" xr:uid="{B869CC79-D9B0-4DCC-9819-B53072088FDC}"/>
    <cellStyle name="AggOrangeRBorder 4 3 2" xfId="857" xr:uid="{25BC6962-E630-4A00-BBDE-664B29EAEE56}"/>
    <cellStyle name="AggOrangeRBorder 4 3 2 10" xfId="5505" xr:uid="{C0EE4281-A5FA-452A-9A48-22ED718D610E}"/>
    <cellStyle name="AggOrangeRBorder 4 3 2 11" xfId="5962" xr:uid="{DE84AC66-6740-46E1-87BC-056F027A061C}"/>
    <cellStyle name="AggOrangeRBorder 4 3 2 12" xfId="3130" xr:uid="{777FF6CF-70BD-4C8F-9868-D7393A9D9E12}"/>
    <cellStyle name="AggOrangeRBorder 4 3 2 13" xfId="3353" xr:uid="{0450411C-AC7F-4EC5-87D3-24AA05A62CB3}"/>
    <cellStyle name="AggOrangeRBorder 4 3 2 14" xfId="7577" xr:uid="{AA271ED5-4F4E-487F-8CB9-9104B233896D}"/>
    <cellStyle name="AggOrangeRBorder 4 3 2 15" xfId="7110" xr:uid="{B6F57F0A-1B88-4939-A857-67749E495645}"/>
    <cellStyle name="AggOrangeRBorder 4 3 2 16" xfId="7047" xr:uid="{F54E032E-7143-43E0-9FF1-8302D2C39E45}"/>
    <cellStyle name="AggOrangeRBorder 4 3 2 17" xfId="8253" xr:uid="{3E311E34-BF46-4B1E-95E9-825E80F8EE81}"/>
    <cellStyle name="AggOrangeRBorder 4 3 2 18" xfId="9791" xr:uid="{42CA9443-F0FC-4D3E-92EE-1C43E22558F4}"/>
    <cellStyle name="AggOrangeRBorder 4 3 2 19" xfId="9196" xr:uid="{AA1F2676-CB50-48EE-AFA9-C7F70E72F291}"/>
    <cellStyle name="AggOrangeRBorder 4 3 2 2" xfId="1331" xr:uid="{4179E7FA-33EF-4AD8-926E-5159876FE55C}"/>
    <cellStyle name="AggOrangeRBorder 4 3 2 20" xfId="9958" xr:uid="{4E24DB6B-10D7-4BCA-945B-C7117AF5E16A}"/>
    <cellStyle name="AggOrangeRBorder 4 3 2 21" xfId="9158" xr:uid="{2043CA1E-AB4E-41A4-BB8F-F7488A812BF8}"/>
    <cellStyle name="AggOrangeRBorder 4 3 2 22" xfId="11090" xr:uid="{24A30A32-F88B-47D3-8EC8-045A540FF9CC}"/>
    <cellStyle name="AggOrangeRBorder 4 3 2 23" xfId="12210" xr:uid="{23A83442-E587-46A1-ABA6-281930E4D133}"/>
    <cellStyle name="AggOrangeRBorder 4 3 2 24" xfId="12683" xr:uid="{AC3E4125-522E-4CF3-A80A-7F3BD4F5B59D}"/>
    <cellStyle name="AggOrangeRBorder 4 3 2 25" xfId="13117" xr:uid="{C8C3C6D7-8EC8-4734-8896-58BA64AB1E1D}"/>
    <cellStyle name="AggOrangeRBorder 4 3 2 26" xfId="13554" xr:uid="{C86448F3-9A9F-4072-9AC8-5CCC6A21609F}"/>
    <cellStyle name="AggOrangeRBorder 4 3 2 27" xfId="11760" xr:uid="{D5A89E19-72B5-45D3-9276-8FE69ED81CE6}"/>
    <cellStyle name="AggOrangeRBorder 4 3 2 28" xfId="14473" xr:uid="{0C5AF9DA-9607-4EEE-A132-89A43AAAAB79}"/>
    <cellStyle name="AggOrangeRBorder 4 3 2 29" xfId="13199" xr:uid="{1BBB3756-2BA9-44EE-8C3D-19A70A24F945}"/>
    <cellStyle name="AggOrangeRBorder 4 3 2 3" xfId="1780" xr:uid="{81430185-BBAF-4114-890E-566473F2FE9B}"/>
    <cellStyle name="AggOrangeRBorder 4 3 2 30" xfId="14990" xr:uid="{D25C3508-EE58-42F3-AFD4-BF56B1623CEB}"/>
    <cellStyle name="AggOrangeRBorder 4 3 2 31" xfId="15201" xr:uid="{CB82BCAB-C7EC-4CAD-B99C-874BEAF2042F}"/>
    <cellStyle name="AggOrangeRBorder 4 3 2 32" xfId="15141" xr:uid="{075A79AB-5DA0-4096-A662-704F5A706434}"/>
    <cellStyle name="AggOrangeRBorder 4 3 2 33" xfId="16902" xr:uid="{2B8DF6A9-A125-4F71-B897-5CB0F94085A9}"/>
    <cellStyle name="AggOrangeRBorder 4 3 2 34" xfId="16432" xr:uid="{9837B42A-7FBE-45CC-B61A-969C788A6343}"/>
    <cellStyle name="AggOrangeRBorder 4 3 2 35" xfId="16974" xr:uid="{4376BEA1-FD17-4978-B4D1-EDCA6CB6AB95}"/>
    <cellStyle name="AggOrangeRBorder 4 3 2 36" xfId="17676" xr:uid="{F70219C4-77F7-4BA5-A720-6BADD592FE73}"/>
    <cellStyle name="AggOrangeRBorder 4 3 2 37" xfId="18720" xr:uid="{E8E4EC1C-82AC-44C7-B10F-490A9861B9DE}"/>
    <cellStyle name="AggOrangeRBorder 4 3 2 38" xfId="17207" xr:uid="{C89BA667-BD09-4191-825F-9D05186242ED}"/>
    <cellStyle name="AggOrangeRBorder 4 3 2 39" xfId="19093" xr:uid="{646E5A7F-B94C-430B-8F46-7A1ED8D0ADAD}"/>
    <cellStyle name="AggOrangeRBorder 4 3 2 4" xfId="2679" xr:uid="{B7800A64-2D1C-4D0F-BAD0-B85E9EBC0447}"/>
    <cellStyle name="AggOrangeRBorder 4 3 2 40" xfId="20239" xr:uid="{185DDEDF-CDB3-4D24-BDDD-E04D0A000068}"/>
    <cellStyle name="AggOrangeRBorder 4 3 2 41" xfId="19764" xr:uid="{EC0AE230-11F2-4763-AE15-235EE97BF206}"/>
    <cellStyle name="AggOrangeRBorder 4 3 2 42" xfId="19838" xr:uid="{7E3B7B39-CEDD-4101-A7FC-5C351CBF47B0}"/>
    <cellStyle name="AggOrangeRBorder 4 3 2 43" xfId="20779" xr:uid="{33743030-D2A8-4E41-A637-1ED331C514C5}"/>
    <cellStyle name="AggOrangeRBorder 4 3 2 44" xfId="20948" xr:uid="{68DD87B9-0D4F-4B06-A200-5073154D557F}"/>
    <cellStyle name="AggOrangeRBorder 4 3 2 45" xfId="21720" xr:uid="{9D79B307-187F-40BF-83A1-BC0331C0F717}"/>
    <cellStyle name="AggOrangeRBorder 4 3 2 46" xfId="21322" xr:uid="{6FB347A3-6147-4432-9BA9-E770024AE4C6}"/>
    <cellStyle name="AggOrangeRBorder 4 3 2 47" xfId="22918" xr:uid="{70B74F50-D351-486F-902F-C146BEE91CDB}"/>
    <cellStyle name="AggOrangeRBorder 4 3 2 48" xfId="22914" xr:uid="{11602937-54C9-4E6B-B479-EBCD687168D3}"/>
    <cellStyle name="AggOrangeRBorder 4 3 2 49" xfId="24039" xr:uid="{2C853ED9-EE32-4702-9E56-94DF17EF8E03}"/>
    <cellStyle name="AggOrangeRBorder 4 3 2 5" xfId="2522" xr:uid="{F01AC936-9282-4B37-9E7F-C8B369FCF5E1}"/>
    <cellStyle name="AggOrangeRBorder 4 3 2 50" xfId="24947" xr:uid="{2B0422EB-5636-4F37-AA79-C9F0D9C082BB}"/>
    <cellStyle name="AggOrangeRBorder 4 3 2 51" xfId="24309" xr:uid="{7C26CB68-D58B-4423-8279-3D521DA90A4C}"/>
    <cellStyle name="AggOrangeRBorder 4 3 2 52" xfId="25863" xr:uid="{A832B81A-F895-436A-BB36-8421889886CC}"/>
    <cellStyle name="AggOrangeRBorder 4 3 2 53" xfId="24457" xr:uid="{E37D549B-6795-49BD-BBE2-AB1BB05683D2}"/>
    <cellStyle name="AggOrangeRBorder 4 3 2 54" xfId="26730" xr:uid="{DD3E1E07-B242-4A04-8BDB-BE119E802FC4}"/>
    <cellStyle name="AggOrangeRBorder 4 3 2 55" xfId="27151" xr:uid="{99B66DAC-AEF5-4C42-AA58-E9C38EDB43A8}"/>
    <cellStyle name="AggOrangeRBorder 4 3 2 56" xfId="27570" xr:uid="{CFF76C40-A809-4D6D-A99E-A0400E28E10A}"/>
    <cellStyle name="AggOrangeRBorder 4 3 2 57" xfId="27214" xr:uid="{CD4D2C36-0DAB-4B56-A14B-C2FD569C2F6C}"/>
    <cellStyle name="AggOrangeRBorder 4 3 2 58" xfId="28697" xr:uid="{3094B9DE-C792-4082-AEA5-AB4E785572FA}"/>
    <cellStyle name="AggOrangeRBorder 4 3 2 59" xfId="29164" xr:uid="{DE6CB85D-F9C6-4B2A-869E-2A9500A239DA}"/>
    <cellStyle name="AggOrangeRBorder 4 3 2 6" xfId="3683" xr:uid="{B74FC670-EC67-4741-BB94-AFF987A4CC9B}"/>
    <cellStyle name="AggOrangeRBorder 4 3 2 60" xfId="28196" xr:uid="{4F6BB041-A908-482A-B8EF-A662477401BC}"/>
    <cellStyle name="AggOrangeRBorder 4 3 2 61" xfId="29953" xr:uid="{BED58673-95B9-4763-803A-E2C0CEB46ABC}"/>
    <cellStyle name="AggOrangeRBorder 4 3 2 62" xfId="30359" xr:uid="{98A31E20-D8F9-4B19-830F-85846217E384}"/>
    <cellStyle name="AggOrangeRBorder 4 3 2 63" xfId="30776" xr:uid="{E6D6388F-5680-4A1E-8A78-B52FB1473471}"/>
    <cellStyle name="AggOrangeRBorder 4 3 2 64" xfId="29999" xr:uid="{0DCA2A58-CCA3-485F-BFDB-16E0B00DF8CD}"/>
    <cellStyle name="AggOrangeRBorder 4 3 2 65" xfId="31392" xr:uid="{41381E54-D595-4370-9B42-A83BC5F33A82}"/>
    <cellStyle name="AggOrangeRBorder 4 3 2 7" xfId="4175" xr:uid="{E04D7C48-1AD2-4CF2-B340-D4D927F92F5E}"/>
    <cellStyle name="AggOrangeRBorder 4 3 2 8" xfId="4612" xr:uid="{05E5F0FC-A9B7-46E5-973F-4B4A8B8CE6B5}"/>
    <cellStyle name="AggOrangeRBorder 4 3 2 9" xfId="5058" xr:uid="{9BBAB094-BE23-474B-AEEA-6E88C3DA62AD}"/>
    <cellStyle name="AggOrangeRBorder 4 3 20" xfId="8971" xr:uid="{4BF2B75E-0440-4A90-83BC-1829208FF30F}"/>
    <cellStyle name="AggOrangeRBorder 4 3 21" xfId="10030" xr:uid="{24D03A7A-3BA1-41F3-9AB0-2DC8992E0AA7}"/>
    <cellStyle name="AggOrangeRBorder 4 3 22" xfId="10442" xr:uid="{5816EF87-25A1-425B-811C-0A6C55D03D81}"/>
    <cellStyle name="AggOrangeRBorder 4 3 23" xfId="10342" xr:uid="{78F94851-D428-49FF-A085-22589CE2CCC1}"/>
    <cellStyle name="AggOrangeRBorder 4 3 24" xfId="11995" xr:uid="{A8DCBD3E-1E39-4BC5-8EAC-0A2DD2F03F5A}"/>
    <cellStyle name="AggOrangeRBorder 4 3 25" xfId="12468" xr:uid="{07982F85-0F16-4135-A86E-20D34EA0EDE7}"/>
    <cellStyle name="AggOrangeRBorder 4 3 26" xfId="12902" xr:uid="{8BF664B4-5C7E-4777-9581-2907E2BE3696}"/>
    <cellStyle name="AggOrangeRBorder 4 3 27" xfId="13339" xr:uid="{C252EFA1-A357-471F-90FE-4A74D448194B}"/>
    <cellStyle name="AggOrangeRBorder 4 3 28" xfId="12757" xr:uid="{A7969E2C-0E1B-4724-AD76-2D0F66A884DD}"/>
    <cellStyle name="AggOrangeRBorder 4 3 29" xfId="14363" xr:uid="{C42F1EFE-17F7-4413-AA21-AE59B289027E}"/>
    <cellStyle name="AggOrangeRBorder 4 3 3" xfId="1125" xr:uid="{ADC6DC5C-E347-46C1-8108-94B28ADC53E2}"/>
    <cellStyle name="AggOrangeRBorder 4 3 30" xfId="14889" xr:uid="{AE54A5FB-1A5C-4003-A41F-C265624A111B}"/>
    <cellStyle name="AggOrangeRBorder 4 3 31" xfId="14463" xr:uid="{A9F60255-60C9-4716-B747-3E343F930CBB}"/>
    <cellStyle name="AggOrangeRBorder 4 3 32" xfId="15294" xr:uid="{65CCAFFE-7F93-4EB9-A62B-12560335C11E}"/>
    <cellStyle name="AggOrangeRBorder 4 3 33" xfId="15681" xr:uid="{521F8BD6-DB66-46EA-B1F1-0B1028DBFF15}"/>
    <cellStyle name="AggOrangeRBorder 4 3 34" xfId="16687" xr:uid="{F0C6D59E-D404-424C-B483-901D0F2AC3C4}"/>
    <cellStyle name="AggOrangeRBorder 4 3 35" xfId="16124" xr:uid="{497E6668-C72E-400B-8839-74087EDCA269}"/>
    <cellStyle name="AggOrangeRBorder 4 3 36" xfId="16400" xr:uid="{48980599-01BF-444D-B8E3-9F11D5BE6303}"/>
    <cellStyle name="AggOrangeRBorder 4 3 37" xfId="18016" xr:uid="{D48A7C63-5E0F-4BF8-A72A-40195EF39FF0}"/>
    <cellStyle name="AggOrangeRBorder 4 3 38" xfId="18505" xr:uid="{32B82E1A-F88F-46A5-8C84-DAAE6949B251}"/>
    <cellStyle name="AggOrangeRBorder 4 3 39" xfId="17238" xr:uid="{DF7C068E-DBF4-4FE4-85D2-B6F6F8D98E7F}"/>
    <cellStyle name="AggOrangeRBorder 4 3 4" xfId="1726" xr:uid="{DF88758E-E7D7-466A-8746-4C384F1A6788}"/>
    <cellStyle name="AggOrangeRBorder 4 3 40" xfId="18878" xr:uid="{7469858E-3FB1-4A4D-B806-59C551F44763}"/>
    <cellStyle name="AggOrangeRBorder 4 3 41" xfId="20024" xr:uid="{B684F962-4D55-4555-81CC-3E5ABAE2DAFE}"/>
    <cellStyle name="AggOrangeRBorder 4 3 42" xfId="19503" xr:uid="{E3F1EE2A-82A4-48A8-BF71-B8E0B2A5D70D}"/>
    <cellStyle name="AggOrangeRBorder 4 3 43" xfId="20652" xr:uid="{3648961E-7D1D-47DC-B8BB-9B65462B84AA}"/>
    <cellStyle name="AggOrangeRBorder 4 3 44" xfId="20817" xr:uid="{753FE35F-C935-4459-964B-5282D4176E37}"/>
    <cellStyle name="AggOrangeRBorder 4 3 45" xfId="21517" xr:uid="{72D94818-13AB-47C3-92F6-31A037A1A20D}"/>
    <cellStyle name="AggOrangeRBorder 4 3 46" xfId="20981" xr:uid="{C3BDB763-7B2E-47A6-820C-3ABAEE8D476D}"/>
    <cellStyle name="AggOrangeRBorder 4 3 47" xfId="21394" xr:uid="{2B1C20F4-FB1F-4F12-83E6-3E8CCA5EE114}"/>
    <cellStyle name="AggOrangeRBorder 4 3 48" xfId="22673" xr:uid="{1D48DEDD-F204-474F-B3BD-EB5AA23A0E92}"/>
    <cellStyle name="AggOrangeRBorder 4 3 49" xfId="23130" xr:uid="{B7B1AD9D-210A-4285-BA85-54EDF5BEB62A}"/>
    <cellStyle name="AggOrangeRBorder 4 3 5" xfId="2464" xr:uid="{EBDC2F90-A06A-4C9E-80A4-6DE15113E68A}"/>
    <cellStyle name="AggOrangeRBorder 4 3 50" xfId="23833" xr:uid="{03FA691E-55E5-433D-99E1-316D5F0F0F92}"/>
    <cellStyle name="AggOrangeRBorder 4 3 51" xfId="24732" xr:uid="{CE1FBE36-94C2-4390-9B0B-75B252040E9C}"/>
    <cellStyle name="AggOrangeRBorder 4 3 52" xfId="24125" xr:uid="{D6A8ED34-A520-415A-97D2-14F030C351C8}"/>
    <cellStyle name="AggOrangeRBorder 4 3 53" xfId="25650" xr:uid="{1A0D65B2-81E8-4027-8C40-C7A51DD676DA}"/>
    <cellStyle name="AggOrangeRBorder 4 3 54" xfId="25899" xr:uid="{277E49D2-AC4E-4083-8690-6AF4939EFD6C}"/>
    <cellStyle name="AggOrangeRBorder 4 3 55" xfId="26696" xr:uid="{D1FD335F-3221-44B1-93C0-410747F08CAF}"/>
    <cellStyle name="AggOrangeRBorder 4 3 56" xfId="26940" xr:uid="{FDD60DC3-6969-43B6-B469-1AF6C04FBE6C}"/>
    <cellStyle name="AggOrangeRBorder 4 3 57" xfId="27359" xr:uid="{9702B5FA-9E56-497D-A444-7A4DA11A0406}"/>
    <cellStyle name="AggOrangeRBorder 4 3 58" xfId="27656" xr:uid="{731BC0F8-6208-4CF8-AF4E-F203EBE6202C}"/>
    <cellStyle name="AggOrangeRBorder 4 3 59" xfId="28482" xr:uid="{D6DD0C08-B1C2-420E-BBC5-949536C0AD70}"/>
    <cellStyle name="AggOrangeRBorder 4 3 6" xfId="2174" xr:uid="{A61313D1-B337-42CA-8061-519B4BBCD929}"/>
    <cellStyle name="AggOrangeRBorder 4 3 60" xfId="28950" xr:uid="{372533AD-A2C7-4450-9225-31ED935CBD07}"/>
    <cellStyle name="AggOrangeRBorder 4 3 61" xfId="28816" xr:uid="{23B15456-1AD3-4247-951A-7B89033BB280}"/>
    <cellStyle name="AggOrangeRBorder 4 3 62" xfId="29740" xr:uid="{E39C5112-7C7A-4F55-9895-B3DC2404BA6A}"/>
    <cellStyle name="AggOrangeRBorder 4 3 63" xfId="30148" xr:uid="{5CA802C1-48BD-483D-B755-962DE123B8F8}"/>
    <cellStyle name="AggOrangeRBorder 4 3 64" xfId="30562" xr:uid="{5D10FFBA-62B8-424D-8EA6-4DBC2EA9378B}"/>
    <cellStyle name="AggOrangeRBorder 4 3 65" xfId="28298" xr:uid="{C329C3D6-49D7-45AE-8BA9-1AA0EFD27D33}"/>
    <cellStyle name="AggOrangeRBorder 4 3 66" xfId="31186" xr:uid="{1811CE64-EE26-4A80-A505-25A97CA4C439}"/>
    <cellStyle name="AggOrangeRBorder 4 3 7" xfId="3111" xr:uid="{8F44FADA-919C-424D-B638-FF2795E4DD07}"/>
    <cellStyle name="AggOrangeRBorder 4 3 8" xfId="3960" xr:uid="{5ED2B127-7C47-4125-A82B-24C0A11F71E1}"/>
    <cellStyle name="AggOrangeRBorder 4 3 9" xfId="4398" xr:uid="{7C7C5CD8-404E-4260-8B1E-1611245A88E4}"/>
    <cellStyle name="AggOrangeRBorder 4 30" xfId="11473" xr:uid="{93FEBCB9-26BA-413E-BA36-085ED093ED10}"/>
    <cellStyle name="AggOrangeRBorder 4 31" xfId="11606" xr:uid="{04613BD0-2A44-417C-8A67-FBD5E266A7A6}"/>
    <cellStyle name="AggOrangeRBorder 4 32" xfId="13955" xr:uid="{BBA86742-985D-4441-A50C-9295DD6F2548}"/>
    <cellStyle name="AggOrangeRBorder 4 33" xfId="14378" xr:uid="{745048CC-2219-4461-99E1-A429AF7C2D98}"/>
    <cellStyle name="AggOrangeRBorder 4 34" xfId="15229" xr:uid="{6C5AB705-927A-4A68-8313-8F732B95682A}"/>
    <cellStyle name="AggOrangeRBorder 4 35" xfId="15481" xr:uid="{D9F4290E-40C1-41A2-86E5-2CF89F7DABB0}"/>
    <cellStyle name="AggOrangeRBorder 4 36" xfId="15620" xr:uid="{D1D19E2F-232B-4908-9866-CB790C2FD572}"/>
    <cellStyle name="AggOrangeRBorder 4 37" xfId="16321" xr:uid="{54CF7F91-DDF1-4EB5-9809-FD0F8EF91EAC}"/>
    <cellStyle name="AggOrangeRBorder 4 38" xfId="16402" xr:uid="{670746AA-6A8B-4149-BF70-A7567B57A9C4}"/>
    <cellStyle name="AggOrangeRBorder 4 39" xfId="16206" xr:uid="{8CB40752-7ABF-4D38-8C6B-B10652E4A317}"/>
    <cellStyle name="AggOrangeRBorder 4 4" xfId="663" xr:uid="{809B3B98-1CF3-4DC7-AD39-B70D30A7BBAC}"/>
    <cellStyle name="AggOrangeRBorder 4 4 10" xfId="4712" xr:uid="{D14DCA0B-E01D-4D63-8FB9-0E3891C6FF78}"/>
    <cellStyle name="AggOrangeRBorder 4 4 11" xfId="5311" xr:uid="{162E50A4-E8CD-4B25-82B6-375CB36125AC}"/>
    <cellStyle name="AggOrangeRBorder 4 4 12" xfId="4852" xr:uid="{6012C380-5F58-4344-841A-9F91D0C0B207}"/>
    <cellStyle name="AggOrangeRBorder 4 4 13" xfId="5928" xr:uid="{BE8EEDA2-3A28-4B36-A2F7-9BBBD611E0A6}"/>
    <cellStyle name="AggOrangeRBorder 4 4 14" xfId="4721" xr:uid="{AD7E68AD-7E01-4FA4-A61D-BF11952E30CE}"/>
    <cellStyle name="AggOrangeRBorder 4 4 15" xfId="7383" xr:uid="{B58DEB93-BC09-475F-BC6B-2BD90D66446D}"/>
    <cellStyle name="AggOrangeRBorder 4 4 16" xfId="6857" xr:uid="{8DBAEF00-5D30-4006-829A-05E4A978ACCB}"/>
    <cellStyle name="AggOrangeRBorder 4 4 17" xfId="8232" xr:uid="{36F9D7BC-C041-4A6A-B360-F99161F32117}"/>
    <cellStyle name="AggOrangeRBorder 4 4 18" xfId="8192" xr:uid="{01816E52-2382-4B2A-8C38-B8B28E681ADE}"/>
    <cellStyle name="AggOrangeRBorder 4 4 19" xfId="9597" xr:uid="{1DF054E5-4F34-4BC6-997F-62FD9130C140}"/>
    <cellStyle name="AggOrangeRBorder 4 4 2" xfId="878" xr:uid="{90D615DA-B824-4F28-8E60-4E4BAE5D7F1E}"/>
    <cellStyle name="AggOrangeRBorder 4 4 2 10" xfId="5526" xr:uid="{36A4B0A8-D19E-4E98-8500-2F3B651A98F4}"/>
    <cellStyle name="AggOrangeRBorder 4 4 2 11" xfId="6020" xr:uid="{52C41391-A181-46BF-81DE-387769D390CA}"/>
    <cellStyle name="AggOrangeRBorder 4 4 2 12" xfId="6379" xr:uid="{F288A37B-DD80-4EF7-99FE-5E29FF934E17}"/>
    <cellStyle name="AggOrangeRBorder 4 4 2 13" xfId="6717" xr:uid="{A747039E-2DF2-4BAF-942B-6D957E76EECC}"/>
    <cellStyle name="AggOrangeRBorder 4 4 2 14" xfId="7598" xr:uid="{5C3C0A73-1CE4-4596-B9FF-198B92B06B4B}"/>
    <cellStyle name="AggOrangeRBorder 4 4 2 15" xfId="8062" xr:uid="{10350F7E-8761-4553-8676-A4B1FADA36FB}"/>
    <cellStyle name="AggOrangeRBorder 4 4 2 16" xfId="8671" xr:uid="{4EF56541-88DC-401E-9B64-F068B7D06620}"/>
    <cellStyle name="AggOrangeRBorder 4 4 2 17" xfId="8930" xr:uid="{0F00AA9B-BC7F-4685-9ED5-6F5525959EA9}"/>
    <cellStyle name="AggOrangeRBorder 4 4 2 18" xfId="9812" xr:uid="{C8FAF95D-C06A-431C-8803-C54E61EDD6BF}"/>
    <cellStyle name="AggOrangeRBorder 4 4 2 19" xfId="10281" xr:uid="{F520897E-2D22-4D90-9FCF-88300592E307}"/>
    <cellStyle name="AggOrangeRBorder 4 4 2 2" xfId="1352" xr:uid="{6615327B-7702-4071-B8C9-A63A2767A4B7}"/>
    <cellStyle name="AggOrangeRBorder 4 4 2 20" xfId="10675" xr:uid="{DA60FEEF-BC19-4D19-BE2A-65537D31EC4B}"/>
    <cellStyle name="AggOrangeRBorder 4 4 2 21" xfId="11024" xr:uid="{C0F0219D-79BF-46B2-92A0-904CA8067884}"/>
    <cellStyle name="AggOrangeRBorder 4 4 2 22" xfId="11334" xr:uid="{4767F9EC-1B05-4F16-939E-2F478539E4B1}"/>
    <cellStyle name="AggOrangeRBorder 4 4 2 23" xfId="12231" xr:uid="{9644186B-E87E-4F73-8CAC-4ECA4BB3A672}"/>
    <cellStyle name="AggOrangeRBorder 4 4 2 24" xfId="12704" xr:uid="{1176DD23-B5A7-40C6-A9AC-75A3DBB0B8D3}"/>
    <cellStyle name="AggOrangeRBorder 4 4 2 25" xfId="13138" xr:uid="{EA0374B1-BE60-430D-B1BD-F6A243920609}"/>
    <cellStyle name="AggOrangeRBorder 4 4 2 26" xfId="13575" xr:uid="{70F8D6E0-299F-42BF-9CB4-522DF307AF94}"/>
    <cellStyle name="AggOrangeRBorder 4 4 2 27" xfId="14047" xr:uid="{D3301ADD-95ED-4D3B-9A26-1C90692EC5B5}"/>
    <cellStyle name="AggOrangeRBorder 4 4 2 28" xfId="14494" xr:uid="{247A628D-C6A6-4BE4-81DD-5D2B2854B513}"/>
    <cellStyle name="AggOrangeRBorder 4 4 2 29" xfId="14928" xr:uid="{D33660D0-D2F8-4CA7-A062-6EA67F0907B0}"/>
    <cellStyle name="AggOrangeRBorder 4 4 2 3" xfId="1801" xr:uid="{85479EEE-8B5A-4EFA-B4BA-E0404B21662A}"/>
    <cellStyle name="AggOrangeRBorder 4 4 2 30" xfId="15398" xr:uid="{4DE89CB0-15E2-4F23-8993-06AEAE6C7DAE}"/>
    <cellStyle name="AggOrangeRBorder 4 4 2 31" xfId="15788" xr:uid="{33564512-04D5-4652-B6A8-F4B24B9EB9E3}"/>
    <cellStyle name="AggOrangeRBorder 4 4 2 32" xfId="16010" xr:uid="{8F56C6DA-F392-4076-AEFF-81EF47801D55}"/>
    <cellStyle name="AggOrangeRBorder 4 4 2 33" xfId="16923" xr:uid="{87BA2564-BA73-40D8-84B7-DDB4B1DC258B}"/>
    <cellStyle name="AggOrangeRBorder 4 4 2 34" xfId="17404" xr:uid="{3CBF73CF-5757-4006-93C8-BDB6CFAD544F}"/>
    <cellStyle name="AggOrangeRBorder 4 4 2 35" xfId="17845" xr:uid="{E01581B2-2310-497A-8340-5D9CF3CCB0DF}"/>
    <cellStyle name="AggOrangeRBorder 4 4 2 36" xfId="18320" xr:uid="{38C8260B-7AFC-4EED-8008-840495E19C2A}"/>
    <cellStyle name="AggOrangeRBorder 4 4 2 37" xfId="18741" xr:uid="{EDB7E7A4-27F3-4209-AF7F-EB56110EE511}"/>
    <cellStyle name="AggOrangeRBorder 4 4 2 38" xfId="19128" xr:uid="{E4851F5F-0FBA-4E49-AEA7-8BA4D1A642A9}"/>
    <cellStyle name="AggOrangeRBorder 4 4 2 39" xfId="19358" xr:uid="{B2DA815F-8FB8-4501-8868-98A82C41C7A4}"/>
    <cellStyle name="AggOrangeRBorder 4 4 2 4" xfId="2700" xr:uid="{9393471C-A00A-435E-A278-EFAC656518C3}"/>
    <cellStyle name="AggOrangeRBorder 4 4 2 40" xfId="20260" xr:uid="{91535E05-44EB-4A76-8D5A-4A2C3CFC88A0}"/>
    <cellStyle name="AggOrangeRBorder 4 4 2 41" xfId="20753" xr:uid="{5F8D8661-2643-4C89-B7D1-320485193FF6}"/>
    <cellStyle name="AggOrangeRBorder 4 4 2 42" xfId="21212" xr:uid="{479F251D-340A-4A5E-93B0-6357DFF33843}"/>
    <cellStyle name="AggOrangeRBorder 4 4 2 43" xfId="21704" xr:uid="{06A8CB12-6F1E-431E-9106-D52DA76A848A}"/>
    <cellStyle name="AggOrangeRBorder 4 4 2 44" xfId="22143" xr:uid="{C6FA5203-E803-4678-8C40-11423F39FC35}"/>
    <cellStyle name="AggOrangeRBorder 4 4 2 45" xfId="22570" xr:uid="{9F036641-E70B-4841-904B-DA56D2D3DCE3}"/>
    <cellStyle name="AggOrangeRBorder 4 4 2 46" xfId="23015" xr:uid="{0329D2F6-DA17-4267-948D-D4A82B19D86F}"/>
    <cellStyle name="AggOrangeRBorder 4 4 2 47" xfId="23417" xr:uid="{600668F1-A778-4C69-A729-237436245960}"/>
    <cellStyle name="AggOrangeRBorder 4 4 2 48" xfId="23680" xr:uid="{2BC2179B-40BD-4677-A7A6-B76EFCC5EEB4}"/>
    <cellStyle name="AggOrangeRBorder 4 4 2 49" xfId="24060" xr:uid="{B7E5E445-612D-407D-A0F0-031A6E63B87C}"/>
    <cellStyle name="AggOrangeRBorder 4 4 2 5" xfId="3220" xr:uid="{5B776C2C-67C4-4E48-8A6E-FB4108159F5B}"/>
    <cellStyle name="AggOrangeRBorder 4 4 2 50" xfId="24968" xr:uid="{5A8FFAA1-3E79-446D-94FD-E8F1DB9D6DFC}"/>
    <cellStyle name="AggOrangeRBorder 4 4 2 51" xfId="25456" xr:uid="{40AA1066-077C-4CF5-8E34-6BD335D02C1E}"/>
    <cellStyle name="AggOrangeRBorder 4 4 2 52" xfId="25884" xr:uid="{5B44F8B6-D540-417F-9719-C2A5BE177767}"/>
    <cellStyle name="AggOrangeRBorder 4 4 2 53" xfId="26322" xr:uid="{55AE4BC5-C24D-4EA7-B8D3-06704857FF7A}"/>
    <cellStyle name="AggOrangeRBorder 4 4 2 54" xfId="26751" xr:uid="{A262FB96-7786-4965-B052-5B47A4FB9351}"/>
    <cellStyle name="AggOrangeRBorder 4 4 2 55" xfId="27172" xr:uid="{55F32754-EC9B-4CB6-9ADE-060665478394}"/>
    <cellStyle name="AggOrangeRBorder 4 4 2 56" xfId="27591" xr:uid="{6C099926-17E8-4481-984F-2E82C9FD3389}"/>
    <cellStyle name="AggOrangeRBorder 4 4 2 57" xfId="27829" xr:uid="{74B305B1-3025-45E8-884F-10C822123F52}"/>
    <cellStyle name="AggOrangeRBorder 4 4 2 58" xfId="28718" xr:uid="{B025D16D-8C68-4E53-B45E-E829EF2C93B5}"/>
    <cellStyle name="AggOrangeRBorder 4 4 2 59" xfId="29185" xr:uid="{8D392EE8-8028-4A02-B913-5CA6E6B56332}"/>
    <cellStyle name="AggOrangeRBorder 4 4 2 6" xfId="3775" xr:uid="{44092B9A-B298-446A-AD38-32F32BCAB1E1}"/>
    <cellStyle name="AggOrangeRBorder 4 4 2 60" xfId="29567" xr:uid="{3CF7D1D9-E0F0-4E96-94B3-B2773D457B48}"/>
    <cellStyle name="AggOrangeRBorder 4 4 2 61" xfId="29974" xr:uid="{F9CE5C03-84E6-4D69-BAA3-73CA9AAB1FA2}"/>
    <cellStyle name="AggOrangeRBorder 4 4 2 62" xfId="30380" xr:uid="{A044AAAC-21D1-42B1-B976-5ED46BFEF017}"/>
    <cellStyle name="AggOrangeRBorder 4 4 2 63" xfId="30797" xr:uid="{06F585A1-5263-49F1-A097-3983F1033F12}"/>
    <cellStyle name="AggOrangeRBorder 4 4 2 64" xfId="31042" xr:uid="{B100FB32-F097-4DCA-B345-72EA19823A0E}"/>
    <cellStyle name="AggOrangeRBorder 4 4 2 65" xfId="31413" xr:uid="{03F37371-C1D4-4433-A5B4-5F73A52FDB5C}"/>
    <cellStyle name="AggOrangeRBorder 4 4 2 7" xfId="4196" xr:uid="{6E1CD525-9E8A-4149-8FFF-DDBC51C0B9D3}"/>
    <cellStyle name="AggOrangeRBorder 4 4 2 8" xfId="4633" xr:uid="{4516CA61-F97D-45A9-AA0E-E78A7CE14F11}"/>
    <cellStyle name="AggOrangeRBorder 4 4 2 9" xfId="5079" xr:uid="{10E65FC3-8D6B-4FEA-8DA4-1803496A8F54}"/>
    <cellStyle name="AggOrangeRBorder 4 4 20" xfId="9072" xr:uid="{B6222CB6-6B2B-4913-9B0B-4B4120A24EBF}"/>
    <cellStyle name="AggOrangeRBorder 4 4 21" xfId="9995" xr:uid="{8C4E12B2-1874-4AF7-9FF5-64633B18F3C1}"/>
    <cellStyle name="AggOrangeRBorder 4 4 22" xfId="9878" xr:uid="{68BD1368-F0A1-460B-A532-A040152AFEAA}"/>
    <cellStyle name="AggOrangeRBorder 4 4 23" xfId="10193" xr:uid="{1F33758B-1E1F-4947-8057-66AD1184B048}"/>
    <cellStyle name="AggOrangeRBorder 4 4 24" xfId="12016" xr:uid="{0FC22084-C107-498B-A850-B47971824E8F}"/>
    <cellStyle name="AggOrangeRBorder 4 4 25" xfId="12489" xr:uid="{C802498D-6616-4F22-A50F-CFDEDCAEC815}"/>
    <cellStyle name="AggOrangeRBorder 4 4 26" xfId="12923" xr:uid="{E2D04693-E0C3-4622-BDB6-489050BF7E1F}"/>
    <cellStyle name="AggOrangeRBorder 4 4 27" xfId="13360" xr:uid="{2FFD9B6D-0485-4C9C-B561-EB0C34EEC687}"/>
    <cellStyle name="AggOrangeRBorder 4 4 28" xfId="13390" xr:uid="{979D2C34-3D6B-475E-B5AD-50CB7DD61A98}"/>
    <cellStyle name="AggOrangeRBorder 4 4 29" xfId="13826" xr:uid="{03DA8F91-269B-4DEC-A979-7BB60A6691F6}"/>
    <cellStyle name="AggOrangeRBorder 4 4 3" xfId="1146" xr:uid="{BF742FB2-D468-4C29-A924-8E6D7757AEDE}"/>
    <cellStyle name="AggOrangeRBorder 4 4 30" xfId="13651" xr:uid="{7307A804-8A74-4ABD-80FF-9362D119C795}"/>
    <cellStyle name="AggOrangeRBorder 4 4 31" xfId="14512" xr:uid="{3B55F530-04A4-47CC-9097-FB405D36261A}"/>
    <cellStyle name="AggOrangeRBorder 4 4 32" xfId="15656" xr:uid="{FB91B440-8C69-4694-B6AB-B91783FAAEBF}"/>
    <cellStyle name="AggOrangeRBorder 4 4 33" xfId="15548" xr:uid="{5CC088BE-6CF6-4D66-9F36-98EC000ACDBE}"/>
    <cellStyle name="AggOrangeRBorder 4 4 34" xfId="16708" xr:uid="{E9E7AE71-FA7B-4D09-A99A-FF16CC8551BB}"/>
    <cellStyle name="AggOrangeRBorder 4 4 35" xfId="16173" xr:uid="{4FCC68EC-BB09-4A68-BCFD-0B3F2043B263}"/>
    <cellStyle name="AggOrangeRBorder 4 4 36" xfId="16506" xr:uid="{410C561B-083D-450E-8434-70A07AFB3D56}"/>
    <cellStyle name="AggOrangeRBorder 4 4 37" xfId="17901" xr:uid="{9C38FABE-96DB-4F53-B92F-4FE0E1C00A7E}"/>
    <cellStyle name="AggOrangeRBorder 4 4 38" xfId="18526" xr:uid="{0416C172-90B9-4A56-A6BE-3E2AD32346AF}"/>
    <cellStyle name="AggOrangeRBorder 4 4 39" xfId="18099" xr:uid="{B6D07557-B8D0-4638-97BB-E9A13C6AECA5}"/>
    <cellStyle name="AggOrangeRBorder 4 4 4" xfId="1737" xr:uid="{B14770A8-0048-4B44-90E0-F92665C49F37}"/>
    <cellStyle name="AggOrangeRBorder 4 4 40" xfId="18990" xr:uid="{32C33ABD-8749-463B-9DD9-277A1827FA44}"/>
    <cellStyle name="AggOrangeRBorder 4 4 41" xfId="20045" xr:uid="{6E3BEFDE-47CD-4E03-B006-413918F767E0}"/>
    <cellStyle name="AggOrangeRBorder 4 4 42" xfId="19412" xr:uid="{F294488A-007B-48A8-8154-FD019499EC73}"/>
    <cellStyle name="AggOrangeRBorder 4 4 43" xfId="20708" xr:uid="{5407A429-F3A4-48F4-9252-43F57FE33A17}"/>
    <cellStyle name="AggOrangeRBorder 4 4 44" xfId="20307" xr:uid="{E22B5C45-D90F-4D63-9914-FCE322C7480A}"/>
    <cellStyle name="AggOrangeRBorder 4 4 45" xfId="20367" xr:uid="{070ADB19-BC76-4345-B1AB-DE92EA32BA50}"/>
    <cellStyle name="AggOrangeRBorder 4 4 46" xfId="21534" xr:uid="{0AB5B375-D952-4F07-9C07-6BD5F0E09682}"/>
    <cellStyle name="AggOrangeRBorder 4 4 47" xfId="22306" xr:uid="{77A61942-FCCF-483E-9C25-E865D65CF2B1}"/>
    <cellStyle name="AggOrangeRBorder 4 4 48" xfId="22501" xr:uid="{67800928-BB86-41E8-BE24-B161D0A54EF7}"/>
    <cellStyle name="AggOrangeRBorder 4 4 49" xfId="23210" xr:uid="{6F276DCC-2D45-4EFD-A785-DA29B5DFA773}"/>
    <cellStyle name="AggOrangeRBorder 4 4 5" xfId="2485" xr:uid="{64B5E149-31F0-43C8-9B65-6A0272CA317A}"/>
    <cellStyle name="AggOrangeRBorder 4 4 50" xfId="23854" xr:uid="{BCC8F039-2973-4093-91A5-0E911EF20575}"/>
    <cellStyle name="AggOrangeRBorder 4 4 51" xfId="24753" xr:uid="{F06E94FD-1967-4740-939E-6A6C70B3F39A}"/>
    <cellStyle name="AggOrangeRBorder 4 4 52" xfId="24784" xr:uid="{7B3455EB-DF02-4B41-831E-514533570880}"/>
    <cellStyle name="AggOrangeRBorder 4 4 53" xfId="25671" xr:uid="{57EEE39C-3D96-48EE-B173-77F390472EBE}"/>
    <cellStyle name="AggOrangeRBorder 4 4 54" xfId="25898" xr:uid="{C1190D86-4510-4A52-B994-DA5B363D2D1B}"/>
    <cellStyle name="AggOrangeRBorder 4 4 55" xfId="26706" xr:uid="{7E5FF6DE-C0DF-4D8F-AA3D-76EE3618D0F4}"/>
    <cellStyle name="AggOrangeRBorder 4 4 56" xfId="26961" xr:uid="{F8DA2DEB-20A0-4273-A641-A4AF126E078E}"/>
    <cellStyle name="AggOrangeRBorder 4 4 57" xfId="27380" xr:uid="{6394C505-5467-4EED-97A8-24CD7767831B}"/>
    <cellStyle name="AggOrangeRBorder 4 4 58" xfId="26033" xr:uid="{F441596B-1CAC-499A-A809-54D0AC00DB21}"/>
    <cellStyle name="AggOrangeRBorder 4 4 59" xfId="28503" xr:uid="{EE76EE6E-95C5-4E4B-A69F-B0AA627462D0}"/>
    <cellStyle name="AggOrangeRBorder 4 4 6" xfId="2018" xr:uid="{DA38FC4D-2D05-466A-B74A-6092EA3ECFA3}"/>
    <cellStyle name="AggOrangeRBorder 4 4 60" xfId="28971" xr:uid="{DE6A3E4A-26E0-4A32-B88A-D6A7A4B413F5}"/>
    <cellStyle name="AggOrangeRBorder 4 4 61" xfId="28734" xr:uid="{BEE21BB4-B93E-42B5-91AD-74BA474CBB8C}"/>
    <cellStyle name="AggOrangeRBorder 4 4 62" xfId="29761" xr:uid="{26F4EC3C-9FA2-475B-9E37-E266E505E6A8}"/>
    <cellStyle name="AggOrangeRBorder 4 4 63" xfId="30169" xr:uid="{31409C8D-AB5A-491C-9A43-CA94AA0893E2}"/>
    <cellStyle name="AggOrangeRBorder 4 4 64" xfId="30583" xr:uid="{19F38E4A-7B43-4A68-A212-3028AB0403FE}"/>
    <cellStyle name="AggOrangeRBorder 4 4 65" xfId="30822" xr:uid="{1381A8B7-AC0F-4FE7-8F33-7E783B51635F}"/>
    <cellStyle name="AggOrangeRBorder 4 4 66" xfId="31207" xr:uid="{341F9D8E-FFF4-46F4-A575-140B20EE4AAF}"/>
    <cellStyle name="AggOrangeRBorder 4 4 7" xfId="3640" xr:uid="{C3162A7D-3222-4B6D-9074-240F6B938393}"/>
    <cellStyle name="AggOrangeRBorder 4 4 8" xfId="3981" xr:uid="{BC1FDB8C-221B-4D08-AA17-8AAE3C6AB99E}"/>
    <cellStyle name="AggOrangeRBorder 4 4 9" xfId="4419" xr:uid="{B72962C8-8E11-4D01-BDA7-A3FBD6201471}"/>
    <cellStyle name="AggOrangeRBorder 4 40" xfId="18265" xr:uid="{6B610149-74C1-46B0-B09D-B679BD77D2BD}"/>
    <cellStyle name="AggOrangeRBorder 4 41" xfId="16938" xr:uid="{0A0B2342-FBD0-4C59-BF98-74F3992640FA}"/>
    <cellStyle name="AggOrangeRBorder 4 42" xfId="19089" xr:uid="{DCD66D75-83D3-4E71-80E1-F4417CD202B8}"/>
    <cellStyle name="AggOrangeRBorder 4 43" xfId="19032" xr:uid="{2703F689-BFE2-4F68-AE70-BB0FB0E2A68B}"/>
    <cellStyle name="AggOrangeRBorder 4 44" xfId="19654" xr:uid="{EE75C6E1-DFD2-4EF0-A899-3938C6B54454}"/>
    <cellStyle name="AggOrangeRBorder 4 45" xfId="19735" xr:uid="{83EA5392-AA59-45E2-87FA-73E97E3DA0DE}"/>
    <cellStyle name="AggOrangeRBorder 4 46" xfId="19874" xr:uid="{4FAB1DCA-DB0D-4242-B5AF-E9F971CEBB3C}"/>
    <cellStyle name="AggOrangeRBorder 4 47" xfId="21313" xr:uid="{DC0A2B32-32D6-46C5-BE71-5EA1D18EE878}"/>
    <cellStyle name="AggOrangeRBorder 4 48" xfId="20793" xr:uid="{7CCCFF36-EAF1-4C13-BEAE-45912E8923C2}"/>
    <cellStyle name="AggOrangeRBorder 4 49" xfId="21930" xr:uid="{6B5EE098-CB1F-4861-8C99-F6B9F1E06210}"/>
    <cellStyle name="AggOrangeRBorder 4 5" xfId="695" xr:uid="{A9E9C9AB-E421-422C-A318-3BB6C3E2D3E7}"/>
    <cellStyle name="AggOrangeRBorder 4 5 2" xfId="5343" xr:uid="{1ED32A10-5DB8-4CD1-B47A-D24709AE26F8}"/>
    <cellStyle name="AggOrangeRBorder 4 5 3" xfId="16142" xr:uid="{810FF818-C692-4E66-9EB0-A979F70A0A6D}"/>
    <cellStyle name="AggOrangeRBorder 4 5 4" xfId="20077" xr:uid="{28D4D294-96EE-44DD-8133-D02C6CE48BE3}"/>
    <cellStyle name="AggOrangeRBorder 4 5 5" xfId="24785" xr:uid="{2194ECEE-5733-47C0-B496-374F617EBB8B}"/>
    <cellStyle name="AggOrangeRBorder 4 5 6" xfId="28535" xr:uid="{46F5266C-97A4-44FC-80CD-5A5BEED7F091}"/>
    <cellStyle name="AggOrangeRBorder 4 50" xfId="21755" xr:uid="{A3074D0D-C1D5-4633-AC1C-31340F76A654}"/>
    <cellStyle name="AggOrangeRBorder 4 51" xfId="23366" xr:uid="{F15F9EB8-E555-4D72-A8B0-8573818B0027}"/>
    <cellStyle name="AggOrangeRBorder 4 52" xfId="22746" xr:uid="{5A16FE3D-8D9C-437C-990A-D636304A51A4}"/>
    <cellStyle name="AggOrangeRBorder 4 53" xfId="23693" xr:uid="{6DCAD699-12FE-4C2F-8E32-75E297BF6C80}"/>
    <cellStyle name="AggOrangeRBorder 4 54" xfId="24374" xr:uid="{53BE3146-3C6D-4F0E-B8D0-6C2B5D4F9FE1}"/>
    <cellStyle name="AggOrangeRBorder 4 55" xfId="24452" xr:uid="{32B9971C-6CE2-4106-AE62-6C8AE4465C8E}"/>
    <cellStyle name="AggOrangeRBorder 4 56" xfId="24212" xr:uid="{051B019B-E1A7-4C35-840B-C8712A685422}"/>
    <cellStyle name="AggOrangeRBorder 4 57" xfId="25056" xr:uid="{5F73D3FF-F247-4BB4-B45A-A37CEBAC72A0}"/>
    <cellStyle name="AggOrangeRBorder 4 58" xfId="24441" xr:uid="{C64DF99C-6593-4923-BCF0-E3CF09FDADB7}"/>
    <cellStyle name="AggOrangeRBorder 4 59" xfId="25082" xr:uid="{0F1F0AC0-45FD-413A-85E5-046918EB81B3}"/>
    <cellStyle name="AggOrangeRBorder 4 6" xfId="947" xr:uid="{7A9F5FC9-E7B9-4AFB-84D6-D31D48131408}"/>
    <cellStyle name="AggOrangeRBorder 4 60" xfId="26453" xr:uid="{B2F97541-8786-4E6D-8DD5-192C1A5F7C64}"/>
    <cellStyle name="AggOrangeRBorder 4 61" xfId="24481" xr:uid="{4C799E54-961D-43E4-B422-43662CFDB6A7}"/>
    <cellStyle name="AggOrangeRBorder 4 62" xfId="28145" xr:uid="{DC85FA1C-52B4-47BA-94C6-FFD9C1E72547}"/>
    <cellStyle name="AggOrangeRBorder 4 63" xfId="28014" xr:uid="{78ECD94A-E700-44CE-AF71-29865955C7FC}"/>
    <cellStyle name="AggOrangeRBorder 4 64" xfId="28183" xr:uid="{38D69826-96FE-4FB5-951A-20FB84BF7C05}"/>
    <cellStyle name="AggOrangeRBorder 4 65" xfId="29580" xr:uid="{1A8B3686-6A4B-455B-B89C-4AC9005E9862}"/>
    <cellStyle name="AggOrangeRBorder 4 66" xfId="29308" xr:uid="{57245E1A-079F-4350-9339-B627573D6A70}"/>
    <cellStyle name="AggOrangeRBorder 4 67" xfId="30393" xr:uid="{EFBF4F6B-B14B-47E0-B5FB-EB9CF941DF2D}"/>
    <cellStyle name="AggOrangeRBorder 4 68" xfId="28028" xr:uid="{4568F29B-A418-435E-8BEB-ADD4E273A263}"/>
    <cellStyle name="AggOrangeRBorder 4 69" xfId="30898" xr:uid="{6B3B2B76-4DBD-406B-81D8-194F1E92B81D}"/>
    <cellStyle name="AggOrangeRBorder 4 7" xfId="1536" xr:uid="{FBE32567-8DBD-49BC-90AD-F8BDFE3F3B98}"/>
    <cellStyle name="AggOrangeRBorder 4 8" xfId="2094" xr:uid="{5E0F4AFF-A650-4F89-9041-C091AB35ADED}"/>
    <cellStyle name="AggOrangeRBorder 4 9" xfId="2077" xr:uid="{117D5EA5-EC49-45FE-B50A-BE27447A7193}"/>
    <cellStyle name="AggOrangeRBorder 5" xfId="72" xr:uid="{E0400562-60F0-462A-9153-06E1DFB13C71}"/>
    <cellStyle name="AggOrangeRBorder 5 2" xfId="3492" xr:uid="{E9797111-3C27-4719-98DD-38EF0224A0AF}"/>
    <cellStyle name="AggOrangeRBorder 5 3" xfId="18836" xr:uid="{A84F4D47-7FC8-432B-8FDF-7CB5ED9ED9F0}"/>
    <cellStyle name="AggOrangeRBorder 5 4" xfId="19457" xr:uid="{3B699A1C-6CC1-4216-87A2-F905BFADCCB4}"/>
    <cellStyle name="AggOrangeRBorder 5 5" xfId="24178" xr:uid="{F5E5E461-ACE8-4268-9CB0-F79B1DF4C181}"/>
    <cellStyle name="AggOrangeRBorder 5 6" xfId="27971" xr:uid="{80E18685-4BA8-4467-9280-9D685810C379}"/>
    <cellStyle name="AggOrangeRBorder_CRFReport-template" xfId="31" xr:uid="{7246229D-01EB-43F1-BFF9-67B629EA7A03}"/>
    <cellStyle name="Akzent1" xfId="120" xr:uid="{0B6436DA-ABCA-452F-9338-B7814F038FB3}"/>
    <cellStyle name="Akzent2" xfId="121" xr:uid="{A08D2637-ED01-4954-8FBF-1979A9D12057}"/>
    <cellStyle name="Akzent3" xfId="122" xr:uid="{13547CCD-F782-48F7-B0C7-699B4669C41A}"/>
    <cellStyle name="Akzent4" xfId="123" xr:uid="{4F86FB4E-1301-4DC7-8F99-52106329833F}"/>
    <cellStyle name="Akzent5" xfId="124" xr:uid="{24797455-DDAB-482B-83B9-B8C552DDD983}"/>
    <cellStyle name="Akzent6" xfId="125" xr:uid="{D75E5EC8-DCB2-4232-A3C1-24C03A58B27B}"/>
    <cellStyle name="Ausgabe" xfId="45" hidden="1" xr:uid="{D12EBC69-D98C-408F-A7A0-296736AEE175}"/>
    <cellStyle name="Ausgabe" xfId="892" hidden="1" xr:uid="{506C80CC-5E15-4C17-8C22-5823B624E1FC}"/>
    <cellStyle name="Ausgabe" xfId="982" hidden="1" xr:uid="{1471E15B-AC21-41A1-BCB1-6E3F52DC6C0E}"/>
    <cellStyle name="Ausgabe" xfId="1386" hidden="1" xr:uid="{EE2ACA60-C54C-4DE5-A960-976B85832586}"/>
    <cellStyle name="Ausgabe" xfId="1415" hidden="1" xr:uid="{FE4EAA2B-65C9-44ED-9814-7CDE5A9244F7}"/>
    <cellStyle name="Ausgabe" xfId="1865" hidden="1" xr:uid="{15276360-B1E6-4B8F-9F40-4471E6DC0DB0}"/>
    <cellStyle name="Ausgabe" xfId="2170" hidden="1" xr:uid="{BDFE51A1-CB1D-4770-BAC9-01B1827C0234}"/>
    <cellStyle name="Ausgabe" xfId="3162" hidden="1" xr:uid="{E35E26A6-67C5-4386-B044-E2B0F989A980}"/>
    <cellStyle name="Ausgabe" xfId="2237" hidden="1" xr:uid="{32D1AD9C-50F7-4638-8F2D-C1AAFDA2B959}"/>
    <cellStyle name="Ausgabe" xfId="1868" hidden="1" xr:uid="{250A69BB-C19E-4A6E-9DD0-76E82B936F29}"/>
    <cellStyle name="Ausgabe" xfId="3638" hidden="1" xr:uid="{537BD786-EFB1-42DC-8CCE-7D40F00D6C5A}"/>
    <cellStyle name="Ausgabe" xfId="3521" hidden="1" xr:uid="{897734D5-7431-4EBF-8F38-35620320E23D}"/>
    <cellStyle name="Ausgabe" xfId="3694" hidden="1" xr:uid="{C50B6F3E-2E43-4F6E-A3DC-7A721DDF83F3}"/>
    <cellStyle name="Ausgabe" xfId="3629" hidden="1" xr:uid="{783A5EC6-F034-4F6A-A606-7C35FCB71F2A}"/>
    <cellStyle name="Ausgabe" xfId="3340" hidden="1" xr:uid="{E82379B2-5A7C-4D6F-A19C-AF3E00CC7F4F}"/>
    <cellStyle name="Ausgabe" xfId="2132" hidden="1" xr:uid="{EE1C7EED-F0EC-4C26-A016-855C8C7F15E6}"/>
    <cellStyle name="Ausgabe" xfId="2233" hidden="1" xr:uid="{000B7211-E8D6-4137-9F74-AD30E8AC21EE}"/>
    <cellStyle name="Ausgabe" xfId="2979" hidden="1" xr:uid="{FB1AAEC0-E23C-4C35-9A2C-0207BCDFC60F}"/>
    <cellStyle name="Ausgabe" xfId="2878" hidden="1" xr:uid="{D1790A48-1706-45D7-A36D-954FD2E7892D}"/>
    <cellStyle name="Ausgabe" xfId="3332" hidden="1" xr:uid="{B126C77F-9671-4CDD-A56D-8C8B048A3CAD}"/>
    <cellStyle name="Ausgabe" xfId="4656" hidden="1" xr:uid="{B58EB8D4-EFAF-4FF7-AC97-789804C965A9}"/>
    <cellStyle name="Ausgabe" xfId="5135" hidden="1" xr:uid="{780FEA76-2984-4895-9E09-09457C8F2291}"/>
    <cellStyle name="Ausgabe" xfId="4708" hidden="1" xr:uid="{698F6670-0EDE-4C9F-A7B2-3FE495E053B0}"/>
    <cellStyle name="Ausgabe" xfId="4659" hidden="1" xr:uid="{5B688A43-62AC-4BC9-A51A-32670D9D6AF3}"/>
    <cellStyle name="Ausgabe" xfId="5623" hidden="1" xr:uid="{965C575F-4A39-4D9E-97FD-1E65EBE1D1DA}"/>
    <cellStyle name="Ausgabe" xfId="5572" hidden="1" xr:uid="{D1775950-852E-41B9-9682-E0BAB4F3A904}"/>
    <cellStyle name="Ausgabe" xfId="2843" hidden="1" xr:uid="{E723574D-522E-4DDC-BE44-CFCD5F7F973C}"/>
    <cellStyle name="Ausgabe" xfId="6005" hidden="1" xr:uid="{FA9DF0FD-5174-40F3-BCDD-EB321A96E6FB}"/>
    <cellStyle name="Ausgabe" xfId="5751" hidden="1" xr:uid="{FA5F738C-D10B-4A40-AEDB-DB3A04C9775D}"/>
    <cellStyle name="Ausgabe" xfId="6244" hidden="1" xr:uid="{2669B157-459F-4A80-9F7F-1A3C1980FC7E}"/>
    <cellStyle name="Ausgabe" xfId="6190" hidden="1" xr:uid="{221883C3-79E5-434D-83CE-23F310DF1936}"/>
    <cellStyle name="Ausgabe" xfId="6347" hidden="1" xr:uid="{C2DAB6D0-B3DB-4D44-BF16-58A615A2D5F5}"/>
    <cellStyle name="Ausgabe" xfId="5113" hidden="1" xr:uid="{2DC41D7F-4BBF-4844-8457-7696D52277D7}"/>
    <cellStyle name="Ausgabe" xfId="5588" hidden="1" xr:uid="{6FCD2C6B-D0AC-43FE-891B-5F5C5F128D04}"/>
    <cellStyle name="Ausgabe" xfId="5916" hidden="1" xr:uid="{6F3855AC-84CC-4338-8405-6E98933722B1}"/>
    <cellStyle name="Ausgabe" xfId="6395" hidden="1" xr:uid="{243AE522-4504-4C37-9F8A-EE0BB0E22D61}"/>
    <cellStyle name="Ausgabe" xfId="6477" hidden="1" xr:uid="{677FC958-F96C-45CA-B1CF-A707E0AF5B46}"/>
    <cellStyle name="Ausgabe" xfId="6779" hidden="1" xr:uid="{B1DB8710-F640-46BA-844B-C0B1E72D8A45}"/>
    <cellStyle name="Ausgabe" xfId="7154" hidden="1" xr:uid="{4B1F4482-A5A8-4EF7-80B8-E974931C35F6}"/>
    <cellStyle name="Ausgabe" xfId="8028" hidden="1" xr:uid="{401DBA5C-76E2-490F-B0B2-706590D00DFF}"/>
    <cellStyle name="Ausgabe" xfId="7908" hidden="1" xr:uid="{F143C11A-60F2-4157-9623-A7812164DA17}"/>
    <cellStyle name="Ausgabe" xfId="8400" hidden="1" xr:uid="{43FCF87C-52BF-4C38-921A-32B3C8F4CE52}"/>
    <cellStyle name="Ausgabe" xfId="7861" hidden="1" xr:uid="{EA3EA032-0D89-4624-87E6-A63355284BD5}"/>
    <cellStyle name="Ausgabe" xfId="8149" hidden="1" xr:uid="{F37760ED-E39D-4FE3-A2FB-535284473D56}"/>
    <cellStyle name="Ausgabe" xfId="8152" hidden="1" xr:uid="{5F8D2B43-2522-446E-AFA4-E6B18ACBD8BC}"/>
    <cellStyle name="Ausgabe" xfId="8166" hidden="1" xr:uid="{7739B677-F2F2-4C17-BEB8-217FD8BCE5AE}"/>
    <cellStyle name="Ausgabe" xfId="6753" hidden="1" xr:uid="{1A277C71-00BC-47A9-93AD-C45FD011981A}"/>
    <cellStyle name="Ausgabe" xfId="7800" hidden="1" xr:uid="{F844F6EB-9920-41D5-8B8B-9271A63BC447}"/>
    <cellStyle name="Ausgabe" xfId="8130" hidden="1" xr:uid="{4984D761-3411-43AD-9827-77C094ED05EE}"/>
    <cellStyle name="Ausgabe" xfId="8175" hidden="1" xr:uid="{8D3A8AE7-3FB1-4E7D-BF29-63AB62A64F58}"/>
    <cellStyle name="Ausgabe" xfId="8314" hidden="1" xr:uid="{DF52E2D8-87B5-4715-8AF4-4B2AF9439CB7}"/>
    <cellStyle name="Ausgabe" xfId="7617" hidden="1" xr:uid="{011CFE0F-E74F-428C-98AF-9CAF9FAE4768}"/>
    <cellStyle name="Ausgabe" xfId="8369" hidden="1" xr:uid="{406C33A1-5A33-43D5-94E5-7DE787EFA99E}"/>
    <cellStyle name="Ausgabe" xfId="7173" hidden="1" xr:uid="{29A2E93F-5EB9-4232-9250-336CECD7AEA5}"/>
    <cellStyle name="Ausgabe" xfId="7782" hidden="1" xr:uid="{254D13BE-103A-499B-B04E-7D3D6B058B25}"/>
    <cellStyle name="Ausgabe" xfId="7772" hidden="1" xr:uid="{0BF8EC09-7A17-472F-9308-AB8198C2A2B9}"/>
    <cellStyle name="Ausgabe" xfId="8890" hidden="1" xr:uid="{4ACB0F09-3BDB-44E2-B93E-62DF62E5DC61}"/>
    <cellStyle name="Ausgabe" xfId="8902" hidden="1" xr:uid="{F386BEF7-610D-4F53-9DBB-C94710517194}"/>
    <cellStyle name="Ausgabe" xfId="8347" hidden="1" xr:uid="{60F687DE-E436-4408-A07E-450FFEBD39F6}"/>
    <cellStyle name="Ausgabe" xfId="8187" hidden="1" xr:uid="{2E970F2D-953F-4B7F-9005-5938266B0F0B}"/>
    <cellStyle name="Ausgabe" xfId="8991" hidden="1" xr:uid="{1EC5DEE2-D173-4895-A9B5-65C42282C6FC}"/>
    <cellStyle name="Ausgabe" xfId="9369" hidden="1" xr:uid="{2BE28610-B7CA-4692-8E63-0E908E9CF5B9}"/>
    <cellStyle name="Ausgabe" xfId="10248" hidden="1" xr:uid="{26BD5DB0-BB88-4CE6-9BF8-0C2AC77457DF}"/>
    <cellStyle name="Ausgabe" xfId="10121" hidden="1" xr:uid="{945F1EBE-5BE3-4277-8FC7-C67FDBCFA013}"/>
    <cellStyle name="Ausgabe" xfId="10642" hidden="1" xr:uid="{D7AC2650-D796-4B74-91D5-B3896382C058}"/>
    <cellStyle name="Ausgabe" xfId="9055" hidden="1" xr:uid="{1E257225-98E6-4860-83F9-B63F177C85B0}"/>
    <cellStyle name="Ausgabe" xfId="10311" hidden="1" xr:uid="{15E26790-A880-4A6A-A99E-E51900EA0F1B}"/>
    <cellStyle name="Ausgabe" xfId="10997" hidden="1" xr:uid="{EA0C4FE9-66DA-4E1B-977E-A283F1272910}"/>
    <cellStyle name="Ausgabe" xfId="10112" hidden="1" xr:uid="{9651A9D5-2382-414E-A6AE-6FE89816F5CC}"/>
    <cellStyle name="Ausgabe" xfId="10327" hidden="1" xr:uid="{F358E395-E26B-4FC6-941C-CADD03B95FAD}"/>
    <cellStyle name="Ausgabe" xfId="10899" hidden="1" xr:uid="{23EA8766-79F1-49E3-8EAA-6D0B8EE621E4}"/>
    <cellStyle name="Ausgabe" xfId="11121" hidden="1" xr:uid="{4274EA21-2466-451A-8824-FC417975D5E2}"/>
    <cellStyle name="Ausgabe" xfId="11230" hidden="1" xr:uid="{826B6C82-D87E-4318-988F-DC783C159FD8}"/>
    <cellStyle name="Ausgabe" xfId="9112" hidden="1" xr:uid="{792C0270-65D0-445C-93EB-9EEE3283A0DC}"/>
    <cellStyle name="Ausgabe" xfId="10014" hidden="1" xr:uid="{8E20A016-9240-4EA7-B5F7-620350B54F50}"/>
    <cellStyle name="Ausgabe" xfId="11397" hidden="1" xr:uid="{6577A0B1-8345-43B8-922B-5C48BB4E4ED7}"/>
    <cellStyle name="Ausgabe" xfId="11782" hidden="1" xr:uid="{506EDF96-6895-43FD-957D-FFD0695C4995}"/>
    <cellStyle name="Ausgabe" xfId="12259" hidden="1" xr:uid="{FE2C417B-F06D-41A4-B44F-5BCF86FD6BAF}"/>
    <cellStyle name="Ausgabe" xfId="11365" hidden="1" xr:uid="{2C5B2EFD-F07B-4082-83B1-48B2A6120803}"/>
    <cellStyle name="Ausgabe" xfId="11353" hidden="1" xr:uid="{F0485CB2-0BB8-446C-A975-DB051E0BC884}"/>
    <cellStyle name="Ausgabe" xfId="13991" hidden="1" xr:uid="{9FDED3EE-BFCC-49F9-991E-1E51C8544659}"/>
    <cellStyle name="Ausgabe" xfId="11789" hidden="1" xr:uid="{06F7DF13-BA35-47A3-93BB-B6826E9FFA80}"/>
    <cellStyle name="Ausgabe" xfId="11709" hidden="1" xr:uid="{5199F416-9AB9-4D17-82FB-4E3C0EF7040F}"/>
    <cellStyle name="Ausgabe" xfId="14428" hidden="1" xr:uid="{3F2EF696-C674-40DA-8814-D3DD6FC22ED4}"/>
    <cellStyle name="Ausgabe" xfId="12284" hidden="1" xr:uid="{3494BC2A-4686-42E4-BB6C-D394EC2E80C9}"/>
    <cellStyle name="Ausgabe" xfId="13940" hidden="1" xr:uid="{384E2BB7-60B4-4DC8-B9C4-713FA335FFFB}"/>
    <cellStyle name="Ausgabe" xfId="14192" hidden="1" xr:uid="{D403F317-EA5E-405D-BE31-F0FC5D9C5B1A}"/>
    <cellStyle name="Ausgabe" xfId="14700" hidden="1" xr:uid="{1E712C2C-5575-47BD-BD1A-71A88D66F1E5}"/>
    <cellStyle name="Ausgabe" xfId="14884" hidden="1" xr:uid="{9DD01250-593B-4477-8B7F-2863C1FBC951}"/>
    <cellStyle name="Ausgabe" xfId="15308" hidden="1" xr:uid="{B923B511-F71D-4763-A25F-CAC655B44672}"/>
    <cellStyle name="Ausgabe" xfId="14989" hidden="1" xr:uid="{37A7B105-DD8F-4AE9-BF22-BF0048EC1C7F}"/>
    <cellStyle name="Ausgabe" xfId="15237" hidden="1" xr:uid="{8791FDA9-28DB-4F4C-BCF0-BC2DFBCEBAC9}"/>
    <cellStyle name="Ausgabe" xfId="14612" hidden="1" xr:uid="{AE209349-CFFD-4EDE-9D70-EA793E10DC60}"/>
    <cellStyle name="Ausgabe" xfId="15383" hidden="1" xr:uid="{C46DD41C-D9AC-4999-A915-65107BCEC94E}"/>
    <cellStyle name="Ausgabe" xfId="14942" hidden="1" xr:uid="{CDBBA867-1984-42A4-9980-A5153DD0CBD6}"/>
    <cellStyle name="Ausgabe" xfId="15031" hidden="1" xr:uid="{87783B52-9AA2-405E-B414-D4212B6DF876}"/>
    <cellStyle name="Ausgabe" xfId="15553" hidden="1" xr:uid="{82DDD11E-1FAC-4019-A39F-A69A73F3D7D7}"/>
    <cellStyle name="Ausgabe" xfId="13825" hidden="1" xr:uid="{C724F93D-B264-49E1-8309-F367636AC9F9}"/>
    <cellStyle name="Ausgabe" xfId="11392" hidden="1" xr:uid="{FA15BC9C-44BE-4144-A36C-D6C1AB21A961}"/>
    <cellStyle name="Ausgabe" xfId="15804" hidden="1" xr:uid="{93EBBC20-9765-40D9-85DE-F4801AC2C940}"/>
    <cellStyle name="Ausgabe" xfId="16088" hidden="1" xr:uid="{5DEA9E4A-93F4-4F64-9EA4-54FCC3F05CD1}"/>
    <cellStyle name="Ausgabe" xfId="16475" hidden="1" xr:uid="{E54E4663-1AF8-4363-A9F5-F2B4C674DF76}"/>
    <cellStyle name="Ausgabe" xfId="17369" hidden="1" xr:uid="{39DBC1FE-02B4-4013-9BAA-39AF486D5553}"/>
    <cellStyle name="Ausgabe" xfId="17240" hidden="1" xr:uid="{D96ED8D9-407A-47BA-A64D-B1D9296B7323}"/>
    <cellStyle name="Ausgabe" xfId="17811" hidden="1" xr:uid="{1E031CE6-834E-43D8-920D-227814D527AF}"/>
    <cellStyle name="Ausgabe" xfId="16211" hidden="1" xr:uid="{92727F93-033D-4F82-B5B0-8E7AC318616E}"/>
    <cellStyle name="Ausgabe" xfId="18228" hidden="1" xr:uid="{816A5201-6F76-451C-8851-4668A51ACDB6}"/>
    <cellStyle name="Ausgabe" xfId="17438" hidden="1" xr:uid="{560AC677-FC54-4636-A75A-E395C5AEA255}"/>
    <cellStyle name="Ausgabe" xfId="17577" hidden="1" xr:uid="{D17E74C7-294E-4B1C-9E66-1933E5340DEA}"/>
    <cellStyle name="Ausgabe" xfId="17067" hidden="1" xr:uid="{30C69006-471E-4181-A13D-C1DDFB09EAFF}"/>
    <cellStyle name="Ausgabe" xfId="17683" hidden="1" xr:uid="{742369B8-373E-41EF-8BEB-F74D90926FB5}"/>
    <cellStyle name="Ausgabe" xfId="17958" hidden="1" xr:uid="{3029B77E-6621-4715-B75D-FF1A1354688E}"/>
    <cellStyle name="Ausgabe" xfId="19072" hidden="1" xr:uid="{4B527AEC-0E9B-4DC9-A14A-9BB63896B2A9}"/>
    <cellStyle name="Ausgabe" xfId="18073" hidden="1" xr:uid="{0BCCC114-BF76-4436-A43E-12552181F705}"/>
    <cellStyle name="Ausgabe" xfId="17135" hidden="1" xr:uid="{B76DF6C3-2DC1-4D52-9D86-E438A17646D4}"/>
    <cellStyle name="Ausgabe" xfId="19103" hidden="1" xr:uid="{7805E5A4-0473-4B82-BEE5-2478619174BA}"/>
    <cellStyle name="Ausgabe" xfId="19325" hidden="1" xr:uid="{FCB8D4F1-4ACE-4596-BC32-76E40918F445}"/>
    <cellStyle name="Ausgabe" xfId="19337" hidden="1" xr:uid="{90B292EF-AFEF-4D0E-8741-8A4A4FF474F6}"/>
    <cellStyle name="Ausgabe" xfId="19421" hidden="1" xr:uid="{5B54350F-E7AD-445B-A95D-58E4A9A89A7A}"/>
    <cellStyle name="Ausgabe" xfId="19811" hidden="1" xr:uid="{2F52B5D2-465B-4F8F-BF5B-CBD35B7C53CD}"/>
    <cellStyle name="Ausgabe" xfId="20719" hidden="1" xr:uid="{A68E7A46-BEF5-4891-8160-2D599A9A35F2}"/>
    <cellStyle name="Ausgabe" xfId="19404" hidden="1" xr:uid="{088E5E19-5A49-4046-97E3-48302DBF7839}"/>
    <cellStyle name="Ausgabe" xfId="21177" hidden="1" xr:uid="{5AD8DC18-5C86-428D-9A50-0958DAA7E88D}"/>
    <cellStyle name="Ausgabe" xfId="19499" hidden="1" xr:uid="{3E63F8F2-B059-4DA2-8D74-BD41B0C5D1CB}"/>
    <cellStyle name="Ausgabe" xfId="21480" hidden="1" xr:uid="{0164AC2D-51A5-432F-BB61-610CE39EFFAC}"/>
    <cellStyle name="Ausgabe" xfId="21647" hidden="1" xr:uid="{906DC9E7-6A0E-4FE0-9EAE-28B07CA58037}"/>
    <cellStyle name="Ausgabe" xfId="19636" hidden="1" xr:uid="{3EA50953-39E0-46C0-8E5C-63FE1B0D72BA}"/>
    <cellStyle name="Ausgabe" xfId="19631" hidden="1" xr:uid="{F3FFD11C-6E23-4B84-8324-7D55CF5850D1}"/>
    <cellStyle name="Ausgabe" xfId="22108" hidden="1" xr:uid="{7A1E4DCF-18EB-400E-9F9B-B8E4248E2ED2}"/>
    <cellStyle name="Ausgabe" xfId="20348" hidden="1" xr:uid="{5DDB738B-186D-4576-8828-2DAD5C7C620D}"/>
    <cellStyle name="Ausgabe" xfId="22536" hidden="1" xr:uid="{B01331A0-46E2-47C0-AE67-C91E15951FF0}"/>
    <cellStyle name="Ausgabe" xfId="22177" hidden="1" xr:uid="{F83C0DC0-C042-41DA-B186-9085BADA5F1F}"/>
    <cellStyle name="Ausgabe" xfId="22962" hidden="1" xr:uid="{78BB9ADE-C515-4C38-9C13-CD17EA8254AB}"/>
    <cellStyle name="Ausgabe" xfId="21808" hidden="1" xr:uid="{752EABF6-D20B-49B4-B812-B847CEC07A91}"/>
    <cellStyle name="Ausgabe" xfId="22861" hidden="1" xr:uid="{9BAE58B1-13F6-4BB2-AA35-4C6E8FF12255}"/>
    <cellStyle name="Ausgabe" xfId="23349" hidden="1" xr:uid="{E90FC4A7-0562-4861-A13D-304221B3DD8F}"/>
    <cellStyle name="Ausgabe" xfId="22846" hidden="1" xr:uid="{37D25C85-EB32-40C8-9CC2-4FB64C92ABF5}"/>
    <cellStyle name="Ausgabe" xfId="22197" hidden="1" xr:uid="{1B163399-7015-4086-ADD4-12BEA619A385}"/>
    <cellStyle name="Ausgabe" xfId="22498" hidden="1" xr:uid="{1D056F00-93E9-4388-B435-72F6EE7BCCB9}"/>
    <cellStyle name="Ausgabe" xfId="23566" hidden="1" xr:uid="{623DD278-FB98-441D-8D8E-86448889908C}"/>
    <cellStyle name="Ausgabe" xfId="23658" hidden="1" xr:uid="{92669B41-F770-45E4-9AB7-D9022778A8BE}"/>
    <cellStyle name="Ausgabe" xfId="22689" hidden="1" xr:uid="{507CAF08-36A4-46E8-942D-AC2C8AEF6211}"/>
    <cellStyle name="Ausgabe" xfId="23586" hidden="1" xr:uid="{42880AAA-279A-4A55-9FE5-EE273B9E9EC8}"/>
    <cellStyle name="Ausgabe" xfId="24097" hidden="1" xr:uid="{88804F1C-DCCD-4282-A521-B85DD4D6F496}"/>
    <cellStyle name="Ausgabe" xfId="23450" hidden="1" xr:uid="{3E18F465-0294-473D-A6DD-513E036D71E0}"/>
    <cellStyle name="Ausgabe" xfId="24145" hidden="1" xr:uid="{84865B54-8521-4E51-BDBE-D3C5A69678E3}"/>
    <cellStyle name="Ausgabe" xfId="24593" hidden="1" xr:uid="{32C43FE0-EFF7-45F5-B5A9-77972378B27E}"/>
    <cellStyle name="Ausgabe" xfId="25015" hidden="1" xr:uid="{8DC04658-98E8-40B8-BC0B-5D615CA7BED4}"/>
    <cellStyle name="Ausgabe" xfId="24340" hidden="1" xr:uid="{9FF377BB-48B9-441B-86D0-BA0BB8806330}"/>
    <cellStyle name="Ausgabe" xfId="25442" hidden="1" xr:uid="{4442BED7-D231-4690-A418-2A102811837D}"/>
    <cellStyle name="Ausgabe" xfId="25427" hidden="1" xr:uid="{14D0BE76-B7FE-4C38-BDAA-EA4EDD8480B2}"/>
    <cellStyle name="Ausgabe" xfId="24491" hidden="1" xr:uid="{93F283A9-074D-4E83-BDBA-C9E1914313B8}"/>
    <cellStyle name="Ausgabe" xfId="24101" hidden="1" xr:uid="{93854966-289B-4C9C-A02A-D4DBA890440A}"/>
    <cellStyle name="Ausgabe" xfId="26192" hidden="1" xr:uid="{0433E425-EA84-4426-9FD4-CAE1CDCAA38F}"/>
    <cellStyle name="Ausgabe" xfId="26692" hidden="1" xr:uid="{D3B2191F-D5F2-47FC-A732-3418A44E3091}"/>
    <cellStyle name="Ausgabe" xfId="25018" hidden="1" xr:uid="{BB906843-1346-4169-BDF8-A15E3D4114FE}"/>
    <cellStyle name="Ausgabe" xfId="26703" hidden="1" xr:uid="{16829B3D-2F3F-4C92-90EA-81A319311CE0}"/>
    <cellStyle name="Ausgabe" xfId="26627" hidden="1" xr:uid="{E1A116B5-21FD-4B32-B750-C1A0D55BCD00}"/>
    <cellStyle name="Ausgabe" xfId="26794" hidden="1" xr:uid="{CC0E0187-E097-4DC3-981D-A37FF235BB6A}"/>
    <cellStyle name="Ausgabe" xfId="27810" hidden="1" xr:uid="{105441A3-C721-4EF2-BCA6-9696397F70EE}"/>
    <cellStyle name="Ausgabe" xfId="27825" hidden="1" xr:uid="{F5F16424-9FDF-4752-A026-B35B5D23A5AE}"/>
    <cellStyle name="Ausgabe" xfId="27888" hidden="1" xr:uid="{F31827AF-C7F1-4F36-9970-9417E13B6EEB}"/>
    <cellStyle name="Ausgabe" xfId="27648" hidden="1" xr:uid="{A52CCD81-AB76-4E7D-BE15-FD9F49AD1C3C}"/>
    <cellStyle name="Ausgabe" xfId="27636" hidden="1" xr:uid="{BB897076-877F-4AE6-B58B-40F24F26B273}"/>
    <cellStyle name="Ausgabe" xfId="26637" hidden="1" xr:uid="{41BA2C60-5F8F-4FB1-9057-97BF340153D9}"/>
    <cellStyle name="Ausgabe" xfId="27935" hidden="1" xr:uid="{A1AC1B03-9805-42B1-8D03-4AE0DA58DA1A}"/>
    <cellStyle name="Ausgabe" xfId="28284" hidden="1" xr:uid="{487E7CBE-F54B-4589-AE0D-732E52ABA43D}"/>
    <cellStyle name="Ausgabe" xfId="28746" hidden="1" xr:uid="{8B9D2DAE-56CD-4B26-8DF1-FA1CE91735D5}"/>
    <cellStyle name="Ausgabe" xfId="29536" hidden="1" xr:uid="{E06A099D-D5E2-4D1C-95FE-9FC6078EED51}"/>
    <cellStyle name="Ausgabe" xfId="27943" hidden="1" xr:uid="{92F9A33A-EAB8-46E2-A65F-9632BA4A2841}"/>
    <cellStyle name="Ausgabe" xfId="27921" hidden="1" xr:uid="{A4033E64-C9E4-4E32-B59E-880518D16CE2}"/>
    <cellStyle name="Ausgabe" xfId="28026" hidden="1" xr:uid="{9A311BFA-B7E3-41AB-972D-8A7688C84348}"/>
    <cellStyle name="Ausgabe" xfId="28756" hidden="1" xr:uid="{D4A07903-9892-4978-A57D-C3EB7C641CF3}"/>
    <cellStyle name="Ausgabe" xfId="27987" hidden="1" xr:uid="{A09A369D-7D97-4555-8DAE-E9D9E06F1E42}"/>
    <cellStyle name="Ausgabe" xfId="30820" hidden="1" xr:uid="{A00ED415-9E38-4D6D-BE3A-900686691A9F}"/>
    <cellStyle name="Ausgabe 2" xfId="391" xr:uid="{DD8F03EF-71E3-4A75-9E7B-C490152F5AF6}"/>
    <cellStyle name="Ausgabe 2 10" xfId="4950" xr:uid="{788D23B8-0177-498C-8560-B63685C75186}"/>
    <cellStyle name="Ausgabe 2 11" xfId="2304" xr:uid="{07188E62-2592-4CB3-B186-98E7AFB2CC91}"/>
    <cellStyle name="Ausgabe 2 12" xfId="7118" xr:uid="{9A7AFE4E-DC6F-46C6-9CFD-86912E53A7E1}"/>
    <cellStyle name="Ausgabe 2 13" xfId="6959" xr:uid="{C5C7E86B-C7C8-45DE-85EA-6890B1B2C41F}"/>
    <cellStyle name="Ausgabe 2 14" xfId="8082" xr:uid="{A3ECFF6F-9087-49C2-A0EF-2878DC5AD3A2}"/>
    <cellStyle name="Ausgabe 2 15" xfId="9331" xr:uid="{32541002-88C2-4B01-9A0D-E1573C3BED59}"/>
    <cellStyle name="Ausgabe 2 16" xfId="9172" xr:uid="{3307EBB0-7951-427E-87D3-563BF35BA934}"/>
    <cellStyle name="Ausgabe 2 17" xfId="11745" xr:uid="{B9C3DB97-85C5-4EF0-8D72-215D4BEF09C4}"/>
    <cellStyle name="Ausgabe 2 18" xfId="11581" xr:uid="{1AF9732D-D387-4602-8BDC-695A4AD1BBBC}"/>
    <cellStyle name="Ausgabe 2 19" xfId="11548" xr:uid="{26A3A750-C6D0-4745-9AA6-ADB159273045}"/>
    <cellStyle name="Ausgabe 2 2" xfId="647" xr:uid="{E5EB5D54-6502-4711-AA70-54A709766EC8}"/>
    <cellStyle name="Ausgabe 2 2 10" xfId="4986" xr:uid="{D2758E4F-D4AE-444F-AD19-2F83F848451D}"/>
    <cellStyle name="Ausgabe 2 2 11" xfId="5295" xr:uid="{B90F7FD7-C32B-4847-908E-FE2DE2C24E8A}"/>
    <cellStyle name="Ausgabe 2 2 12" xfId="5653" xr:uid="{64E27DDD-A516-4098-BFAF-0A75FE7404FD}"/>
    <cellStyle name="Ausgabe 2 2 13" xfId="6162" xr:uid="{A76FB5FD-5A83-4A1D-B3D2-2521AE5589FC}"/>
    <cellStyle name="Ausgabe 2 2 14" xfId="6605" xr:uid="{C91DD8CA-80F9-4566-82A3-E21F7383403E}"/>
    <cellStyle name="Ausgabe 2 2 15" xfId="7367" xr:uid="{A234E0C4-F1D2-4318-B78E-F73DF81E380A}"/>
    <cellStyle name="Ausgabe 2 2 16" xfId="7054" xr:uid="{87788412-9DE2-4203-9CB8-03C9EEC9D6F4}"/>
    <cellStyle name="Ausgabe 2 2 17" xfId="8408" xr:uid="{38E16D82-5CA9-46DC-A8F2-94A1E5F4B14F}"/>
    <cellStyle name="Ausgabe 2 2 18" xfId="8738" xr:uid="{FDECBDBF-71A5-4EC9-BA7B-0019F2EF1DF6}"/>
    <cellStyle name="Ausgabe 2 2 19" xfId="9581" xr:uid="{A9FE5510-A277-4A83-B073-BD89BC02A511}"/>
    <cellStyle name="Ausgabe 2 2 2" xfId="862" xr:uid="{AE9939C0-08FD-45FC-BF16-AEC0E90FDDEC}"/>
    <cellStyle name="Ausgabe 2 2 2 10" xfId="5510" xr:uid="{69E71DA7-6686-481A-81C1-DDE61B9521ED}"/>
    <cellStyle name="Ausgabe 2 2 2 11" xfId="5932" xr:uid="{DFC4AB9E-79DF-45FB-99DB-364C7517CF86}"/>
    <cellStyle name="Ausgabe 2 2 2 12" xfId="5976" xr:uid="{25028DA2-C05F-4526-80BB-7C6EF37F28D4}"/>
    <cellStyle name="Ausgabe 2 2 2 13" xfId="6650" xr:uid="{6A74C8DE-5C87-4A24-8031-27E92C7D93CB}"/>
    <cellStyle name="Ausgabe 2 2 2 14" xfId="7582" xr:uid="{B9B8F956-72FB-4F8E-BE14-B80783861ED0}"/>
    <cellStyle name="Ausgabe 2 2 2 15" xfId="6746" xr:uid="{BA8909C4-F95B-4AFC-9C97-44E57CFDEE5C}"/>
    <cellStyle name="Ausgabe 2 2 2 16" xfId="6776" xr:uid="{B23DA034-0AEE-404E-AD4C-860FF4C6E756}"/>
    <cellStyle name="Ausgabe 2 2 2 17" xfId="8037" xr:uid="{35CB1670-830C-493F-BDE3-6C4653154E1E}"/>
    <cellStyle name="Ausgabe 2 2 2 18" xfId="9796" xr:uid="{3B1C12FE-200B-443C-A4FB-DC7896AFFB82}"/>
    <cellStyle name="Ausgabe 2 2 2 19" xfId="9356" xr:uid="{7D4DF7CC-8CFD-47F0-BEA7-A691DCC8ABE0}"/>
    <cellStyle name="Ausgabe 2 2 2 2" xfId="1336" xr:uid="{29997C74-988F-41AC-BAFF-5904DE074E96}"/>
    <cellStyle name="Ausgabe 2 2 2 20" xfId="10126" xr:uid="{8FEF8530-9A4B-424E-A6F8-182F0F7C51A5}"/>
    <cellStyle name="Ausgabe 2 2 2 21" xfId="10345" xr:uid="{C4A4BA3E-4D59-486C-B648-C2376F698C16}"/>
    <cellStyle name="Ausgabe 2 2 2 22" xfId="10786" xr:uid="{AA6896E2-C227-41D1-8EDD-5464F2561886}"/>
    <cellStyle name="Ausgabe 2 2 2 23" xfId="12215" xr:uid="{FFDAC45A-91B7-4A59-8731-60962894FEA8}"/>
    <cellStyle name="Ausgabe 2 2 2 24" xfId="12688" xr:uid="{20A77488-F9FC-4B89-A486-4850F0722313}"/>
    <cellStyle name="Ausgabe 2 2 2 25" xfId="13122" xr:uid="{8E10A56D-5575-4E6D-AD88-48E916025C6A}"/>
    <cellStyle name="Ausgabe 2 2 2 26" xfId="13559" xr:uid="{6E0496A8-0B09-4465-9E71-4F9CACC43C6D}"/>
    <cellStyle name="Ausgabe 2 2 2 27" xfId="13599" xr:uid="{C7162720-E2AE-4411-B9A5-E450B232F045}"/>
    <cellStyle name="Ausgabe 2 2 2 28" xfId="14478" xr:uid="{A9EC9BA2-F8F5-409B-88A7-418314BECEBC}"/>
    <cellStyle name="Ausgabe 2 2 2 29" xfId="13640" xr:uid="{FB207DD7-3B5F-401C-9784-AA0537A32B2D}"/>
    <cellStyle name="Ausgabe 2 2 2 3" xfId="1785" xr:uid="{9E024BA3-F386-48AF-A4F8-0B46D1C9408A}"/>
    <cellStyle name="Ausgabe 2 2 2 30" xfId="15091" xr:uid="{2FDA2523-23CA-495D-BA93-7A2CCAEF4020}"/>
    <cellStyle name="Ausgabe 2 2 2 31" xfId="11733" xr:uid="{CEBD8B89-1247-410E-A57E-17DE8F1D43B2}"/>
    <cellStyle name="Ausgabe 2 2 2 32" xfId="15451" xr:uid="{807243DC-AD50-4645-BF06-E55F43F21889}"/>
    <cellStyle name="Ausgabe 2 2 2 33" xfId="16907" xr:uid="{F35F5B7D-19E4-47D5-8DA5-BF271653F623}"/>
    <cellStyle name="Ausgabe 2 2 2 34" xfId="16055" xr:uid="{0C23902A-2121-4406-A973-EE977451CA71}"/>
    <cellStyle name="Ausgabe 2 2 2 35" xfId="17245" xr:uid="{ACAFC3B1-5774-4337-B5C2-7D10B668C784}"/>
    <cellStyle name="Ausgabe 2 2 2 36" xfId="16498" xr:uid="{CA8EF809-9530-4145-94EA-5A13B09FF69E}"/>
    <cellStyle name="Ausgabe 2 2 2 37" xfId="18725" xr:uid="{F7E55EC1-04E4-4C79-BBBB-ED1E4D2FCE14}"/>
    <cellStyle name="Ausgabe 2 2 2 38" xfId="19040" xr:uid="{27B18693-4349-457D-86CD-6ED732510D40}"/>
    <cellStyle name="Ausgabe 2 2 2 39" xfId="19162" xr:uid="{E03AC0F9-96AA-4400-8743-779FD1530F5E}"/>
    <cellStyle name="Ausgabe 2 2 2 4" xfId="2684" xr:uid="{5201C5A0-C413-4921-9DCD-5E5805427CD8}"/>
    <cellStyle name="Ausgabe 2 2 2 40" xfId="20244" xr:uid="{06793814-0F9F-4E5B-B751-2A246CC2DAD6}"/>
    <cellStyle name="Ausgabe 2 2 2 41" xfId="19890" xr:uid="{7982CCF8-E7ED-4846-953A-EAAD74186663}"/>
    <cellStyle name="Ausgabe 2 2 2 42" xfId="19812" xr:uid="{EBE3B168-B8AB-4BF3-8AD5-C706C8F70412}"/>
    <cellStyle name="Ausgabe 2 2 2 43" xfId="21491" xr:uid="{088A82CF-7A64-4828-BF3E-6E575B84176A}"/>
    <cellStyle name="Ausgabe 2 2 2 44" xfId="20815" xr:uid="{42160415-4816-4229-B4CB-6620C12DB751}"/>
    <cellStyle name="Ausgabe 2 2 2 45" xfId="22046" xr:uid="{BCC3D39D-1961-4BD3-902E-8C49391246CB}"/>
    <cellStyle name="Ausgabe 2 2 2 46" xfId="22608" xr:uid="{1D5683EE-BE79-4B2F-AE35-B6ADC0F71BF3}"/>
    <cellStyle name="Ausgabe 2 2 2 47" xfId="23317" xr:uid="{C85025A0-2B8C-44A7-B8B6-5BD65B63B9F6}"/>
    <cellStyle name="Ausgabe 2 2 2 48" xfId="23262" xr:uid="{6B515C33-6AC7-427A-9315-918ADCB0F898}"/>
    <cellStyle name="Ausgabe 2 2 2 49" xfId="24044" xr:uid="{1D53F36B-F140-4E86-82DF-5113ABE805FB}"/>
    <cellStyle name="Ausgabe 2 2 2 5" xfId="2765" xr:uid="{2B19EA6E-CD0A-4291-9BE3-212674D14B38}"/>
    <cellStyle name="Ausgabe 2 2 2 50" xfId="24952" xr:uid="{2D8529FB-BA43-4486-8F2D-F8F739DDA856}"/>
    <cellStyle name="Ausgabe 2 2 2 51" xfId="24330" xr:uid="{64FAE01F-14FF-4273-BE10-03D2A1137366}"/>
    <cellStyle name="Ausgabe 2 2 2 52" xfId="25868" xr:uid="{5EA1D378-E02D-40D9-9AFF-9E1A0F143AC0}"/>
    <cellStyle name="Ausgabe 2 2 2 53" xfId="25444" xr:uid="{2894210C-E8DE-4BD6-A04F-EE50D9A8EE67}"/>
    <cellStyle name="Ausgabe 2 2 2 54" xfId="26735" xr:uid="{60D2F4E6-41B6-4C5D-B088-2274D3DF703E}"/>
    <cellStyle name="Ausgabe 2 2 2 55" xfId="27156" xr:uid="{2474758C-75F1-4E8C-A64D-1A842B350DDA}"/>
    <cellStyle name="Ausgabe 2 2 2 56" xfId="27575" xr:uid="{02F61E1D-C030-48EF-8BF5-899C4150DE67}"/>
    <cellStyle name="Ausgabe 2 2 2 57" xfId="26500" xr:uid="{9927B4DB-434E-4495-90D6-9BB33D82E923}"/>
    <cellStyle name="Ausgabe 2 2 2 58" xfId="28702" xr:uid="{F1E9DE2E-115C-4273-8B6E-1EEA62CBDEF4}"/>
    <cellStyle name="Ausgabe 2 2 2 59" xfId="29169" xr:uid="{1A9B85FC-F011-4156-98DF-08590E4177A8}"/>
    <cellStyle name="Ausgabe 2 2 2 6" xfId="3575" xr:uid="{67B48994-4E50-4274-AA8A-FA157B5F68AD}"/>
    <cellStyle name="Ausgabe 2 2 2 60" xfId="27992" xr:uid="{7270CC2C-A2FA-45DD-B3F0-12CC796E2CEA}"/>
    <cellStyle name="Ausgabe 2 2 2 61" xfId="29958" xr:uid="{58F3B626-EAA3-4C1A-8906-2A0B776D1EB4}"/>
    <cellStyle name="Ausgabe 2 2 2 62" xfId="30364" xr:uid="{0EAB8E7C-259E-4F5A-AD0A-D501266BB093}"/>
    <cellStyle name="Ausgabe 2 2 2 63" xfId="30781" xr:uid="{73A26D48-D940-4979-BF61-C7A32F6504B8}"/>
    <cellStyle name="Ausgabe 2 2 2 64" xfId="31026" xr:uid="{537A6214-FE61-4CBC-A185-664609A5F41E}"/>
    <cellStyle name="Ausgabe 2 2 2 65" xfId="31397" xr:uid="{8DA2A690-648A-449C-88C8-AD0E9F0916B5}"/>
    <cellStyle name="Ausgabe 2 2 2 7" xfId="4180" xr:uid="{49531435-FF9F-457A-8D25-8A30B639A66E}"/>
    <cellStyle name="Ausgabe 2 2 2 8" xfId="4617" xr:uid="{27B2FE97-11CC-4758-9B31-9EC083784B56}"/>
    <cellStyle name="Ausgabe 2 2 2 9" xfId="5063" xr:uid="{B4ACFA53-02B6-4B29-A341-EB551522FA74}"/>
    <cellStyle name="Ausgabe 2 2 20" xfId="9267" xr:uid="{4B21103C-CA9F-4E9F-8535-28D4FB12C68C}"/>
    <cellStyle name="Ausgabe 2 2 21" xfId="10048" xr:uid="{1264EC31-80AA-4346-8898-7F96BA6D5091}"/>
    <cellStyle name="Ausgabe 2 2 22" xfId="10800" xr:uid="{67F6346C-EEB3-4B6D-BAF1-FDA318B48A90}"/>
    <cellStyle name="Ausgabe 2 2 23" xfId="11105" xr:uid="{4C0E0D29-496E-4BEE-9D6C-40D78554C2FB}"/>
    <cellStyle name="Ausgabe 2 2 24" xfId="12000" xr:uid="{C94B5A08-C0E1-4ECE-AFE8-876C9FF4AF68}"/>
    <cellStyle name="Ausgabe 2 2 25" xfId="12473" xr:uid="{A2DDF696-6A01-4CF1-A2F6-CC9368817A48}"/>
    <cellStyle name="Ausgabe 2 2 26" xfId="12907" xr:uid="{6843A32B-069E-47CF-90C6-73B4E4727434}"/>
    <cellStyle name="Ausgabe 2 2 27" xfId="13344" xr:uid="{3545BBFA-7A48-40DD-8723-D85F4932535F}"/>
    <cellStyle name="Ausgabe 2 2 28" xfId="13757" xr:uid="{433DA52A-ABAC-428C-90DC-6C0E9CA4BC59}"/>
    <cellStyle name="Ausgabe 2 2 29" xfId="14201" xr:uid="{CBD8D953-1474-45BB-908F-2B93EA6BE22B}"/>
    <cellStyle name="Ausgabe 2 2 3" xfId="1130" xr:uid="{BBBD9DEE-CB1C-4212-B6A1-AFE8D21438E3}"/>
    <cellStyle name="Ausgabe 2 2 30" xfId="14381" xr:uid="{1C8E7C8C-0182-4BF6-B833-5787D05D43A3}"/>
    <cellStyle name="Ausgabe 2 2 31" xfId="14759" xr:uid="{A81BE383-86AE-4C60-8BFB-5E6C616E97C6}"/>
    <cellStyle name="Ausgabe 2 2 32" xfId="15042" xr:uid="{FA6E3CB1-A54E-47A3-8EF3-94661AD2E6BC}"/>
    <cellStyle name="Ausgabe 2 2 33" xfId="15776" xr:uid="{9946DD04-EDA9-4E07-ACA8-5C1208133CC1}"/>
    <cellStyle name="Ausgabe 2 2 34" xfId="16692" xr:uid="{A5BC8E8B-C490-4C1D-A1BC-6C5726327DCC}"/>
    <cellStyle name="Ausgabe 2 2 35" xfId="16376" xr:uid="{4013D57C-5825-44F8-BEC5-3370DD875043}"/>
    <cellStyle name="Ausgabe 2 2 36" xfId="17166" xr:uid="{B8CE8E3D-3046-4D2A-9547-922CC39F58C2}"/>
    <cellStyle name="Ausgabe 2 2 37" xfId="17538" xr:uid="{6625F7B4-9198-4BDA-82D1-81586B5360EF}"/>
    <cellStyle name="Ausgabe 2 2 38" xfId="18510" xr:uid="{3012A273-BE31-4DEA-B959-036551D3C0B0}"/>
    <cellStyle name="Ausgabe 2 2 39" xfId="18864" xr:uid="{481C670D-269C-42D4-8E4E-9919C2E07668}"/>
    <cellStyle name="Ausgabe 2 2 4" xfId="1602" xr:uid="{3A54F84A-A738-4D6D-8DD0-E29E1DE34995}"/>
    <cellStyle name="Ausgabe 2 2 40" xfId="19233" xr:uid="{A683F820-86AF-4086-BA04-1737F27C877F}"/>
    <cellStyle name="Ausgabe 2 2 41" xfId="20029" xr:uid="{3E214B86-A92D-47B0-998C-9D24127936A1}"/>
    <cellStyle name="Ausgabe 2 2 42" xfId="19710" xr:uid="{F0871D1C-C877-45D6-86FA-7116E09693FD}"/>
    <cellStyle name="Ausgabe 2 2 43" xfId="20537" xr:uid="{DF8BEAAA-D9E7-41EE-B64E-E4187454BA99}"/>
    <cellStyle name="Ausgabe 2 2 44" xfId="21175" xr:uid="{46A6B714-759C-49B9-B7F8-735855B8DB6A}"/>
    <cellStyle name="Ausgabe 2 2 45" xfId="20286" xr:uid="{9059E590-1DEE-455B-9F44-10A1BA4AD01F}"/>
    <cellStyle name="Ausgabe 2 2 46" xfId="21770" xr:uid="{7A69248A-5699-48EC-B28B-76827704534F}"/>
    <cellStyle name="Ausgabe 2 2 47" xfId="22752" xr:uid="{7E750AC2-2CB9-4F50-A154-87B81DF7C91A}"/>
    <cellStyle name="Ausgabe 2 2 48" xfId="23139" xr:uid="{A918665B-4485-4AE1-8DD5-2BF2CB6038A0}"/>
    <cellStyle name="Ausgabe 2 2 49" xfId="22652" xr:uid="{D2E8BF83-3417-4F4F-9114-6EC9F0B7E3F1}"/>
    <cellStyle name="Ausgabe 2 2 5" xfId="2469" xr:uid="{C5113F57-F30C-454B-B15B-4C26312CD60D}"/>
    <cellStyle name="Ausgabe 2 2 50" xfId="23838" xr:uid="{9ED8D5AD-9263-4876-AC61-A7B9A396D175}"/>
    <cellStyle name="Ausgabe 2 2 51" xfId="24737" xr:uid="{0E52175C-CF7C-469B-B9FC-F4851F98FBF0}"/>
    <cellStyle name="Ausgabe 2 2 52" xfId="24407" xr:uid="{7891C114-5941-4452-A954-5E9B41AE90F4}"/>
    <cellStyle name="Ausgabe 2 2 53" xfId="25655" xr:uid="{08136089-870D-44AC-B1D9-45AB00637BFB}"/>
    <cellStyle name="Ausgabe 2 2 54" xfId="26168" xr:uid="{75DF7378-D71E-4CBA-BEEB-11A3910F6B40}"/>
    <cellStyle name="Ausgabe 2 2 55" xfId="26012" xr:uid="{A152A752-8B0F-4C78-9890-953253B4A452}"/>
    <cellStyle name="Ausgabe 2 2 56" xfId="26945" xr:uid="{88A85E83-D72B-48D2-914A-20152BB46361}"/>
    <cellStyle name="Ausgabe 2 2 57" xfId="27364" xr:uid="{AED09B51-1803-4139-9B00-B6BCE3CCC736}"/>
    <cellStyle name="Ausgabe 2 2 58" xfId="27688" xr:uid="{93AAF157-F9A2-44C0-9F56-093EC7375A34}"/>
    <cellStyle name="Ausgabe 2 2 59" xfId="28487" xr:uid="{E00B0553-8145-496A-B4AC-F5CC13EAE811}"/>
    <cellStyle name="Ausgabe 2 2 6" xfId="2923" xr:uid="{D6D14993-CB34-4579-957A-A8D34FEF3002}"/>
    <cellStyle name="Ausgabe 2 2 60" xfId="28955" xr:uid="{0299CD5B-992A-4CDA-BB59-03A4234583EC}"/>
    <cellStyle name="Ausgabe 2 2 61" xfId="27998" xr:uid="{ED341B6E-52B2-48FF-B091-AFACAF138CC3}"/>
    <cellStyle name="Ausgabe 2 2 62" xfId="29745" xr:uid="{0610C3AE-BBAC-4D66-B80B-330DA6C0AD23}"/>
    <cellStyle name="Ausgabe 2 2 63" xfId="30153" xr:uid="{52840BFB-76ED-490E-8E5C-62B079C456EC}"/>
    <cellStyle name="Ausgabe 2 2 64" xfId="30567" xr:uid="{1EC95D07-44BE-4D59-A76D-26AE3E56C940}"/>
    <cellStyle name="Ausgabe 2 2 65" xfId="30428" xr:uid="{84B0EC5A-7BB7-4884-9EF0-3510AF59A0D3}"/>
    <cellStyle name="Ausgabe 2 2 66" xfId="31191" xr:uid="{60A7E369-040B-4A31-A054-4BF57A3667CC}"/>
    <cellStyle name="Ausgabe 2 2 7" xfId="2207" xr:uid="{6E51F793-DDCD-4139-BB5F-6A51CF6E4501}"/>
    <cellStyle name="Ausgabe 2 2 8" xfId="3965" xr:uid="{3D46072E-8ECF-43A8-B29B-91C794AC1181}"/>
    <cellStyle name="Ausgabe 2 2 9" xfId="4403" xr:uid="{36E17A01-D891-4972-BE67-70E182801B19}"/>
    <cellStyle name="Ausgabe 2 20" xfId="16440" xr:uid="{07B05404-21D0-488B-8E08-94385A4C0960}"/>
    <cellStyle name="Ausgabe 2 21" xfId="16278" xr:uid="{FF184F3B-4709-4642-AD9F-F8030C943D27}"/>
    <cellStyle name="Ausgabe 2 22" xfId="16993" xr:uid="{9DEBA111-BB34-475C-9654-D3A3A8C66ED8}"/>
    <cellStyle name="Ausgabe 2 23" xfId="18360" xr:uid="{EAC4552B-3953-48BF-876D-2D4A46012378}"/>
    <cellStyle name="Ausgabe 2 24" xfId="19774" xr:uid="{48D7336E-5F61-4CF1-AFFD-C5E91B03F211}"/>
    <cellStyle name="Ausgabe 2 25" xfId="21325" xr:uid="{31D6E061-993F-422D-97B1-3CDCC392F720}"/>
    <cellStyle name="Ausgabe 2 26" xfId="23562" xr:uid="{C865BB9F-27CB-467A-A758-22E612ADA4E7}"/>
    <cellStyle name="Ausgabe 2 27" xfId="24485" xr:uid="{B686E72D-5EC9-44B1-BA9F-6588324A2798}"/>
    <cellStyle name="Ausgabe 2 28" xfId="24220" xr:uid="{149F0FB2-554F-488A-A338-0A3976C15364}"/>
    <cellStyle name="Ausgabe 2 29" xfId="25475" xr:uid="{A03A1BFB-3881-4B52-8258-FCA62F5664CC}"/>
    <cellStyle name="Ausgabe 2 3" xfId="532" xr:uid="{C9C478EB-BEF8-49BE-ADAC-009395D2FEAD}"/>
    <cellStyle name="Ausgabe 2 3 10" xfId="5028" xr:uid="{A6A41E25-E0B0-4F90-90E1-A5E29EFB1600}"/>
    <cellStyle name="Ausgabe 2 3 11" xfId="5180" xr:uid="{AEFB59F9-B3BA-45DA-B505-CF614B260517}"/>
    <cellStyle name="Ausgabe 2 3 12" xfId="5807" xr:uid="{77A383E3-91F0-4157-A7CD-0E9A597FF84C}"/>
    <cellStyle name="Ausgabe 2 3 13" xfId="5788" xr:uid="{273AC3EA-B12C-40B0-8082-13BA931C6A05}"/>
    <cellStyle name="Ausgabe 2 3 14" xfId="6652" xr:uid="{D64204C0-31BF-4833-BB39-7A72F27E3AF1}"/>
    <cellStyle name="Ausgabe 2 3 15" xfId="7252" xr:uid="{5D8C6068-517E-4FBC-9ACD-54041A065AFA}"/>
    <cellStyle name="Ausgabe 2 3 16" xfId="7727" xr:uid="{E8601BCC-6417-46AD-BAB4-CF94512EEDC2}"/>
    <cellStyle name="Ausgabe 2 3 17" xfId="8229" xr:uid="{F6A5F0E8-EFDF-405D-914C-66EF8A241571}"/>
    <cellStyle name="Ausgabe 2 3 18" xfId="6744" xr:uid="{0E3511BC-4156-463F-B203-127965F9B3E7}"/>
    <cellStyle name="Ausgabe 2 3 19" xfId="9466" xr:uid="{C16F6302-0284-4AD5-9260-4032C39EE2D2}"/>
    <cellStyle name="Ausgabe 2 3 2" xfId="747" xr:uid="{B2B66AD7-0476-4AF7-87D1-860AEBD36918}"/>
    <cellStyle name="Ausgabe 2 3 2 10" xfId="5395" xr:uid="{95A121F0-5343-4220-9E2D-CD39A6C823F5}"/>
    <cellStyle name="Ausgabe 2 3 2 11" xfId="3383" xr:uid="{FB787DB8-E2CB-47E5-9E6A-37BD940DB536}"/>
    <cellStyle name="Ausgabe 2 3 2 12" xfId="5671" xr:uid="{C898244B-9BAE-4F90-AAF6-E2976297CB42}"/>
    <cellStyle name="Ausgabe 2 3 2 13" xfId="6629" xr:uid="{699FD631-35F9-4072-BD89-1BB993EED188}"/>
    <cellStyle name="Ausgabe 2 3 2 14" xfId="7467" xr:uid="{E34EAA35-30D2-4E2C-B814-C92D163D2C45}"/>
    <cellStyle name="Ausgabe 2 3 2 15" xfId="7185" xr:uid="{DCA27590-7B58-431B-BD66-760ABAB701E4}"/>
    <cellStyle name="Ausgabe 2 3 2 16" xfId="7675" xr:uid="{8191F3B3-56DB-49B6-8A7D-AE49303BFBBE}"/>
    <cellStyle name="Ausgabe 2 3 2 17" xfId="6839" xr:uid="{3844AEF4-EBA2-4A75-BAB4-4CC4A272FE5D}"/>
    <cellStyle name="Ausgabe 2 3 2 18" xfId="9681" xr:uid="{FB834420-1350-42D6-912B-F18FF3AAA4DD}"/>
    <cellStyle name="Ausgabe 2 3 2 19" xfId="9398" xr:uid="{94CDD206-EF3D-413D-9217-1DA4E8A1293B}"/>
    <cellStyle name="Ausgabe 2 3 2 2" xfId="1221" xr:uid="{6651222E-D46D-4D59-851D-CBFACF5137D3}"/>
    <cellStyle name="Ausgabe 2 3 2 20" xfId="9909" xr:uid="{77DF7DC5-406B-4234-99AB-878BF28DEA51}"/>
    <cellStyle name="Ausgabe 2 3 2 21" xfId="9903" xr:uid="{3300622C-B4AC-45F7-927A-A317AAA6921F}"/>
    <cellStyle name="Ausgabe 2 3 2 22" xfId="9422" xr:uid="{A2A4B64F-1793-4B0B-B5BD-D37E78BC5E14}"/>
    <cellStyle name="Ausgabe 2 3 2 23" xfId="12100" xr:uid="{D9218027-17ED-471B-BD91-CC4E750AF3AB}"/>
    <cellStyle name="Ausgabe 2 3 2 24" xfId="12573" xr:uid="{B97C384D-8848-4893-AD20-B8891D955406}"/>
    <cellStyle name="Ausgabe 2 3 2 25" xfId="13007" xr:uid="{DC102946-4854-4C35-A19E-86EC78279DC1}"/>
    <cellStyle name="Ausgabe 2 3 2 26" xfId="13444" xr:uid="{9A895518-C152-4EC3-ADC4-D2747307DEA1}"/>
    <cellStyle name="Ausgabe 2 3 2 27" xfId="11657" xr:uid="{C6E942A8-A788-41FB-A46F-556D0A7E15C3}"/>
    <cellStyle name="Ausgabe 2 3 2 28" xfId="11391" xr:uid="{086227EB-2194-4EBA-A23B-2D845264236D}"/>
    <cellStyle name="Ausgabe 2 3 2 29" xfId="13828" xr:uid="{B539BFBB-4A04-4656-A336-F32FB988AE1E}"/>
    <cellStyle name="Ausgabe 2 3 2 3" xfId="1568" xr:uid="{49775AD2-65A0-4A8F-AB50-5A9BE2D8DB31}"/>
    <cellStyle name="Ausgabe 2 3 2 30" xfId="15205" xr:uid="{AF31980F-146C-4572-BFCC-21133371A2F9}"/>
    <cellStyle name="Ausgabe 2 3 2 31" xfId="15093" xr:uid="{09C1FE44-6461-4B44-960F-BBF9E12E9BF7}"/>
    <cellStyle name="Ausgabe 2 3 2 32" xfId="15485" xr:uid="{C6C067CC-9425-4A8E-8533-5A8B43616BCA}"/>
    <cellStyle name="Ausgabe 2 3 2 33" xfId="16792" xr:uid="{8E4CD01F-1488-4AC5-BDCB-3FAEFEE1AFDA}"/>
    <cellStyle name="Ausgabe 2 3 2 34" xfId="16507" xr:uid="{AAF127FB-2172-4ACA-A8CF-B4533DAA3545}"/>
    <cellStyle name="Ausgabe 2 3 2 35" xfId="17021" xr:uid="{1FD6E4ED-2531-4A61-A6A1-A86BFA8FF17E}"/>
    <cellStyle name="Ausgabe 2 3 2 36" xfId="17897" xr:uid="{B994B7A9-4929-493B-A41B-FAE8D03A688D}"/>
    <cellStyle name="Ausgabe 2 3 2 37" xfId="18610" xr:uid="{4BB3FB59-0CFA-4E14-9713-37B1C0906E65}"/>
    <cellStyle name="Ausgabe 2 3 2 38" xfId="17459" xr:uid="{B296EFA4-7F0D-4834-80AD-BBF0A2207DFA}"/>
    <cellStyle name="Ausgabe 2 3 2 39" xfId="18965" xr:uid="{41422115-D6D8-4F46-8817-12EF8BA379C5}"/>
    <cellStyle name="Ausgabe 2 3 2 4" xfId="2569" xr:uid="{8E04666A-E383-41CB-984D-BD1BC1774D71}"/>
    <cellStyle name="Ausgabe 2 3 2 40" xfId="20129" xr:uid="{74C4F188-9C35-46D0-B91D-F520C65F309E}"/>
    <cellStyle name="Ausgabe 2 3 2 41" xfId="19843" xr:uid="{D7EFB780-E0DE-4BAD-8E7D-D52C7CADC573}"/>
    <cellStyle name="Ausgabe 2 3 2 42" xfId="20725" xr:uid="{558968F8-025D-4457-BE9B-43E185E152A9}"/>
    <cellStyle name="Ausgabe 2 3 2 43" xfId="21243" xr:uid="{85536A01-6F69-41A9-A351-5D72873D1CB8}"/>
    <cellStyle name="Ausgabe 2 3 2 44" xfId="21509" xr:uid="{71586317-0354-48F2-84B8-C9C8056F6E45}"/>
    <cellStyle name="Ausgabe 2 3 2 45" xfId="21979" xr:uid="{8875C97A-0A42-4745-95A3-22D3757FA0FE}"/>
    <cellStyle name="Ausgabe 2 3 2 46" xfId="22314" xr:uid="{30D75B16-8CB9-4E47-927E-1F37124D981F}"/>
    <cellStyle name="Ausgabe 2 3 2 47" xfId="22985" xr:uid="{D6926552-9446-4063-B2EE-321D6274369B}"/>
    <cellStyle name="Ausgabe 2 3 2 48" xfId="23391" xr:uid="{E3CC8807-DDB5-4F2D-A8F6-DE871A440E2A}"/>
    <cellStyle name="Ausgabe 2 3 2 49" xfId="23929" xr:uid="{62E44032-45F3-4D70-B7E2-66A6CC8B0231}"/>
    <cellStyle name="Ausgabe 2 3 2 5" xfId="1972" xr:uid="{876FFC4A-7EAC-435E-8B72-5A5D8ED5B7A5}"/>
    <cellStyle name="Ausgabe 2 3 2 50" xfId="24837" xr:uid="{4287615B-FACD-4AFD-8C8C-C1C33CE952E8}"/>
    <cellStyle name="Ausgabe 2 3 2 51" xfId="24406" xr:uid="{741C235C-B0A2-4947-A1D1-8652351EAE09}"/>
    <cellStyle name="Ausgabe 2 3 2 52" xfId="25753" xr:uid="{6BB5EC5C-13BC-4C84-A5B3-E60144B3CA0D}"/>
    <cellStyle name="Ausgabe 2 3 2 53" xfId="24475" xr:uid="{524B22BB-C715-4B3D-9862-1A4C81C7B4B4}"/>
    <cellStyle name="Ausgabe 2 3 2 54" xfId="26552" xr:uid="{1E6967B3-1691-4157-9E0F-117A4A573D2C}"/>
    <cellStyle name="Ausgabe 2 3 2 55" xfId="27041" xr:uid="{E71F5A9E-795F-49AF-A0A6-DA1E9EDA94D4}"/>
    <cellStyle name="Ausgabe 2 3 2 56" xfId="27460" xr:uid="{37F282B2-50AA-40DB-8329-47870AFED086}"/>
    <cellStyle name="Ausgabe 2 3 2 57" xfId="26775" xr:uid="{E76F165D-E264-45AA-B00A-7A0E6CC56E0A}"/>
    <cellStyle name="Ausgabe 2 3 2 58" xfId="28587" xr:uid="{BD47F222-C5AB-4025-A7FB-A9113B7E27F2}"/>
    <cellStyle name="Ausgabe 2 3 2 59" xfId="29054" xr:uid="{F47FCB37-C860-4D1D-8BB0-E1E23B682EA7}"/>
    <cellStyle name="Ausgabe 2 3 2 6" xfId="3578" xr:uid="{88491C11-8791-4638-80BC-C60A8FCE50A9}"/>
    <cellStyle name="Ausgabe 2 3 2 60" xfId="28099" xr:uid="{B87A2FC7-13D5-4BB7-BA89-C9175287878A}"/>
    <cellStyle name="Ausgabe 2 3 2 61" xfId="29843" xr:uid="{D2F34C53-9083-4142-9BB8-DFEBBE73185F}"/>
    <cellStyle name="Ausgabe 2 3 2 62" xfId="30249" xr:uid="{C45A8121-2CAC-4C0E-8B1B-43318F04E874}"/>
    <cellStyle name="Ausgabe 2 3 2 63" xfId="30666" xr:uid="{6446FBA0-B62F-408C-8DD9-66AAAFA7A3DE}"/>
    <cellStyle name="Ausgabe 2 3 2 64" xfId="27901" xr:uid="{1683C10B-DF75-461E-A4B7-A74C3E760196}"/>
    <cellStyle name="Ausgabe 2 3 2 65" xfId="31282" xr:uid="{CF955AAB-822C-4456-9F05-3958CC9BD374}"/>
    <cellStyle name="Ausgabe 2 3 2 7" xfId="4065" xr:uid="{119A4943-56A8-413E-B49B-6C48943F65A2}"/>
    <cellStyle name="Ausgabe 2 3 2 8" xfId="4502" xr:uid="{D5D08BAC-449D-426D-AAA2-D407D7D80761}"/>
    <cellStyle name="Ausgabe 2 3 2 9" xfId="3647" xr:uid="{C6A313B7-0E56-4530-AF67-330957E491DC}"/>
    <cellStyle name="Ausgabe 2 3 20" xfId="9941" xr:uid="{9139BB7B-9148-4FC1-992E-DFCD5A4748F2}"/>
    <cellStyle name="Ausgabe 2 3 21" xfId="10372" xr:uid="{FDD99E55-B653-406B-85DA-9E89998E7E52}"/>
    <cellStyle name="Ausgabe 2 3 22" xfId="9015" xr:uid="{F3D59881-70E7-4A1B-BED5-13BB72E009C1}"/>
    <cellStyle name="Ausgabe 2 3 23" xfId="8987" xr:uid="{02373EDF-FED7-458E-A1F0-F605B57EF64A}"/>
    <cellStyle name="Ausgabe 2 3 24" xfId="11885" xr:uid="{9776D3E2-27A7-467B-92C5-F09E08CC3AEA}"/>
    <cellStyle name="Ausgabe 2 3 25" xfId="12358" xr:uid="{76BCA559-1C9D-4F9E-A755-27CD7C072A63}"/>
    <cellStyle name="Ausgabe 2 3 26" xfId="12792" xr:uid="{A0C02CA0-CE84-4F77-BA49-C5AE78B4534F}"/>
    <cellStyle name="Ausgabe 2 3 27" xfId="13229" xr:uid="{55B709C2-EE87-42BD-BEF8-4462B92AA248}"/>
    <cellStyle name="Ausgabe 2 3 28" xfId="13858" xr:uid="{C23CD973-3FE9-4C1B-B634-299907996AE7}"/>
    <cellStyle name="Ausgabe 2 3 29" xfId="14242" xr:uid="{6DC98ED9-B563-4F77-8A41-C5C3DE9F9BF5}"/>
    <cellStyle name="Ausgabe 2 3 3" xfId="1015" xr:uid="{3871F90F-F38C-4090-AA90-906209F593AA}"/>
    <cellStyle name="Ausgabe 2 3 30" xfId="14809" xr:uid="{53B206E7-2D52-4D30-9175-A99E3D7C176E}"/>
    <cellStyle name="Ausgabe 2 3 31" xfId="15274" xr:uid="{A7C3F5DC-E2F6-4CC0-B6FF-73E60DD745D3}"/>
    <cellStyle name="Ausgabe 2 3 32" xfId="15266" xr:uid="{0F7FB221-0C7F-494F-97DA-E855D461FA8F}"/>
    <cellStyle name="Ausgabe 2 3 33" xfId="15822" xr:uid="{3221D6E6-1D37-4B2A-B839-F5C5E733E7D4}"/>
    <cellStyle name="Ausgabe 2 3 34" xfId="16577" xr:uid="{C7217D7D-144D-4A9F-950F-D18D29F12B03}"/>
    <cellStyle name="Ausgabe 2 3 35" xfId="17055" xr:uid="{A075DDDD-31D7-43D8-A78E-ED467FD8F713}"/>
    <cellStyle name="Ausgabe 2 3 36" xfId="17502" xr:uid="{35BB8C45-B081-451F-8C62-559B0F54138B}"/>
    <cellStyle name="Ausgabe 2 3 37" xfId="18164" xr:uid="{86DED7C3-2A0A-4D9D-ACFD-B28CE64494FE}"/>
    <cellStyle name="Ausgabe 2 3 38" xfId="18395" xr:uid="{FC02E4A6-5CA9-432B-AB85-9B8B57790A42}"/>
    <cellStyle name="Ausgabe 2 3 39" xfId="19009" xr:uid="{A0DAE8FC-CBCB-4498-87E3-BA5ACE4FBAEF}"/>
    <cellStyle name="Ausgabe 2 3 4" xfId="1609" xr:uid="{442DD798-DE30-4238-A42B-E0B3AA0B1A15}"/>
    <cellStyle name="Ausgabe 2 3 40" xfId="19241" xr:uid="{2189D1BB-2984-4419-B754-B4C02062FDE9}"/>
    <cellStyle name="Ausgabe 2 3 41" xfId="19914" xr:uid="{18DB7CE8-BE00-4DCB-B61B-6A7B59A592AD}"/>
    <cellStyle name="Ausgabe 2 3 42" xfId="20407" xr:uid="{E82546C5-15D1-43FB-A604-368001A9ACFC}"/>
    <cellStyle name="Ausgabe 2 3 43" xfId="20860" xr:uid="{08AF3057-7843-49D3-8761-B7A17727BA96}"/>
    <cellStyle name="Ausgabe 2 3 44" xfId="20937" xr:uid="{3719E677-6778-46DF-A88A-8287D0B0EAED}"/>
    <cellStyle name="Ausgabe 2 3 45" xfId="21792" xr:uid="{794A7458-AF12-4576-A934-3AD458A50D91}"/>
    <cellStyle name="Ausgabe 2 3 46" xfId="22229" xr:uid="{72CADF42-925A-423B-9DAE-E6D57896D41D}"/>
    <cellStyle name="Ausgabe 2 3 47" xfId="22842" xr:uid="{4123BC49-B003-4AC4-943D-1148EE614D8E}"/>
    <cellStyle name="Ausgabe 2 3 48" xfId="23290" xr:uid="{004DB86E-1134-4E56-974C-1D0ED3FCEB3E}"/>
    <cellStyle name="Ausgabe 2 3 49" xfId="23071" xr:uid="{82D1D871-3C6B-4C88-987F-0606C5F76C00}"/>
    <cellStyle name="Ausgabe 2 3 5" xfId="2354" xr:uid="{A663B139-C371-430F-8802-F6C27A6394E8}"/>
    <cellStyle name="Ausgabe 2 3 50" xfId="23723" xr:uid="{0D528A06-03E7-42F9-A05A-390EA2660DC9}"/>
    <cellStyle name="Ausgabe 2 3 51" xfId="24622" xr:uid="{281691EC-390B-4477-A972-099B18A155A1}"/>
    <cellStyle name="Ausgabe 2 3 52" xfId="25115" xr:uid="{937B5C99-7444-449C-B794-69313573B4F2}"/>
    <cellStyle name="Ausgabe 2 3 53" xfId="25540" xr:uid="{D6B45416-AEE2-4D53-93CD-3D84BD54F277}"/>
    <cellStyle name="Ausgabe 2 3 54" xfId="26146" xr:uid="{C5082933-52E3-41EE-B1B8-12AFD575028F}"/>
    <cellStyle name="Ausgabe 2 3 55" xfId="26053" xr:uid="{9AAD4DD3-A74A-4900-8886-83EFF0AEE4A3}"/>
    <cellStyle name="Ausgabe 2 3 56" xfId="26830" xr:uid="{9DB38751-3C1A-4A8C-861E-D8E896C6ACFF}"/>
    <cellStyle name="Ausgabe 2 3 57" xfId="27249" xr:uid="{82164906-9D7E-4BE5-9850-04729BA89481}"/>
    <cellStyle name="Ausgabe 2 3 58" xfId="27191" xr:uid="{8C25680B-5784-4B9A-89A4-61000158F9DC}"/>
    <cellStyle name="Ausgabe 2 3 59" xfId="28372" xr:uid="{66CF7121-3A0D-4DBB-A309-37A67047AD91}"/>
    <cellStyle name="Ausgabe 2 3 6" xfId="3024" xr:uid="{04D257A6-9695-45A0-AFFE-8F0EA2182D5A}"/>
    <cellStyle name="Ausgabe 2 3 60" xfId="28840" xr:uid="{A1519913-0358-4900-A57A-8DCA53DDC5C4}"/>
    <cellStyle name="Ausgabe 2 3 61" xfId="29270" xr:uid="{90E87FDD-8660-4E1C-9903-E240621FBA12}"/>
    <cellStyle name="Ausgabe 2 3 62" xfId="29630" xr:uid="{8125B2F8-64E7-45FE-AE2E-1537A81FA814}"/>
    <cellStyle name="Ausgabe 2 3 63" xfId="30038" xr:uid="{862A32DB-3EC9-428B-8CD3-8EFD67D8AE7C}"/>
    <cellStyle name="Ausgabe 2 3 64" xfId="30452" xr:uid="{92B22E69-D829-4633-9068-8D9971F87D24}"/>
    <cellStyle name="Ausgabe 2 3 65" xfId="29993" xr:uid="{756F06CC-C01E-48BB-9131-4BF4EDDCFC6B}"/>
    <cellStyle name="Ausgabe 2 3 66" xfId="31076" xr:uid="{5CF84C6C-5C4D-41EB-8638-A1F046CF20D3}"/>
    <cellStyle name="Ausgabe 2 3 7" xfId="3422" xr:uid="{7A723930-5ABA-4304-9A5C-D72C0909ACE4}"/>
    <cellStyle name="Ausgabe 2 3 8" xfId="3850" xr:uid="{62CF8530-CF58-43CE-A0C3-EEC7105EE1EC}"/>
    <cellStyle name="Ausgabe 2 3 9" xfId="4288" xr:uid="{579B5987-DD15-4E2A-AF1A-8FCAD830CF30}"/>
    <cellStyle name="Ausgabe 2 30" xfId="26647" xr:uid="{D9433FF0-32A1-4F61-B392-33BEF7211D68}"/>
    <cellStyle name="Ausgabe 2 31" xfId="28248" xr:uid="{80A4E43E-E6EB-44E7-B9C7-3716D481A93F}"/>
    <cellStyle name="Ausgabe 2 32" xfId="28322" xr:uid="{4512026D-1460-45F8-9AEC-B6778AD6C943}"/>
    <cellStyle name="Ausgabe 2 33" xfId="30883" xr:uid="{859D8266-86E0-478F-ADDB-2AB5A230F536}"/>
    <cellStyle name="Ausgabe 2 4" xfId="705" xr:uid="{CFDAE0CC-BF24-4652-A4FF-D85581D6B117}"/>
    <cellStyle name="Ausgabe 2 4 10" xfId="5353" xr:uid="{0AB37FE7-B6F3-4EC1-8695-462E19B55DA5}"/>
    <cellStyle name="Ausgabe 2 4 11" xfId="3472" xr:uid="{C3F09092-37EA-48F2-9376-AFBEC0C1CBFA}"/>
    <cellStyle name="Ausgabe 2 4 12" xfId="5764" xr:uid="{3699C7C1-72CB-4C7A-9638-5C3DD36FE0F6}"/>
    <cellStyle name="Ausgabe 2 4 13" xfId="6118" xr:uid="{9172AA2B-A348-4A91-8AEE-06D9D8AC1D44}"/>
    <cellStyle name="Ausgabe 2 4 14" xfId="7425" xr:uid="{6A37424F-06DD-4FAB-8839-078A6583B9FD}"/>
    <cellStyle name="Ausgabe 2 4 15" xfId="7123" xr:uid="{E8172936-40F7-44C1-9094-67AA8DC24DB3}"/>
    <cellStyle name="Ausgabe 2 4 16" xfId="7882" xr:uid="{D122380B-B34A-47E3-AE40-212F906924AA}"/>
    <cellStyle name="Ausgabe 2 4 17" xfId="8705" xr:uid="{E86C7902-9EF2-44C8-9EB3-9A21D208DCBC}"/>
    <cellStyle name="Ausgabe 2 4 18" xfId="9639" xr:uid="{F9529077-05EC-47F2-AFCE-CAF78E244B43}"/>
    <cellStyle name="Ausgabe 2 4 19" xfId="9336" xr:uid="{B2D63F36-5178-4412-88FA-51FA5F6BC294}"/>
    <cellStyle name="Ausgabe 2 4 2" xfId="1179" xr:uid="{FBC9FA43-3FA6-49E8-A2BD-950FD84CB227}"/>
    <cellStyle name="Ausgabe 2 4 20" xfId="9890" xr:uid="{7E94CA59-E3EE-492F-9976-E53CF4217B8F}"/>
    <cellStyle name="Ausgabe 2 4 21" xfId="9292" xr:uid="{D7250D0C-0968-46F8-84CA-D01914F7D15A}"/>
    <cellStyle name="Ausgabe 2 4 22" xfId="11266" xr:uid="{69F09AC7-7CCC-4919-BBAA-65A310EA2316}"/>
    <cellStyle name="Ausgabe 2 4 23" xfId="12058" xr:uid="{8C39E2E3-BAC9-4BE0-9E02-966A4AEF58F2}"/>
    <cellStyle name="Ausgabe 2 4 24" xfId="12531" xr:uid="{F080CD46-0220-4E83-9D74-182B0852CD3C}"/>
    <cellStyle name="Ausgabe 2 4 25" xfId="12965" xr:uid="{5861C48D-CD45-450A-9AC4-DAD42D79B2E8}"/>
    <cellStyle name="Ausgabe 2 4 26" xfId="13402" xr:uid="{D4AC0AE7-18DC-4449-AF28-C871EDBE8BF5}"/>
    <cellStyle name="Ausgabe 2 4 27" xfId="12282" xr:uid="{934BA73F-792C-43CD-8F52-399BDA15777F}"/>
    <cellStyle name="Ausgabe 2 4 28" xfId="14458" xr:uid="{08B67FD6-724D-44EF-A965-91EB6A5F37D1}"/>
    <cellStyle name="Ausgabe 2 4 29" xfId="13857" xr:uid="{9BABAE16-F9B5-432D-B951-F7F9DA978091}"/>
    <cellStyle name="Ausgabe 2 4 3" xfId="1450" xr:uid="{F574F49F-8219-47DC-99C2-0639387CD8C6}"/>
    <cellStyle name="Ausgabe 2 4 30" xfId="15272" xr:uid="{CCFF851F-C642-4E2E-892D-CC0DB948D2E5}"/>
    <cellStyle name="Ausgabe 2 4 31" xfId="15558" xr:uid="{1F5B4216-1F39-4904-BA89-EDC8CEC1E71F}"/>
    <cellStyle name="Ausgabe 2 4 32" xfId="15338" xr:uid="{EC812FCF-2C4E-4697-8F8E-17D47F51DE42}"/>
    <cellStyle name="Ausgabe 2 4 33" xfId="16750" xr:uid="{43BF910A-A24F-4055-A20C-2FB4E370283C}"/>
    <cellStyle name="Ausgabe 2 4 34" xfId="16445" xr:uid="{694A7B1C-729B-458C-8A03-D720FAD78F06}"/>
    <cellStyle name="Ausgabe 2 4 35" xfId="17004" xr:uid="{823415B5-E8C9-492F-BC6B-D37A8BE9E82D}"/>
    <cellStyle name="Ausgabe 2 4 36" xfId="18156" xr:uid="{C69B14AA-846E-4368-82CD-EB1DBDC19C7A}"/>
    <cellStyle name="Ausgabe 2 4 37" xfId="18568" xr:uid="{E124E7C4-DF4A-4807-935F-F056B2C71A30}"/>
    <cellStyle name="Ausgabe 2 4 38" xfId="18784" xr:uid="{0B269AEA-867F-4827-99F5-50292A346B63}"/>
    <cellStyle name="Ausgabe 2 4 39" xfId="18889" xr:uid="{B0E7596C-B3E4-4721-BFFE-3382D97898D1}"/>
    <cellStyle name="Ausgabe 2 4 4" xfId="2527" xr:uid="{C79FFD8A-378A-452B-B169-BD661A9C46C6}"/>
    <cellStyle name="Ausgabe 2 4 40" xfId="20087" xr:uid="{DB076AD6-0CE5-4326-9675-B032C33C7701}"/>
    <cellStyle name="Ausgabe 2 4 41" xfId="19779" xr:uid="{85F6A50B-A069-4AF0-B3A5-F43B87D75E16}"/>
    <cellStyle name="Ausgabe 2 4 42" xfId="19483" xr:uid="{6D56CFC3-EA6F-4492-8A68-2BED19A386EB}"/>
    <cellStyle name="Ausgabe 2 4 43" xfId="19641" xr:uid="{7717C56F-851E-4A9B-9201-0BF2F63CF2B1}"/>
    <cellStyle name="Ausgabe 2 4 44" xfId="21553" xr:uid="{ACD62E10-74EF-44E6-8DF7-EECD74D94F18}"/>
    <cellStyle name="Ausgabe 2 4 45" xfId="21740" xr:uid="{7BF6FC1B-8AA0-4142-B2C4-E3DB7A2D1431}"/>
    <cellStyle name="Ausgabe 2 4 46" xfId="22402" xr:uid="{362745EC-C027-40FC-B877-C3416783B06D}"/>
    <cellStyle name="Ausgabe 2 4 47" xfId="23056" xr:uid="{DD2B92D5-013A-48E7-801A-977FD7DB8E2A}"/>
    <cellStyle name="Ausgabe 2 4 48" xfId="23057" xr:uid="{40DF4832-5682-438B-B659-547F83FEC44D}"/>
    <cellStyle name="Ausgabe 2 4 49" xfId="23887" xr:uid="{8DFD0E02-DE89-4DFA-AEC0-28B5306E6AB2}"/>
    <cellStyle name="Ausgabe 2 4 5" xfId="2059" xr:uid="{6C430690-5B58-4358-A152-3BC5076878AE}"/>
    <cellStyle name="Ausgabe 2 4 50" xfId="24795" xr:uid="{94B96AB4-6BE0-4A98-849E-99E6498CF5B2}"/>
    <cellStyle name="Ausgabe 2 4 51" xfId="24490" xr:uid="{8C8FCFA5-B8C8-4F66-B52A-15D1C8502603}"/>
    <cellStyle name="Ausgabe 2 4 52" xfId="25711" xr:uid="{2D25AC10-FBB1-44E0-8144-17ADA2DF0B33}"/>
    <cellStyle name="Ausgabe 2 4 53" xfId="25358" xr:uid="{AE28F672-56E1-4651-B81F-47D8EAD250E8}"/>
    <cellStyle name="Ausgabe 2 4 54" xfId="25212" xr:uid="{1FA9E0A9-1ECA-427C-8E69-F6C314731B92}"/>
    <cellStyle name="Ausgabe 2 4 55" xfId="26999" xr:uid="{730FCCD8-8461-40BD-B2ED-4B233D654B31}"/>
    <cellStyle name="Ausgabe 2 4 56" xfId="27418" xr:uid="{ECE07C53-416E-415A-8584-F451CDF46DFB}"/>
    <cellStyle name="Ausgabe 2 4 57" xfId="27780" xr:uid="{0E76321B-9035-44BE-A6B2-17948429C417}"/>
    <cellStyle name="Ausgabe 2 4 58" xfId="28545" xr:uid="{BFD91686-D594-4394-9F59-0FB16350BBA5}"/>
    <cellStyle name="Ausgabe 2 4 59" xfId="29012" xr:uid="{0A15BC74-6136-43AB-9150-8A00A69D1AAD}"/>
    <cellStyle name="Ausgabe 2 4 6" xfId="3597" xr:uid="{436F1CE0-F264-4333-83DF-1BDAE6306F08}"/>
    <cellStyle name="Ausgabe 2 4 60" xfId="28256" xr:uid="{BDA42DC7-D444-4691-8601-C051CBA52721}"/>
    <cellStyle name="Ausgabe 2 4 61" xfId="29801" xr:uid="{DCF41421-848C-4EE8-A1F9-9D5F4B1B58F5}"/>
    <cellStyle name="Ausgabe 2 4 62" xfId="30207" xr:uid="{300336F8-E46C-44CB-91AA-4A350BF00776}"/>
    <cellStyle name="Ausgabe 2 4 63" xfId="30624" xr:uid="{05FAF536-BAAE-4E83-B656-9B278EDE5166}"/>
    <cellStyle name="Ausgabe 2 4 64" xfId="30977" xr:uid="{8A3FAD05-392F-4C4B-8819-E6CCDD5ADC8C}"/>
    <cellStyle name="Ausgabe 2 4 65" xfId="31240" xr:uid="{4E02ACCB-FC86-4ADD-B8A1-D9AE36A99ECC}"/>
    <cellStyle name="Ausgabe 2 4 7" xfId="4023" xr:uid="{5E81376C-1786-4551-A439-07DAB958DAFD}"/>
    <cellStyle name="Ausgabe 2 4 8" xfId="4460" xr:uid="{86B45679-0FF2-4655-997E-8D59AA3725CB}"/>
    <cellStyle name="Ausgabe 2 4 9" xfId="3523" xr:uid="{00F71EE1-4562-4164-8CC9-D5C42530D3B7}"/>
    <cellStyle name="Ausgabe 2 5" xfId="977" xr:uid="{133F5395-6782-4CA8-B568-2313F7D3DBD8}"/>
    <cellStyle name="Ausgabe 2 6" xfId="2214" xr:uid="{513A204E-20DB-4D6F-BCB6-9800BDADD646}"/>
    <cellStyle name="Ausgabe 2 7" xfId="1928" xr:uid="{5AEFEE65-7B7D-4BF3-8FCB-28149B86D2F5}"/>
    <cellStyle name="Ausgabe 2 8" xfId="2828" xr:uid="{86749601-3C9E-4901-92D1-44452D7AC576}"/>
    <cellStyle name="Ausgabe 2 9" xfId="3599" xr:uid="{480C56CF-4315-4DEF-AEDF-5BB34F13DB1A}"/>
    <cellStyle name="Ausgabe 3" xfId="282" xr:uid="{13D55367-2784-494E-BDE6-101C40E485E6}"/>
    <cellStyle name="Ausgabe 3 10" xfId="4211" xr:uid="{EE3ECBD9-608A-49BA-9237-1EB936B90A16}"/>
    <cellStyle name="Ausgabe 3 11" xfId="4861" xr:uid="{59F35099-BC1D-4590-BE4E-A1C725FDD074}"/>
    <cellStyle name="Ausgabe 3 12" xfId="7012" xr:uid="{06E19AAD-38F4-4C35-91BB-2B1A21E8D482}"/>
    <cellStyle name="Ausgabe 3 13" xfId="7634" xr:uid="{C5508C5D-17EC-4B67-AF1D-D5553995C987}"/>
    <cellStyle name="Ausgabe 3 14" xfId="8525" xr:uid="{83B6A098-B287-46AD-9FDE-69A480224BAE}"/>
    <cellStyle name="Ausgabe 3 15" xfId="9225" xr:uid="{898E03ED-7C24-42F8-A20D-9FA6BCA4F94A}"/>
    <cellStyle name="Ausgabe 3 16" xfId="9844" xr:uid="{4CBF8DE1-7801-4B51-B8F8-5DECB20CF9AA}"/>
    <cellStyle name="Ausgabe 3 17" xfId="11638" xr:uid="{365F9A58-5C15-4874-AB13-6B0D506A24E8}"/>
    <cellStyle name="Ausgabe 3 18" xfId="11652" xr:uid="{C41F598E-C34C-4BCB-8264-89EDF4EA1F29}"/>
    <cellStyle name="Ausgabe 3 19" xfId="13784" xr:uid="{9A041FC2-5A4D-40EE-A765-DD46FE90CF68}"/>
    <cellStyle name="Ausgabe 3 2" xfId="619" xr:uid="{17DBB19A-A745-4446-9045-6224AD599911}"/>
    <cellStyle name="Ausgabe 3 2 10" xfId="4980" xr:uid="{60AE35B9-18B2-4FD5-AFB0-9741EDCB1F55}"/>
    <cellStyle name="Ausgabe 3 2 11" xfId="5267" xr:uid="{79154A66-5DF5-4912-87D0-CC519577C5D0}"/>
    <cellStyle name="Ausgabe 3 2 12" xfId="5961" xr:uid="{114F2166-7408-4E8C-A5AB-CF34B337A5E1}"/>
    <cellStyle name="Ausgabe 3 2 13" xfId="6232" xr:uid="{2423BDCC-9ED9-430E-B1E2-B5712A25EA3A}"/>
    <cellStyle name="Ausgabe 3 2 14" xfId="3702" xr:uid="{BDD39071-39D8-4301-9C32-4459512402CE}"/>
    <cellStyle name="Ausgabe 3 2 15" xfId="7339" xr:uid="{241BEF41-E5FC-4219-81F2-9C241E8C1AEA}"/>
    <cellStyle name="Ausgabe 3 2 16" xfId="6770" xr:uid="{3F8C7876-F3DB-4198-A210-7BCCAF7D3BFC}"/>
    <cellStyle name="Ausgabe 3 2 17" xfId="8199" xr:uid="{9ED38B01-1CFB-49BB-9383-88922B82805D}"/>
    <cellStyle name="Ausgabe 3 2 18" xfId="8418" xr:uid="{D85E75FC-566C-4C5C-93A1-BAA0AA1781D2}"/>
    <cellStyle name="Ausgabe 3 2 19" xfId="9553" xr:uid="{4B813A58-3907-46F7-B17D-3C090421F74F}"/>
    <cellStyle name="Ausgabe 3 2 2" xfId="834" xr:uid="{9E64FEE7-35FE-4C8C-8605-C006673F3B75}"/>
    <cellStyle name="Ausgabe 3 2 2 10" xfId="5482" xr:uid="{5D2A425D-0885-49B6-ABC7-31082659196C}"/>
    <cellStyle name="Ausgabe 3 2 2 11" xfId="4213" xr:uid="{8BAABCD7-86F6-49C1-BBF4-F36FD5BD74F0}"/>
    <cellStyle name="Ausgabe 3 2 2 12" xfId="6191" xr:uid="{29EC9C1A-3A48-4842-893A-87DEC9D9E9FF}"/>
    <cellStyle name="Ausgabe 3 2 2 13" xfId="6324" xr:uid="{5A188E9F-F89E-4A3F-90A2-33C970873D69}"/>
    <cellStyle name="Ausgabe 3 2 2 14" xfId="7554" xr:uid="{34C4CBC6-2F82-4973-834D-3A176FA10696}"/>
    <cellStyle name="Ausgabe 3 2 2 15" xfId="7813" xr:uid="{50338C84-63AB-45C4-ACAD-8E4FF5A8B0B7}"/>
    <cellStyle name="Ausgabe 3 2 2 16" xfId="6939" xr:uid="{382D720B-2317-4D2C-B76E-0935DE5138BA}"/>
    <cellStyle name="Ausgabe 3 2 2 17" xfId="8769" xr:uid="{E6C598CE-0B2E-4E19-8E1A-507C38B9450C}"/>
    <cellStyle name="Ausgabe 3 2 2 18" xfId="9768" xr:uid="{4ACAE39D-E509-45AB-AC49-6AED0CE77D87}"/>
    <cellStyle name="Ausgabe 3 2 2 19" xfId="10026" xr:uid="{4796313B-E2CA-4284-A164-AC548B2A5CB9}"/>
    <cellStyle name="Ausgabe 3 2 2 2" xfId="1308" xr:uid="{BCE54FB9-D31F-43A4-A7F4-F1EB2D6086D4}"/>
    <cellStyle name="Ausgabe 3 2 2 20" xfId="10446" xr:uid="{D748D8DB-EAE5-4ADD-BEB6-6A7247930781}"/>
    <cellStyle name="Ausgabe 3 2 2 21" xfId="10824" xr:uid="{2AA2CBE5-CB47-4B8E-A66F-1238F341E05F}"/>
    <cellStyle name="Ausgabe 3 2 2 22" xfId="10808" xr:uid="{B366F1DC-D9C3-443C-876B-BDD6FAEB2224}"/>
    <cellStyle name="Ausgabe 3 2 2 23" xfId="12187" xr:uid="{51B4A84B-D0DF-4B2C-A584-AD9BC75989B6}"/>
    <cellStyle name="Ausgabe 3 2 2 24" xfId="12660" xr:uid="{C75925BB-703B-4C89-A5A6-F6E38128D36B}"/>
    <cellStyle name="Ausgabe 3 2 2 25" xfId="13094" xr:uid="{38A6212B-19CF-4526-BCAC-5B139E794ED3}"/>
    <cellStyle name="Ausgabe 3 2 2 26" xfId="13531" xr:uid="{844A2E05-84F5-4405-8317-95755DCABA76}"/>
    <cellStyle name="Ausgabe 3 2 2 27" xfId="12746" xr:uid="{DF7AC2F0-1D7D-4D34-80D1-61470542321C}"/>
    <cellStyle name="Ausgabe 3 2 2 28" xfId="13764" xr:uid="{4CF75AF9-3A38-47A3-8F56-0D09D7B52E25}"/>
    <cellStyle name="Ausgabe 3 2 2 29" xfId="14680" xr:uid="{8C8C64F2-653A-4806-BAE1-DD9473B8C883}"/>
    <cellStyle name="Ausgabe 3 2 2 3" xfId="1551" xr:uid="{CE50FCBB-B2D8-4EA9-9E62-6C32065EE706}"/>
    <cellStyle name="Ausgabe 3 2 2 30" xfId="15012" xr:uid="{33582A3C-919A-40AC-AD5E-E66BAC69320F}"/>
    <cellStyle name="Ausgabe 3 2 2 31" xfId="15197" xr:uid="{ED348ACF-2B00-4FA2-AA23-188F56160407}"/>
    <cellStyle name="Ausgabe 3 2 2 32" xfId="15864" xr:uid="{3CF905B4-5370-4FE8-88B6-48103375337C}"/>
    <cellStyle name="Ausgabe 3 2 2 33" xfId="16879" xr:uid="{6A1254F3-EBE7-4B2F-8F7E-B5751E38B1A2}"/>
    <cellStyle name="Ausgabe 3 2 2 34" xfId="17143" xr:uid="{9419D815-74F4-4AEB-B599-8641E94DA17E}"/>
    <cellStyle name="Ausgabe 3 2 2 35" xfId="17590" xr:uid="{80E76088-F2BD-46AC-B09B-D576779650F5}"/>
    <cellStyle name="Ausgabe 3 2 2 36" xfId="17935" xr:uid="{1F41C718-6BA6-4DCF-937C-F79DE088FB23}"/>
    <cellStyle name="Ausgabe 3 2 2 37" xfId="18697" xr:uid="{D8472EEB-D261-4E50-9492-277C0782C308}"/>
    <cellStyle name="Ausgabe 3 2 2 38" xfId="18820" xr:uid="{571978AE-886D-4437-A214-38C12D275266}"/>
    <cellStyle name="Ausgabe 3 2 2 39" xfId="19243" xr:uid="{4699DDC5-E5FA-4486-A528-5A19454B303D}"/>
    <cellStyle name="Ausgabe 3 2 2 4" xfId="2656" xr:uid="{C7E44C16-D269-4D98-9141-919FAE75F0D1}"/>
    <cellStyle name="Ausgabe 3 2 2 40" xfId="20216" xr:uid="{AB01DAAF-2C12-43CE-96D0-78E978CBEFCD}"/>
    <cellStyle name="Ausgabe 3 2 2 41" xfId="20495" xr:uid="{531F8FB4-0872-4BE1-A372-6E5175F8074E}"/>
    <cellStyle name="Ausgabe 3 2 2 42" xfId="20950" xr:uid="{D0DF2DE0-DF8B-443C-BB8D-53B8ADA2AF76}"/>
    <cellStyle name="Ausgabe 3 2 2 43" xfId="21542" xr:uid="{8D94E1D4-D58F-4444-B8D8-3DA75E521E0A}"/>
    <cellStyle name="Ausgabe 3 2 2 44" xfId="21879" xr:uid="{88C83693-C6C2-459F-AECD-183EA4D299D2}"/>
    <cellStyle name="Ausgabe 3 2 2 45" xfId="22315" xr:uid="{E157890B-2F92-40B9-BF2E-F7E10299FFE8}"/>
    <cellStyle name="Ausgabe 3 2 2 46" xfId="21615" xr:uid="{F2C2751F-C806-4F15-BC7E-8EC1A36A5199}"/>
    <cellStyle name="Ausgabe 3 2 2 47" xfId="23092" xr:uid="{7E930A5B-DD0C-4BBC-9453-6FFC5EE55C9C}"/>
    <cellStyle name="Ausgabe 3 2 2 48" xfId="23624" xr:uid="{F04E0881-BF3B-44AE-90F1-5258004BDCF3}"/>
    <cellStyle name="Ausgabe 3 2 2 49" xfId="24016" xr:uid="{67D2DBC8-E866-4870-AF57-53A18CDA3620}"/>
    <cellStyle name="Ausgabe 3 2 2 5" xfId="2196" xr:uid="{84F140D1-B64A-4094-8259-F846FEEFB89E}"/>
    <cellStyle name="Ausgabe 3 2 2 50" xfId="24924" xr:uid="{BB353A26-8C23-4BA7-8D01-1E291B269D4C}"/>
    <cellStyle name="Ausgabe 3 2 2 51" xfId="25204" xr:uid="{3EF3C112-2B4F-4CC9-B3C1-B34589554770}"/>
    <cellStyle name="Ausgabe 3 2 2 52" xfId="25840" xr:uid="{F55A3553-CFAB-46B4-AFBA-03ADA2EC43BE}"/>
    <cellStyle name="Ausgabe 3 2 2 53" xfId="25353" xr:uid="{75DFD2CA-BA97-4E95-BB68-A4EAD44076C0}"/>
    <cellStyle name="Ausgabe 3 2 2 54" xfId="26518" xr:uid="{7D6801B3-28DE-49B5-81A9-16B8349D98DD}"/>
    <cellStyle name="Ausgabe 3 2 2 55" xfId="27128" xr:uid="{3B03B52D-872D-4415-B839-C80045EFAA8C}"/>
    <cellStyle name="Ausgabe 3 2 2 56" xfId="27547" xr:uid="{923739D5-5FAC-4F30-8C63-8C3144C5CF26}"/>
    <cellStyle name="Ausgabe 3 2 2 57" xfId="25504" xr:uid="{528BF6BF-A9F7-452F-9DD5-EA9AE3AA5186}"/>
    <cellStyle name="Ausgabe 3 2 2 58" xfId="28674" xr:uid="{ECF158A1-1CE5-436B-9EF7-A4173F990697}"/>
    <cellStyle name="Ausgabe 3 2 2 59" xfId="29141" xr:uid="{4075CB1C-9B50-4026-AAF7-81F95DEA715B}"/>
    <cellStyle name="Ausgabe 3 2 2 6" xfId="3531" xr:uid="{FD900EF8-E5D7-4659-BA3D-DA6DAA9A9EA7}"/>
    <cellStyle name="Ausgabe 3 2 2 60" xfId="29346" xr:uid="{C51484FE-A27F-40B8-BF3F-F9C512A56D7E}"/>
    <cellStyle name="Ausgabe 3 2 2 61" xfId="29930" xr:uid="{575ED761-98A1-4599-8CB2-17C308A145D8}"/>
    <cellStyle name="Ausgabe 3 2 2 62" xfId="30336" xr:uid="{95CCABB3-C79B-495E-A488-C9CB6710EFF3}"/>
    <cellStyle name="Ausgabe 3 2 2 63" xfId="30753" xr:uid="{29D3BEAD-215F-486B-B404-52726FE0DFE5}"/>
    <cellStyle name="Ausgabe 3 2 2 64" xfId="29296" xr:uid="{9431330E-D147-4816-8ABA-A72ECAB21215}"/>
    <cellStyle name="Ausgabe 3 2 2 65" xfId="31369" xr:uid="{8F3EDE67-CCAA-4273-85FE-918A8CD61D22}"/>
    <cellStyle name="Ausgabe 3 2 2 7" xfId="4152" xr:uid="{D040C83F-7885-485D-A2DC-2D8F8A37688D}"/>
    <cellStyle name="Ausgabe 3 2 2 8" xfId="4589" xr:uid="{5BEA17C1-B4F2-4C23-A3CA-AAB606D6E783}"/>
    <cellStyle name="Ausgabe 3 2 2 9" xfId="2167" xr:uid="{92B0EC10-8C3C-4B26-BC3B-A6A06932C74D}"/>
    <cellStyle name="Ausgabe 3 2 20" xfId="9629" xr:uid="{9192C89F-6A4D-4D58-BA59-1EE6249BFE52}"/>
    <cellStyle name="Ausgabe 3 2 21" xfId="9436" xr:uid="{E99F5414-09E5-44A5-9EB5-E7765844FB1B}"/>
    <cellStyle name="Ausgabe 3 2 22" xfId="10320" xr:uid="{22270372-F126-43B0-8FDE-12786CC1B245}"/>
    <cellStyle name="Ausgabe 3 2 23" xfId="11221" xr:uid="{BED39571-DD35-434A-A2BA-0A5EAF58B80B}"/>
    <cellStyle name="Ausgabe 3 2 24" xfId="11972" xr:uid="{DE0FEF07-9628-40F7-B12D-97C2E83FCC1E}"/>
    <cellStyle name="Ausgabe 3 2 25" xfId="12445" xr:uid="{1FE398C1-31DF-4009-941B-9A209408C60E}"/>
    <cellStyle name="Ausgabe 3 2 26" xfId="12879" xr:uid="{4195E69A-BFEE-4BB1-ADB9-126680837F17}"/>
    <cellStyle name="Ausgabe 3 2 27" xfId="13316" xr:uid="{1EDB6655-BEE2-45C8-BE66-31F0078A7E83}"/>
    <cellStyle name="Ausgabe 3 2 28" xfId="11359" xr:uid="{1840FEEB-8C85-46AE-8871-0C2D58683E6B}"/>
    <cellStyle name="Ausgabe 3 2 29" xfId="14195" xr:uid="{A7011452-A280-4F55-99C2-8EFDF94EB012}"/>
    <cellStyle name="Ausgabe 3 2 3" xfId="1102" xr:uid="{2510FD39-AF9D-4AED-AFB0-6893AC8CFA22}"/>
    <cellStyle name="Ausgabe 3 2 30" xfId="14159" xr:uid="{DF5A561B-EAF0-415E-9F8A-820243783276}"/>
    <cellStyle name="Ausgabe 3 2 31" xfId="15003" xr:uid="{EEB8A527-6590-4B1C-9375-DB1E200114C9}"/>
    <cellStyle name="Ausgabe 3 2 32" xfId="15475" xr:uid="{AC1D3CAC-2D5D-4EDF-9317-64C6D45DEC38}"/>
    <cellStyle name="Ausgabe 3 2 33" xfId="15582" xr:uid="{DA7D0EA7-33F2-43E2-BB84-3D6C9BF3A422}"/>
    <cellStyle name="Ausgabe 3 2 34" xfId="16664" xr:uid="{278AB694-9883-4AE7-BAD4-43F5CC7C45FC}"/>
    <cellStyle name="Ausgabe 3 2 35" xfId="16079" xr:uid="{3F2688F7-2070-4F27-9FB7-A2DB8FF03C75}"/>
    <cellStyle name="Ausgabe 3 2 36" xfId="17357" xr:uid="{45913F90-B707-4FD0-B08B-24CD206C58D1}"/>
    <cellStyle name="Ausgabe 3 2 37" xfId="18116" xr:uid="{380B69C2-C308-48A8-8A9D-851EBE7F0501}"/>
    <cellStyle name="Ausgabe 3 2 38" xfId="18482" xr:uid="{DFC50EB9-0BE1-46D5-8CD8-028A777DFC33}"/>
    <cellStyle name="Ausgabe 3 2 39" xfId="19041" xr:uid="{BBD62C65-01B0-42F1-9185-371D3A600195}"/>
    <cellStyle name="Ausgabe 3 2 4" xfId="1687" xr:uid="{ED686D21-CDE4-45C7-B807-24D2F2691CF3}"/>
    <cellStyle name="Ausgabe 3 2 40" xfId="19152" xr:uid="{33434A3C-F6FA-4D01-9454-BCB353B3E69A}"/>
    <cellStyle name="Ausgabe 3 2 41" xfId="20001" xr:uid="{1B83EB94-87B2-42FA-A9D4-581BA6AE5498}"/>
    <cellStyle name="Ausgabe 3 2 42" xfId="19462" xr:uid="{C4CECCFC-1C9D-4B9A-877B-0ED02C58B44A}"/>
    <cellStyle name="Ausgabe 3 2 43" xfId="20334" xr:uid="{F6248BF0-0B9F-44B8-AE80-6623CEACE77D}"/>
    <cellStyle name="Ausgabe 3 2 44" xfId="20989" xr:uid="{419D35BA-AD0F-4459-8115-9927E1807184}"/>
    <cellStyle name="Ausgabe 3 2 45" xfId="19673" xr:uid="{0F2661FC-585B-4B2F-A220-EA4C735E5BB8}"/>
    <cellStyle name="Ausgabe 3 2 46" xfId="21612" xr:uid="{31022351-7206-459D-956D-F5CEBB0EB3BF}"/>
    <cellStyle name="Ausgabe 3 2 47" xfId="22597" xr:uid="{E1E2B1D4-DF21-47B6-A3FF-4935DE45962B}"/>
    <cellStyle name="Ausgabe 3 2 48" xfId="23318" xr:uid="{1E22CC34-90DA-459B-B49C-516004B6A037}"/>
    <cellStyle name="Ausgabe 3 2 49" xfId="23217" xr:uid="{3E315CCE-E337-4888-B8EC-90BC87B34620}"/>
    <cellStyle name="Ausgabe 3 2 5" xfId="2441" xr:uid="{B27EAF82-BDDE-48B2-96BD-C8DB301E5809}"/>
    <cellStyle name="Ausgabe 3 2 50" xfId="23810" xr:uid="{CC62EBD3-A910-471F-8D2F-FC219F66B291}"/>
    <cellStyle name="Ausgabe 3 2 51" xfId="24709" xr:uid="{DC01F2D4-4A0B-4F2D-BBE1-EB951E604718}"/>
    <cellStyle name="Ausgabe 3 2 52" xfId="24501" xr:uid="{2E288049-E756-4817-9842-CA49DD989C0D}"/>
    <cellStyle name="Ausgabe 3 2 53" xfId="25627" xr:uid="{29CAD130-4778-4BD1-9807-D1CE0AFF40E4}"/>
    <cellStyle name="Ausgabe 3 2 54" xfId="24253" xr:uid="{F8EFD9A1-171C-4734-81DC-3E60602545DA}"/>
    <cellStyle name="Ausgabe 3 2 55" xfId="25489" xr:uid="{C201B418-AEB1-4B8A-A172-F7749C6C1372}"/>
    <cellStyle name="Ausgabe 3 2 56" xfId="26917" xr:uid="{13F488CC-5F51-43B0-ABDF-90DD52564AB0}"/>
    <cellStyle name="Ausgabe 3 2 57" xfId="27336" xr:uid="{A2CBD42B-5EC7-4DA2-8B35-B05F9B421ED1}"/>
    <cellStyle name="Ausgabe 3 2 58" xfId="26792" xr:uid="{26418C5B-8715-4758-93B3-B061D80E88FD}"/>
    <cellStyle name="Ausgabe 3 2 59" xfId="28459" xr:uid="{B46672FE-5ED3-4570-927C-1ACB3543096A}"/>
    <cellStyle name="Ausgabe 3 2 6" xfId="2754" xr:uid="{8D682D19-D8A9-42DE-A38E-444E0A1BE56E}"/>
    <cellStyle name="Ausgabe 3 2 60" xfId="28927" xr:uid="{1E9E8C8F-2E64-467C-95DE-C9FE7DC1A122}"/>
    <cellStyle name="Ausgabe 3 2 61" xfId="28293" xr:uid="{EEA6CC9B-D167-4B30-BA78-CCF6E1D47103}"/>
    <cellStyle name="Ausgabe 3 2 62" xfId="29717" xr:uid="{7BE01E81-1328-4190-BDD0-75E517E106AC}"/>
    <cellStyle name="Ausgabe 3 2 63" xfId="30125" xr:uid="{965C6569-470D-47FC-AA7F-103A68413754}"/>
    <cellStyle name="Ausgabe 3 2 64" xfId="30539" xr:uid="{8D1BADA2-4FD9-41A3-81BD-732DB1154FDF}"/>
    <cellStyle name="Ausgabe 3 2 65" xfId="30959" xr:uid="{8FB1E654-69FD-481D-885F-FDB64B02D7AF}"/>
    <cellStyle name="Ausgabe 3 2 66" xfId="31163" xr:uid="{369A2211-0AD0-4343-9ABA-DF48DFC801FD}"/>
    <cellStyle name="Ausgabe 3 2 7" xfId="1971" xr:uid="{29152AA4-F277-4A94-8524-21CC91681DB9}"/>
    <cellStyle name="Ausgabe 3 2 8" xfId="3937" xr:uid="{06AC9C4C-5CA6-4A41-9EAD-A6C91FBB0A3E}"/>
    <cellStyle name="Ausgabe 3 2 9" xfId="4375" xr:uid="{FC306F33-AA9C-4DB6-AB71-1644E73B661F}"/>
    <cellStyle name="Ausgabe 3 20" xfId="16333" xr:uid="{7509B238-99FF-4469-9C40-F9C2DF2BB446}"/>
    <cellStyle name="Ausgabe 3 21" xfId="16960" xr:uid="{FE6A0151-D848-46AC-8F03-308B5393A8E9}"/>
    <cellStyle name="Ausgabe 3 22" xfId="17623" xr:uid="{42A97A4C-F184-4C93-9DC2-70BF6B152ADE}"/>
    <cellStyle name="Ausgabe 3 23" xfId="17909" xr:uid="{00153E39-6B5B-4B13-9917-2E24A061CA2B}"/>
    <cellStyle name="Ausgabe 3 24" xfId="19666" xr:uid="{9B5155F6-ED83-4EB6-BA30-10DBE7134159}"/>
    <cellStyle name="Ausgabe 3 25" xfId="22031" xr:uid="{383108C3-C5A1-4594-ACFB-FD8754FDDF9B}"/>
    <cellStyle name="Ausgabe 3 26" xfId="22604" xr:uid="{5B70E299-7D05-4739-87E4-A63BA5EA59E4}"/>
    <cellStyle name="Ausgabe 3 27" xfId="24386" xr:uid="{82F11DA9-31EE-4C22-942A-9AE0BF32F00E}"/>
    <cellStyle name="Ausgabe 3 28" xfId="24137" xr:uid="{186A12BA-CE58-4BF5-84B5-0C03D3747E16}"/>
    <cellStyle name="Ausgabe 3 29" xfId="26378" xr:uid="{877E7BE7-9DFB-4543-AC88-C26B2C51AC27}"/>
    <cellStyle name="Ausgabe 3 3" xfId="538" xr:uid="{0FF6753F-C23D-47F6-9905-B313FA0F33AA}"/>
    <cellStyle name="Ausgabe 3 3 10" xfId="4855" xr:uid="{91E731C4-3924-4BB6-8C7D-85BB48F8069F}"/>
    <cellStyle name="Ausgabe 3 3 11" xfId="5186" xr:uid="{1AEEB41C-A0DF-4215-B181-37DF378B14A9}"/>
    <cellStyle name="Ausgabe 3 3 12" xfId="5937" xr:uid="{7E3942A4-59AE-43C9-92F1-E3B3FA476A79}"/>
    <cellStyle name="Ausgabe 3 3 13" xfId="5982" xr:uid="{8D4EFA4F-40FB-4C58-82DB-21D4F1248964}"/>
    <cellStyle name="Ausgabe 3 3 14" xfId="6417" xr:uid="{FB2CE04B-283B-4FEB-B362-8BCCEC8922FC}"/>
    <cellStyle name="Ausgabe 3 3 15" xfId="7258" xr:uid="{5D99A220-8851-434E-8979-6F9241E62C6E}"/>
    <cellStyle name="Ausgabe 3 3 16" xfId="7993" xr:uid="{93FC93B9-E7E3-4587-BC3C-92AA40C3B244}"/>
    <cellStyle name="Ausgabe 3 3 17" xfId="8118" xr:uid="{6501EEA9-F1D1-4B32-ADF9-828205D70466}"/>
    <cellStyle name="Ausgabe 3 3 18" xfId="8394" xr:uid="{5D34F1CD-5397-4A4F-9E27-F1F5663FCECF}"/>
    <cellStyle name="Ausgabe 3 3 19" xfId="9472" xr:uid="{27F934CE-091D-4B15-9163-7885E554C2A7}"/>
    <cellStyle name="Ausgabe 3 3 2" xfId="753" xr:uid="{4218C6B3-B5F9-4F38-991F-D28585FFFC4A}"/>
    <cellStyle name="Ausgabe 3 3 2 10" xfId="5401" xr:uid="{095EF33A-40D8-459E-BCFC-E12D294E9DEF}"/>
    <cellStyle name="Ausgabe 3 3 2 11" xfId="5740" xr:uid="{9720DD89-E435-43AF-AF04-D8B5FECC764E}"/>
    <cellStyle name="Ausgabe 3 3 2 12" xfId="6039" xr:uid="{F6BC4798-818B-43E1-8DE8-69A929219579}"/>
    <cellStyle name="Ausgabe 3 3 2 13" xfId="6491" xr:uid="{E00C8EB5-0F89-4BB6-944D-B726C2C9DEC8}"/>
    <cellStyle name="Ausgabe 3 3 2 14" xfId="7473" xr:uid="{644AF8EB-F4B2-4376-90BC-7379222EC44F}"/>
    <cellStyle name="Ausgabe 3 3 2 15" xfId="6875" xr:uid="{D4491B9E-89EF-4D87-A008-E94ED26B56F8}"/>
    <cellStyle name="Ausgabe 3 3 2 16" xfId="8556" xr:uid="{C1FCE58C-4734-4139-83E4-1E472D47DBC8}"/>
    <cellStyle name="Ausgabe 3 3 2 17" xfId="8336" xr:uid="{8A4102A0-96B3-43CA-92BA-4CA8106F5EB4}"/>
    <cellStyle name="Ausgabe 3 3 2 18" xfId="9687" xr:uid="{7B8EB16B-4257-4FD8-8820-50BF2DF30C8D}"/>
    <cellStyle name="Ausgabe 3 3 2 19" xfId="9088" xr:uid="{E932FE8B-BFB8-4FE9-946E-A3F9DF296536}"/>
    <cellStyle name="Ausgabe 3 3 2 2" xfId="1227" xr:uid="{3B7EE23F-4BB7-4EC7-9C77-B69429BF9525}"/>
    <cellStyle name="Ausgabe 3 3 2 20" xfId="10058" xr:uid="{97FA6B46-DB87-40D2-9F63-D9144F9E2644}"/>
    <cellStyle name="Ausgabe 3 3 2 21" xfId="10690" xr:uid="{DDE56E58-9A22-40C2-A37B-5DDC9BE2BBB4}"/>
    <cellStyle name="Ausgabe 3 3 2 22" xfId="11234" xr:uid="{CBF2C181-AF53-4DB0-8CFF-134BD64BB128}"/>
    <cellStyle name="Ausgabe 3 3 2 23" xfId="12106" xr:uid="{B42B14AF-B2C8-4582-8705-12356643AC91}"/>
    <cellStyle name="Ausgabe 3 3 2 24" xfId="12579" xr:uid="{8F32700C-0121-42EE-9896-F0AEC978D1BB}"/>
    <cellStyle name="Ausgabe 3 3 2 25" xfId="13013" xr:uid="{38FD90E8-4D09-4A12-9B01-CD603D5BD0F6}"/>
    <cellStyle name="Ausgabe 3 3 2 26" xfId="13450" xr:uid="{485A0B71-53D2-4213-8626-81CF44E216E9}"/>
    <cellStyle name="Ausgabe 3 3 2 27" xfId="13608" xr:uid="{7FE3B868-91B3-493F-9959-5FE04932E55A}"/>
    <cellStyle name="Ausgabe 3 3 2 28" xfId="13734" xr:uid="{3494CBAC-1074-49CE-8932-788EC9966E6D}"/>
    <cellStyle name="Ausgabe 3 3 2 29" xfId="13789" xr:uid="{632A2FD4-6304-442A-9E15-4AB0E0267211}"/>
    <cellStyle name="Ausgabe 3 3 2 3" xfId="1565" xr:uid="{BB42E12C-4804-4214-88EC-5C729319237D}"/>
    <cellStyle name="Ausgabe 3 3 2 30" xfId="15298" xr:uid="{9697647B-E95A-4835-ABB2-CACB7B46C66C}"/>
    <cellStyle name="Ausgabe 3 3 2 31" xfId="15140" xr:uid="{EFC31769-0E74-4427-835D-6B4BB50ABD7F}"/>
    <cellStyle name="Ausgabe 3 3 2 32" xfId="15436" xr:uid="{1C7DA457-035F-4AA9-9F45-A598224453AD}"/>
    <cellStyle name="Ausgabe 3 3 2 33" xfId="16798" xr:uid="{18B666C4-C5D6-40DC-8566-7CB0A3DD38C2}"/>
    <cellStyle name="Ausgabe 3 3 2 34" xfId="16191" xr:uid="{FA397F03-5621-4FCA-BDA3-BBE0A85025E2}"/>
    <cellStyle name="Ausgabe 3 3 2 35" xfId="17176" xr:uid="{E7FBE8E0-C625-4CC9-B859-C5D4B31DBF46}"/>
    <cellStyle name="Ausgabe 3 3 2 36" xfId="18087" xr:uid="{4F4489F2-03DC-4EAF-89E0-6B0FA02F399E}"/>
    <cellStyle name="Ausgabe 3 3 2 37" xfId="18616" xr:uid="{491EFC1E-7B20-48C5-B7B3-79EDCBD84553}"/>
    <cellStyle name="Ausgabe 3 3 2 38" xfId="18919" xr:uid="{DF8A27A8-A475-4B7F-8C56-2D96CA0A9B20}"/>
    <cellStyle name="Ausgabe 3 3 2 39" xfId="19164" xr:uid="{C5B2642F-C11B-4EB7-842E-88ABDDBCF7BC}"/>
    <cellStyle name="Ausgabe 3 3 2 4" xfId="2575" xr:uid="{932A9F5A-379C-4CA4-A1DD-A4604C75CD8D}"/>
    <cellStyle name="Ausgabe 3 3 2 40" xfId="20135" xr:uid="{119EC6AB-A10E-4FF8-8316-496B65D4858C}"/>
    <cellStyle name="Ausgabe 3 3 2 41" xfId="19523" xr:uid="{F7038E56-3131-41F8-BE26-7A6524A0266C}"/>
    <cellStyle name="Ausgabe 3 3 2 42" xfId="20510" xr:uid="{B235642C-890E-4AFE-BC7E-22C1E6554CEF}"/>
    <cellStyle name="Ausgabe 3 3 2 43" xfId="21453" xr:uid="{51B79DAE-8C27-425F-9E27-4B6B9B59C99D}"/>
    <cellStyle name="Ausgabe 3 3 2 44" xfId="20867" xr:uid="{E705A622-319F-4269-A11A-170D42BB0362}"/>
    <cellStyle name="Ausgabe 3 3 2 45" xfId="20654" xr:uid="{6F390206-1C9A-4A2D-818D-0542D1059B4C}"/>
    <cellStyle name="Ausgabe 3 3 2 46" xfId="22617" xr:uid="{0A1B18D3-B17D-4909-ABE3-637DAC9DB051}"/>
    <cellStyle name="Ausgabe 3 3 2 47" xfId="23201" xr:uid="{23AFF001-D695-4D97-AA80-1C8BBBEF34B2}"/>
    <cellStyle name="Ausgabe 3 3 2 48" xfId="23434" xr:uid="{9502E868-1529-417B-AEFE-55A29871B62C}"/>
    <cellStyle name="Ausgabe 3 3 2 49" xfId="23935" xr:uid="{FEB358BD-149B-4381-8BA9-CD081611DB29}"/>
    <cellStyle name="Ausgabe 3 3 2 5" xfId="2775" xr:uid="{2E200637-31EA-4CD7-81FD-25E32C718747}"/>
    <cellStyle name="Ausgabe 3 3 2 50" xfId="24843" xr:uid="{4722E323-97B5-481F-A86A-67F07E6F3B1C}"/>
    <cellStyle name="Ausgabe 3 3 2 51" xfId="24331" xr:uid="{B4E06C22-DA47-46A2-B3A6-5EA5201BD901}"/>
    <cellStyle name="Ausgabe 3 3 2 52" xfId="25759" xr:uid="{B7465950-BA95-49EC-AC78-87A11027FC4C}"/>
    <cellStyle name="Ausgabe 3 3 2 53" xfId="25921" xr:uid="{1FE2DE91-3191-43DE-BDA4-ED5F127080E0}"/>
    <cellStyle name="Ausgabe 3 3 2 54" xfId="25396" xr:uid="{31181120-599D-4375-86F8-9122EFC096D7}"/>
    <cellStyle name="Ausgabe 3 3 2 55" xfId="27047" xr:uid="{8953CCF7-6546-42DF-8947-D02684D85CC6}"/>
    <cellStyle name="Ausgabe 3 3 2 56" xfId="27466" xr:uid="{45D46FD1-C6DE-4DD3-83C1-165DE9D5567E}"/>
    <cellStyle name="Ausgabe 3 3 2 57" xfId="26408" xr:uid="{E93F9CC0-30B0-4BFE-A02A-2173038DF719}"/>
    <cellStyle name="Ausgabe 3 3 2 58" xfId="28593" xr:uid="{97F97927-7AC6-4F9B-A39F-91CD9AF69923}"/>
    <cellStyle name="Ausgabe 3 3 2 59" xfId="29060" xr:uid="{0955264E-4FF6-444A-8151-C2C4AA19A209}"/>
    <cellStyle name="Ausgabe 3 3 2 6" xfId="3204" xr:uid="{6562020A-1F05-4386-978F-9836C58CD2CC}"/>
    <cellStyle name="Ausgabe 3 3 2 60" xfId="28303" xr:uid="{5C9DC392-7051-4F5D-9FFF-79A0100B15EE}"/>
    <cellStyle name="Ausgabe 3 3 2 61" xfId="29849" xr:uid="{B4DC14E3-9AF0-4D46-B3B6-96B63E659434}"/>
    <cellStyle name="Ausgabe 3 3 2 62" xfId="30255" xr:uid="{DAE21EC9-DA36-4787-8A4F-3DF22D34A641}"/>
    <cellStyle name="Ausgabe 3 3 2 63" xfId="30672" xr:uid="{CF1D892F-3FCD-4B73-8760-287A3C0AE117}"/>
    <cellStyle name="Ausgabe 3 3 2 64" xfId="28780" xr:uid="{F4CA9FA8-2F91-4B5B-AEE9-B74662D9C21F}"/>
    <cellStyle name="Ausgabe 3 3 2 65" xfId="31288" xr:uid="{A1B0BB87-39D7-4623-82AE-3AB467CC4A0B}"/>
    <cellStyle name="Ausgabe 3 3 2 7" xfId="4071" xr:uid="{1EFC659F-578B-450D-8108-33145382EFAD}"/>
    <cellStyle name="Ausgabe 3 3 2 8" xfId="4508" xr:uid="{A40EF371-0711-4240-BC00-2D660CD8AD5B}"/>
    <cellStyle name="Ausgabe 3 3 2 9" xfId="3815" xr:uid="{2F357140-7A21-4447-A66E-F43AD614BEEA}"/>
    <cellStyle name="Ausgabe 3 3 20" xfId="10209" xr:uid="{EF7E5608-C226-470B-BCB7-4EECE2F1A806}"/>
    <cellStyle name="Ausgabe 3 3 21" xfId="10613" xr:uid="{16237D68-919C-4554-9840-46876362D99A}"/>
    <cellStyle name="Ausgabe 3 3 22" xfId="10739" xr:uid="{5810D5A9-1188-4176-8531-5841468053FF}"/>
    <cellStyle name="Ausgabe 3 3 23" xfId="11059" xr:uid="{04DBBB9B-FAA9-4DD3-97BA-9C3F071A3E12}"/>
    <cellStyle name="Ausgabe 3 3 24" xfId="11891" xr:uid="{F3916647-3571-48BA-8C7E-20C89E064527}"/>
    <cellStyle name="Ausgabe 3 3 25" xfId="12364" xr:uid="{F279DE17-78CA-4004-ADA2-F2DB659FD603}"/>
    <cellStyle name="Ausgabe 3 3 26" xfId="12798" xr:uid="{81C4C42D-40B9-469C-B35F-340603C0CE15}"/>
    <cellStyle name="Ausgabe 3 3 27" xfId="13235" xr:uid="{53510C6B-49EF-4448-88E4-52CA3DFDFE3D}"/>
    <cellStyle name="Ausgabe 3 3 28" xfId="11770" xr:uid="{2C786069-5760-4F39-BC58-0A3AF93B5AD2}"/>
    <cellStyle name="Ausgabe 3 3 29" xfId="14455" xr:uid="{89002A8D-4ABB-41C8-8F24-35081E07B793}"/>
    <cellStyle name="Ausgabe 3 3 3" xfId="1021" xr:uid="{588323ED-CE9B-46C9-BC0E-D56ACB28754D}"/>
    <cellStyle name="Ausgabe 3 3 30" xfId="14260" xr:uid="{6D2E2077-BD0A-44AC-9D66-AB097B4919E2}"/>
    <cellStyle name="Ausgabe 3 3 31" xfId="14665" xr:uid="{D336A61A-F3B8-4D00-B752-0597F1DA438D}"/>
    <cellStyle name="Ausgabe 3 3 32" xfId="15567" xr:uid="{CF7632B1-FBBE-4C41-A5A4-33A654234239}"/>
    <cellStyle name="Ausgabe 3 3 33" xfId="15972" xr:uid="{DA23EC1C-8374-436E-967F-76C1763A1CEF}"/>
    <cellStyle name="Ausgabe 3 3 34" xfId="16583" xr:uid="{C4C0E5E9-84C9-400C-AD35-FC310CF6D918}"/>
    <cellStyle name="Ausgabe 3 3 35" xfId="17330" xr:uid="{A06273B1-D883-40DB-9559-12A72B76D527}"/>
    <cellStyle name="Ausgabe 3 3 36" xfId="17773" xr:uid="{C70E5B54-8C95-4DDE-AE7B-957810770C9A}"/>
    <cellStyle name="Ausgabe 3 3 37" xfId="17028" xr:uid="{3684F679-2201-429C-8E9F-3E59B2F680B9}"/>
    <cellStyle name="Ausgabe 3 3 38" xfId="18401" xr:uid="{45FEFF26-A05B-4D8E-B4C5-444A15EEF40C}"/>
    <cellStyle name="Ausgabe 3 3 39" xfId="17788" xr:uid="{B296E306-AD75-43DD-803B-0B54267EF9C8}"/>
    <cellStyle name="Ausgabe 3 3 4" xfId="1529" xr:uid="{7D790019-C1EF-43F8-9779-AC6D6EA64A95}"/>
    <cellStyle name="Ausgabe 3 3 40" xfId="19322" xr:uid="{DC297DA2-817F-4F44-BB72-12A18C966FAF}"/>
    <cellStyle name="Ausgabe 3 3 41" xfId="19920" xr:uid="{1E787791-6447-49A9-BCE8-71B7CE3F4F99}"/>
    <cellStyle name="Ausgabe 3 3 42" xfId="20681" xr:uid="{4866C018-142D-42E4-80E2-86667A3DD4C5}"/>
    <cellStyle name="Ausgabe 3 3 43" xfId="21137" xr:uid="{D95BE756-C206-4C33-90F6-389EEBED9AC4}"/>
    <cellStyle name="Ausgabe 3 3 44" xfId="20955" xr:uid="{9CCFEA86-4A5F-4809-91BC-918462947BDF}"/>
    <cellStyle name="Ausgabe 3 3 45" xfId="22069" xr:uid="{FE97C665-3931-4858-8671-883A65B723BD}"/>
    <cellStyle name="Ausgabe 3 3 46" xfId="22497" xr:uid="{D99E8811-8F1E-4D3A-AE54-89A491094405}"/>
    <cellStyle name="Ausgabe 3 3 47" xfId="22307" xr:uid="{84A23A3E-A6B4-4F38-8A06-FEDB3B0F540D}"/>
    <cellStyle name="Ausgabe 3 3 48" xfId="22849" xr:uid="{57F632B6-F648-425A-898F-6EE06E7E40D7}"/>
    <cellStyle name="Ausgabe 3 3 49" xfId="23641" xr:uid="{1031FEF5-B5E3-4B1A-93F7-26EA55150EA1}"/>
    <cellStyle name="Ausgabe 3 3 5" xfId="2360" xr:uid="{2C8604FB-1FE5-4D2A-B0DB-B23959D764F8}"/>
    <cellStyle name="Ausgabe 3 3 50" xfId="23729" xr:uid="{E63B33FB-B5BA-4985-81EE-DC13D47ADB64}"/>
    <cellStyle name="Ausgabe 3 3 51" xfId="24628" xr:uid="{02344470-59EF-40F7-92F9-9EE9309729AE}"/>
    <cellStyle name="Ausgabe 3 3 52" xfId="25384" xr:uid="{A6CE59BF-CF44-49AF-BBD2-F625B25F6428}"/>
    <cellStyle name="Ausgabe 3 3 53" xfId="25546" xr:uid="{12DD9C19-C14A-4701-B1AF-F1A2F53907DE}"/>
    <cellStyle name="Ausgabe 3 3 54" xfId="24110" xr:uid="{FE81A867-7D44-4A23-A1F9-FFA4A48EE8E5}"/>
    <cellStyle name="Ausgabe 3 3 55" xfId="26280" xr:uid="{DA023404-DD0B-4D77-8DFF-7548E5915D02}"/>
    <cellStyle name="Ausgabe 3 3 56" xfId="26836" xr:uid="{343B51BD-B050-4942-994C-D697086A70E4}"/>
    <cellStyle name="Ausgabe 3 3 57" xfId="27255" xr:uid="{23AB576E-12CB-473E-A862-DAD9A6FB9D7F}"/>
    <cellStyle name="Ausgabe 3 3 58" xfId="27692" xr:uid="{133F6472-958F-48B9-9370-BF474CB2CD7A}"/>
    <cellStyle name="Ausgabe 3 3 59" xfId="28378" xr:uid="{EAD64453-7529-4971-8C7F-5FCB37626BCB}"/>
    <cellStyle name="Ausgabe 3 3 6" xfId="2222" xr:uid="{7930732B-3C54-42C5-ABDE-C8B45F0060C8}"/>
    <cellStyle name="Ausgabe 3 3 60" xfId="28846" xr:uid="{C2100A26-215E-4D25-B5AA-FB947670305F}"/>
    <cellStyle name="Ausgabe 3 3 61" xfId="29506" xr:uid="{B4238F1F-C98D-4826-8264-F6B0B644EE21}"/>
    <cellStyle name="Ausgabe 3 3 62" xfId="29636" xr:uid="{374AD260-3121-4F39-8637-FDA03DC41408}"/>
    <cellStyle name="Ausgabe 3 3 63" xfId="30044" xr:uid="{D02591AA-FA50-4DBF-844F-CA416E6DF22E}"/>
    <cellStyle name="Ausgabe 3 3 64" xfId="30458" xr:uid="{A1458B17-5969-4B3D-9EF1-A1BB986D1EAF}"/>
    <cellStyle name="Ausgabe 3 3 65" xfId="31010" xr:uid="{330DD9A5-270B-420A-89F3-557AE63ED549}"/>
    <cellStyle name="Ausgabe 3 3 66" xfId="31082" xr:uid="{94603E46-D1A1-4661-8D61-EE63ED651413}"/>
    <cellStyle name="Ausgabe 3 3 7" xfId="3237" xr:uid="{26339C0C-F948-46B0-9758-89DCEA0DB589}"/>
    <cellStyle name="Ausgabe 3 3 8" xfId="3856" xr:uid="{2B1AB6F9-7EE3-4E14-9952-B7A18AE658FB}"/>
    <cellStyle name="Ausgabe 3 3 9" xfId="4294" xr:uid="{1B24E26E-5314-434D-9FA5-F812DA9A7382}"/>
    <cellStyle name="Ausgabe 3 30" xfId="26697" xr:uid="{0AB1340B-DAB2-4010-9149-A2145CAA7894}"/>
    <cellStyle name="Ausgabe 3 31" xfId="28157" xr:uid="{B837DD5E-9DE1-412D-989F-ABEDF4715CDE}"/>
    <cellStyle name="Ausgabe 3 32" xfId="29310" xr:uid="{037470D4-6F0E-4026-8A6F-0FA7031DE8A8}"/>
    <cellStyle name="Ausgabe 3 33" xfId="30614" xr:uid="{C891A5F1-7D5C-430B-81F3-8CC7E4F93FEF}"/>
    <cellStyle name="Ausgabe 3 4" xfId="702" xr:uid="{AB9EF1A2-E152-4D94-A902-E9A5BD70B045}"/>
    <cellStyle name="Ausgabe 3 4 10" xfId="5350" xr:uid="{B93137BB-9DCF-4987-AE3B-2D0566104027}"/>
    <cellStyle name="Ausgabe 3 4 11" xfId="5943" xr:uid="{5399F8CE-3BE8-47CD-934D-74A2B452B248}"/>
    <cellStyle name="Ausgabe 3 4 12" xfId="5842" xr:uid="{884FA6AF-734F-4607-9359-599BF2AD396C}"/>
    <cellStyle name="Ausgabe 3 4 13" xfId="6054" xr:uid="{2AE5E3A3-3D49-44B4-95E6-4C45C1AB4A9D}"/>
    <cellStyle name="Ausgabe 3 4 14" xfId="7422" xr:uid="{CFFB5F58-45CC-4211-9B3D-97464BB9A3E8}"/>
    <cellStyle name="Ausgabe 3 4 15" xfId="7778" xr:uid="{BDE51A18-AE40-42F0-A00B-B44BBC73F1B4}"/>
    <cellStyle name="Ausgabe 3 4 16" xfId="8095" xr:uid="{C6DA4020-AF86-4CD3-929D-AE8E49938ADC}"/>
    <cellStyle name="Ausgabe 3 4 17" xfId="8899" xr:uid="{3E92489C-1D96-4C1A-9402-6EDE39FEBFA9}"/>
    <cellStyle name="Ausgabe 3 4 18" xfId="9636" xr:uid="{88FB521B-4D52-48E3-85E8-2C85CD58EA56}"/>
    <cellStyle name="Ausgabe 3 4 19" xfId="9991" xr:uid="{FAF3BC2B-6B7B-4D35-A6C5-CCBC87E0CFD5}"/>
    <cellStyle name="Ausgabe 3 4 2" xfId="1177" xr:uid="{1DC266F3-410A-44FA-ACF3-395E8074CC76}"/>
    <cellStyle name="Ausgabe 3 4 20" xfId="10416" xr:uid="{3DF5205B-E6AC-4135-AAFD-1EF139D8C6F0}"/>
    <cellStyle name="Ausgabe 3 4 21" xfId="10482" xr:uid="{578F766B-B9EF-4580-8C05-F0306672E0A1}"/>
    <cellStyle name="Ausgabe 3 4 22" xfId="11125" xr:uid="{4337876C-2622-41FA-9F1B-A6D5DD32843D}"/>
    <cellStyle name="Ausgabe 3 4 23" xfId="12055" xr:uid="{020A2B59-344D-40B5-9F2F-B86805C877E2}"/>
    <cellStyle name="Ausgabe 3 4 24" xfId="12528" xr:uid="{9D08F7ED-A717-422F-B16F-8EF9560FC8F9}"/>
    <cellStyle name="Ausgabe 3 4 25" xfId="12962" xr:uid="{F17D7151-4033-4206-8C0B-6F88F196CDC2}"/>
    <cellStyle name="Ausgabe 3 4 26" xfId="13399" xr:uid="{3CB5A0C3-D79C-4A8C-810A-3AA4E18A95E2}"/>
    <cellStyle name="Ausgabe 3 4 27" xfId="13658" xr:uid="{14A404A2-6135-42F6-A376-703FA7ED6E34}"/>
    <cellStyle name="Ausgabe 3 4 28" xfId="14328" xr:uid="{184199AF-0354-4BA7-B832-740D42B5C12B}"/>
    <cellStyle name="Ausgabe 3 4 29" xfId="14645" xr:uid="{4C02632E-1004-43D8-9036-386107358CFC}"/>
    <cellStyle name="Ausgabe 3 4 3" xfId="1366" xr:uid="{0F7FDD95-8394-4D27-A119-297F3067A016}"/>
    <cellStyle name="Ausgabe 3 4 30" xfId="15297" xr:uid="{B27F334C-31BB-492C-A8E3-CA99C3CC03CB}"/>
    <cellStyle name="Ausgabe 3 4 31" xfId="14560" xr:uid="{0583D93D-5C91-404B-973A-787E8E30B376}"/>
    <cellStyle name="Ausgabe 3 4 32" xfId="15847" xr:uid="{FE7D15DB-D619-49BC-8980-DC44CB6921C8}"/>
    <cellStyle name="Ausgabe 3 4 33" xfId="16747" xr:uid="{015E8E38-54B2-400C-9120-431F6EDA12AB}"/>
    <cellStyle name="Ausgabe 3 4 34" xfId="17107" xr:uid="{04A322E1-820D-452E-8399-CC89F468244A}"/>
    <cellStyle name="Ausgabe 3 4 35" xfId="17554" xr:uid="{040E5BA1-C078-4930-9CBA-0886EF5C5E1D}"/>
    <cellStyle name="Ausgabe 3 4 36" xfId="16252" xr:uid="{579BB4EB-F627-4BDC-871A-BFE835C4DB23}"/>
    <cellStyle name="Ausgabe 3 4 37" xfId="18565" xr:uid="{1192FF7F-81C8-4BCA-A5E6-136F790ED14E}"/>
    <cellStyle name="Ausgabe 3 4 38" xfId="18341" xr:uid="{30940BFE-DD55-4F24-9091-DEBA0E2166F2}"/>
    <cellStyle name="Ausgabe 3 4 39" xfId="19106" xr:uid="{11FE77E2-A4A4-4ADB-9D9C-85CEFF9050D8}"/>
    <cellStyle name="Ausgabe 3 4 4" xfId="2524" xr:uid="{12C411E1-7C00-4011-8EC9-0735C0A58375}"/>
    <cellStyle name="Ausgabe 3 4 40" xfId="20084" xr:uid="{0F6B9064-871D-429B-9464-BB402A586C17}"/>
    <cellStyle name="Ausgabe 3 4 41" xfId="20460" xr:uid="{4F2B40C2-853A-4A3F-908B-D2C3AAFF9541}"/>
    <cellStyle name="Ausgabe 3 4 42" xfId="20913" xr:uid="{8613C90D-AF7E-49C0-8278-ED13863FE14B}"/>
    <cellStyle name="Ausgabe 3 4 43" xfId="21416" xr:uid="{DE294266-CB0B-4C81-9DBB-D966EE4C42D1}"/>
    <cellStyle name="Ausgabe 3 4 44" xfId="21842" xr:uid="{0D51346A-B5B1-4BC6-8243-BD9D071355B4}"/>
    <cellStyle name="Ausgabe 3 4 45" xfId="22279" xr:uid="{B3C40B36-0DF0-49E1-BB6D-CDFDA217765F}"/>
    <cellStyle name="Ausgabe 3 4 46" xfId="22661" xr:uid="{C90B2C94-6285-4636-ACF6-8D151313A912}"/>
    <cellStyle name="Ausgabe 3 4 47" xfId="23005" xr:uid="{10A3D513-F99E-48A6-B67B-64D28641368E}"/>
    <cellStyle name="Ausgabe 3 4 48" xfId="23551" xr:uid="{E547EF28-5F9E-4187-8C3F-A2C963230E70}"/>
    <cellStyle name="Ausgabe 3 4 49" xfId="23885" xr:uid="{0E6FD4B1-2BBC-4562-BB5B-7EE239BCEC95}"/>
    <cellStyle name="Ausgabe 3 4 5" xfId="2824" xr:uid="{F15602F6-C4D3-439F-ABB4-E1D831C4FF5A}"/>
    <cellStyle name="Ausgabe 3 4 50" xfId="24792" xr:uid="{F1C7619C-BF02-4265-A61E-D3D2A85DDE2C}"/>
    <cellStyle name="Ausgabe 3 4 51" xfId="25168" xr:uid="{4A77853F-6A2F-4FBD-A9DA-D1FB875D5AB3}"/>
    <cellStyle name="Ausgabe 3 4 52" xfId="25708" xr:uid="{BED834F8-ABA0-471B-A057-49C1B56F56E5}"/>
    <cellStyle name="Ausgabe 3 4 53" xfId="25964" xr:uid="{9EAFD07E-ACC7-4288-B38F-E8675E6F446A}"/>
    <cellStyle name="Ausgabe 3 4 54" xfId="26296" xr:uid="{3E088D52-3BE2-4229-B15F-74CBD3DA0532}"/>
    <cellStyle name="Ausgabe 3 4 55" xfId="26996" xr:uid="{474AA66B-B194-463A-B0BB-D06839C3CA61}"/>
    <cellStyle name="Ausgabe 3 4 56" xfId="27415" xr:uid="{258B79FB-BBDB-4425-AE4E-F30B3A12B91A}"/>
    <cellStyle name="Ausgabe 3 4 57" xfId="27675" xr:uid="{04305081-0A76-4713-92A4-570FEE03516D}"/>
    <cellStyle name="Ausgabe 3 4 58" xfId="28542" xr:uid="{2DDEED14-AEFC-4FC8-9E8C-6C1170E11063}"/>
    <cellStyle name="Ausgabe 3 4 59" xfId="29009" xr:uid="{81C1175C-0C1E-4924-B6F3-AFB824C2D1CA}"/>
    <cellStyle name="Ausgabe 3 4 6" xfId="3026" xr:uid="{BC558930-0150-43FB-8793-33C5D39D7D40}"/>
    <cellStyle name="Ausgabe 3 4 60" xfId="29315" xr:uid="{A1FB059F-AEEB-4E46-8A93-D7E59C8F1004}"/>
    <cellStyle name="Ausgabe 3 4 61" xfId="29799" xr:uid="{FF0CFD9B-8A95-4C64-BDA3-F7828B134984}"/>
    <cellStyle name="Ausgabe 3 4 62" xfId="30205" xr:uid="{35797489-ADE1-4A06-92B9-FF436B859E5A}"/>
    <cellStyle name="Ausgabe 3 4 63" xfId="30621" xr:uid="{EF70BFA5-76AF-45CB-BB04-D870618DE1EB}"/>
    <cellStyle name="Ausgabe 3 4 64" xfId="30882" xr:uid="{0B0457F0-8C5C-41E0-B4D7-57FDDA16B648}"/>
    <cellStyle name="Ausgabe 3 4 65" xfId="31238" xr:uid="{5337D6AB-FF57-4718-A710-5A55E8967375}"/>
    <cellStyle name="Ausgabe 3 4 7" xfId="4020" xr:uid="{9A3AD752-5151-4D64-956B-D271DDBF43A7}"/>
    <cellStyle name="Ausgabe 3 4 8" xfId="4457" xr:uid="{63C451AC-43CE-4452-9B14-4C36723AEA80}"/>
    <cellStyle name="Ausgabe 3 4 9" xfId="4886" xr:uid="{F5694821-C13B-4E5F-B9D4-9AC4D6783181}"/>
    <cellStyle name="Ausgabe 3 5" xfId="957" xr:uid="{43695D05-0ECB-4FF6-95FA-F30D403D53EA}"/>
    <cellStyle name="Ausgabe 3 6" xfId="2106" xr:uid="{F833F242-7F1D-4A5F-97B6-710DAB5E7F53}"/>
    <cellStyle name="Ausgabe 3 7" xfId="2951" xr:uid="{1B359591-B0B2-41F7-8FF3-4B586E29D3A1}"/>
    <cellStyle name="Ausgabe 3 8" xfId="1931" xr:uid="{4D27FEE0-E532-4BBD-89A6-02F0764AD9EB}"/>
    <cellStyle name="Ausgabe 3 9" xfId="3406" xr:uid="{248C9BE4-5861-400A-9139-E05681314160}"/>
    <cellStyle name="Ausgabe 4" xfId="543" xr:uid="{E62A1933-D046-4FB4-AFC9-5D7954E4636B}"/>
    <cellStyle name="Ausgabe 4 10" xfId="4879" xr:uid="{B67DAED9-7E19-4A8C-AB11-72E5D467A08D}"/>
    <cellStyle name="Ausgabe 4 11" xfId="5191" xr:uid="{60B1D90C-5AF0-49E3-B661-C9E7B784274F}"/>
    <cellStyle name="Ausgabe 4 12" xfId="5711" xr:uid="{78AA1795-9193-49F1-983A-EE60763617E2}"/>
    <cellStyle name="Ausgabe 4 13" xfId="6126" xr:uid="{D63B2D92-C45B-4D29-A072-2197BE036EEB}"/>
    <cellStyle name="Ausgabe 4 14" xfId="6582" xr:uid="{184A1BA4-987A-4129-A339-01DEB3A856B3}"/>
    <cellStyle name="Ausgabe 4 15" xfId="7263" xr:uid="{AFD0B7BF-70CE-4019-82FE-7FFC8C2AA864}"/>
    <cellStyle name="Ausgabe 4 16" xfId="7750" xr:uid="{6A3B1AE8-89D4-4D13-A262-9F5C8A6817EA}"/>
    <cellStyle name="Ausgabe 4 17" xfId="8580" xr:uid="{1ED82B86-4B02-463D-8201-DBAE34DB874F}"/>
    <cellStyle name="Ausgabe 4 18" xfId="8751" xr:uid="{7FCE9047-B1AF-4078-B9DF-09CB9A70D728}"/>
    <cellStyle name="Ausgabe 4 19" xfId="9477" xr:uid="{C5777C0F-BD65-4EBC-853C-4C3C83738DC2}"/>
    <cellStyle name="Ausgabe 4 2" xfId="758" xr:uid="{0CB58EB2-2250-4817-AB36-177B219E3AFD}"/>
    <cellStyle name="Ausgabe 4 2 10" xfId="5406" xr:uid="{BD566FE0-4F51-494E-8C71-D4C165B5070B}"/>
    <cellStyle name="Ausgabe 4 2 11" xfId="2841" xr:uid="{928A7BD8-E6E4-40C8-90E6-9D97597E79C4}"/>
    <cellStyle name="Ausgabe 4 2 12" xfId="4707" xr:uid="{48AB0A7E-6D09-4CA3-BCAF-6F4D1A7D0924}"/>
    <cellStyle name="Ausgabe 4 2 13" xfId="6396" xr:uid="{5A6FE049-8D2F-460C-9791-3D2F4E1579E6}"/>
    <cellStyle name="Ausgabe 4 2 14" xfId="7478" xr:uid="{8B145B02-B694-4569-BD32-7A0307FECAD8}"/>
    <cellStyle name="Ausgabe 4 2 15" xfId="6986" xr:uid="{5B0B7DCE-8074-4F72-9356-58134862237A}"/>
    <cellStyle name="Ausgabe 4 2 16" xfId="8115" xr:uid="{7489DAF6-4CE1-4657-BB52-73E5275A5C4F}"/>
    <cellStyle name="Ausgabe 4 2 17" xfId="6934" xr:uid="{E0227A6C-944E-4466-9628-1B33377A13F0}"/>
    <cellStyle name="Ausgabe 4 2 18" xfId="9692" xr:uid="{F4914008-B27F-4FE2-81AC-F6C52ED8D13E}"/>
    <cellStyle name="Ausgabe 4 2 19" xfId="9327" xr:uid="{52E0AB6B-9050-4BBA-8D42-F7DEF2B011C1}"/>
    <cellStyle name="Ausgabe 4 2 2" xfId="1232" xr:uid="{F38B7453-28B5-446E-AE98-28DE58721883}"/>
    <cellStyle name="Ausgabe 4 2 20" xfId="9330" xr:uid="{47639CE4-838F-4ECD-B8CF-CAB966E7AE7D}"/>
    <cellStyle name="Ausgabe 4 2 21" xfId="10153" xr:uid="{0A5AA2CE-297D-4059-8FF6-59CEB45145B0}"/>
    <cellStyle name="Ausgabe 4 2 22" xfId="10792" xr:uid="{7CDAC425-10E3-4983-BE4A-B9BE76BBEA4E}"/>
    <cellStyle name="Ausgabe 4 2 23" xfId="12111" xr:uid="{A3E70F01-B5BC-4CF3-841C-5D2F37BBD9CA}"/>
    <cellStyle name="Ausgabe 4 2 24" xfId="12584" xr:uid="{8C141B5D-1128-4A7A-9FFF-8F8C8EB3B685}"/>
    <cellStyle name="Ausgabe 4 2 25" xfId="13018" xr:uid="{4E6881B9-05FD-4B83-A1D8-14EAF887B647}"/>
    <cellStyle name="Ausgabe 4 2 26" xfId="13455" xr:uid="{7A9F2547-EEA1-456A-B8D8-77C559DB4DA4}"/>
    <cellStyle name="Ausgabe 4 2 27" xfId="11385" xr:uid="{599C1A70-FF21-496F-A24F-DF6AA1200A23}"/>
    <cellStyle name="Ausgabe 4 2 28" xfId="13691" xr:uid="{36FB21C5-D82D-4426-A9E8-BA4E0C5C9417}"/>
    <cellStyle name="Ausgabe 4 2 29" xfId="14076" xr:uid="{C842C140-AB37-4E85-8201-EC78973A4548}"/>
    <cellStyle name="Ausgabe 4 2 3" xfId="1471" xr:uid="{414140AC-26B7-491D-BD15-FABD305DEAE1}"/>
    <cellStyle name="Ausgabe 4 2 30" xfId="15178" xr:uid="{80AE05B6-49E0-4D66-8699-60417377F82E}"/>
    <cellStyle name="Ausgabe 4 2 31" xfId="14885" xr:uid="{E06DF1B4-24CB-46CA-B40A-C1E79678F4E8}"/>
    <cellStyle name="Ausgabe 4 2 32" xfId="14373" xr:uid="{F64E34C3-109D-4DE9-BC66-6580A2615951}"/>
    <cellStyle name="Ausgabe 4 2 33" xfId="16803" xr:uid="{CFD43733-018E-426B-971E-FC71174124CE}"/>
    <cellStyle name="Ausgabe 4 2 34" xfId="16306" xr:uid="{592EAEA2-AEE2-4BF5-90C8-46A38AF058BA}"/>
    <cellStyle name="Ausgabe 4 2 35" xfId="16990" xr:uid="{F5A1F404-B833-44F9-B3F2-EE9EFF16C295}"/>
    <cellStyle name="Ausgabe 4 2 36" xfId="17878" xr:uid="{2720F3E9-DB4E-4CEA-B431-08D4AA5D771B}"/>
    <cellStyle name="Ausgabe 4 2 37" xfId="18621" xr:uid="{9E896FF7-2C91-4B14-AF68-1D16322539E2}"/>
    <cellStyle name="Ausgabe 4 2 38" xfId="18373" xr:uid="{49674CCE-96E0-4C4D-8BBB-35C5EA2756B5}"/>
    <cellStyle name="Ausgabe 4 2 39" xfId="18759" xr:uid="{96DCFE24-BDBF-4432-A3BA-1E923F68085B}"/>
    <cellStyle name="Ausgabe 4 2 4" xfId="2580" xr:uid="{59AF8D22-2AAE-4E98-93EF-4010A4E27131}"/>
    <cellStyle name="Ausgabe 4 2 40" xfId="20140" xr:uid="{BD376B3C-F165-40D7-B5ED-95BFC70915AE}"/>
    <cellStyle name="Ausgabe 4 2 41" xfId="19784" xr:uid="{350EC6F1-B284-4F0B-8276-D9EF400386EB}"/>
    <cellStyle name="Ausgabe 4 2 42" xfId="19487" xr:uid="{D4A460EA-F8E1-4987-AD2A-A51C2805DE8E}"/>
    <cellStyle name="Ausgabe 4 2 43" xfId="20822" xr:uid="{BF0CEEC1-C7DB-47B4-BFD5-8FDA2EA04B6B}"/>
    <cellStyle name="Ausgabe 4 2 44" xfId="21443" xr:uid="{D1A6DECF-4886-4784-9119-21E7E976D8FC}"/>
    <cellStyle name="Ausgabe 4 2 45" xfId="21673" xr:uid="{727C4154-8C92-456B-8333-84244220302C}"/>
    <cellStyle name="Ausgabe 4 2 46" xfId="22176" xr:uid="{A447D13D-6CBA-4096-AEE2-DE3F3B2C8FEA}"/>
    <cellStyle name="Ausgabe 4 2 47" xfId="22840" xr:uid="{9D9286C6-5D14-4CCF-832C-65E196D6A2A2}"/>
    <cellStyle name="Ausgabe 4 2 48" xfId="22812" xr:uid="{841309E3-29D1-4AE9-B673-493520E35103}"/>
    <cellStyle name="Ausgabe 4 2 49" xfId="23940" xr:uid="{10165E29-8CEA-4513-B913-008DDE227CA1}"/>
    <cellStyle name="Ausgabe 4 2 5" xfId="2065" xr:uid="{1E308235-0F51-40EF-97B4-43B165BBA182}"/>
    <cellStyle name="Ausgabe 4 2 50" xfId="24848" xr:uid="{9E2543E3-BF6E-48E9-81D2-1FBB17812227}"/>
    <cellStyle name="Ausgabe 4 2 51" xfId="24197" xr:uid="{0F2491D5-1DBA-441E-8680-10291A7C50CB}"/>
    <cellStyle name="Ausgabe 4 2 52" xfId="25764" xr:uid="{A9D2172F-D689-4721-ACE5-F9012F1E86A9}"/>
    <cellStyle name="Ausgabe 4 2 53" xfId="25293" xr:uid="{60A77C6A-174B-47D8-A4DC-08507E16E740}"/>
    <cellStyle name="Ausgabe 4 2 54" xfId="26650" xr:uid="{4201B68F-2A44-4EEC-A5D4-AD1FF3F8942C}"/>
    <cellStyle name="Ausgabe 4 2 55" xfId="27052" xr:uid="{C1DE8A4F-CECC-4A6A-B441-C99FFC3F26E6}"/>
    <cellStyle name="Ausgabe 4 2 56" xfId="27471" xr:uid="{034F4133-16E5-40FF-889C-3EBDD1AC8060}"/>
    <cellStyle name="Ausgabe 4 2 57" xfId="24195" xr:uid="{4607BC47-F750-4A38-A8BE-F83EDF02131E}"/>
    <cellStyle name="Ausgabe 4 2 58" xfId="28598" xr:uid="{CB6F34FD-50AF-481C-AA89-1CFD1884FEC9}"/>
    <cellStyle name="Ausgabe 4 2 59" xfId="29065" xr:uid="{5063F546-EF77-4208-B804-E93807B93D95}"/>
    <cellStyle name="Ausgabe 4 2 6" xfId="3545" xr:uid="{AF793221-8A8D-4C01-98CB-2E269A2F1081}"/>
    <cellStyle name="Ausgabe 4 2 60" xfId="28165" xr:uid="{F7FE4D04-3A5C-4DF7-90CE-11EB9CFD819F}"/>
    <cellStyle name="Ausgabe 4 2 61" xfId="29854" xr:uid="{CC3C1DD7-1B2D-428D-87EC-A2D42FDD173D}"/>
    <cellStyle name="Ausgabe 4 2 62" xfId="30260" xr:uid="{911B11CD-D05C-442E-987F-80D0CC2A8846}"/>
    <cellStyle name="Ausgabe 4 2 63" xfId="30677" xr:uid="{5A875583-4CA3-4DC4-9382-21EC9323D9DB}"/>
    <cellStyle name="Ausgabe 4 2 64" xfId="29597" xr:uid="{A3484F23-23D4-4A81-A407-50FF136E0B1A}"/>
    <cellStyle name="Ausgabe 4 2 65" xfId="31293" xr:uid="{8066A950-4BFD-4094-A456-9DE9C529E3A2}"/>
    <cellStyle name="Ausgabe 4 2 7" xfId="4076" xr:uid="{A621A6DC-D60C-439F-A77D-6C9A0AD22B08}"/>
    <cellStyle name="Ausgabe 4 2 8" xfId="4513" xr:uid="{CBB67C7C-8927-4682-95BE-D215BC9143EC}"/>
    <cellStyle name="Ausgabe 4 2 9" xfId="2116" xr:uid="{1CA05AD2-5302-4CBC-97A6-C61EA9FFD38A}"/>
    <cellStyle name="Ausgabe 4 20" xfId="9964" xr:uid="{0ABAA406-7E13-442E-BBA7-A06C0760A656}"/>
    <cellStyle name="Ausgabe 4 21" xfId="10392" xr:uid="{4F5FB523-8FC4-4C1F-9D5F-D42A274D1FAF}"/>
    <cellStyle name="Ausgabe 4 22" xfId="10468" xr:uid="{B9094E3F-F7FB-49C7-A94B-B89414862363}"/>
    <cellStyle name="Ausgabe 4 23" xfId="10659" xr:uid="{300BFB63-47F1-4D1C-B8B8-4367804202F9}"/>
    <cellStyle name="Ausgabe 4 24" xfId="11896" xr:uid="{86926618-BFB5-4A56-83B4-AA40B9374033}"/>
    <cellStyle name="Ausgabe 4 25" xfId="12369" xr:uid="{680C18F2-1038-45E6-82BE-D1EBE6F3B3BC}"/>
    <cellStyle name="Ausgabe 4 26" xfId="12803" xr:uid="{D6A0F0C0-F2C2-463F-8444-0F9EAFDCDE4F}"/>
    <cellStyle name="Ausgabe 4 27" xfId="13240" xr:uid="{C423FE56-FDB0-4F6A-BE23-2373B45BAD58}"/>
    <cellStyle name="Ausgabe 4 28" xfId="11781" xr:uid="{6513170D-332B-4A82-8304-01D6581121A3}"/>
    <cellStyle name="Ausgabe 4 29" xfId="14337" xr:uid="{04774C0E-F195-4B75-93BF-5B5E45729CE0}"/>
    <cellStyle name="Ausgabe 4 3" xfId="1026" xr:uid="{F7424BFD-7F0C-429C-A2B1-B5802F2E3337}"/>
    <cellStyle name="Ausgabe 4 30" xfId="14563" xr:uid="{50C0F4E3-D3D0-473D-8877-BFBD99D04C6A}"/>
    <cellStyle name="Ausgabe 4 31" xfId="15041" xr:uid="{020BD062-DD66-43CD-9BE3-54BAC86E1DDF}"/>
    <cellStyle name="Ausgabe 4 32" xfId="14545" xr:uid="{09BC62E4-8059-46A0-87A9-803CC57733EB}"/>
    <cellStyle name="Ausgabe 4 33" xfId="15834" xr:uid="{3096F0AF-A15C-49BB-BC97-970FE9282F08}"/>
    <cellStyle name="Ausgabe 4 34" xfId="16588" xr:uid="{A04361CF-9ED9-4633-A2FE-4C928217B882}"/>
    <cellStyle name="Ausgabe 4 35" xfId="17079" xr:uid="{9F630D8F-BC28-4AB7-9454-2946F8BF5032}"/>
    <cellStyle name="Ausgabe 4 36" xfId="17526" xr:uid="{A081F38B-5969-4C19-A7FB-BB3583DAAD1A}"/>
    <cellStyle name="Ausgabe 4 37" xfId="18237" xr:uid="{31F0A267-071D-47FF-93C6-1E649CBC154C}"/>
    <cellStyle name="Ausgabe 4 38" xfId="18406" xr:uid="{EBD44400-23BE-488D-A32A-01B34B3E2C2E}"/>
    <cellStyle name="Ausgabe 4 39" xfId="18849" xr:uid="{4A1FDCEF-350B-4E2A-B4A8-BF0B5E54EFDE}"/>
    <cellStyle name="Ausgabe 4 4" xfId="1655" xr:uid="{7D5FAF7A-F043-446C-8248-6B5D14403C25}"/>
    <cellStyle name="Ausgabe 4 40" xfId="19118" xr:uid="{A9AD91E1-4A83-4E58-A8C1-0056CE17487B}"/>
    <cellStyle name="Ausgabe 4 41" xfId="19925" xr:uid="{38AAF8EC-02B2-4384-AAED-BCFB1AE2C2E7}"/>
    <cellStyle name="Ausgabe 4 42" xfId="20432" xr:uid="{05A7C5B8-0155-43F9-83B8-CC0F3DB1453A}"/>
    <cellStyle name="Ausgabe 4 43" xfId="20884" xr:uid="{F6C62526-8AAE-455E-A40E-8A4C67EA11E8}"/>
    <cellStyle name="Ausgabe 4 44" xfId="21552" xr:uid="{FA48DD0D-8107-4E44-B0BA-9821C124EF3C}"/>
    <cellStyle name="Ausgabe 4 45" xfId="21816" xr:uid="{CDA5FA90-8667-451E-A664-99ADE9045E69}"/>
    <cellStyle name="Ausgabe 4 46" xfId="22250" xr:uid="{F7477013-8E99-488A-9CB5-6BF1D1898805}"/>
    <cellStyle name="Ausgabe 4 47" xfId="21846" xr:uid="{1F506E92-47A1-43CC-A06C-980C7D4881B6}"/>
    <cellStyle name="Ausgabe 4 48" xfId="23125" xr:uid="{69AACF2D-9011-4630-9650-EE6BEDED037C}"/>
    <cellStyle name="Ausgabe 4 49" xfId="23392" xr:uid="{5C513B7A-6510-447D-BC6E-7C88A2D194BB}"/>
    <cellStyle name="Ausgabe 4 5" xfId="2365" xr:uid="{B8A5E1D8-6B35-4814-BC95-060CD8CA6106}"/>
    <cellStyle name="Ausgabe 4 50" xfId="23734" xr:uid="{19C8D605-30D2-4110-893C-E548D335D63C}"/>
    <cellStyle name="Ausgabe 4 51" xfId="24633" xr:uid="{3744AA99-368D-4E00-A9F2-E417CFE517D2}"/>
    <cellStyle name="Ausgabe 4 52" xfId="25139" xr:uid="{28F454AC-30DB-4F28-82D4-E98B0B5249C9}"/>
    <cellStyle name="Ausgabe 4 53" xfId="25551" xr:uid="{CE825238-B686-49A4-B02A-D4A4C26C4A20}"/>
    <cellStyle name="Ausgabe 4 54" xfId="25195" xr:uid="{030D1F45-3D36-43C1-BEBD-ACB00919D36B}"/>
    <cellStyle name="Ausgabe 4 55" xfId="24275" xr:uid="{78055E89-2CA8-49F6-BC47-C22B6192F369}"/>
    <cellStyle name="Ausgabe 4 56" xfId="26841" xr:uid="{B362C731-D966-4EE8-A840-A923F22CC3E6}"/>
    <cellStyle name="Ausgabe 4 57" xfId="27260" xr:uid="{9325848F-C01C-40A4-9AF7-F260B2791FE6}"/>
    <cellStyle name="Ausgabe 4 58" xfId="27637" xr:uid="{7597C637-CEB5-4F7F-AFD2-7924B3704731}"/>
    <cellStyle name="Ausgabe 4 59" xfId="28383" xr:uid="{BB59A458-0092-4035-BB1B-B90B83C30B18}"/>
    <cellStyle name="Ausgabe 4 6" xfId="2282" xr:uid="{0B76BEC0-3DF0-4745-951C-BE7D55FF5E20}"/>
    <cellStyle name="Ausgabe 4 60" xfId="28851" xr:uid="{033B3D9F-89DB-425E-8932-AC23C17D1E7E}"/>
    <cellStyle name="Ausgabe 4 61" xfId="29291" xr:uid="{50906CAC-F5E7-417C-B6FA-81FC582432E7}"/>
    <cellStyle name="Ausgabe 4 62" xfId="29641" xr:uid="{4D5F7FA2-CC2C-44C2-8F01-C5F8FB57CEA8}"/>
    <cellStyle name="Ausgabe 4 63" xfId="30049" xr:uid="{06504880-C3B8-4DEF-84DF-D7B45DF6D94B}"/>
    <cellStyle name="Ausgabe 4 64" xfId="30463" xr:uid="{13CBBD06-FE61-4BEF-A9B9-6CAA64D21767}"/>
    <cellStyle name="Ausgabe 4 65" xfId="29011" xr:uid="{69A76D6B-20FF-4B6A-8672-D43EF0672652}"/>
    <cellStyle name="Ausgabe 4 66" xfId="31087" xr:uid="{CFCEC94D-4E58-4E47-A510-F6BA9E46A22C}"/>
    <cellStyle name="Ausgabe 4 7" xfId="2955" xr:uid="{51D5341E-8BD5-415D-B952-DD8895145A79}"/>
    <cellStyle name="Ausgabe 4 8" xfId="3861" xr:uid="{279919B5-98AA-4EB0-A1BA-F661F82C30F0}"/>
    <cellStyle name="Ausgabe 4 9" xfId="4299" xr:uid="{ECFAB046-FA36-493C-86BF-2F1D3BF9EAEF}"/>
    <cellStyle name="Ausgabe 5" xfId="662" xr:uid="{D12FAF26-20F4-4038-8544-F5116A0CF33C}"/>
    <cellStyle name="Ausgabe 5 10" xfId="4915" xr:uid="{90B18884-E152-4867-BA49-08F6912D71FC}"/>
    <cellStyle name="Ausgabe 5 11" xfId="5310" xr:uid="{38C0C900-9B34-49BF-B134-3F00935F2731}"/>
    <cellStyle name="Ausgabe 5 12" xfId="4869" xr:uid="{D6ABBB0D-7E57-4C07-8191-CDAD164188DE}"/>
    <cellStyle name="Ausgabe 5 13" xfId="6115" xr:uid="{49EF77E1-DE80-4062-A157-CE0922F2441F}"/>
    <cellStyle name="Ausgabe 5 14" xfId="6453" xr:uid="{A75BB2F9-7EF4-4C2B-90B0-5D4CF2261894}"/>
    <cellStyle name="Ausgabe 5 15" xfId="7382" xr:uid="{ABFDDDA0-948B-49D1-87F0-AEE4B0DBAB19}"/>
    <cellStyle name="Ausgabe 5 16" xfId="7783" xr:uid="{0E0D0BB8-8829-4B37-A9A5-241385181F5C}"/>
    <cellStyle name="Ausgabe 5 17" xfId="8499" xr:uid="{7A11B35C-0FF1-48F3-802C-8C8CA3306E22}"/>
    <cellStyle name="Ausgabe 5 18" xfId="8739" xr:uid="{BF56C97F-8100-4943-B816-05A3107B2274}"/>
    <cellStyle name="Ausgabe 5 19" xfId="9596" xr:uid="{E860EF54-6747-464B-A00E-D2F9B51F0567}"/>
    <cellStyle name="Ausgabe 5 2" xfId="877" xr:uid="{07A57343-F369-48A6-B15A-A7988BEFFF07}"/>
    <cellStyle name="Ausgabe 5 2 10" xfId="5525" xr:uid="{2AB5F647-4FDB-47F2-8BCC-91A093FB313F}"/>
    <cellStyle name="Ausgabe 5 2 11" xfId="6019" xr:uid="{F39D4475-1B47-4DC8-AEAA-535B7E428BA6}"/>
    <cellStyle name="Ausgabe 5 2 12" xfId="6378" xr:uid="{5EB4B2EA-E960-4C27-84F5-26B8C75FCE2C}"/>
    <cellStyle name="Ausgabe 5 2 13" xfId="6716" xr:uid="{16DF99D6-7893-42ED-A601-09291350FD5C}"/>
    <cellStyle name="Ausgabe 5 2 14" xfId="7597" xr:uid="{1B6F06DD-A173-49A7-B279-F1287F066BE6}"/>
    <cellStyle name="Ausgabe 5 2 15" xfId="8061" xr:uid="{2E830411-B4DE-45C3-9147-1603C6EAB1F7}"/>
    <cellStyle name="Ausgabe 5 2 16" xfId="8670" xr:uid="{DA8A2B3D-96AA-42CA-A2F0-0DCA6990251F}"/>
    <cellStyle name="Ausgabe 5 2 17" xfId="8929" xr:uid="{25A1A942-D47D-49D9-A918-FAE237E81406}"/>
    <cellStyle name="Ausgabe 5 2 18" xfId="9811" xr:uid="{D25E87F3-C711-4138-AEFD-CD54D454C09E}"/>
    <cellStyle name="Ausgabe 5 2 19" xfId="10280" xr:uid="{A5F7068E-4510-4CD1-B9D9-0A5D1EB27972}"/>
    <cellStyle name="Ausgabe 5 2 2" xfId="1351" xr:uid="{96641EB0-FA0D-4371-B82A-507110893D99}"/>
    <cellStyle name="Ausgabe 5 2 20" xfId="10674" xr:uid="{89D1E755-80FE-419D-95DC-1EF4237888C2}"/>
    <cellStyle name="Ausgabe 5 2 21" xfId="11023" xr:uid="{84B31813-CFA5-44CE-B20F-8CAC737253F8}"/>
    <cellStyle name="Ausgabe 5 2 22" xfId="11333" xr:uid="{91403CDF-64EF-4C80-901A-484BAF68FFEA}"/>
    <cellStyle name="Ausgabe 5 2 23" xfId="12230" xr:uid="{FA3F9DD1-2ACE-4B43-8787-123D1E57372E}"/>
    <cellStyle name="Ausgabe 5 2 24" xfId="12703" xr:uid="{1953E4B3-7705-492C-A721-078B22FCFFDD}"/>
    <cellStyle name="Ausgabe 5 2 25" xfId="13137" xr:uid="{FD11D385-6482-4C60-B242-31B796DDC245}"/>
    <cellStyle name="Ausgabe 5 2 26" xfId="13574" xr:uid="{71E34DD9-EF22-41F7-AB39-4AFEED1C4C2C}"/>
    <cellStyle name="Ausgabe 5 2 27" xfId="14046" xr:uid="{40936F49-3A32-4F2F-92FF-2F0C8E7D7E1A}"/>
    <cellStyle name="Ausgabe 5 2 28" xfId="14493" xr:uid="{2BDCCF1C-5C39-41CD-9977-6463AA82C58B}"/>
    <cellStyle name="Ausgabe 5 2 29" xfId="14927" xr:uid="{0C255E66-8E9E-451D-81D9-CAE00A3E4DE0}"/>
    <cellStyle name="Ausgabe 5 2 3" xfId="1800" xr:uid="{A708605B-6813-4C9D-B8C8-8A9061933EEE}"/>
    <cellStyle name="Ausgabe 5 2 30" xfId="15397" xr:uid="{6F056063-A656-4A2F-91D8-31379057AE65}"/>
    <cellStyle name="Ausgabe 5 2 31" xfId="15787" xr:uid="{A5925178-C47C-4FD7-BB90-A88D23B8D1AC}"/>
    <cellStyle name="Ausgabe 5 2 32" xfId="16009" xr:uid="{CC0AF1E4-EC9C-4972-AA0D-A6540FCCCF6F}"/>
    <cellStyle name="Ausgabe 5 2 33" xfId="16922" xr:uid="{A58ABC03-C970-43F4-A9D5-25D64FED60AE}"/>
    <cellStyle name="Ausgabe 5 2 34" xfId="17403" xr:uid="{C7873092-954D-4C76-B154-C06F1C9CA2FD}"/>
    <cellStyle name="Ausgabe 5 2 35" xfId="17844" xr:uid="{5E5CA810-F1ED-4E3F-BFAF-2E6FC13D2CE0}"/>
    <cellStyle name="Ausgabe 5 2 36" xfId="18319" xr:uid="{11789421-8558-4ACB-B614-8519428B8255}"/>
    <cellStyle name="Ausgabe 5 2 37" xfId="18740" xr:uid="{CC9A760B-719E-4EFC-81ED-6F97800FFEB5}"/>
    <cellStyle name="Ausgabe 5 2 38" xfId="19127" xr:uid="{A35DCCB0-C846-4A04-A090-270B5593D734}"/>
    <cellStyle name="Ausgabe 5 2 39" xfId="19357" xr:uid="{85FE04D5-096E-475D-9474-F64AD3960C90}"/>
    <cellStyle name="Ausgabe 5 2 4" xfId="2699" xr:uid="{D15324AC-7E5C-4FD2-B8C3-C000795ACC34}"/>
    <cellStyle name="Ausgabe 5 2 40" xfId="20259" xr:uid="{3E551529-FCD0-4CDF-8ABD-7B0978E60898}"/>
    <cellStyle name="Ausgabe 5 2 41" xfId="20752" xr:uid="{DF099DF0-ACA4-4915-B1D4-C4C77193AE3E}"/>
    <cellStyle name="Ausgabe 5 2 42" xfId="21211" xr:uid="{646119BB-AE54-4877-916C-FAC7F5A27985}"/>
    <cellStyle name="Ausgabe 5 2 43" xfId="21703" xr:uid="{2775DB91-8D71-4F9C-B315-F23A34691F9E}"/>
    <cellStyle name="Ausgabe 5 2 44" xfId="22142" xr:uid="{D1EBBC12-A7A9-49F5-B7E8-1E74385356FE}"/>
    <cellStyle name="Ausgabe 5 2 45" xfId="22569" xr:uid="{F8A738B9-1B0A-4EB0-B9E0-A8D5E434A66D}"/>
    <cellStyle name="Ausgabe 5 2 46" xfId="23014" xr:uid="{AA29DF6D-9792-4B15-BCE3-5CCB02704400}"/>
    <cellStyle name="Ausgabe 5 2 47" xfId="23416" xr:uid="{CED7B965-AED0-4F85-8501-152DEF8B0CD8}"/>
    <cellStyle name="Ausgabe 5 2 48" xfId="23679" xr:uid="{0FBBF4F0-F7E2-4762-9E02-2C823E48A68F}"/>
    <cellStyle name="Ausgabe 5 2 49" xfId="24059" xr:uid="{7D027C66-918D-4281-9521-EC7E9A3BA334}"/>
    <cellStyle name="Ausgabe 5 2 5" xfId="3219" xr:uid="{F0C18DFB-4EF0-49F2-93B5-067DBCA33B89}"/>
    <cellStyle name="Ausgabe 5 2 50" xfId="24967" xr:uid="{20F40023-725D-4354-B302-AD798BAD5B84}"/>
    <cellStyle name="Ausgabe 5 2 51" xfId="25455" xr:uid="{5658734B-F6D8-4663-AA3C-9753862086A7}"/>
    <cellStyle name="Ausgabe 5 2 52" xfId="25883" xr:uid="{2FE65F44-67CD-4720-A011-562E9980162B}"/>
    <cellStyle name="Ausgabe 5 2 53" xfId="26321" xr:uid="{E6BD1B2E-CA1F-4C0F-85A6-A279076CCFE0}"/>
    <cellStyle name="Ausgabe 5 2 54" xfId="26750" xr:uid="{D8721392-16B9-4053-AB5E-9CF7C93EA527}"/>
    <cellStyle name="Ausgabe 5 2 55" xfId="27171" xr:uid="{C2638677-D9FC-4427-8E2C-B64790043ED1}"/>
    <cellStyle name="Ausgabe 5 2 56" xfId="27590" xr:uid="{19049F6B-B23E-487E-8AA3-78A101EB5108}"/>
    <cellStyle name="Ausgabe 5 2 57" xfId="27828" xr:uid="{E5A810FD-AD8F-4D14-9658-1B132D95B85C}"/>
    <cellStyle name="Ausgabe 5 2 58" xfId="28717" xr:uid="{C68AD107-E726-4721-98A6-9E44A050B6E9}"/>
    <cellStyle name="Ausgabe 5 2 59" xfId="29184" xr:uid="{5586229C-63D3-4D1F-90F2-F82D29141FFD}"/>
    <cellStyle name="Ausgabe 5 2 6" xfId="3774" xr:uid="{344C9357-6294-48E1-BAC9-4A21C9D0343F}"/>
    <cellStyle name="Ausgabe 5 2 60" xfId="29566" xr:uid="{18BA2571-C19E-4835-834D-BC15D5AA5662}"/>
    <cellStyle name="Ausgabe 5 2 61" xfId="29973" xr:uid="{EB85217C-323D-4EDD-9B65-E056FC2C9B79}"/>
    <cellStyle name="Ausgabe 5 2 62" xfId="30379" xr:uid="{F8F0D90E-BA71-40D0-8656-76EE4F2B90C6}"/>
    <cellStyle name="Ausgabe 5 2 63" xfId="30796" xr:uid="{91068579-69ED-4C32-B346-4FF94D7DD4BA}"/>
    <cellStyle name="Ausgabe 5 2 64" xfId="31041" xr:uid="{1AC02FF1-0DA5-4FC2-8E16-E4057F91037F}"/>
    <cellStyle name="Ausgabe 5 2 65" xfId="31412" xr:uid="{910417C2-3F17-4DA7-B9C5-28B74A7FD4FB}"/>
    <cellStyle name="Ausgabe 5 2 7" xfId="4195" xr:uid="{CF273494-2435-4B24-A8AB-909D1AB20CED}"/>
    <cellStyle name="Ausgabe 5 2 8" xfId="4632" xr:uid="{7374ACA2-E087-4733-920F-12935DEE34FA}"/>
    <cellStyle name="Ausgabe 5 2 9" xfId="5078" xr:uid="{5306BA00-B49C-4EB2-9D09-2F7463D08895}"/>
    <cellStyle name="Ausgabe 5 20" xfId="9996" xr:uid="{0B42642E-C1EC-481B-9BDE-5B10BB2EB54F}"/>
    <cellStyle name="Ausgabe 5 21" xfId="10421" xr:uid="{611B16DF-3388-4161-869F-B118C81B392A}"/>
    <cellStyle name="Ausgabe 5 22" xfId="10751" xr:uid="{5DD93A8A-F2D6-408C-95BD-1236C0048827}"/>
    <cellStyle name="Ausgabe 5 23" xfId="11205" xr:uid="{AA41EC81-4153-488E-B5E2-7656CE5F15F7}"/>
    <cellStyle name="Ausgabe 5 24" xfId="12015" xr:uid="{39A0D9EF-B9FA-46BA-A0BD-A6BE577DE9C7}"/>
    <cellStyle name="Ausgabe 5 25" xfId="12488" xr:uid="{AE60FBFA-6C74-4B1F-B2DA-47CFE57C9AAE}"/>
    <cellStyle name="Ausgabe 5 26" xfId="12922" xr:uid="{AD7EA286-F228-4523-8275-4294BC2A0C28}"/>
    <cellStyle name="Ausgabe 5 27" xfId="13359" xr:uid="{B491EA1A-D8E3-4E91-8776-730D20BE09B5}"/>
    <cellStyle name="Ausgabe 5 28" xfId="13823" xr:uid="{1C935FBA-6A4D-4DBF-A770-F891E5952675}"/>
    <cellStyle name="Ausgabe 5 29" xfId="14130" xr:uid="{9E75E649-2182-4C13-9C54-B65E34A5ED4D}"/>
    <cellStyle name="Ausgabe 5 3" xfId="1145" xr:uid="{15FFED2D-2C45-4C20-9AEB-AB0E3DB13F0B}"/>
    <cellStyle name="Ausgabe 5 30" xfId="14650" xr:uid="{AF5CE735-39CA-4C85-978C-27879554CC9B}"/>
    <cellStyle name="Ausgabe 5 31" xfId="14810" xr:uid="{BC4A1C3B-5B32-400B-B337-A663335ADDC3}"/>
    <cellStyle name="Ausgabe 5 32" xfId="15503" xr:uid="{DE225B42-BDE8-42C2-970E-236EA059EC26}"/>
    <cellStyle name="Ausgabe 5 33" xfId="15851" xr:uid="{27C9A6E4-2130-497D-88C5-49EA63BC3899}"/>
    <cellStyle name="Ausgabe 5 34" xfId="16707" xr:uid="{34EBAC76-69FB-470A-8106-B39255A96B54}"/>
    <cellStyle name="Ausgabe 5 35" xfId="17112" xr:uid="{CBE95D53-7BDB-4EE9-A093-EAA549834C6B}"/>
    <cellStyle name="Ausgabe 5 36" xfId="17559" xr:uid="{1E52B86B-DC6B-41BB-9642-C3B62B8C7BDA}"/>
    <cellStyle name="Ausgabe 5 37" xfId="17803" xr:uid="{3A80B21C-59D5-4449-9B91-5BAE2EB573AC}"/>
    <cellStyle name="Ausgabe 5 38" xfId="18525" xr:uid="{D5C13203-DFD0-4DD0-A875-5752FB4815FA}"/>
    <cellStyle name="Ausgabe 5 39" xfId="19056" xr:uid="{B78240EE-7B10-4F35-84F6-71637D694628}"/>
    <cellStyle name="Ausgabe 5 4" xfId="1574" xr:uid="{7239B96F-FAAF-47A3-A9AC-936B20884404}"/>
    <cellStyle name="Ausgabe 5 40" xfId="19194" xr:uid="{07055788-BF65-4764-8940-21B4D83C8AE3}"/>
    <cellStyle name="Ausgabe 5 41" xfId="20044" xr:uid="{0299D8C7-6342-4559-B260-4531BD80E206}"/>
    <cellStyle name="Ausgabe 5 42" xfId="20465" xr:uid="{3C04083F-0DB3-4195-BB7F-966CA69C82FC}"/>
    <cellStyle name="Ausgabe 5 43" xfId="20918" xr:uid="{6825BC91-E964-4B1B-B168-8EE32C3CA231}"/>
    <cellStyle name="Ausgabe 5 44" xfId="21359" xr:uid="{A775AA06-6B89-4D92-ABA5-0F60DE05DF11}"/>
    <cellStyle name="Ausgabe 5 45" xfId="21847" xr:uid="{0C3E3A4E-D234-4779-B99A-D3283325253A}"/>
    <cellStyle name="Ausgabe 5 46" xfId="22284" xr:uid="{67167694-1222-44A7-8CCD-5258A3E3AF70}"/>
    <cellStyle name="Ausgabe 5 47" xfId="22811" xr:uid="{1C75226E-351E-4038-A9C2-AE51B11ED103}"/>
    <cellStyle name="Ausgabe 5 48" xfId="23333" xr:uid="{CD719864-747C-4F5C-9C30-5329CD52BD29}"/>
    <cellStyle name="Ausgabe 5 49" xfId="23625" xr:uid="{C77D4B56-9D82-4629-9F0C-DFDBFE1397A4}"/>
    <cellStyle name="Ausgabe 5 5" xfId="2484" xr:uid="{0CCA0AC7-F537-41D1-A7D6-BA4B4E034FF8}"/>
    <cellStyle name="Ausgabe 5 50" xfId="23853" xr:uid="{241B048D-E526-401D-873D-20D31DC23F28}"/>
    <cellStyle name="Ausgabe 5 51" xfId="24752" xr:uid="{792E0092-A5F6-47DF-A425-051211238306}"/>
    <cellStyle name="Ausgabe 5 52" xfId="25173" xr:uid="{94629B45-948E-4322-91B8-16046FA49601}"/>
    <cellStyle name="Ausgabe 5 53" xfId="25670" xr:uid="{3F5BAE58-FEB9-4B46-8005-F99B4AA39D2D}"/>
    <cellStyle name="Ausgabe 5 54" xfId="26113" xr:uid="{7DD5A208-EE5F-4EDB-96C3-3E2247DF2B9D}"/>
    <cellStyle name="Ausgabe 5 55" xfId="25096" xr:uid="{B3E025CD-107D-40C0-A930-64D6DE478092}"/>
    <cellStyle name="Ausgabe 5 56" xfId="26960" xr:uid="{C811E8EC-A19E-45B4-A495-69A0A0306DAC}"/>
    <cellStyle name="Ausgabe 5 57" xfId="27379" xr:uid="{96C8B477-EB37-4E4D-A6D6-8BC670260B68}"/>
    <cellStyle name="Ausgabe 5 58" xfId="26043" xr:uid="{C985611B-3FD7-47C1-B274-06FCD0728A6E}"/>
    <cellStyle name="Ausgabe 5 59" xfId="28502" xr:uid="{4093A3B7-967F-4240-8AC8-523BE7FDD685}"/>
    <cellStyle name="Ausgabe 5 6" xfId="2989" xr:uid="{1ABE19FC-8ABA-4E9D-A172-2D5DC731249C}"/>
    <cellStyle name="Ausgabe 5 60" xfId="28970" xr:uid="{859B402D-82CB-4D5D-BFF7-D325801F387D}"/>
    <cellStyle name="Ausgabe 5 61" xfId="29320" xr:uid="{AC02AC78-DDDF-4E5B-9A00-656781131BD5}"/>
    <cellStyle name="Ausgabe 5 62" xfId="29760" xr:uid="{8B03A6A9-FA05-40A2-ADAD-CE1812F92452}"/>
    <cellStyle name="Ausgabe 5 63" xfId="30168" xr:uid="{138F8C3A-57D5-429D-A608-D88A987648E0}"/>
    <cellStyle name="Ausgabe 5 64" xfId="30582" xr:uid="{72EBDC1E-0710-4C2D-91F1-4672CAA2B3BB}"/>
    <cellStyle name="Ausgabe 5 65" xfId="30937" xr:uid="{25B23578-7A62-4060-9F01-3BE865055827}"/>
    <cellStyle name="Ausgabe 5 66" xfId="31206" xr:uid="{C9CCF884-962C-4194-8F78-885717551E7B}"/>
    <cellStyle name="Ausgabe 5 7" xfId="2267" xr:uid="{33F2998C-9B7A-4F71-BAB6-FA2D921C1843}"/>
    <cellStyle name="Ausgabe 5 8" xfId="3980" xr:uid="{9518E388-3A2E-4F16-AB26-A808F0BF43B4}"/>
    <cellStyle name="Ausgabe 5 9" xfId="4418" xr:uid="{BC05966B-B070-4515-895C-A2E4048CDCD7}"/>
    <cellStyle name="Ausgabe 6" xfId="678" xr:uid="{0881752B-D25E-4D20-9591-AD9BC776CDAB}"/>
    <cellStyle name="Ausgabe 6 10" xfId="5326" xr:uid="{5E0CEC75-7774-4994-A0F4-7F0904527F3D}"/>
    <cellStyle name="Ausgabe 6 11" xfId="5649" xr:uid="{71D74FB0-0AC9-4819-BE08-FE846E1EE8BC}"/>
    <cellStyle name="Ausgabe 6 12" xfId="6313" xr:uid="{BE13F99E-967E-4094-8B0E-D5D6AD294E79}"/>
    <cellStyle name="Ausgabe 6 13" xfId="6170" xr:uid="{FEAC7603-ED7C-4391-9083-6B1B466161E3}"/>
    <cellStyle name="Ausgabe 6 14" xfId="7398" xr:uid="{8601ABEE-9ED2-430A-8704-4874C34DE8D9}"/>
    <cellStyle name="Ausgabe 6 15" xfId="7104" xr:uid="{9710A66B-E824-4FAE-BB4D-F0056BBC00A9}"/>
    <cellStyle name="Ausgabe 6 16" xfId="8328" xr:uid="{D89795D1-86F6-4632-A22E-A243122D690E}"/>
    <cellStyle name="Ausgabe 6 17" xfId="8135" xr:uid="{F039564C-047C-4517-809C-343F1E125039}"/>
    <cellStyle name="Ausgabe 6 18" xfId="9612" xr:uid="{20316378-09A7-4403-A5A2-9ED2062FB821}"/>
    <cellStyle name="Ausgabe 6 19" xfId="9190" xr:uid="{536BD9F8-9EA9-409D-A6E6-EDBDA7CBB124}"/>
    <cellStyle name="Ausgabe 6 2" xfId="1160" xr:uid="{1947C82B-924E-4939-AF30-F50387D1B7CE}"/>
    <cellStyle name="Ausgabe 6 20" xfId="9982" xr:uid="{F4D264D7-0E5C-4B39-9AF6-DE55550B36B7}"/>
    <cellStyle name="Ausgabe 6 21" xfId="10381" xr:uid="{4626D096-38C5-4E95-8653-E74B03473837}"/>
    <cellStyle name="Ausgabe 6 22" xfId="10491" xr:uid="{2A63789F-F508-4D7E-A412-51C4A42BC603}"/>
    <cellStyle name="Ausgabe 6 23" xfId="12031" xr:uid="{A5299ABA-620E-4402-8FB7-AC6F03F9A487}"/>
    <cellStyle name="Ausgabe 6 24" xfId="12504" xr:uid="{3A86B798-29AC-474D-BC4F-E9D2BCDDB6DE}"/>
    <cellStyle name="Ausgabe 6 25" xfId="12938" xr:uid="{E72F8972-5CF5-432E-BACE-94AB1DCB459A}"/>
    <cellStyle name="Ausgabe 6 26" xfId="13375" xr:uid="{1ECC5EAF-C483-4289-9FCB-DAF9DC16EF6E}"/>
    <cellStyle name="Ausgabe 6 27" xfId="13880" xr:uid="{8D2B145D-FA89-4A79-BDE5-651B9DAA918A}"/>
    <cellStyle name="Ausgabe 6 28" xfId="14426" xr:uid="{0F86B7EC-2619-4FCF-85B4-F31D248E85CC}"/>
    <cellStyle name="Ausgabe 6 29" xfId="11695" xr:uid="{735275F3-4C6D-4454-81D4-1353889D1616}"/>
    <cellStyle name="Ausgabe 6 3" xfId="1738" xr:uid="{6C86E101-090A-40D9-8E68-A37B2FD61718}"/>
    <cellStyle name="Ausgabe 6 30" xfId="15222" xr:uid="{6742C3C0-E703-48C8-9502-F71555E1AE3A}"/>
    <cellStyle name="Ausgabe 6 31" xfId="13629" xr:uid="{EAC961FE-F98C-40A6-8975-94B703F79849}"/>
    <cellStyle name="Ausgabe 6 32" xfId="15763" xr:uid="{BF1F1AA2-A722-42B2-946D-BE1803B0CA7E}"/>
    <cellStyle name="Ausgabe 6 33" xfId="16723" xr:uid="{10D083CB-914E-4711-9AF6-6AA38E79055C}"/>
    <cellStyle name="Ausgabe 6 34" xfId="16426" xr:uid="{682E7946-1EEF-4B04-9924-C0CE8E9939D1}"/>
    <cellStyle name="Ausgabe 6 35" xfId="16158" xr:uid="{0DDE4F7C-519A-4F0A-B10C-D13CD0403BEF}"/>
    <cellStyle name="Ausgabe 6 36" xfId="16531" xr:uid="{86307DAB-8185-4535-B063-8F482CA43990}"/>
    <cellStyle name="Ausgabe 6 37" xfId="18541" xr:uid="{07DCD1FF-B079-4F43-9CF7-D2F43017CF1A}"/>
    <cellStyle name="Ausgabe 6 38" xfId="17884" xr:uid="{D8FFBFCB-3E41-4686-AB17-72395C6959ED}"/>
    <cellStyle name="Ausgabe 6 39" xfId="19230" xr:uid="{A5135F69-76F1-4F65-B3EB-89720F8B74F7}"/>
    <cellStyle name="Ausgabe 6 4" xfId="2500" xr:uid="{88B3A2F1-0A3E-4C2D-94E3-3C0F286576BD}"/>
    <cellStyle name="Ausgabe 6 40" xfId="20060" xr:uid="{CB3D04AA-F0A7-458A-AD05-DFB39B83E2E6}"/>
    <cellStyle name="Ausgabe 6 41" xfId="19758" xr:uid="{DBD9841C-9A1A-46AC-8D63-739B8B7FEE05}"/>
    <cellStyle name="Ausgabe 6 42" xfId="19610" xr:uid="{6C6890EA-CE4A-4C36-8CD7-CA5E61F813C9}"/>
    <cellStyle name="Ausgabe 6 43" xfId="21011" xr:uid="{1FF9FB7F-61B3-4E10-B4D8-8E694971FA7F}"/>
    <cellStyle name="Ausgabe 6 44" xfId="21611" xr:uid="{D5EF6CEE-9F26-405F-A3FB-95169062BDDD}"/>
    <cellStyle name="Ausgabe 6 45" xfId="21741" xr:uid="{0FD85A71-1B30-4829-9472-80360BDCCCCF}"/>
    <cellStyle name="Ausgabe 6 46" xfId="22862" xr:uid="{4FADDBC4-880A-4BCE-BBFB-3DD0FB5894FF}"/>
    <cellStyle name="Ausgabe 6 47" xfId="22648" xr:uid="{82BEEE97-73C0-4D19-AEF2-1B66BA8A38C1}"/>
    <cellStyle name="Ausgabe 6 48" xfId="23558" xr:uid="{A653B929-2A99-4188-8A63-DA0082069CDE}"/>
    <cellStyle name="Ausgabe 6 49" xfId="23868" xr:uid="{F1ECDEE8-5194-4B06-93CD-2D0AE9312E16}"/>
    <cellStyle name="Ausgabe 6 5" xfId="3048" xr:uid="{C1EEE96C-03CF-485C-A073-B683803E2551}"/>
    <cellStyle name="Ausgabe 6 50" xfId="24768" xr:uid="{B9EEB87F-3677-407A-8AA8-514E49AC59EA}"/>
    <cellStyle name="Ausgabe 6 51" xfId="24986" xr:uid="{60318A71-9BEE-46FF-8424-76A8449C9F16}"/>
    <cellStyle name="Ausgabe 6 52" xfId="25686" xr:uid="{80292B43-F96F-40D8-B9CD-17473FA635DC}"/>
    <cellStyle name="Ausgabe 6 53" xfId="26166" xr:uid="{94832F37-2471-4258-B2F1-E45D2C9CD13A}"/>
    <cellStyle name="Ausgabe 6 54" xfId="26097" xr:uid="{CA640AA1-29FF-4AAB-9073-04E1B87CFC76}"/>
    <cellStyle name="Ausgabe 6 55" xfId="26976" xr:uid="{AACCFBCA-E24A-450A-9FD5-B046F2A2C088}"/>
    <cellStyle name="Ausgabe 6 56" xfId="27395" xr:uid="{494AA28B-ED4C-4918-963D-14A951BAF8FC}"/>
    <cellStyle name="Ausgabe 6 57" xfId="27735" xr:uid="{0F2448D4-C770-445E-AA6E-E2836DB22E62}"/>
    <cellStyle name="Ausgabe 6 58" xfId="28518" xr:uid="{2DDA6F40-226F-4EBB-B57B-1C0B642136D8}"/>
    <cellStyle name="Ausgabe 6 59" xfId="28986" xr:uid="{E39D9A77-F000-49D4-9D73-4B4623DCB65E}"/>
    <cellStyle name="Ausgabe 6 6" xfId="2050" xr:uid="{BD93266A-9ED0-45EA-B526-9555097F3B0D}"/>
    <cellStyle name="Ausgabe 6 60" xfId="28198" xr:uid="{C308FB0D-4EA7-4364-871E-CD9EDF78D43B}"/>
    <cellStyle name="Ausgabe 6 61" xfId="29776" xr:uid="{C758D6BE-DAC8-4B08-A039-0345C0C24738}"/>
    <cellStyle name="Ausgabe 6 62" xfId="30183" xr:uid="{CBBF2CA7-6859-4270-937A-0689DD98750C}"/>
    <cellStyle name="Ausgabe 6 63" xfId="30598" xr:uid="{616DB909-C7A0-4FD7-8BA1-65220875C458}"/>
    <cellStyle name="Ausgabe 6 64" xfId="30979" xr:uid="{9488C6A6-717B-4746-80A7-57B5A7703E5F}"/>
    <cellStyle name="Ausgabe 6 65" xfId="31221" xr:uid="{785EE318-C9C6-46C3-AA19-43199302E6D3}"/>
    <cellStyle name="Ausgabe 6 7" xfId="3996" xr:uid="{E91ABED4-BF34-4D2E-A70B-DDFBA7469DC2}"/>
    <cellStyle name="Ausgabe 6 8" xfId="4434" xr:uid="{5386A7A0-5A20-4AAD-926D-6F1AF482F2BE}"/>
    <cellStyle name="Ausgabe 6 9" xfId="3488" xr:uid="{679A3F3E-A16E-44A2-9CF5-E9EE54B344B7}"/>
    <cellStyle name="Bad 2" xfId="126" xr:uid="{E795ACEF-84E8-4B12-8182-40F007156AD7}"/>
    <cellStyle name="Bad 3" xfId="223" xr:uid="{8F49BADF-D1CC-4865-B61B-9E2F452073DC}"/>
    <cellStyle name="Bad 4" xfId="363" xr:uid="{8EA983CD-CCA2-4DFA-AF61-A9E1D4E2E737}"/>
    <cellStyle name="Berechnung" xfId="46" hidden="1" xr:uid="{61F364C9-48AE-426A-A8B9-42EF1AC38363}"/>
    <cellStyle name="Berechnung" xfId="893" hidden="1" xr:uid="{EBF317E1-F533-4E61-88B7-6897DF89ADA0}"/>
    <cellStyle name="Berechnung" xfId="933" hidden="1" xr:uid="{CF79168A-8902-4F65-8DB0-10D89E2D909A}"/>
    <cellStyle name="Berechnung" xfId="1387" hidden="1" xr:uid="{444B4FF5-BBAF-4307-80EB-77AA9DA586EC}"/>
    <cellStyle name="Berechnung" xfId="1586" hidden="1" xr:uid="{1B9FE06E-D242-465D-B740-E610A225C1F7}"/>
    <cellStyle name="Berechnung" xfId="1866" hidden="1" xr:uid="{31A27EF9-0B7A-467D-AF8B-9CB855E2493A}"/>
    <cellStyle name="Berechnung" xfId="2326" hidden="1" xr:uid="{AF742827-9BED-4813-A0FB-728BE87721F9}"/>
    <cellStyle name="Berechnung" xfId="2948" hidden="1" xr:uid="{F1559AA3-D0FE-4048-A0A7-7E3776A7504A}"/>
    <cellStyle name="Berechnung" xfId="1837" hidden="1" xr:uid="{B14F42C5-20C5-43C4-A446-6C2CB444C138}"/>
    <cellStyle name="Berechnung" xfId="3015" hidden="1" xr:uid="{CF0A0FC1-D64D-4714-B9D2-19F88A330FBB}"/>
    <cellStyle name="Berechnung" xfId="3430" hidden="1" xr:uid="{D0E33A64-7662-41FF-AB18-4BD7C26221AB}"/>
    <cellStyle name="Berechnung" xfId="3175" hidden="1" xr:uid="{920A3389-87B8-4D85-A2D0-46FEBF7A9ADF}"/>
    <cellStyle name="Berechnung" xfId="2732" hidden="1" xr:uid="{FBE2082C-B653-4CB7-9BC3-4B679C78AC80}"/>
    <cellStyle name="Berechnung" xfId="3380" hidden="1" xr:uid="{BAF2543F-CCD3-4B23-9C54-FD4DBC02D035}"/>
    <cellStyle name="Berechnung" xfId="3285" hidden="1" xr:uid="{529367F3-89DF-4C1B-B90B-8F06F31AC50F}"/>
    <cellStyle name="Berechnung" xfId="2874" hidden="1" xr:uid="{B07B6B88-FD55-4E95-8A27-B1F0434066A3}"/>
    <cellStyle name="Berechnung" xfId="3515" hidden="1" xr:uid="{A36C795C-D3E6-4652-9B23-01CCF976BF0E}"/>
    <cellStyle name="Berechnung" xfId="3503" hidden="1" xr:uid="{99231275-0A71-4666-BC37-308FE3B8681B}"/>
    <cellStyle name="Berechnung" xfId="5013" hidden="1" xr:uid="{7E09C788-BEDE-4129-A56C-9EA07D582A8B}"/>
    <cellStyle name="Berechnung" xfId="4222" hidden="1" xr:uid="{74BFE6AB-A224-46BB-BD38-9AAFD683FC63}"/>
    <cellStyle name="Berechnung" xfId="3708" hidden="1" xr:uid="{CC0B5AB2-B75E-4A51-BEBA-08ACDF6EDE73}"/>
    <cellStyle name="Berechnung" xfId="5556" hidden="1" xr:uid="{32A94C38-C2CB-4B2F-874E-FC875E0D3405}"/>
    <cellStyle name="Berechnung" xfId="2930" hidden="1" xr:uid="{0847434C-06D0-410B-8973-AE4338245655}"/>
    <cellStyle name="Berechnung" xfId="5565" hidden="1" xr:uid="{E1D1E286-9D8A-4A20-BC6F-F50206F4047B}"/>
    <cellStyle name="Berechnung" xfId="3250" hidden="1" xr:uid="{2E20E1F9-BFED-40A7-B3C9-63ADB7F96F0B}"/>
    <cellStyle name="Berechnung" xfId="5749" hidden="1" xr:uid="{B0AAC20B-7955-4ECF-9B46-2E988F3B537E}"/>
    <cellStyle name="Berechnung" xfId="3486" hidden="1" xr:uid="{C5F21F9A-F00A-4F01-96F1-520F7353863C}"/>
    <cellStyle name="Berechnung" xfId="5655" hidden="1" xr:uid="{DBC9679D-0720-48D6-B1D7-4DFE0AF0A7B3}"/>
    <cellStyle name="Berechnung" xfId="5607" hidden="1" xr:uid="{8DB2CF7E-FB55-4942-8A3C-48CAAF94AFCB}"/>
    <cellStyle name="Berechnung" xfId="4677" hidden="1" xr:uid="{E7BC3F50-B9DE-49CD-9572-FC5FEDBB3CCC}"/>
    <cellStyle name="Berechnung" xfId="2876" hidden="1" xr:uid="{139E8892-5464-458F-99B9-F7D1B16C312D}"/>
    <cellStyle name="Berechnung" xfId="6291" hidden="1" xr:uid="{854D8AA4-27B3-44AF-929E-E82E755629B9}"/>
    <cellStyle name="Berechnung" xfId="6416" hidden="1" xr:uid="{A69EAD62-5B92-4F18-8512-17150AF59B2E}"/>
    <cellStyle name="Berechnung" xfId="6202" hidden="1" xr:uid="{EE6F8A2A-5AEB-4C1B-9882-03C66B3BBD45}"/>
    <cellStyle name="Berechnung" xfId="6461" hidden="1" xr:uid="{1D43CBFC-E29E-49C6-AB8F-3D3F7B22D93E}"/>
    <cellStyle name="Berechnung" xfId="6596" hidden="1" xr:uid="{9BCCA3E3-B760-41B6-8BCA-27DABE4FEEAB}"/>
    <cellStyle name="Berechnung" xfId="6340" hidden="1" xr:uid="{37BD99B3-CC47-40AF-B7A0-2251CA2A4C7F}"/>
    <cellStyle name="Berechnung" xfId="6780" hidden="1" xr:uid="{AFC1587F-9965-4EA7-A009-47CE313C9E61}"/>
    <cellStyle name="Berechnung" xfId="6966" hidden="1" xr:uid="{8E139EB5-2E6D-434A-8384-9C0D5D299DDA}"/>
    <cellStyle name="Berechnung" xfId="7829" hidden="1" xr:uid="{5529C3CF-E7FD-46A4-A2C2-34B5A26F8E31}"/>
    <cellStyle name="Berechnung" xfId="7116" hidden="1" xr:uid="{3E6FD26D-FBEB-4150-ADCC-6940931D359D}"/>
    <cellStyle name="Berechnung" xfId="8227" hidden="1" xr:uid="{259D1B0C-3F0B-47C1-9148-1FDBBB8DE757}"/>
    <cellStyle name="Berechnung" xfId="8301" hidden="1" xr:uid="{E2727EB8-5706-4BDA-BC6E-1EAFC9554300}"/>
    <cellStyle name="Berechnung" xfId="6764" hidden="1" xr:uid="{4134CFFC-E608-4AAF-B4D8-AEED65ABCDDE}"/>
    <cellStyle name="Berechnung" xfId="8183" hidden="1" xr:uid="{31259500-B57F-41E5-8091-CCD2491D1A42}"/>
    <cellStyle name="Berechnung" xfId="7660" hidden="1" xr:uid="{662312CD-6B6E-4590-9841-6F41A5D20DF8}"/>
    <cellStyle name="Berechnung" xfId="8076" hidden="1" xr:uid="{F1968CF8-C3CD-489F-A036-105A018D88EC}"/>
    <cellStyle name="Berechnung" xfId="6883" hidden="1" xr:uid="{034671E2-61BD-41C4-810A-65E6A002A15B}"/>
    <cellStyle name="Berechnung" xfId="7133" hidden="1" xr:uid="{C33A40EA-DEA8-4EA3-8152-D650CD71CF37}"/>
    <cellStyle name="Berechnung" xfId="6834" hidden="1" xr:uid="{D28D324A-E327-4BEB-BC31-58181EC10437}"/>
    <cellStyle name="Berechnung" xfId="7895" hidden="1" xr:uid="{69483116-191A-4F1A-B6B2-62F96D06BF15}"/>
    <cellStyle name="Berechnung" xfId="8334" hidden="1" xr:uid="{4A4536C4-DD5A-4DD9-BB1E-9BDBAF985D75}"/>
    <cellStyle name="Berechnung" xfId="7162" hidden="1" xr:uid="{E431E2FB-DF00-4AB0-98F4-EC9B7222D8DD}"/>
    <cellStyle name="Berechnung" xfId="8266" hidden="1" xr:uid="{A7AC1E01-B4B4-42DB-AE0E-88E584866AD0}"/>
    <cellStyle name="Berechnung" xfId="6842" hidden="1" xr:uid="{8B67DE6C-305C-4976-8092-A5726D571BFF}"/>
    <cellStyle name="Berechnung" xfId="8346" hidden="1" xr:uid="{AF9507EE-85FD-40BE-A308-6E7686D15B38}"/>
    <cellStyle name="Berechnung" xfId="8782" hidden="1" xr:uid="{77276156-0C3D-434C-B9A3-464FBC6E94B3}"/>
    <cellStyle name="Berechnung" xfId="8344" hidden="1" xr:uid="{48CF0C8E-427B-469E-87C3-0C882BE61C59}"/>
    <cellStyle name="Berechnung" xfId="8626" hidden="1" xr:uid="{09BE001D-0971-44FA-9530-3601EE0B8778}"/>
    <cellStyle name="Berechnung" xfId="7860" hidden="1" xr:uid="{6E93F209-4C63-4CD9-8CCB-C6AE052BC577}"/>
    <cellStyle name="Berechnung" xfId="8992" hidden="1" xr:uid="{9CC70427-41D7-42FE-8769-4D941454F4EB}"/>
    <cellStyle name="Berechnung" xfId="9179" hidden="1" xr:uid="{26CF811C-1627-482B-B2EA-7B8C244E0F11}"/>
    <cellStyle name="Berechnung" xfId="10041" hidden="1" xr:uid="{197C3AF5-FD2D-4CE9-891C-C1DDBA83CD5A}"/>
    <cellStyle name="Berechnung" xfId="9202" hidden="1" xr:uid="{B7B656E0-7B53-4FFA-8444-D9CC3332D099}"/>
    <cellStyle name="Berechnung" xfId="10461" hidden="1" xr:uid="{27B21218-35D3-4591-9169-D644FE86FD2B}"/>
    <cellStyle name="Berechnung" xfId="9243" hidden="1" xr:uid="{3A05CA0A-990A-4449-A36C-9D6511157FBE}"/>
    <cellStyle name="Berechnung" xfId="10877" hidden="1" xr:uid="{03D61462-32F0-41D1-8E04-2CFEFB30F27A}"/>
    <cellStyle name="Berechnung" xfId="10324" hidden="1" xr:uid="{469FAF15-D46E-464E-B4A7-467D2C25FF70}"/>
    <cellStyle name="Berechnung" xfId="10410" hidden="1" xr:uid="{0D258545-928D-4F30-A20A-F924238D5C5A}"/>
    <cellStyle name="Berechnung" xfId="10730" hidden="1" xr:uid="{33333911-93F1-4EC7-98FD-570C10CE84C9}"/>
    <cellStyle name="Berechnung" xfId="10328" hidden="1" xr:uid="{AC481525-303F-4483-960A-654E32F7BE54}"/>
    <cellStyle name="Berechnung" xfId="10949" hidden="1" xr:uid="{DC7D9A25-7D6D-438B-A8D0-5C4AD501F848}"/>
    <cellStyle name="Berechnung" xfId="11116" hidden="1" xr:uid="{436ADA11-6166-4C7F-A618-ED1360675108}"/>
    <cellStyle name="Berechnung" xfId="10013" hidden="1" xr:uid="{A84BF15D-72E4-4CC0-B2B6-3C80534A2D85}"/>
    <cellStyle name="Berechnung" xfId="11248" hidden="1" xr:uid="{10585D83-B8D2-46ED-AF1B-52B6045FABA4}"/>
    <cellStyle name="Berechnung" xfId="11398" hidden="1" xr:uid="{9470EA61-398A-4CD8-9156-2E5C4AC6730C}"/>
    <cellStyle name="Berechnung" xfId="11591" hidden="1" xr:uid="{85494830-CA6F-4BAC-88F0-FE0E75D285BE}"/>
    <cellStyle name="Berechnung" xfId="11389" hidden="1" xr:uid="{16A8F53A-C725-42F5-9AB7-925B94FBD497}"/>
    <cellStyle name="Berechnung" xfId="12278" hidden="1" xr:uid="{79948EC5-BAF6-4AB7-9C03-8B0E64523C18}"/>
    <cellStyle name="Berechnung" xfId="11557" hidden="1" xr:uid="{11C58AFB-3D16-4E15-A16D-46186A222361}"/>
    <cellStyle name="Berechnung" xfId="13781" hidden="1" xr:uid="{44F0414E-300E-40DB-AB7B-1DDD2EE4A81E}"/>
    <cellStyle name="Berechnung" xfId="12275" hidden="1" xr:uid="{C2DEACF1-6A24-4C78-93EE-DC1B9B56C7B6}"/>
    <cellStyle name="Berechnung" xfId="13849" hidden="1" xr:uid="{5392D919-0177-4A2C-8D73-A1E17762D176}"/>
    <cellStyle name="Berechnung" xfId="14228" hidden="1" xr:uid="{019AA88B-E796-4FCB-846E-C2039D0242B8}"/>
    <cellStyle name="Berechnung" xfId="14447" hidden="1" xr:uid="{30D16EF1-10B4-497A-A735-870768A2A706}"/>
    <cellStyle name="Berechnung" xfId="12283" hidden="1" xr:uid="{99A6A1AE-9180-4647-A10A-1EA63C367B6C}"/>
    <cellStyle name="Berechnung" xfId="14553" hidden="1" xr:uid="{5C60F783-19C5-4E59-A21E-99AD1C2C57C4}"/>
    <cellStyle name="Berechnung" xfId="14536" hidden="1" xr:uid="{1549A8FE-B94C-478E-A88F-649070F2199A}"/>
    <cellStyle name="Berechnung" xfId="14977" hidden="1" xr:uid="{00E1CAF3-2BE6-456A-BA06-B17DF976FE11}"/>
    <cellStyle name="Berechnung" xfId="15202" hidden="1" xr:uid="{50B84054-33DE-4EA5-924B-E936EA4D138B}"/>
    <cellStyle name="Berechnung" xfId="15159" hidden="1" xr:uid="{BF99D336-29E2-40AE-A258-ADBBA9491A2F}"/>
    <cellStyle name="Berechnung" xfId="14673" hidden="1" xr:uid="{8D716651-09B4-4EF3-9E67-3CA530F35F1A}"/>
    <cellStyle name="Berechnung" xfId="14100" hidden="1" xr:uid="{10A30DFF-EC4E-4BEF-AD01-0915AF1EF1CC}"/>
    <cellStyle name="Berechnung" xfId="15223" hidden="1" xr:uid="{E3F4CE9D-4385-4764-97CB-3115F094DADB}"/>
    <cellStyle name="Berechnung" xfId="15547" hidden="1" xr:uid="{D90A2DEB-FE25-4498-B5E5-842039865DC3}"/>
    <cellStyle name="Berechnung" xfId="15545" hidden="1" xr:uid="{5F4645F0-DB7A-43A5-9EBB-9649788C7F47}"/>
    <cellStyle name="Berechnung" xfId="15479" hidden="1" xr:uid="{A582A9C5-0EB7-4999-A430-94FF706F0882}"/>
    <cellStyle name="Berechnung" xfId="15760" hidden="1" xr:uid="{72E9A40C-25CE-4A38-80A3-54DAC109E252}"/>
    <cellStyle name="Berechnung" xfId="15920" hidden="1" xr:uid="{A75FDE87-D1F9-412C-84C3-3DC298EA775A}"/>
    <cellStyle name="Berechnung" xfId="15165" hidden="1" xr:uid="{BE178834-6B60-4926-9A96-8A7021770322}"/>
    <cellStyle name="Berechnung" xfId="16089" hidden="1" xr:uid="{59BC1914-F365-41E5-A8BF-34E3AE0F87DE}"/>
    <cellStyle name="Berechnung" xfId="16286" hidden="1" xr:uid="{E23C5F9E-EE07-4657-A390-337D09278E9F}"/>
    <cellStyle name="Berechnung" xfId="17159" hidden="1" xr:uid="{3717E60C-A27C-46DA-BCC5-0CE0E8205CB8}"/>
    <cellStyle name="Berechnung" xfId="16438" hidden="1" xr:uid="{7F6EC770-76C6-4082-A9A7-F48A78224109}"/>
    <cellStyle name="Berechnung" xfId="17604" hidden="1" xr:uid="{F9230860-3CBC-4D60-A192-2F2771C6A075}"/>
    <cellStyle name="Berechnung" xfId="16353" hidden="1" xr:uid="{E3E461AB-9DC3-4D95-A861-5C64A4E67063}"/>
    <cellStyle name="Berechnung" xfId="18029" hidden="1" xr:uid="{92CFB8BA-196D-454F-8AA0-CE3528E7A265}"/>
    <cellStyle name="Berechnung" xfId="17810" hidden="1" xr:uid="{7D5755DD-1224-49E4-8380-C18DA0F3C903}"/>
    <cellStyle name="Berechnung" xfId="17063" hidden="1" xr:uid="{A3CDDB9A-3E53-484D-B81E-D9A4819AB5E7}"/>
    <cellStyle name="Berechnung" xfId="16957" hidden="1" xr:uid="{A53E7744-EB94-4921-AA81-81274CFD9B0D}"/>
    <cellStyle name="Berechnung" xfId="16235" hidden="1" xr:uid="{0285EB3F-BD97-43E1-8DB0-B5FB7E1F4145}"/>
    <cellStyle name="Berechnung" xfId="16253" hidden="1" xr:uid="{E760F7E1-5A2E-4831-8D1A-10D2A35898EF}"/>
    <cellStyle name="Berechnung" xfId="18905" hidden="1" xr:uid="{349A7271-79F7-4ED1-A93F-196D5D4B8BB6}"/>
    <cellStyle name="Berechnung" xfId="18165" hidden="1" xr:uid="{64F418E6-7C9E-457B-AE13-32B3CED0A99D}"/>
    <cellStyle name="Berechnung" xfId="17129" hidden="1" xr:uid="{59BFE47C-6455-45C5-87B4-B483E0BA3CC2}"/>
    <cellStyle name="Berechnung" xfId="18931" hidden="1" xr:uid="{E05A76D7-02F3-4CAF-B8BD-DCA997ACE9D2}"/>
    <cellStyle name="Berechnung" xfId="19242" hidden="1" xr:uid="{73F8D6B8-AAAA-4DEA-B666-D7908E287C15}"/>
    <cellStyle name="Berechnung" xfId="18755" hidden="1" xr:uid="{8778A86F-D92D-42DB-9656-36C4A9FA0185}"/>
    <cellStyle name="Berechnung" xfId="19422" hidden="1" xr:uid="{042A4B00-B9E6-4210-9B3C-58834D68FF50}"/>
    <cellStyle name="Berechnung" xfId="19619" hidden="1" xr:uid="{BA1AF86C-2527-4880-A25F-6553309CBBD4}"/>
    <cellStyle name="Berechnung" xfId="20511" hidden="1" xr:uid="{1818065C-66CF-4D19-8421-4919A1776B37}"/>
    <cellStyle name="Berechnung" xfId="19372" hidden="1" xr:uid="{337F8DEA-1C0A-4925-A59E-05BE9370440B}"/>
    <cellStyle name="Berechnung" xfId="20964" hidden="1" xr:uid="{2739EFC6-0AD9-4FF4-BB93-647BF8D2C77C}"/>
    <cellStyle name="Berechnung" xfId="19599" hidden="1" xr:uid="{245D11B4-BB71-4D45-9036-7114D705B92D}"/>
    <cellStyle name="Berechnung" xfId="21492" hidden="1" xr:uid="{9FB24F5B-2F2F-4E96-B5F3-FE3A5579F659}"/>
    <cellStyle name="Berechnung" xfId="20738" hidden="1" xr:uid="{6BD1A4BA-8B30-49D1-A404-D68DA0C48725}"/>
    <cellStyle name="Berechnung" xfId="21383" hidden="1" xr:uid="{1AA3FF7A-C14B-4490-B94D-DB9E88A28BB7}"/>
    <cellStyle name="Berechnung" xfId="21413" hidden="1" xr:uid="{38F2CA7F-74E8-4205-A316-60959E0F52C4}"/>
    <cellStyle name="Berechnung" xfId="21895" hidden="1" xr:uid="{E93E54A6-11F4-4E52-B295-BB327810F4F3}"/>
    <cellStyle name="Berechnung" xfId="21406" hidden="1" xr:uid="{CC5CA311-0168-498D-89C6-8D7D6B2A1AAC}"/>
    <cellStyle name="Berechnung" xfId="22331" hidden="1" xr:uid="{608E24B3-3D27-40DE-8811-D82E87EC5BD7}"/>
    <cellStyle name="Berechnung" xfId="21752" hidden="1" xr:uid="{5C1D745A-B0C0-4991-B624-FE8A6194BDA3}"/>
    <cellStyle name="Berechnung" xfId="22773" hidden="1" xr:uid="{4052F172-7EE0-4CF8-959D-3706B5248DB8}"/>
    <cellStyle name="Berechnung" xfId="22506" hidden="1" xr:uid="{C51EBFEA-7EA2-4E24-A4FE-CA16AB8EF40E}"/>
    <cellStyle name="Berechnung" xfId="22009" hidden="1" xr:uid="{32EFE059-DE88-478F-AE56-04C13D3096F7}"/>
    <cellStyle name="Berechnung" xfId="23181" hidden="1" xr:uid="{916763CD-2B97-4380-8A34-67A6E255EE6C}"/>
    <cellStyle name="Berechnung" xfId="22775" hidden="1" xr:uid="{2AEFF6B0-8D91-44A8-B862-6B17E0460305}"/>
    <cellStyle name="Berechnung" xfId="20946" hidden="1" xr:uid="{7E2DA94A-9869-4D81-8624-A45EF653781F}"/>
    <cellStyle name="Berechnung" xfId="23370" hidden="1" xr:uid="{0B0D3C13-A40C-4DCB-84F7-695F4AAFB514}"/>
    <cellStyle name="Berechnung" xfId="23575" hidden="1" xr:uid="{B6969091-546E-4249-8918-DAA6FBFA26A8}"/>
    <cellStyle name="Berechnung" xfId="22594" hidden="1" xr:uid="{B5F60B4B-2764-4C16-A32D-E5664D569A19}"/>
    <cellStyle name="Berechnung" xfId="20871" hidden="1" xr:uid="{5091ACDB-FA2C-49A6-802C-60E6499FEC61}"/>
    <cellStyle name="Berechnung" xfId="22511" hidden="1" xr:uid="{2B4BA507-7298-46F3-816E-24A9129BC72A}"/>
    <cellStyle name="Berechnung" xfId="24083" hidden="1" xr:uid="{1D722739-7C54-472F-89D4-4A0290B62FF5}"/>
    <cellStyle name="Berechnung" xfId="22787" hidden="1" xr:uid="{D754DE65-7A50-4BD2-8091-C33263D4F78E}"/>
    <cellStyle name="Berechnung" xfId="24146" hidden="1" xr:uid="{E5DD111D-34BA-4C24-B994-88D1D05F8888}"/>
    <cellStyle name="Berechnung" xfId="24440" hidden="1" xr:uid="{0CE3D405-3C23-4B7E-A284-8935743C9499}"/>
    <cellStyle name="Berechnung" xfId="24760" hidden="1" xr:uid="{6D364F7B-FCB3-483C-8269-BC05CA5CCFB8}"/>
    <cellStyle name="Berechnung" xfId="25300" hidden="1" xr:uid="{17D9E497-6DE7-40B8-800E-815641F43F34}"/>
    <cellStyle name="Berechnung" xfId="25091" hidden="1" xr:uid="{FDBCC3AD-D9E7-4C2C-9BC7-5EBF7C9D0BDA}"/>
    <cellStyle name="Berechnung" xfId="24117" hidden="1" xr:uid="{E6FA30F5-8C3B-4314-A253-788BAD5E3BA6}"/>
    <cellStyle name="Berechnung" xfId="25342" hidden="1" xr:uid="{9CCF4F0A-048A-4354-9C2F-F4BF06F28626}"/>
    <cellStyle name="Berechnung" xfId="25078" hidden="1" xr:uid="{41F4335B-DBE3-4886-B7BF-F13A71D97199}"/>
    <cellStyle name="Berechnung" xfId="26110" hidden="1" xr:uid="{D42717B7-F61F-4F06-AF8C-D0453129A70D}"/>
    <cellStyle name="Berechnung" xfId="25919" hidden="1" xr:uid="{A2EEAB67-52C8-496E-B720-6D8C1002344A}"/>
    <cellStyle name="Berechnung" xfId="26358" hidden="1" xr:uid="{D08AF6F6-6595-4857-BB0A-AC63417BBDF4}"/>
    <cellStyle name="Berechnung" xfId="26681" hidden="1" xr:uid="{76AEE02A-F68B-47DC-90FF-65141868CC1E}"/>
    <cellStyle name="Berechnung" xfId="26384" hidden="1" xr:uid="{C84FB0FE-068E-438A-96D2-1FE500EDDB56}"/>
    <cellStyle name="Berechnung" xfId="26095" hidden="1" xr:uid="{BAED71E5-C2F5-4BE8-92D9-22068BE31F6E}"/>
    <cellStyle name="Berechnung" xfId="27687" hidden="1" xr:uid="{35F7592C-511E-4529-A7BD-C204CE82A551}"/>
    <cellStyle name="Berechnung" xfId="24533" hidden="1" xr:uid="{FDC4D210-C9F4-43D8-B863-3144252BD0A0}"/>
    <cellStyle name="Berechnung" xfId="27865" hidden="1" xr:uid="{D52FA5BE-A5B5-42C7-B617-F5685C874913}"/>
    <cellStyle name="Berechnung" xfId="27708" hidden="1" xr:uid="{141C4E81-AD96-4E49-B598-7AF2869D3B61}"/>
    <cellStyle name="Berechnung" xfId="27802" hidden="1" xr:uid="{B4E42A74-D797-43EE-9D94-D3158F3D9DBC}"/>
    <cellStyle name="Berechnung" xfId="27843" hidden="1" xr:uid="{0851F422-6A23-42B2-ADE8-C85FD0D1C8B2}"/>
    <cellStyle name="Berechnung" xfId="27936" hidden="1" xr:uid="{9DC7C2D7-BCEE-4D35-8E4F-E4753B80388B}"/>
    <cellStyle name="Berechnung" xfId="28113" hidden="1" xr:uid="{224E27C3-44E8-4F84-9A28-2FDED325C5E5}"/>
    <cellStyle name="Berechnung" xfId="27928" hidden="1" xr:uid="{A770EE61-57B1-4F64-AAAD-8474A1FC393A}"/>
    <cellStyle name="Berechnung" xfId="29361" hidden="1" xr:uid="{EDFC6502-F1E0-4360-9D4E-2C9F94BD460C}"/>
    <cellStyle name="Berechnung" xfId="27988" hidden="1" xr:uid="{807C3F71-4945-4563-B93A-FA8DD430A963}"/>
    <cellStyle name="Berechnung" xfId="28086" hidden="1" xr:uid="{B77AAB35-88B2-471F-88C1-FCEB9B295A70}"/>
    <cellStyle name="Berechnung" xfId="28125" hidden="1" xr:uid="{AC57E3D2-F6DD-4CF5-9CDB-4DC229B2EFDE}"/>
    <cellStyle name="Berechnung" xfId="29792" hidden="1" xr:uid="{22C4B2C8-BB65-4F74-B7D0-0B92B85573AA}"/>
    <cellStyle name="Berechnung" xfId="28240" hidden="1" xr:uid="{147877F6-B086-43FC-BD5E-079913DDB494}"/>
    <cellStyle name="Berechnung" xfId="30853" hidden="1" xr:uid="{7E1F11AF-D28E-4037-8EB0-250B971602EA}"/>
    <cellStyle name="Berechnung 2" xfId="392" xr:uid="{97EB10F2-13BA-4AA7-8DFB-092C1A9A365D}"/>
    <cellStyle name="Berechnung 2 10" xfId="4022" xr:uid="{7FB12F25-48F0-44B6-B50D-6556751D2802}"/>
    <cellStyle name="Berechnung 2 11" xfId="4749" xr:uid="{0C0552D0-526E-4760-8287-4607E10417AB}"/>
    <cellStyle name="Berechnung 2 12" xfId="3759" xr:uid="{35ECE05B-0961-41C9-9530-90B6C59BCD9B}"/>
    <cellStyle name="Berechnung 2 13" xfId="5903" xr:uid="{0B92ADB5-1B98-4BC3-B4E8-7301FF6CF29A}"/>
    <cellStyle name="Berechnung 2 14" xfId="6478" xr:uid="{A7648A4E-1DC1-4988-8604-A3D66916C3E5}"/>
    <cellStyle name="Berechnung 2 15" xfId="7119" xr:uid="{E1A78999-56CD-436C-9920-FCE0FC0FFD42}"/>
    <cellStyle name="Berechnung 2 16" xfId="7042" xr:uid="{1C8D17E3-6493-4747-9CE4-0E0D3C7CC6CB}"/>
    <cellStyle name="Berechnung 2 17" xfId="8623" xr:uid="{19BC5578-57D3-483B-B4B9-89792A1CED29}"/>
    <cellStyle name="Berechnung 2 18" xfId="8507" xr:uid="{51B8B900-47B9-4930-B4D4-74F530734AD4}"/>
    <cellStyle name="Berechnung 2 19" xfId="9332" xr:uid="{7AF4D403-D7A1-4D9D-9219-CD52DDD077D2}"/>
    <cellStyle name="Berechnung 2 2" xfId="648" xr:uid="{3E64EDC9-3380-4ACA-A783-0C55A4A09C0F}"/>
    <cellStyle name="Berechnung 2 2 10" xfId="4784" xr:uid="{68542044-B534-42E1-B4C4-2131ABFFD40A}"/>
    <cellStyle name="Berechnung 2 2 11" xfId="5296" xr:uid="{40CCA216-FB8B-4F7F-80A6-ADB5301EB00A}"/>
    <cellStyle name="Berechnung 2 2 12" xfId="3276" xr:uid="{41239D66-5686-45B7-9A78-DD9B561D6B40}"/>
    <cellStyle name="Berechnung 2 2 13" xfId="6268" xr:uid="{06844E3A-1FB8-4036-AFC5-B2B615AE4E23}"/>
    <cellStyle name="Berechnung 2 2 14" xfId="4704" xr:uid="{47E65A23-C555-4EA7-9A27-1CB709F95AD9}"/>
    <cellStyle name="Berechnung 2 2 15" xfId="7368" xr:uid="{39DA47C3-9885-448F-A521-B591FF5ABD9A}"/>
    <cellStyle name="Berechnung 2 2 16" xfId="7097" xr:uid="{FB6DEFDB-D6A3-47B0-9737-CB53BAFBE471}"/>
    <cellStyle name="Berechnung 2 2 17" xfId="7849" xr:uid="{9E227B49-A0F1-445F-9B8C-C99E79DB2591}"/>
    <cellStyle name="Berechnung 2 2 18" xfId="8293" xr:uid="{D0CC09E8-A363-438F-BC73-4F7E2DFF0A83}"/>
    <cellStyle name="Berechnung 2 2 19" xfId="9582" xr:uid="{BE057358-36FF-4753-9795-5C4ABB0F6044}"/>
    <cellStyle name="Berechnung 2 2 2" xfId="863" xr:uid="{50620EDC-2C69-4CDA-ABC3-D385E01FAA69}"/>
    <cellStyle name="Berechnung 2 2 2 10" xfId="5511" xr:uid="{8CCB0176-9123-4285-A502-77655D4C98B4}"/>
    <cellStyle name="Berechnung 2 2 2 11" xfId="5620" xr:uid="{2839615F-2A97-401F-91A6-85136CF12613}"/>
    <cellStyle name="Berechnung 2 2 2 12" xfId="5154" xr:uid="{9823312E-9356-4205-908D-A12A65CBE170}"/>
    <cellStyle name="Berechnung 2 2 2 13" xfId="6556" xr:uid="{653271B3-0E5D-4879-BAC9-1F1E4813BEA0}"/>
    <cellStyle name="Berechnung 2 2 2 14" xfId="7583" xr:uid="{9DE5B563-0999-4E5E-9620-849A29480B0D}"/>
    <cellStyle name="Berechnung 2 2 2 15" xfId="6984" xr:uid="{0BCFEEE4-0B2D-4384-B608-B378408F5944}"/>
    <cellStyle name="Berechnung 2 2 2 16" xfId="6887" xr:uid="{AE7076B1-B234-41AF-B8BD-0C70D5B9130A}"/>
    <cellStyle name="Berechnung 2 2 2 17" xfId="8781" xr:uid="{04E7B7C6-A3EC-4A31-BB11-698DFD7093D1}"/>
    <cellStyle name="Berechnung 2 2 2 18" xfId="9797" xr:uid="{E2107511-9FCA-48A5-B7AB-9A428116A6A5}"/>
    <cellStyle name="Berechnung 2 2 2 19" xfId="9043" xr:uid="{10085795-D763-482A-9825-CF341A5025B1}"/>
    <cellStyle name="Berechnung 2 2 2 2" xfId="1337" xr:uid="{2BD0A075-DBA3-491D-B351-6675DF73C4B5}"/>
    <cellStyle name="Berechnung 2 2 2 20" xfId="9162" xr:uid="{07D0C760-6877-4A5B-9C4D-E9887990898C}"/>
    <cellStyle name="Berechnung 2 2 2 21" xfId="9372" xr:uid="{1780DF61-3DF7-403D-8997-D879A3280D1C}"/>
    <cellStyle name="Berechnung 2 2 2 22" xfId="11193" xr:uid="{CE435F81-EC14-4497-A4DB-7C43E8E220A5}"/>
    <cellStyle name="Berechnung 2 2 2 23" xfId="12216" xr:uid="{56146DA8-5034-49EF-A4DB-BECE4FAE2D66}"/>
    <cellStyle name="Berechnung 2 2 2 24" xfId="12689" xr:uid="{2F3C4097-B5D6-481E-BEC5-822CD7C391F7}"/>
    <cellStyle name="Berechnung 2 2 2 25" xfId="13123" xr:uid="{9EED300A-5B39-4A60-8F8C-5DB35BC431DD}"/>
    <cellStyle name="Berechnung 2 2 2 26" xfId="13560" xr:uid="{C12EED49-D73C-48A2-A6EE-42F7320D6E4D}"/>
    <cellStyle name="Berechnung 2 2 2 27" xfId="11608" xr:uid="{DAA68B86-E534-4170-903E-181810F1F67B}"/>
    <cellStyle name="Berechnung 2 2 2 28" xfId="14479" xr:uid="{97517CE9-C041-430D-B11D-0223298ABED3}"/>
    <cellStyle name="Berechnung 2 2 2 29" xfId="14079" xr:uid="{42F854FF-2262-4A19-87FD-FE7885200C48}"/>
    <cellStyle name="Berechnung 2 2 2 3" xfId="1786" xr:uid="{2F2FD79B-1BBF-41BC-A390-D0205FF9DB3C}"/>
    <cellStyle name="Berechnung 2 2 2 30" xfId="15335" xr:uid="{E1F28859-9D82-473D-AE4F-ED85D35BFD36}"/>
    <cellStyle name="Berechnung 2 2 2 31" xfId="15677" xr:uid="{A67EBB91-F1E5-4EDC-A7CA-C379A386258D}"/>
    <cellStyle name="Berechnung 2 2 2 32" xfId="15566" xr:uid="{768CD51F-BA7C-4461-9B64-910F80A324FB}"/>
    <cellStyle name="Berechnung 2 2 2 33" xfId="16908" xr:uid="{4C5F6F03-6CD4-4F0E-9F06-D4C7325F252C}"/>
    <cellStyle name="Berechnung 2 2 2 34" xfId="16304" xr:uid="{5ABA0F64-A4A6-4D16-A4C5-7015B2E61F3F}"/>
    <cellStyle name="Berechnung 2 2 2 35" xfId="16208" xr:uid="{183CBC52-626C-45CA-8181-9ED18F1F5465}"/>
    <cellStyle name="Berechnung 2 2 2 36" xfId="17635" xr:uid="{C412F555-6861-4DE5-8483-9F5A7DF86582}"/>
    <cellStyle name="Berechnung 2 2 2 37" xfId="18726" xr:uid="{8BE59750-69F2-43F1-8F11-4D0C88A99B5C}"/>
    <cellStyle name="Berechnung 2 2 2 38" xfId="18904" xr:uid="{1217D2BB-D31B-4A05-847D-B2143D674E12}"/>
    <cellStyle name="Berechnung 2 2 2 39" xfId="18938" xr:uid="{0BF256DA-7789-4570-8D76-67C6DCB980C2}"/>
    <cellStyle name="Berechnung 2 2 2 4" xfId="2685" xr:uid="{63361C3A-E921-4AE7-87B2-54A2469B2106}"/>
    <cellStyle name="Berechnung 2 2 2 40" xfId="20245" xr:uid="{08138554-3795-4789-991F-B36121D6AA7E}"/>
    <cellStyle name="Berechnung 2 2 2 41" xfId="19634" xr:uid="{052C89E6-B233-4F26-B950-DCA4AB9FFA38}"/>
    <cellStyle name="Berechnung 2 2 2 42" xfId="20321" xr:uid="{3EA0754A-5BA3-45BE-98C4-EC259C56EBEC}"/>
    <cellStyle name="Berechnung 2 2 2 43" xfId="21479" xr:uid="{FAC13CF9-5151-4214-98EC-8ACA01BD5AB0}"/>
    <cellStyle name="Berechnung 2 2 2 44" xfId="21409" xr:uid="{DDB50A64-2DB8-4474-BC17-CE0B97FFF19D}"/>
    <cellStyle name="Berechnung 2 2 2 45" xfId="21727" xr:uid="{EDCAE9B8-AED8-41FC-86DB-D4AA7A77B50B}"/>
    <cellStyle name="Berechnung 2 2 2 46" xfId="22191" xr:uid="{5C4955BA-B54D-4314-83F9-654CE2D01A7C}"/>
    <cellStyle name="Berechnung 2 2 2 47" xfId="23180" xr:uid="{869F3273-DB89-4B47-925B-99389BDCAAF5}"/>
    <cellStyle name="Berechnung 2 2 2 48" xfId="23212" xr:uid="{7AB960E8-AB59-4055-AD4B-53B5110A6910}"/>
    <cellStyle name="Berechnung 2 2 2 49" xfId="24045" xr:uid="{7E8F4771-E6D5-4D6E-B025-59534D3D2A61}"/>
    <cellStyle name="Berechnung 2 2 2 5" xfId="2252" xr:uid="{C55552EF-02E8-4628-87A1-7446A2615B13}"/>
    <cellStyle name="Berechnung 2 2 2 50" xfId="24953" xr:uid="{D06B7878-30C6-42C0-822D-D1F15DBDE602}"/>
    <cellStyle name="Berechnung 2 2 2 51" xfId="24192" xr:uid="{B49A0C75-CA8D-4FDE-8186-69148C8C8AE7}"/>
    <cellStyle name="Berechnung 2 2 2 52" xfId="25869" xr:uid="{B45EBAF3-666B-4C45-B530-A8D83991DE4B}"/>
    <cellStyle name="Berechnung 2 2 2 53" xfId="25268" xr:uid="{8B5E8D77-7AB5-4514-B1A9-F9867AD7BB00}"/>
    <cellStyle name="Berechnung 2 2 2 54" xfId="26736" xr:uid="{ABE008AB-9898-4C9F-B54F-B04886140E85}"/>
    <cellStyle name="Berechnung 2 2 2 55" xfId="27157" xr:uid="{47EC868D-02AA-4259-AC34-7262245BA87A}"/>
    <cellStyle name="Berechnung 2 2 2 56" xfId="27576" xr:uid="{7A5B3A81-ABA3-4289-B106-4BD3BFACB480}"/>
    <cellStyle name="Berechnung 2 2 2 57" xfId="27213" xr:uid="{241AB238-DCEC-4321-A368-F84DDC8DC36E}"/>
    <cellStyle name="Berechnung 2 2 2 58" xfId="28703" xr:uid="{B0137AF3-A214-4D6E-908D-FDC46E89726D}"/>
    <cellStyle name="Berechnung 2 2 2 59" xfId="29170" xr:uid="{E340DBD4-AD92-4F9C-A4B8-832D0AD1798E}"/>
    <cellStyle name="Berechnung 2 2 2 6" xfId="2863" xr:uid="{ED73F821-4F2A-4F1E-B2A0-F86932EC8D04}"/>
    <cellStyle name="Berechnung 2 2 2 60" xfId="28110" xr:uid="{0B13BE5A-BB92-4198-96E3-5342BE6C0C1B}"/>
    <cellStyle name="Berechnung 2 2 2 61" xfId="29959" xr:uid="{55AD198B-A4E1-421C-8B02-F75F315AA170}"/>
    <cellStyle name="Berechnung 2 2 2 62" xfId="30365" xr:uid="{A376FBD2-DCA9-4C4A-9856-94A4713DE218}"/>
    <cellStyle name="Berechnung 2 2 2 63" xfId="30782" xr:uid="{7820B3E8-E50D-4967-880B-BD3C421202F1}"/>
    <cellStyle name="Berechnung 2 2 2 64" xfId="31027" xr:uid="{F51A5239-AD89-4D6B-8ACA-9A689D69C446}"/>
    <cellStyle name="Berechnung 2 2 2 65" xfId="31398" xr:uid="{C69B505B-D98F-46B9-9C69-6B01258484E4}"/>
    <cellStyle name="Berechnung 2 2 2 7" xfId="4181" xr:uid="{4F2D4531-51FF-4488-9100-FD1B05AAE3B4}"/>
    <cellStyle name="Berechnung 2 2 2 8" xfId="4618" xr:uid="{1090D5D7-809B-4CC9-9278-A1761D3CC51C}"/>
    <cellStyle name="Berechnung 2 2 2 9" xfId="5064" xr:uid="{B0788538-4F6E-4FB4-9EE1-9DE67C03D3CA}"/>
    <cellStyle name="Berechnung 2 2 20" xfId="9310" xr:uid="{7FA12F4E-459E-4171-B87E-60E8412C7B0D}"/>
    <cellStyle name="Berechnung 2 2 21" xfId="8956" xr:uid="{7968D057-26C9-4012-A5BB-DFE325B0A373}"/>
    <cellStyle name="Berechnung 2 2 22" xfId="9387" xr:uid="{27ECC778-3E79-4336-A3ED-CD814F0D9E42}"/>
    <cellStyle name="Berechnung 2 2 23" xfId="11072" xr:uid="{421CD460-2338-4DD1-B63A-1BC7811855AF}"/>
    <cellStyle name="Berechnung 2 2 24" xfId="12001" xr:uid="{4BF1B7A6-3B58-41B1-8CD5-E311F0B893D2}"/>
    <cellStyle name="Berechnung 2 2 25" xfId="12474" xr:uid="{CA422DAD-2EB5-4D49-955D-6E51DBD1F56C}"/>
    <cellStyle name="Berechnung 2 2 26" xfId="12908" xr:uid="{65CBC7AA-B489-401A-A5EE-17BCCC79A81F}"/>
    <cellStyle name="Berechnung 2 2 27" xfId="13345" xr:uid="{F095F4CC-C271-4B46-8C68-8EBC58BD1555}"/>
    <cellStyle name="Berechnung 2 2 28" xfId="12310" xr:uid="{B8FDD43F-0E1C-4FF9-B492-AB11183B0422}"/>
    <cellStyle name="Berechnung 2 2 29" xfId="13188" xr:uid="{D59A60E4-EADF-43A2-8FAC-3C3B9D87CC28}"/>
    <cellStyle name="Berechnung 2 2 3" xfId="1131" xr:uid="{5E4ABF1D-2BC1-413A-AD16-833D9A58F8FB}"/>
    <cellStyle name="Berechnung 2 2 30" xfId="14098" xr:uid="{016066BF-2902-40CA-A29A-B880433D46CB}"/>
    <cellStyle name="Berechnung 2 2 31" xfId="14943" xr:uid="{56CF7C85-D9AB-486A-8DE6-5F642EB81726}"/>
    <cellStyle name="Berechnung 2 2 32" xfId="15695" xr:uid="{868E9F75-9A26-447C-9B95-F67ABA89C54D}"/>
    <cellStyle name="Berechnung 2 2 33" xfId="15219" xr:uid="{62086CE3-CA9F-45FB-A398-B3958D3299B8}"/>
    <cellStyle name="Berechnung 2 2 34" xfId="16693" xr:uid="{D5C54DA4-32A5-48EA-869B-D3B9B6EC7336}"/>
    <cellStyle name="Berechnung 2 2 35" xfId="16419" xr:uid="{CB9C0D3A-1164-4EC2-B981-A3AFD8198E4E}"/>
    <cellStyle name="Berechnung 2 2 36" xfId="16066" xr:uid="{7F41ED23-2CFD-4008-A276-F798A1BC4FE8}"/>
    <cellStyle name="Berechnung 2 2 37" xfId="17511" xr:uid="{AB3197E3-E9F2-4899-A0B6-FEBBB42DF7B3}"/>
    <cellStyle name="Berechnung 2 2 38" xfId="18511" xr:uid="{DE5D8519-5F08-469D-ADB1-654211528418}"/>
    <cellStyle name="Berechnung 2 2 39" xfId="17726" xr:uid="{C8478FCD-AF85-4361-A9A4-8E2DC98D6B6D}"/>
    <cellStyle name="Berechnung 2 2 4" xfId="1577" xr:uid="{18E33D8C-4554-4777-9AAD-551BF7C3E36B}"/>
    <cellStyle name="Berechnung 2 2 40" xfId="17007" xr:uid="{AE8732E1-6931-4008-8D16-10A033031428}"/>
    <cellStyle name="Berechnung 2 2 41" xfId="20030" xr:uid="{BA7EF49B-D03B-4044-9935-30F9524B67A9}"/>
    <cellStyle name="Berechnung 2 2 42" xfId="19754" xr:uid="{2FCBEA8A-153F-4270-8D7F-2DF2792F241C}"/>
    <cellStyle name="Berechnung 2 2 43" xfId="20353" xr:uid="{A5DF8F82-69E9-400D-A7F8-9EC063CFEED9}"/>
    <cellStyle name="Berechnung 2 2 44" xfId="19804" xr:uid="{78665E40-556E-4303-8DE5-04A7DA2A2A9E}"/>
    <cellStyle name="Berechnung 2 2 45" xfId="19540" xr:uid="{2F6D6736-CA24-45FD-897B-AEB768022C0A}"/>
    <cellStyle name="Berechnung 2 2 46" xfId="20899" xr:uid="{2FD56EF0-E252-47E0-A0CE-7F8C6551CD43}"/>
    <cellStyle name="Berechnung 2 2 47" xfId="21997" xr:uid="{F138E5C0-A096-4205-BA8B-FE885AB8CDC0}"/>
    <cellStyle name="Berechnung 2 2 48" xfId="22978" xr:uid="{D21CB933-BBD2-4B3A-AA2E-71AB6F845C81}"/>
    <cellStyle name="Berechnung 2 2 49" xfId="22765" xr:uid="{40C19B56-87F5-4C23-A217-B9CA5F14C5AE}"/>
    <cellStyle name="Berechnung 2 2 5" xfId="2470" xr:uid="{6ABE94BC-2ED6-490E-86F4-0ADCA5015FE7}"/>
    <cellStyle name="Berechnung 2 2 50" xfId="23839" xr:uid="{6AC9E2E0-7708-46F6-ABCD-32E2C74B25F6}"/>
    <cellStyle name="Berechnung 2 2 51" xfId="24738" xr:uid="{6F74EC4A-FAB8-4711-972B-CBA9FAEE7AA1}"/>
    <cellStyle name="Berechnung 2 2 52" xfId="24468" xr:uid="{7772E2DC-D1EE-4BBB-8CFC-38796E61CF09}"/>
    <cellStyle name="Berechnung 2 2 53" xfId="25656" xr:uid="{8B81BDF2-C13A-451D-BEE7-4B6DD563FF51}"/>
    <cellStyle name="Berechnung 2 2 54" xfId="25352" xr:uid="{8E9F48AE-A72E-49F5-AB91-576E0BECF772}"/>
    <cellStyle name="Berechnung 2 2 55" xfId="26628" xr:uid="{3CAD3EBB-5893-4E65-B9A7-2704EB9D6319}"/>
    <cellStyle name="Berechnung 2 2 56" xfId="26946" xr:uid="{9F955B9E-8BAA-4608-BE7F-850224CF3639}"/>
    <cellStyle name="Berechnung 2 2 57" xfId="27365" xr:uid="{98758A5D-A501-4008-A149-1A979766B1AF}"/>
    <cellStyle name="Berechnung 2 2 58" xfId="27784" xr:uid="{BA55A803-3A0A-4E67-90FC-85F1C883B767}"/>
    <cellStyle name="Berechnung 2 2 59" xfId="28488" xr:uid="{29DECD31-8532-4A73-BB53-8A21ADE711DB}"/>
    <cellStyle name="Berechnung 2 2 6" xfId="2010" xr:uid="{3605784D-230F-4EF2-A48F-178082AAE935}"/>
    <cellStyle name="Berechnung 2 2 60" xfId="28956" xr:uid="{34F44169-BFEC-45BF-8F43-DB7D6543A670}"/>
    <cellStyle name="Berechnung 2 2 61" xfId="28069" xr:uid="{55865BF8-4F15-471B-BD76-757CDEF15778}"/>
    <cellStyle name="Berechnung 2 2 62" xfId="29746" xr:uid="{66D561B0-D386-4323-A388-9E88821EB28F}"/>
    <cellStyle name="Berechnung 2 2 63" xfId="30154" xr:uid="{1656A5EF-A672-4280-A739-4CB8EE794E58}"/>
    <cellStyle name="Berechnung 2 2 64" xfId="30568" xr:uid="{DFFA80F2-1618-40ED-95A1-2EA38844F04D}"/>
    <cellStyle name="Berechnung 2 2 65" xfId="30420" xr:uid="{79B1CCD9-B3E6-4DB6-9A1D-496C0FE23D42}"/>
    <cellStyle name="Berechnung 2 2 66" xfId="31192" xr:uid="{FBAF633F-59B4-4480-A0D0-CCC0D74EAC42}"/>
    <cellStyle name="Berechnung 2 2 7" xfId="3645" xr:uid="{5C7F2024-8836-4AA5-98F2-C29BF309A5AB}"/>
    <cellStyle name="Berechnung 2 2 8" xfId="3966" xr:uid="{DC734890-28EF-4014-890E-754FAB94969A}"/>
    <cellStyle name="Berechnung 2 2 9" xfId="4404" xr:uid="{82754044-0580-4F88-8945-B6DD9A89DCF4}"/>
    <cellStyle name="Berechnung 2 20" xfId="9255" xr:uid="{B28240D6-C311-4174-9A4E-943981A0783A}"/>
    <cellStyle name="Berechnung 2 21" xfId="11280" xr:uid="{BC77D581-6943-4F03-A565-7E59E20C0292}"/>
    <cellStyle name="Berechnung 2 22" xfId="11746" xr:uid="{FD15A90F-8CAF-41D9-AB33-EB9039412DD0}"/>
    <cellStyle name="Berechnung 2 23" xfId="11355" xr:uid="{AA41F32D-D343-455E-982A-FCEFB5838D04}"/>
    <cellStyle name="Berechnung 2 24" xfId="11604" xr:uid="{8AFA0AC0-6A47-418D-8DF3-2EA462D920BA}"/>
    <cellStyle name="Berechnung 2 25" xfId="12964" xr:uid="{59A3780A-2FE8-404D-9C18-07E73687C5C1}"/>
    <cellStyle name="Berechnung 2 26" xfId="13867" xr:uid="{FCA3DF2C-5A48-4525-932A-6A5C5815A45C}"/>
    <cellStyle name="Berechnung 2 27" xfId="11673" xr:uid="{F18DADB2-70A8-46EE-A2F9-6817F7094084}"/>
    <cellStyle name="Berechnung 2 28" xfId="15723" xr:uid="{811AB283-9A7D-408A-8D12-9BDC4F895D6D}"/>
    <cellStyle name="Berechnung 2 29" xfId="16441" xr:uid="{B90634AF-D6FC-4901-BB80-FB9DEC7CD97A}"/>
    <cellStyle name="Berechnung 2 3" xfId="513" xr:uid="{C0D6F65E-7FCD-44E4-9012-6DEFC3996611}"/>
    <cellStyle name="Berechnung 2 3 10" xfId="5051" xr:uid="{36088080-86A5-403F-8F82-0263E043B81B}"/>
    <cellStyle name="Berechnung 2 3 11" xfId="5161" xr:uid="{3443303C-C009-4DEE-B90E-3995820A62FC}"/>
    <cellStyle name="Berechnung 2 3 12" xfId="5140" xr:uid="{2211FBC7-F9D7-48B7-8C64-AA590BAF455C}"/>
    <cellStyle name="Berechnung 2 3 13" xfId="5808" xr:uid="{B92DB558-954E-4D75-9F26-0FA76DDC6766}"/>
    <cellStyle name="Berechnung 2 3 14" xfId="6674" xr:uid="{7EF94B82-56FD-4F49-BC45-F569326BC38F}"/>
    <cellStyle name="Berechnung 2 3 15" xfId="7233" xr:uid="{4F65E832-5618-42CC-976A-911076F0EE8D}"/>
    <cellStyle name="Berechnung 2 3 16" xfId="7752" xr:uid="{9A027672-80F1-49F4-810B-2C2C1D83FF5E}"/>
    <cellStyle name="Berechnung 2 3 17" xfId="7175" xr:uid="{A2F0DBF6-E507-49BE-A6FE-5168D5F5AA73}"/>
    <cellStyle name="Berechnung 2 3 18" xfId="8815" xr:uid="{B9D9BCFB-5C3E-4394-980A-5999E376579C}"/>
    <cellStyle name="Berechnung 2 3 19" xfId="9447" xr:uid="{C969CDE3-2F13-45DA-975E-98F370F03389}"/>
    <cellStyle name="Berechnung 2 3 2" xfId="728" xr:uid="{A9EEB3AD-7486-41BA-A022-F2DBAD0431E2}"/>
    <cellStyle name="Berechnung 2 3 2 10" xfId="5376" xr:uid="{789892A6-AF3C-4644-9F28-3F39F4A3D26A}"/>
    <cellStyle name="Berechnung 2 3 2 11" xfId="5930" xr:uid="{5A0CE63E-5BF6-4A34-9432-50F22DCC5950}"/>
    <cellStyle name="Berechnung 2 3 2 12" xfId="6281" xr:uid="{F59F6635-130E-4EF9-B9A5-82067E6BB207}"/>
    <cellStyle name="Berechnung 2 3 2 13" xfId="6673" xr:uid="{A2C60E39-3040-4A1E-B1F7-16C13E6174E2}"/>
    <cellStyle name="Berechnung 2 3 2 14" xfId="7448" xr:uid="{668D09F5-F62D-4A13-9CE9-5B96EB0D662D}"/>
    <cellStyle name="Berechnung 2 3 2 15" xfId="7965" xr:uid="{1BF7727E-8652-492B-916B-2651A693D4DB}"/>
    <cellStyle name="Berechnung 2 3 2 16" xfId="8365" xr:uid="{9CCC4EFB-0D61-449E-BC5F-12A3D0FAA668}"/>
    <cellStyle name="Berechnung 2 3 2 17" xfId="7942" xr:uid="{53187699-29C8-4F9A-9133-B16D69F42326}"/>
    <cellStyle name="Berechnung 2 3 2 18" xfId="9662" xr:uid="{0559FC01-0764-4EF8-9192-F968E9CB4BE2}"/>
    <cellStyle name="Berechnung 2 3 2 19" xfId="10180" xr:uid="{D136BFAE-65D8-456C-A0A5-345FE0D84D9B}"/>
    <cellStyle name="Berechnung 2 3 2 2" xfId="1202" xr:uid="{02957A43-5883-4AE2-997E-6686A3F59A18}"/>
    <cellStyle name="Berechnung 2 3 2 20" xfId="10586" xr:uid="{3717BA2E-EBA5-4CBA-A735-48CD6611BB0C}"/>
    <cellStyle name="Berechnung 2 3 2 21" xfId="9888" xr:uid="{E57FD0C6-B8C7-4AC7-B8AB-73BC8E5BC177}"/>
    <cellStyle name="Berechnung 2 3 2 22" xfId="11290" xr:uid="{5478EC92-C4FA-4E36-99DE-9030CD924D5B}"/>
    <cellStyle name="Berechnung 2 3 2 23" xfId="12081" xr:uid="{B3122828-1142-4CEE-B98E-8011CD346E9F}"/>
    <cellStyle name="Berechnung 2 3 2 24" xfId="12554" xr:uid="{BE7A1506-FFBC-49D7-A6D4-0991FC89AF9F}"/>
    <cellStyle name="Berechnung 2 3 2 25" xfId="12988" xr:uid="{0A313994-DE9C-4189-A6F5-936A452F7BCB}"/>
    <cellStyle name="Berechnung 2 3 2 26" xfId="13425" xr:uid="{A4F5867A-A81D-4F0D-8F80-458757A70A86}"/>
    <cellStyle name="Berechnung 2 3 2 27" xfId="13926" xr:uid="{9678A8FE-7690-46FB-94D4-2C750925DA97}"/>
    <cellStyle name="Berechnung 2 3 2 28" xfId="13912" xr:uid="{AF56A16D-C99C-452E-A555-04C163D17F5B}"/>
    <cellStyle name="Berechnung 2 3 2 29" xfId="14829" xr:uid="{B2702719-64C1-4BC7-B51A-B72ACA539524}"/>
    <cellStyle name="Berechnung 2 3 2 3" xfId="1543" xr:uid="{AAB45A16-3FF3-4E44-B33A-87C38D7A7F6B}"/>
    <cellStyle name="Berechnung 2 3 2 30" xfId="14552" xr:uid="{18ACFACB-B1BC-479C-A690-6130FB882F53}"/>
    <cellStyle name="Berechnung 2 3 2 31" xfId="15589" xr:uid="{DBE073BC-F654-43A9-ADC6-BCEDC25D5F6C}"/>
    <cellStyle name="Berechnung 2 3 2 32" xfId="15950" xr:uid="{A9D942B5-FE6C-473C-A112-73927866DA74}"/>
    <cellStyle name="Berechnung 2 3 2 33" xfId="16773" xr:uid="{783E660F-BA17-4845-B523-00CE3396FBA5}"/>
    <cellStyle name="Berechnung 2 3 2 34" xfId="17300" xr:uid="{694E3837-0702-499B-A284-257AE60E7ED3}"/>
    <cellStyle name="Berechnung 2 3 2 35" xfId="17743" xr:uid="{4D313A8A-8CA8-49C7-AA13-F1E4B80955CA}"/>
    <cellStyle name="Berechnung 2 3 2 36" xfId="18239" xr:uid="{F0397424-7395-4C3A-B88F-DD79B557088D}"/>
    <cellStyle name="Berechnung 2 3 2 37" xfId="18591" xr:uid="{5C064CB5-9EB9-4C9A-9DAD-4F8413B6420B}"/>
    <cellStyle name="Berechnung 2 3 2 38" xfId="18891" xr:uid="{7D667FC2-AE20-4CDB-996A-7E5FDF36D778}"/>
    <cellStyle name="Berechnung 2 3 2 39" xfId="18897" xr:uid="{7C767EDC-B23F-4D49-9E48-4F486011F33A}"/>
    <cellStyle name="Berechnung 2 3 2 4" xfId="2550" xr:uid="{6EA4EA1E-EAEA-4061-B7F6-BD0EEC963AAC}"/>
    <cellStyle name="Berechnung 2 3 2 40" xfId="20110" xr:uid="{5C340032-64FB-4178-85B0-B0C184514FC5}"/>
    <cellStyle name="Berechnung 2 3 2 41" xfId="20650" xr:uid="{D645B714-9E16-46A8-AB9E-4CB64F9507E7}"/>
    <cellStyle name="Berechnung 2 3 2 42" xfId="21107" xr:uid="{29631F1D-F9AA-4BDA-8B8D-4C6F06BE14A0}"/>
    <cellStyle name="Berechnung 2 3 2 43" xfId="21138" xr:uid="{5EB0ABEA-D8DB-488E-BB52-197FD68E79B4}"/>
    <cellStyle name="Berechnung 2 3 2 44" xfId="22038" xr:uid="{21FBCEE8-B158-488B-9C8A-7F77C78D94E2}"/>
    <cellStyle name="Berechnung 2 3 2 45" xfId="22467" xr:uid="{F2909D04-B27C-459E-B811-FD4A3EAA30CA}"/>
    <cellStyle name="Berechnung 2 3 2 46" xfId="22902" xr:uid="{74837A68-66E4-48D1-BE1C-F3727045E89A}"/>
    <cellStyle name="Berechnung 2 3 2 47" xfId="23167" xr:uid="{81EE0156-3485-4389-8F3B-9D8787BBA83E}"/>
    <cellStyle name="Berechnung 2 3 2 48" xfId="22508" xr:uid="{01155A86-73B4-4F2D-9661-44784ECE26AB}"/>
    <cellStyle name="Berechnung 2 3 2 49" xfId="23910" xr:uid="{372A955C-7D28-42C5-834F-3585AAB9C308}"/>
    <cellStyle name="Berechnung 2 3 2 5" xfId="3094" xr:uid="{C727194F-E899-45FA-8168-85DE444CDB24}"/>
    <cellStyle name="Berechnung 2 3 2 50" xfId="24818" xr:uid="{D5F15653-9101-47D5-B28B-13FC39BDCBBD}"/>
    <cellStyle name="Berechnung 2 3 2 51" xfId="25354" xr:uid="{C5107536-6F16-46D3-852B-AEC76D4F9D0E}"/>
    <cellStyle name="Berechnung 2 3 2 52" xfId="25734" xr:uid="{511D424C-C29E-473A-9AFD-15560604089E}"/>
    <cellStyle name="Berechnung 2 3 2 53" xfId="26207" xr:uid="{18984787-BEE8-4D98-8C61-5134629320D1}"/>
    <cellStyle name="Berechnung 2 3 2 54" xfId="26671" xr:uid="{1BC46A09-7174-4647-BCA9-7161E27A139D}"/>
    <cellStyle name="Berechnung 2 3 2 55" xfId="27022" xr:uid="{EC1F8B6E-BAD0-4136-8513-50B22923CC71}"/>
    <cellStyle name="Berechnung 2 3 2 56" xfId="27441" xr:uid="{2ACA414F-EC9C-4FEB-B07B-AAE5D8C433D4}"/>
    <cellStyle name="Berechnung 2 3 2 57" xfId="27820" xr:uid="{93814C5F-0704-4094-B862-3A2AF1AC5B5A}"/>
    <cellStyle name="Berechnung 2 3 2 58" xfId="28568" xr:uid="{1B867A86-81E8-4442-B98D-BC088697E57B}"/>
    <cellStyle name="Berechnung 2 3 2 59" xfId="29035" xr:uid="{6CC67769-4CA2-4396-90E3-F1C547AADB15}"/>
    <cellStyle name="Berechnung 2 3 2 6" xfId="2007" xr:uid="{9301F129-FC71-4EBC-94E0-D65FE17C0D1C}"/>
    <cellStyle name="Berechnung 2 3 2 60" xfId="29478" xr:uid="{5D56F3AE-103E-4262-BEA6-57A4EF373C45}"/>
    <cellStyle name="Berechnung 2 3 2 61" xfId="29824" xr:uid="{5392B12A-8AF6-478F-A915-51F47A12A2BC}"/>
    <cellStyle name="Berechnung 2 3 2 62" xfId="30230" xr:uid="{0C50212B-C52E-47DD-8F62-9AFB2DA2BAC6}"/>
    <cellStyle name="Berechnung 2 3 2 63" xfId="30647" xr:uid="{46F25F91-9669-4860-9169-CC40CA2EE4DA}"/>
    <cellStyle name="Berechnung 2 3 2 64" xfId="30397" xr:uid="{B401182F-B5E6-4371-A58B-1183CF27C10B}"/>
    <cellStyle name="Berechnung 2 3 2 65" xfId="31263" xr:uid="{23E2AF34-15B4-4556-AEDA-F95DECA8113D}"/>
    <cellStyle name="Berechnung 2 3 2 7" xfId="4046" xr:uid="{5438B44F-B8A8-4666-B003-6F6567ADC004}"/>
    <cellStyle name="Berechnung 2 3 2 8" xfId="4483" xr:uid="{C9D1053F-567B-4F3B-A790-90FDCBF4C4CF}"/>
    <cellStyle name="Berechnung 2 3 2 9" xfId="3371" xr:uid="{AB11C7D0-BD7B-47AA-9E77-9D6B5079AFF7}"/>
    <cellStyle name="Berechnung 2 3 20" xfId="9966" xr:uid="{1098744F-7AD7-475E-A25F-07B4683053D9}"/>
    <cellStyle name="Berechnung 2 3 21" xfId="10394" xr:uid="{D8C64D50-AC56-4D3D-831A-911A5CF4204F}"/>
    <cellStyle name="Berechnung 2 3 22" xfId="8983" xr:uid="{3469967E-D3C5-457A-800E-C928FEBB2008}"/>
    <cellStyle name="Berechnung 2 3 23" xfId="11291" xr:uid="{056A4ECC-7125-41C5-B5FD-3786BB782700}"/>
    <cellStyle name="Berechnung 2 3 24" xfId="11866" xr:uid="{D7A16070-05D6-423D-AF0B-50207ABBF149}"/>
    <cellStyle name="Berechnung 2 3 25" xfId="12339" xr:uid="{1D716E20-A38B-4960-A71C-213AF5F62E3B}"/>
    <cellStyle name="Berechnung 2 3 26" xfId="12773" xr:uid="{C7B39161-EE8D-45A8-B2D1-323BDC453B0F}"/>
    <cellStyle name="Berechnung 2 3 27" xfId="13210" xr:uid="{1FF4E265-988F-40E6-96DE-8797002CCD06}"/>
    <cellStyle name="Berechnung 2 3 28" xfId="13161" xr:uid="{1B85C1DF-6D4B-4482-BE1F-C177F7C82E34}"/>
    <cellStyle name="Berechnung 2 3 29" xfId="14265" xr:uid="{AFDE68A1-9400-4882-B121-E5B612F6AD6D}"/>
    <cellStyle name="Berechnung 2 3 3" xfId="996" xr:uid="{E821A119-69CA-4B27-A944-0F18736BADCD}"/>
    <cellStyle name="Berechnung 2 3 30" xfId="14632" xr:uid="{4723C7FC-F095-46E3-BF54-374305792AAB}"/>
    <cellStyle name="Berechnung 2 3 31" xfId="14309" xr:uid="{31739ED3-07C9-4C42-9B36-86296DA9C24D}"/>
    <cellStyle name="Berechnung 2 3 32" xfId="15538" xr:uid="{0A4F8B87-175A-4F24-80E8-9DE68E57B058}"/>
    <cellStyle name="Berechnung 2 3 33" xfId="15836" xr:uid="{88A69FB1-FF5D-49BC-9FAA-38B79984DBBA}"/>
    <cellStyle name="Berechnung 2 3 34" xfId="16558" xr:uid="{A2EC0670-A24D-4CF3-9A04-3C63A32F23E1}"/>
    <cellStyle name="Berechnung 2 3 35" xfId="17081" xr:uid="{B4CBC7CA-B0AA-44DA-BACB-B13FEE2AC005}"/>
    <cellStyle name="Berechnung 2 3 36" xfId="17528" xr:uid="{F946D8AF-C6DE-43CA-ABC5-41791C5BF1F0}"/>
    <cellStyle name="Berechnung 2 3 37" xfId="18242" xr:uid="{E80F4FAB-B0FC-4D3F-AE70-42169B3295E5}"/>
    <cellStyle name="Berechnung 2 3 38" xfId="18376" xr:uid="{A7026313-7BA1-473F-BB65-2F9FEE043962}"/>
    <cellStyle name="Berechnung 2 3 39" xfId="18949" xr:uid="{A945B15D-839D-4686-9F6D-10D7BF58945A}"/>
    <cellStyle name="Berechnung 2 3 4" xfId="1610" xr:uid="{36139460-E443-4DE5-A109-D7C82F11DE1B}"/>
    <cellStyle name="Berechnung 2 3 40" xfId="19090" xr:uid="{628CF037-0EA9-4C8A-ACEC-F336DD8DD958}"/>
    <cellStyle name="Berechnung 2 3 41" xfId="19895" xr:uid="{1258B58D-55D8-4C8F-8289-0C8B1A261FE1}"/>
    <cellStyle name="Berechnung 2 3 42" xfId="20434" xr:uid="{60878D1E-4D8A-45F8-8D01-77D9F88064ED}"/>
    <cellStyle name="Berechnung 2 3 43" xfId="20886" xr:uid="{F995117E-EC3C-41E2-9681-196BE9B65923}"/>
    <cellStyle name="Berechnung 2 3 44" xfId="21527" xr:uid="{CBCA85BF-1B28-4C9C-B5BA-DCB66206C3CE}"/>
    <cellStyle name="Berechnung 2 3 45" xfId="21818" xr:uid="{8DC0D8F2-F205-4884-BE52-9E749F9DA029}"/>
    <cellStyle name="Berechnung 2 3 46" xfId="22252" xr:uid="{2237BBD8-983F-4A07-A190-B76FBA04A363}"/>
    <cellStyle name="Berechnung 2 3 47" xfId="19702" xr:uid="{4EA4B4CF-447D-4982-840C-53AF1B9E0DBF}"/>
    <cellStyle name="Berechnung 2 3 48" xfId="23235" xr:uid="{A30C59E0-0D1C-400E-8636-77AF453AFF0A}"/>
    <cellStyle name="Berechnung 2 3 49" xfId="23254" xr:uid="{F5FB2881-5610-489A-AEB6-43DC17BBF7AF}"/>
    <cellStyle name="Berechnung 2 3 5" xfId="2335" xr:uid="{EDCF7913-47AE-4893-81FB-A3B55761D92F}"/>
    <cellStyle name="Berechnung 2 3 50" xfId="23704" xr:uid="{94CEEF87-C6D3-4913-8244-672267F20E08}"/>
    <cellStyle name="Berechnung 2 3 51" xfId="24603" xr:uid="{33A9C7B5-7D76-4B00-9444-8D8E8DFAF82E}"/>
    <cellStyle name="Berechnung 2 3 52" xfId="25141" xr:uid="{F3D42930-0B79-4C67-84D4-54D211C126C5}"/>
    <cellStyle name="Berechnung 2 3 53" xfId="25521" xr:uid="{F8BBC406-6C5D-41A9-9F8C-7E8D06A91465}"/>
    <cellStyle name="Berechnung 2 3 54" xfId="25399" xr:uid="{85E3E96B-E868-4B73-A383-11C6DE04737E}"/>
    <cellStyle name="Berechnung 2 3 55" xfId="26726" xr:uid="{8DEC5F0D-9B61-414E-9669-50B267E9A185}"/>
    <cellStyle name="Berechnung 2 3 56" xfId="26811" xr:uid="{731D3481-D53E-4B81-9CD3-3DFFD6B34493}"/>
    <cellStyle name="Berechnung 2 3 57" xfId="27230" xr:uid="{9F59977E-C5B4-4C47-91FF-A142F90C29A1}"/>
    <cellStyle name="Berechnung 2 3 58" xfId="27189" xr:uid="{96BBBFAC-9F09-4359-B6E7-C1040C685366}"/>
    <cellStyle name="Berechnung 2 3 59" xfId="28353" xr:uid="{AB195179-FB92-4B99-87A2-820C102B2F44}"/>
    <cellStyle name="Berechnung 2 3 6" xfId="2114" xr:uid="{6EB92B0F-7797-4B89-99BB-A34BAE0D846C}"/>
    <cellStyle name="Berechnung 2 3 60" xfId="28821" xr:uid="{0DAB1C22-C838-4EAE-89E7-C4714752658B}"/>
    <cellStyle name="Berechnung 2 3 61" xfId="29293" xr:uid="{0FE2406B-68B2-4151-840B-7198092E472D}"/>
    <cellStyle name="Berechnung 2 3 62" xfId="29611" xr:uid="{3CF6AB27-A7B2-4EE4-B4B8-6793E03FA7BF}"/>
    <cellStyle name="Berechnung 2 3 63" xfId="30019" xr:uid="{D90C1C3C-2588-4781-B889-173B91F92187}"/>
    <cellStyle name="Berechnung 2 3 64" xfId="30433" xr:uid="{6022F4EF-5AB0-417D-AEEB-7E36CE2884C8}"/>
    <cellStyle name="Berechnung 2 3 65" xfId="30880" xr:uid="{10CB6313-DCAB-4E3F-86A5-8DA4FD65AE36}"/>
    <cellStyle name="Berechnung 2 3 66" xfId="31057" xr:uid="{79145AA5-3BA4-40AE-962A-44128B347EED}"/>
    <cellStyle name="Berechnung 2 3 7" xfId="3317" xr:uid="{E0CB249C-F689-4CD4-B3D1-8DAE11FF043E}"/>
    <cellStyle name="Berechnung 2 3 8" xfId="3831" xr:uid="{B5DF59D5-2C72-4433-B248-A8B92DC5BAF8}"/>
    <cellStyle name="Berechnung 2 3 9" xfId="4269" xr:uid="{DAD3D4EA-43AE-4160-9FA6-76B6D9D32AAA}"/>
    <cellStyle name="Berechnung 2 30" xfId="16365" xr:uid="{E6B98430-51E5-4A35-9483-01877194B4A4}"/>
    <cellStyle name="Berechnung 2 31" xfId="18196" xr:uid="{78368DA5-C2D8-46F2-8B73-8930C6421BAC}"/>
    <cellStyle name="Berechnung 2 32" xfId="18204" xr:uid="{ABF6D725-7F47-497E-AABB-69CBCF2D6ABA}"/>
    <cellStyle name="Berechnung 2 33" xfId="17690" xr:uid="{D3D2ADB9-77BE-4F39-8D89-6B6BF27E1169}"/>
    <cellStyle name="Berechnung 2 34" xfId="19775" xr:uid="{C11871F9-71A3-42F9-AE61-73043E23A50B}"/>
    <cellStyle name="Berechnung 2 35" xfId="19698" xr:uid="{DEC52CF3-954A-4D79-B711-015A88799336}"/>
    <cellStyle name="Berechnung 2 36" xfId="22071" xr:uid="{9550E9FD-5B43-499E-BC10-4FB715C4D15B}"/>
    <cellStyle name="Berechnung 2 37" xfId="22851" xr:uid="{586FF3D9-8E8D-4265-84BD-E3EEF3F82F61}"/>
    <cellStyle name="Berechnung 2 38" xfId="23036" xr:uid="{179E6DB3-5D42-44C1-9E63-A41EBE72902E}"/>
    <cellStyle name="Berechnung 2 39" xfId="24486" xr:uid="{583242A5-1469-4079-BA68-6178CD4A140A}"/>
    <cellStyle name="Berechnung 2 4" xfId="569" xr:uid="{16ACFD70-3424-4579-9DD0-CE07C5B27CF6}"/>
    <cellStyle name="Berechnung 2 4 10" xfId="4790" xr:uid="{1604E277-FEF3-4062-8C7D-5D3136C7B1F2}"/>
    <cellStyle name="Berechnung 2 4 11" xfId="5217" xr:uid="{81A82AA5-49F7-4846-BFE2-60865AAA3FC6}"/>
    <cellStyle name="Berechnung 2 4 12" xfId="5554" xr:uid="{4F1B9377-D2FF-4B3A-A9FD-5E058586F3B8}"/>
    <cellStyle name="Berechnung 2 4 13" xfId="6262" xr:uid="{0BDA4BCB-A2D3-4146-B8BA-0316ED40F630}"/>
    <cellStyle name="Berechnung 2 4 14" xfId="6177" xr:uid="{5BF3FE8A-BCD7-43F6-BC74-D77B426916EE}"/>
    <cellStyle name="Berechnung 2 4 15" xfId="7289" xr:uid="{BA933841-AD34-4D15-928B-B7FCBAB16BA0}"/>
    <cellStyle name="Berechnung 2 4 16" xfId="7034" xr:uid="{5B4941CF-8B6F-4640-8547-A5E18C5BB411}"/>
    <cellStyle name="Berechnung 2 4 17" xfId="8616" xr:uid="{ACF00F66-6973-4788-95C3-EBFA5CC422AC}"/>
    <cellStyle name="Berechnung 2 4 18" xfId="8886" xr:uid="{D4A40190-605D-47D5-B9B8-DD64CEB7BF98}"/>
    <cellStyle name="Berechnung 2 4 19" xfId="9503" xr:uid="{5EE982BA-35DA-477E-9065-B6695DFBD412}"/>
    <cellStyle name="Berechnung 2 4 2" xfId="784" xr:uid="{73A672B7-CA9D-4EC8-B780-245AE464444A}"/>
    <cellStyle name="Berechnung 2 4 2 10" xfId="5432" xr:uid="{82CB8643-AB95-45C9-8D49-5E4353B3240F}"/>
    <cellStyle name="Berechnung 2 4 2 11" xfId="5795" xr:uid="{FB5E0C10-F5D2-4319-A700-8E0631D27882}"/>
    <cellStyle name="Berechnung 2 4 2 12" xfId="3651" xr:uid="{724CC8FA-0B60-4EE7-8B9A-676F4644EFC1}"/>
    <cellStyle name="Berechnung 2 4 2 13" xfId="6404" xr:uid="{7D8EF2D8-6436-429A-8C12-2CE653E3AEED}"/>
    <cellStyle name="Berechnung 2 4 2 14" xfId="7504" xr:uid="{9AAE209B-3C3D-4068-966B-6F71BECD0202}"/>
    <cellStyle name="Berechnung 2 4 2 15" xfId="6826" xr:uid="{D062F8A8-7F2F-4977-821A-7FAFFEC5C2BF}"/>
    <cellStyle name="Berechnung 2 4 2 16" xfId="8110" xr:uid="{4C07F1D8-C59E-4440-B79F-88BCB8CB83B9}"/>
    <cellStyle name="Berechnung 2 4 2 17" xfId="7809" xr:uid="{F1DFD533-9345-4859-8904-626292A2A230}"/>
    <cellStyle name="Berechnung 2 4 2 18" xfId="9718" xr:uid="{27F7E3B7-8A38-4756-8780-51225877E5E8}"/>
    <cellStyle name="Berechnung 2 4 2 19" xfId="9340" xr:uid="{B92F6B79-00A0-4FF4-ADF8-99D906AE48D6}"/>
    <cellStyle name="Berechnung 2 4 2 2" xfId="1258" xr:uid="{F9630687-4FC0-4BED-A424-E6C4B8848749}"/>
    <cellStyle name="Berechnung 2 4 2 20" xfId="9157" xr:uid="{C2CC8AAD-7FA3-4DFF-8AAD-F1B45B25DD06}"/>
    <cellStyle name="Berechnung 2 4 2 21" xfId="10614" xr:uid="{84E640C0-33C5-472C-8E0A-47FE795E8DF4}"/>
    <cellStyle name="Berechnung 2 4 2 22" xfId="11211" xr:uid="{3B27FE96-D9F8-48FE-B5F7-12D61B38EB2A}"/>
    <cellStyle name="Berechnung 2 4 2 23" xfId="12137" xr:uid="{C8D63A1A-C442-4EE4-BFA8-836CD93ECA3E}"/>
    <cellStyle name="Berechnung 2 4 2 24" xfId="12610" xr:uid="{2FE094FB-6F23-4DD9-8AA1-F4823AC7FE00}"/>
    <cellStyle name="Berechnung 2 4 2 25" xfId="13044" xr:uid="{B795AF25-88C9-4EF0-A44E-D82D8A84745A}"/>
    <cellStyle name="Berechnung 2 4 2 26" xfId="13481" xr:uid="{D2F54F54-F4D8-4436-BE65-F7A561598460}"/>
    <cellStyle name="Berechnung 2 4 2 27" xfId="11833" xr:uid="{F9AE1083-0EA5-4BB1-948F-DB40A70CA655}"/>
    <cellStyle name="Berechnung 2 4 2 28" xfId="11772" xr:uid="{8B8094F7-9685-432F-8660-F51988DFA599}"/>
    <cellStyle name="Berechnung 2 4 2 29" xfId="14351" xr:uid="{5222F100-2CA1-42A9-B350-E6A22989B695}"/>
    <cellStyle name="Berechnung 2 4 2 3" xfId="1510" xr:uid="{996C5EC5-1598-4E48-A01A-9A0C775273B5}"/>
    <cellStyle name="Berechnung 2 4 2 30" xfId="15169" xr:uid="{12DD99C7-D70C-48F2-862F-DB559CF14B2C}"/>
    <cellStyle name="Berechnung 2 4 2 31" xfId="15700" xr:uid="{9701CE9E-46C8-4662-8555-6779066892ED}"/>
    <cellStyle name="Berechnung 2 4 2 32" xfId="15099" xr:uid="{91068233-7BDF-42E1-B0B0-8178FAC4E624}"/>
    <cellStyle name="Berechnung 2 4 2 33" xfId="16829" xr:uid="{2C6BCD5D-D292-4EE4-ADBC-FB739C02BD32}"/>
    <cellStyle name="Berechnung 2 4 2 34" xfId="16139" xr:uid="{07326CB9-052B-4C6A-9169-FCA4F2D04764}"/>
    <cellStyle name="Berechnung 2 4 2 35" xfId="16945" xr:uid="{3C941C56-AC4D-42D7-88A4-36A7525BC554}"/>
    <cellStyle name="Berechnung 2 4 2 36" xfId="18102" xr:uid="{A468937F-F752-4522-B187-A81010E9FD52}"/>
    <cellStyle name="Berechnung 2 4 2 37" xfId="18647" xr:uid="{C817B85D-BF9E-48A7-AF1B-2ACB6391F94D}"/>
    <cellStyle name="Berechnung 2 4 2 38" xfId="16153" xr:uid="{10809EC3-D1F5-40BB-9D6A-07E100A5FA90}"/>
    <cellStyle name="Berechnung 2 4 2 39" xfId="18951" xr:uid="{E4756FA0-DEED-4E5A-A131-F7946E8D7ECB}"/>
    <cellStyle name="Berechnung 2 4 2 4" xfId="2606" xr:uid="{E58BF64C-D952-490A-834A-A4DF44E5DC1E}"/>
    <cellStyle name="Berechnung 2 4 2 40" xfId="20166" xr:uid="{A3FEC490-B60C-48F5-A7CE-7D47273E0271}"/>
    <cellStyle name="Berechnung 2 4 2 41" xfId="19587" xr:uid="{559041A6-2CD1-4A69-8926-5DFEFADB7DE3}"/>
    <cellStyle name="Berechnung 2 4 2 42" xfId="19848" xr:uid="{55439D7C-69EA-4520-A6B2-F59F3CDCC776}"/>
    <cellStyle name="Berechnung 2 4 2 43" xfId="21636" xr:uid="{0ECAADF9-391D-4D8D-A36A-48D80D3A4F64}"/>
    <cellStyle name="Berechnung 2 4 2 44" xfId="21016" xr:uid="{E0526E7F-CF2F-443F-9F12-0D63F460A7E9}"/>
    <cellStyle name="Berechnung 2 4 2 45" xfId="21354" xr:uid="{CA6AD3BE-98EE-4109-BA5F-8EF0D393FF95}"/>
    <cellStyle name="Berechnung 2 4 2 46" xfId="22375" xr:uid="{1CA3C832-D023-4D14-98C7-D60E0DF68E0F}"/>
    <cellStyle name="Berechnung 2 4 2 47" xfId="22678" xr:uid="{4AAC5A98-C0A6-4E1B-BE39-6FA160815E7B}"/>
    <cellStyle name="Berechnung 2 4 2 48" xfId="23222" xr:uid="{368B09C8-8525-49F1-9FF5-1F40F7345DAD}"/>
    <cellStyle name="Berechnung 2 4 2 49" xfId="23966" xr:uid="{937578C8-430C-4BE0-B176-798D8A046B1E}"/>
    <cellStyle name="Berechnung 2 4 2 5" xfId="2277" xr:uid="{3F8DE6F0-A959-4AAF-94B7-A0FC8B9DC8F1}"/>
    <cellStyle name="Berechnung 2 4 2 50" xfId="24874" xr:uid="{332538EF-55BA-4157-BB00-F5DD67322BB9}"/>
    <cellStyle name="Berechnung 2 4 2 51" xfId="24304" xr:uid="{5FE73F51-9865-4962-9EF1-BA49E37D1140}"/>
    <cellStyle name="Berechnung 2 4 2 52" xfId="25790" xr:uid="{74AF3432-CE89-4E66-A5D2-2A13278BDA4F}"/>
    <cellStyle name="Berechnung 2 4 2 53" xfId="25187" xr:uid="{0D11921F-38D6-46C8-8BDA-EB3477CEF46D}"/>
    <cellStyle name="Berechnung 2 4 2 54" xfId="26702" xr:uid="{5FA459A5-4FE4-4429-9B08-5056DFCAB88D}"/>
    <cellStyle name="Berechnung 2 4 2 55" xfId="27078" xr:uid="{DD05AEA7-5BCE-4010-ACE5-5EDB1F4D044B}"/>
    <cellStyle name="Berechnung 2 4 2 56" xfId="27497" xr:uid="{ED26EA61-C094-42AC-9BCE-FB2F8B339B7C}"/>
    <cellStyle name="Berechnung 2 4 2 57" xfId="27206" xr:uid="{9656DF24-C619-4B59-A315-934FF43A7054}"/>
    <cellStyle name="Berechnung 2 4 2 58" xfId="28624" xr:uid="{5F5ED414-F8CA-4B66-8A17-D9FF6B4A74BE}"/>
    <cellStyle name="Berechnung 2 4 2 59" xfId="29091" xr:uid="{1B373773-01BA-4B5E-8C28-1D1EDAFC1B99}"/>
    <cellStyle name="Berechnung 2 4 2 6" xfId="3627" xr:uid="{3F938D96-31D8-4FD9-BB8D-605C717007D3}"/>
    <cellStyle name="Berechnung 2 4 2 60" xfId="27896" xr:uid="{1A75CEF0-B27D-47AD-844E-10D963684524}"/>
    <cellStyle name="Berechnung 2 4 2 61" xfId="29880" xr:uid="{308DAA93-A7CD-49A8-AE69-BF8B1D988477}"/>
    <cellStyle name="Berechnung 2 4 2 62" xfId="30286" xr:uid="{71FA6314-23BF-491A-A608-713CEB4D6BAB}"/>
    <cellStyle name="Berechnung 2 4 2 63" xfId="30703" xr:uid="{AFD7FDD3-D949-4754-9081-1A512EFC3B14}"/>
    <cellStyle name="Berechnung 2 4 2 64" xfId="30921" xr:uid="{6C5AE437-7854-4E9B-96FB-D7D5B51AE6F8}"/>
    <cellStyle name="Berechnung 2 4 2 65" xfId="31319" xr:uid="{6123AA8B-A549-452C-9568-4A420AEA07A4}"/>
    <cellStyle name="Berechnung 2 4 2 7" xfId="4102" xr:uid="{3812D842-0964-4054-8A97-E9B417FDF5B2}"/>
    <cellStyle name="Berechnung 2 4 2 8" xfId="4539" xr:uid="{10A531E1-367C-4F09-B1A8-2D24220E1D80}"/>
    <cellStyle name="Berechnung 2 4 2 9" xfId="4814" xr:uid="{B2B6E689-22B1-480A-A3B3-0AED963D7B61}"/>
    <cellStyle name="Berechnung 2 4 20" xfId="9247" xr:uid="{A7B2D472-FBE4-4E38-8A28-0A145D26A515}"/>
    <cellStyle name="Berechnung 2 4 21" xfId="10271" xr:uid="{F7C59FE0-7C67-4E9D-B8FD-B6620E5D364B}"/>
    <cellStyle name="Berechnung 2 4 22" xfId="10755" xr:uid="{696B51F1-1950-4A68-B2E1-FE2AF26E857D}"/>
    <cellStyle name="Berechnung 2 4 23" xfId="11039" xr:uid="{FD467E40-83FF-4FD7-AD6C-03E0B93ED291}"/>
    <cellStyle name="Berechnung 2 4 24" xfId="11922" xr:uid="{9B8569AF-A55F-4D58-9D42-811697FF3773}"/>
    <cellStyle name="Berechnung 2 4 25" xfId="12395" xr:uid="{6AA583BD-2EEF-4681-9FF3-6F0BA39799A7}"/>
    <cellStyle name="Berechnung 2 4 26" xfId="12829" xr:uid="{E886611D-C68A-4EFA-899C-E4ECC5CAA41D}"/>
    <cellStyle name="Berechnung 2 4 27" xfId="13266" xr:uid="{19BCCB96-6CDD-40D7-B2B1-6C0ACCEB66F3}"/>
    <cellStyle name="Berechnung 2 4 28" xfId="13710" xr:uid="{D74EFE96-B6BB-4219-9F0D-23EE01E96E8D}"/>
    <cellStyle name="Berechnung 2 4 29" xfId="13207" xr:uid="{53EBF0BA-4467-427C-9498-4F0F1007E539}"/>
    <cellStyle name="Berechnung 2 4 3" xfId="1052" xr:uid="{65DBEF45-526E-4721-9EAE-8D29AA19B60A}"/>
    <cellStyle name="Berechnung 2 4 30" xfId="12721" xr:uid="{FE69454A-9794-4C73-BBBC-AB9AA0141825}"/>
    <cellStyle name="Berechnung 2 4 31" xfId="14953" xr:uid="{05C443E7-2BFA-463C-B969-9677BF324EEB}"/>
    <cellStyle name="Berechnung 2 4 32" xfId="15742" xr:uid="{7886E870-313D-403F-88DD-57C691ED4834}"/>
    <cellStyle name="Berechnung 2 4 33" xfId="15627" xr:uid="{AC603720-2964-461D-999A-F413434E5D81}"/>
    <cellStyle name="Berechnung 2 4 34" xfId="16614" xr:uid="{36EC60A3-6491-46F3-B280-A1D810B219B7}"/>
    <cellStyle name="Berechnung 2 4 35" xfId="16357" xr:uid="{847274C8-99DE-4595-B741-6B975C200AAE}"/>
    <cellStyle name="Berechnung 2 4 36" xfId="17394" xr:uid="{3894F57E-60F2-4451-B3B0-048643E5C547}"/>
    <cellStyle name="Berechnung 2 4 37" xfId="18258" xr:uid="{D5D5E5E5-24F9-4009-9836-8720449C8937}"/>
    <cellStyle name="Berechnung 2 4 38" xfId="18432" xr:uid="{6B87A8F9-C42F-476D-9997-555A937322E9}"/>
    <cellStyle name="Berechnung 2 4 39" xfId="19082" xr:uid="{334ECB6C-55E8-4A8E-96C5-7893BFD91819}"/>
    <cellStyle name="Berechnung 2 4 4" xfId="1623" xr:uid="{C523D438-4C6E-4921-A12F-8009EBA5F2E7}"/>
    <cellStyle name="Berechnung 2 4 40" xfId="19210" xr:uid="{53570B6C-2EB7-4C04-BEB7-73AE7DD778DB}"/>
    <cellStyle name="Berechnung 2 4 41" xfId="19951" xr:uid="{FE893709-5B69-45C1-BB86-BC878ACA8561}"/>
    <cellStyle name="Berechnung 2 4 42" xfId="19690" xr:uid="{804EA0A6-A0D9-4299-8F22-54D217812998}"/>
    <cellStyle name="Berechnung 2 4 43" xfId="20423" xr:uid="{6913DDCA-CE78-4933-975D-154892BC8E86}"/>
    <cellStyle name="Berechnung 2 4 44" xfId="21364" xr:uid="{C7F8ECA2-C482-4FFA-96F5-E97DB8F2448F}"/>
    <cellStyle name="Berechnung 2 4 45" xfId="21571" xr:uid="{39207DE2-BBF8-46B2-B545-93886B4E338B}"/>
    <cellStyle name="Berechnung 2 4 46" xfId="21568" xr:uid="{FEFBFFBD-94A4-4C02-B722-37178ECA8B58}"/>
    <cellStyle name="Berechnung 2 4 47" xfId="22706" xr:uid="{99C8AE49-98F5-40D1-A6C6-E6A7913E0A41}"/>
    <cellStyle name="Berechnung 2 4 48" xfId="23360" xr:uid="{ABC3163F-8E7F-465C-B165-6C09EE171452}"/>
    <cellStyle name="Berechnung 2 4 49" xfId="23615" xr:uid="{0A4A6D74-C505-44DF-82BB-B87F9EF52F81}"/>
    <cellStyle name="Berechnung 2 4 5" xfId="2391" xr:uid="{6BF43F34-1087-456F-945B-7DB9EE61977A}"/>
    <cellStyle name="Berechnung 2 4 50" xfId="23760" xr:uid="{5972278E-2CCD-4A19-A57A-589549085024}"/>
    <cellStyle name="Berechnung 2 4 51" xfId="24659" xr:uid="{7CDA187E-57BA-4BD8-BE18-76297F67B3EF}"/>
    <cellStyle name="Berechnung 2 4 52" xfId="24535" xr:uid="{D13A31F0-DC3C-4A17-BBE9-B2C77474B22F}"/>
    <cellStyle name="Berechnung 2 4 53" xfId="25577" xr:uid="{810181E7-4A4A-414A-BB96-7F1AAAD4B905}"/>
    <cellStyle name="Berechnung 2 4 54" xfId="25305" xr:uid="{E6CE6343-FDBC-45A4-B776-B6B56AD6DDF2}"/>
    <cellStyle name="Berechnung 2 4 55" xfId="26174" xr:uid="{D0BE762D-BF9D-4C7A-8A53-40C64C5392F7}"/>
    <cellStyle name="Berechnung 2 4 56" xfId="26867" xr:uid="{3EE646E3-AD35-4742-AD86-DBD102E8B1A7}"/>
    <cellStyle name="Berechnung 2 4 57" xfId="27286" xr:uid="{32767128-4F8F-470F-B47C-6345171CB852}"/>
    <cellStyle name="Berechnung 2 4 58" xfId="27671" xr:uid="{80D06507-A31D-4E17-843A-30644AE4490C}"/>
    <cellStyle name="Berechnung 2 4 59" xfId="28409" xr:uid="{45084618-D983-4680-9850-A93EF39FE911}"/>
    <cellStyle name="Berechnung 2 4 6" xfId="2875" xr:uid="{4C455730-4D5A-4AE3-96D7-73BAFC67ACB7}"/>
    <cellStyle name="Berechnung 2 4 60" xfId="28877" xr:uid="{5F739B93-2D48-483D-9169-4D3D61B8E253}"/>
    <cellStyle name="Berechnung 2 4 61" xfId="28778" xr:uid="{F253C21B-E3A0-467D-82CA-5059F8948F2F}"/>
    <cellStyle name="Berechnung 2 4 62" xfId="29667" xr:uid="{597CDC4B-DAAA-4929-91D5-E88294BEB573}"/>
    <cellStyle name="Berechnung 2 4 63" xfId="30075" xr:uid="{A6070E2B-751B-4EB4-9656-A0DED117364E}"/>
    <cellStyle name="Berechnung 2 4 64" xfId="30489" xr:uid="{5C7A4064-D971-4E63-85E5-7EFF889DC39C}"/>
    <cellStyle name="Berechnung 2 4 65" xfId="30917" xr:uid="{03F5DDCD-4783-40B7-9DBF-257D068A74D1}"/>
    <cellStyle name="Berechnung 2 4 66" xfId="31113" xr:uid="{8E1A9B4B-F403-4130-AAD3-AB55134E754B}"/>
    <cellStyle name="Berechnung 2 4 7" xfId="3710" xr:uid="{CC819FE3-8368-43EC-AB11-4D8AE56C7159}"/>
    <cellStyle name="Berechnung 2 4 8" xfId="3887" xr:uid="{AD227AC6-5077-45DB-ACE5-F1327BEA6821}"/>
    <cellStyle name="Berechnung 2 4 9" xfId="4325" xr:uid="{5BD25815-6715-4E82-8410-2EDFAB99D640}"/>
    <cellStyle name="Berechnung 2 40" xfId="24543" xr:uid="{8C6CA147-1B7D-47F4-B925-CAA6BC9E9F7B}"/>
    <cellStyle name="Berechnung 2 41" xfId="24478" xr:uid="{0E74AA40-E7A6-4F56-B7A7-BC8881F0137D}"/>
    <cellStyle name="Berechnung 2 42" xfId="25962" xr:uid="{07BAF1A0-75B8-4CC2-A62B-03678CAE9A0B}"/>
    <cellStyle name="Berechnung 2 43" xfId="26164" xr:uid="{4AAA9F98-E08A-4784-B96D-500070B47A22}"/>
    <cellStyle name="Berechnung 2 44" xfId="26462" xr:uid="{80FA3724-D00A-4B34-961D-5DDE81D9320E}"/>
    <cellStyle name="Berechnung 2 45" xfId="26165" xr:uid="{351D31E6-5AB6-41C1-A0DC-1F0720DD774B}"/>
    <cellStyle name="Berechnung 2 46" xfId="28249" xr:uid="{E4230BEA-A9DA-47F8-AD69-2597C132E0AD}"/>
    <cellStyle name="Berechnung 2 47" xfId="27981" xr:uid="{78FB5871-D3FF-4ECF-AD03-4AE662A22AA9}"/>
    <cellStyle name="Berechnung 2 48" xfId="28008" xr:uid="{41160E8B-BFAD-41B9-99DA-E85874448336}"/>
    <cellStyle name="Berechnung 2 49" xfId="29287" xr:uid="{F70ABCA1-AC7F-4582-A7EE-57C86F520D6E}"/>
    <cellStyle name="Berechnung 2 5" xfId="706" xr:uid="{50A91F01-78A2-4962-9510-0CD73E73B1CA}"/>
    <cellStyle name="Berechnung 2 5 10" xfId="5354" xr:uid="{233D89BF-3EAB-457C-A986-62375DC69EBE}"/>
    <cellStyle name="Berechnung 2 5 11" xfId="5934" xr:uid="{46A9BFF8-8141-43F8-ADB0-41E06F175118}"/>
    <cellStyle name="Berechnung 2 5 12" xfId="5678" xr:uid="{312C809A-D441-42D5-B0F7-4D1DAF7E9A66}"/>
    <cellStyle name="Berechnung 2 5 13" xfId="6146" xr:uid="{864B209F-E8D9-4D49-AAF1-4134C4E490D3}"/>
    <cellStyle name="Berechnung 2 5 14" xfId="7426" xr:uid="{AF858DB4-6E15-49DC-A9EF-465D990A340F}"/>
    <cellStyle name="Berechnung 2 5 15" xfId="6916" xr:uid="{A31CB017-ED4C-49FA-9CEA-DEC8FD6AE1B7}"/>
    <cellStyle name="Berechnung 2 5 16" xfId="8603" xr:uid="{2FAA0103-BB95-4DB7-9A66-A20E4C0148C1}"/>
    <cellStyle name="Berechnung 2 5 17" xfId="7934" xr:uid="{E2BDA536-FD15-445B-BED7-50F73C5BA26B}"/>
    <cellStyle name="Berechnung 2 5 18" xfId="9640" xr:uid="{A2180C44-7966-4A7B-A7A0-2C1DABBB5DC5}"/>
    <cellStyle name="Berechnung 2 5 19" xfId="9129" xr:uid="{5A37DD38-449E-49D5-9694-76B7E5D35EE2}"/>
    <cellStyle name="Berechnung 2 5 2" xfId="1180" xr:uid="{73D726A5-3BA7-418B-91C7-E5CA9B88F858}"/>
    <cellStyle name="Berechnung 2 5 20" xfId="9053" xr:uid="{28626E44-967D-4A37-BE19-C0DA7E63AA91}"/>
    <cellStyle name="Berechnung 2 5 21" xfId="9986" xr:uid="{008A5DD6-20AC-4AC9-990D-35948281089F}"/>
    <cellStyle name="Berechnung 2 5 22" xfId="10827" xr:uid="{1E4E86C0-38C4-4956-B15B-AC68CE76736B}"/>
    <cellStyle name="Berechnung 2 5 23" xfId="12059" xr:uid="{AD3A0D9E-5A41-4074-954E-B43FA5628DDC}"/>
    <cellStyle name="Berechnung 2 5 24" xfId="12532" xr:uid="{DD452574-4CAA-472A-88BC-7D03F6BD6580}"/>
    <cellStyle name="Berechnung 2 5 25" xfId="12966" xr:uid="{919CD6D6-E703-4C8E-B2E2-37A38F125FDA}"/>
    <cellStyle name="Berechnung 2 5 26" xfId="13403" xr:uid="{7A54A58E-F232-4F82-A4EC-3AE5B79A7213}"/>
    <cellStyle name="Berechnung 2 5 27" xfId="11387" xr:uid="{0AD0F6E7-58CB-4BA8-AACA-2E700795AC8B}"/>
    <cellStyle name="Berechnung 2 5 28" xfId="14257" xr:uid="{EFF91759-F9A6-4A30-A4C6-81ACFBFD6FCC}"/>
    <cellStyle name="Berechnung 2 5 29" xfId="14093" xr:uid="{CF57A23C-20FA-4DDF-99D5-A950891247AF}"/>
    <cellStyle name="Berechnung 2 5 3" xfId="1368" xr:uid="{B316B70C-B2D7-4742-BFE9-92480501AD57}"/>
    <cellStyle name="Berechnung 2 5 30" xfId="15119" xr:uid="{9FD73396-4188-4045-8AFA-A922A21DB788}"/>
    <cellStyle name="Berechnung 2 5 31" xfId="15559" xr:uid="{E3D7885F-D898-47B1-AB68-4390DCAF61F4}"/>
    <cellStyle name="Berechnung 2 5 32" xfId="15225" xr:uid="{8AD82CEF-AF0C-4FA5-875F-F511E00E5598}"/>
    <cellStyle name="Berechnung 2 5 33" xfId="16751" xr:uid="{44A1F58A-EFF1-4AF0-903E-1D09D50440C5}"/>
    <cellStyle name="Berechnung 2 5 34" xfId="16233" xr:uid="{F4A59035-1D7B-48D8-A16B-9C19F6846C02}"/>
    <cellStyle name="Berechnung 2 5 35" xfId="16264" xr:uid="{7A8F9BAB-972E-460C-A4A3-7C788B0C151A}"/>
    <cellStyle name="Berechnung 2 5 36" xfId="17913" xr:uid="{E427723E-0883-4ADB-B721-FFDB5DB65801}"/>
    <cellStyle name="Berechnung 2 5 37" xfId="18569" xr:uid="{E08F4264-F43C-4470-A8CA-7B3AD943A167}"/>
    <cellStyle name="Berechnung 2 5 38" xfId="17936" xr:uid="{08A3FEA2-15EE-404F-B1F8-BFC06B4741BE}"/>
    <cellStyle name="Berechnung 2 5 39" xfId="17912" xr:uid="{5AAD515A-330B-4393-AC8C-EFBDDDDACCEE}"/>
    <cellStyle name="Berechnung 2 5 4" xfId="2528" xr:uid="{BDE29DE5-8954-4C72-8601-CF987FFB8BF2}"/>
    <cellStyle name="Berechnung 2 5 40" xfId="20088" xr:uid="{7823D5A1-510E-4468-81D3-F03DC9139870}"/>
    <cellStyle name="Berechnung 2 5 41" xfId="19566" xr:uid="{B77E1F62-B873-478B-A494-E5B56FEB2711}"/>
    <cellStyle name="Berechnung 2 5 42" xfId="19637" xr:uid="{82CE004C-B88B-4030-8C15-B3C3208BEAFE}"/>
    <cellStyle name="Berechnung 2 5 43" xfId="21249" xr:uid="{E7F08D3B-B5EE-4A40-A6A9-99FEB3537FF5}"/>
    <cellStyle name="Berechnung 2 5 44" xfId="21629" xr:uid="{F8B9C68F-6C73-4973-819C-2A666CDA6113}"/>
    <cellStyle name="Berechnung 2 5 45" xfId="21378" xr:uid="{581719EB-BB02-459B-99A9-42BDAE6A3B5D}"/>
    <cellStyle name="Berechnung 2 5 46" xfId="20480" xr:uid="{1D953099-11BA-4B65-B4DB-E46E50C2CFA0}"/>
    <cellStyle name="Berechnung 2 5 47" xfId="22925" xr:uid="{4718B8D3-EAA3-45B1-9C5B-6BD2D24D671B}"/>
    <cellStyle name="Berechnung 2 5 48" xfId="22514" xr:uid="{28AB75EA-2BF1-4ADD-B2C3-9F74C0802A98}"/>
    <cellStyle name="Berechnung 2 5 49" xfId="23888" xr:uid="{A64314A5-410D-49BB-A6AC-03A225D7C0A9}"/>
    <cellStyle name="Berechnung 2 5 5" xfId="1977" xr:uid="{64B517B7-D2A2-4225-AD18-0A9794718E35}"/>
    <cellStyle name="Berechnung 2 5 50" xfId="24796" xr:uid="{B8CA6515-B07D-41C1-9C23-78B73D640CBC}"/>
    <cellStyle name="Berechnung 2 5 51" xfId="24287" xr:uid="{473657A5-5F3E-462C-9D11-A62E788429BF}"/>
    <cellStyle name="Berechnung 2 5 52" xfId="25712" xr:uid="{91EC6FD2-C597-4953-8C58-48DABF24E51F}"/>
    <cellStyle name="Berechnung 2 5 53" xfId="25008" xr:uid="{5655354B-8FC3-42A9-86D1-20AC8A5A9402}"/>
    <cellStyle name="Berechnung 2 5 54" xfId="26719" xr:uid="{55EDD6D3-218B-44F1-AB2B-B621A33512AD}"/>
    <cellStyle name="Berechnung 2 5 55" xfId="27000" xr:uid="{76496681-02F1-4BE1-A774-A07B416FC821}"/>
    <cellStyle name="Berechnung 2 5 56" xfId="27419" xr:uid="{7C388898-EC53-45BE-B70C-1187BE900854}"/>
    <cellStyle name="Berechnung 2 5 57" xfId="27660" xr:uid="{7E47C996-4BF4-4023-A712-2165C0F98111}"/>
    <cellStyle name="Berechnung 2 5 58" xfId="28546" xr:uid="{85530D9B-F2D2-4EF1-BE5F-E5C1D8A71BD2}"/>
    <cellStyle name="Berechnung 2 5 59" xfId="29013" xr:uid="{7F838C25-3C6A-4007-8FF7-C058FDAF497F}"/>
    <cellStyle name="Berechnung 2 5 6" xfId="3047" xr:uid="{3799513F-C32C-45B7-861B-5A266DF225D0}"/>
    <cellStyle name="Berechnung 2 5 60" xfId="28350" xr:uid="{B2916D56-F6A4-45A6-BF95-FDE98CFD174D}"/>
    <cellStyle name="Berechnung 2 5 61" xfId="29802" xr:uid="{A0CF5C02-90FD-4D0F-9065-329883030046}"/>
    <cellStyle name="Berechnung 2 5 62" xfId="30208" xr:uid="{9B2B24C6-3D46-4CDC-9BDD-63B5DBCFD02B}"/>
    <cellStyle name="Berechnung 2 5 63" xfId="30625" xr:uid="{3A1AFF54-C5A4-47A9-9B49-3B03B10BC635}"/>
    <cellStyle name="Berechnung 2 5 64" xfId="30864" xr:uid="{2338D5D3-2C16-4DFA-8167-C345DABF8649}"/>
    <cellStyle name="Berechnung 2 5 65" xfId="31241" xr:uid="{B932C64B-768E-4FE4-9266-4A3ED994583D}"/>
    <cellStyle name="Berechnung 2 5 7" xfId="4024" xr:uid="{8B2F2380-7C27-46F7-87FC-053E4BBB9B17}"/>
    <cellStyle name="Berechnung 2 5 8" xfId="4461" xr:uid="{BE4CA050-5687-4085-A186-736AAC4BBEB3}"/>
    <cellStyle name="Berechnung 2 5 9" xfId="5044" xr:uid="{A908A5DA-D5E6-41B0-9DC5-54772CAAF917}"/>
    <cellStyle name="Berechnung 2 50" xfId="30995" xr:uid="{6B9B4246-A520-41D9-AA94-6C38F42F1626}"/>
    <cellStyle name="Berechnung 2 51" xfId="29244" xr:uid="{E40DD193-87CD-4D52-8116-207926CF7FB9}"/>
    <cellStyle name="Berechnung 2 6" xfId="978" xr:uid="{5A666C2A-DAED-4D1A-B389-D4EC602156F8}"/>
    <cellStyle name="Berechnung 2 7" xfId="2215" xr:uid="{65843D1D-A47A-478B-995D-E2A88A066C36}"/>
    <cellStyle name="Berechnung 2 8" xfId="3034" xr:uid="{8C4A3712-A2F5-4EC2-81C6-ABCB652FA9EE}"/>
    <cellStyle name="Berechnung 2 9" xfId="3619" xr:uid="{DF3D1674-2F79-4094-B91E-0850B9C1E9E6}"/>
    <cellStyle name="Berechnung 3" xfId="272" xr:uid="{2DCEF2AD-BFA2-483A-B01C-3D916A1E5870}"/>
    <cellStyle name="Berechnung 3 10" xfId="3546" xr:uid="{0A9CE81F-7CBD-4EDA-B2CD-69EC52B3B3E7}"/>
    <cellStyle name="Berechnung 3 11" xfId="2798" xr:uid="{B8381031-4E81-4E73-BBDB-C202D13FD117}"/>
    <cellStyle name="Berechnung 3 12" xfId="3721" xr:uid="{F9A5B05B-A57C-4004-B0C4-F95BEEFE85A7}"/>
    <cellStyle name="Berechnung 3 13" xfId="4943" xr:uid="{2BE18E7D-B3E1-41DE-A05E-93874EB8263F}"/>
    <cellStyle name="Berechnung 3 14" xfId="6690" xr:uid="{8850FCCA-20E8-40CE-86C6-173FF62DF365}"/>
    <cellStyle name="Berechnung 3 15" xfId="7002" xr:uid="{8EEEFE93-19DE-4D4A-970E-BC49503AAC21}"/>
    <cellStyle name="Berechnung 3 16" xfId="7131" xr:uid="{CF3ADBAB-9A46-4BB7-B51E-B2F6A0081C00}"/>
    <cellStyle name="Berechnung 3 17" xfId="8625" xr:uid="{E3B7E5CA-C5F0-4292-B764-030E8BE96B94}"/>
    <cellStyle name="Berechnung 3 18" xfId="8628" xr:uid="{55302BB9-C766-4A81-A77D-CA0B52E7E1CE}"/>
    <cellStyle name="Berechnung 3 19" xfId="9216" xr:uid="{02FF68E7-B8D2-4BA1-A5F4-D5634B7C5FD5}"/>
    <cellStyle name="Berechnung 3 2" xfId="611" xr:uid="{55E93862-58E0-4505-A481-6298BC58A9FF}"/>
    <cellStyle name="Berechnung 3 2 10" xfId="4979" xr:uid="{54823E94-FEEF-4057-8426-272DDA16D5C8}"/>
    <cellStyle name="Berechnung 3 2 11" xfId="5259" xr:uid="{53708524-EA3F-48CF-95EE-BB7B800F8A2B}"/>
    <cellStyle name="Berechnung 3 2 12" xfId="5776" xr:uid="{5766FAB4-219B-4D78-9330-EAE4BBA5A89C}"/>
    <cellStyle name="Berechnung 3 2 13" xfId="5617" xr:uid="{2F83BEF8-B123-4B16-B71F-3CF4EC6CFD2D}"/>
    <cellStyle name="Berechnung 3 2 14" xfId="6597" xr:uid="{4FA1F3A2-37C7-4C20-B28C-55D8D95B3603}"/>
    <cellStyle name="Berechnung 3 2 15" xfId="7331" xr:uid="{50A700A9-C0C7-4D54-9C5B-71BC23AD655D}"/>
    <cellStyle name="Berechnung 3 2 16" xfId="6975" xr:uid="{DB7A635C-2C26-443D-BA4B-4B93384FB159}"/>
    <cellStyle name="Berechnung 3 2 17" xfId="8019" xr:uid="{A1E18C51-7A95-41BA-800B-BC21E5C9BD68}"/>
    <cellStyle name="Berechnung 3 2 18" xfId="8862" xr:uid="{5987D8FF-6552-47C7-8FAB-C2CBD1EAD8C6}"/>
    <cellStyle name="Berechnung 3 2 19" xfId="9545" xr:uid="{E7ABF40E-0C89-4C2A-B7FF-869577B3DAD2}"/>
    <cellStyle name="Berechnung 3 2 2" xfId="826" xr:uid="{9E5C2D6F-401B-464D-8901-2CEDFD95405E}"/>
    <cellStyle name="Berechnung 3 2 2 10" xfId="5474" xr:uid="{DE7FB0B1-E610-457C-A966-53C4CB05ECA5}"/>
    <cellStyle name="Berechnung 3 2 2 11" xfId="2047" xr:uid="{6CC02224-BE19-4652-9463-84694951A11E}"/>
    <cellStyle name="Berechnung 3 2 2 12" xfId="5107" xr:uid="{9A70A092-E7DE-4297-A1E5-0E0BCABDC527}"/>
    <cellStyle name="Berechnung 3 2 2 13" xfId="6285" xr:uid="{4BB14AD8-27E7-4E6E-AFDF-02BE8B2B2359}"/>
    <cellStyle name="Berechnung 3 2 2 14" xfId="7546" xr:uid="{F764D1B8-A885-4072-9DA4-0E1C2FD8E556}"/>
    <cellStyle name="Berechnung 3 2 2 15" xfId="7109" xr:uid="{55A17CA7-BD69-44F7-B5F6-AAE358BD08A0}"/>
    <cellStyle name="Berechnung 3 2 2 16" xfId="6830" xr:uid="{E0EB2839-8844-4A07-87D1-BDEB164F91C8}"/>
    <cellStyle name="Berechnung 3 2 2 17" xfId="8898" xr:uid="{CF064098-C0D8-4844-A8FE-056BDE0CB8E7}"/>
    <cellStyle name="Berechnung 3 2 2 18" xfId="9760" xr:uid="{8CE5635E-6BEE-4DAA-9C58-8DA0928E3833}"/>
    <cellStyle name="Berechnung 3 2 2 19" xfId="9195" xr:uid="{47A0A5B0-17F5-4DAC-9660-85FACB12D467}"/>
    <cellStyle name="Berechnung 3 2 2 2" xfId="1300" xr:uid="{94447EBB-7AFD-4211-BA6B-6DB1686A621D}"/>
    <cellStyle name="Berechnung 3 2 2 20" xfId="9325" xr:uid="{B3E2FBF5-97AD-4F94-AE1C-7A4D99BA5160}"/>
    <cellStyle name="Berechnung 3 2 2 21" xfId="9314" xr:uid="{18C3C1C6-87E8-4202-B80E-EDAA7D99731D}"/>
    <cellStyle name="Berechnung 3 2 2 22" xfId="10871" xr:uid="{DFFE7A1C-00C1-44EA-84E1-E9E1F47559AD}"/>
    <cellStyle name="Berechnung 3 2 2 23" xfId="12179" xr:uid="{BFAF8102-E73D-41E1-8C68-C0B3D879BE9A}"/>
    <cellStyle name="Berechnung 3 2 2 24" xfId="12652" xr:uid="{AF3FE886-EE45-4DBC-A5E3-DE647FA06B54}"/>
    <cellStyle name="Berechnung 3 2 2 25" xfId="13086" xr:uid="{275150AA-E102-4F50-9262-FC7F22B28F79}"/>
    <cellStyle name="Berechnung 3 2 2 26" xfId="13523" xr:uid="{92A9CF90-9DBA-4FE7-B5CC-B4F8CF55C7E2}"/>
    <cellStyle name="Berechnung 3 2 2 27" xfId="11731" xr:uid="{77E0E301-252E-48E9-8F6E-6F8C15BDC821}"/>
    <cellStyle name="Berechnung 3 2 2 28" xfId="12309" xr:uid="{F40D127F-6358-4158-99FF-9149B553DE70}"/>
    <cellStyle name="Berechnung 3 2 2 29" xfId="12317" xr:uid="{3599394A-FB9E-4028-A149-D2CA0191F3C3}"/>
    <cellStyle name="Berechnung 3 2 2 3" xfId="1555" xr:uid="{17D1DF98-F3C6-4E4A-AB3E-E4DE8815102D}"/>
    <cellStyle name="Berechnung 3 2 2 30" xfId="15019" xr:uid="{F0B78727-DE4A-40B6-9687-8EEB293EEC37}"/>
    <cellStyle name="Berechnung 3 2 2 31" xfId="15666" xr:uid="{755D199F-1AC5-4326-BE96-D6F4309261B6}"/>
    <cellStyle name="Berechnung 3 2 2 32" xfId="14861" xr:uid="{A05F2280-B7BC-49AD-A6CA-9C864FEB68A2}"/>
    <cellStyle name="Berechnung 3 2 2 33" xfId="16871" xr:uid="{EFB61E12-CB7F-40FE-B09E-523556E7EB57}"/>
    <cellStyle name="Berechnung 3 2 2 34" xfId="16431" xr:uid="{6719E1EE-56B0-4FE7-9529-44470C665DB3}"/>
    <cellStyle name="Berechnung 3 2 2 35" xfId="16450" xr:uid="{F507EF1E-2C02-4FB3-BA30-15266EDE356B}"/>
    <cellStyle name="Berechnung 3 2 2 36" xfId="17298" xr:uid="{4D85866A-B677-4F9B-B3E6-B524DB14ED5D}"/>
    <cellStyle name="Berechnung 3 2 2 37" xfId="18689" xr:uid="{F14AC921-162C-4811-BF78-76388B4182C8}"/>
    <cellStyle name="Berechnung 3 2 2 38" xfId="17814" xr:uid="{6212BD27-A1B6-422C-B55B-152A6B9AFA48}"/>
    <cellStyle name="Berechnung 3 2 2 39" xfId="19077" xr:uid="{CBD73CE1-16EC-4CC0-AE16-67295B96EC52}"/>
    <cellStyle name="Berechnung 3 2 2 4" xfId="2648" xr:uid="{349134FC-BAD4-408D-A271-430C4AD54ABB}"/>
    <cellStyle name="Berechnung 3 2 2 40" xfId="20208" xr:uid="{33C189A6-A741-4AF5-8EBE-1D2AB4E373F2}"/>
    <cellStyle name="Berechnung 3 2 2 41" xfId="19763" xr:uid="{32691DB1-6190-4E91-9323-9D7520C44203}"/>
    <cellStyle name="Berechnung 3 2 2 42" xfId="19839" xr:uid="{25C6E1A8-5D4E-458C-9AA0-0DD158D5292F}"/>
    <cellStyle name="Berechnung 3 2 2 43" xfId="21415" xr:uid="{C55A22B4-FC86-4DA0-9A51-EAC6205322C0}"/>
    <cellStyle name="Berechnung 3 2 2 44" xfId="19539" xr:uid="{CF028D82-CE9A-4FB3-8E60-21EAFBB1B452}"/>
    <cellStyle name="Berechnung 3 2 2 45" xfId="20851" xr:uid="{A75206A8-A416-411F-ACC1-7A549B2950EA}"/>
    <cellStyle name="Berechnung 3 2 2 46" xfId="21202" xr:uid="{0137D445-3696-4457-B75C-5BDDD2960E1D}"/>
    <cellStyle name="Berechnung 3 2 2 47" xfId="22400" xr:uid="{33080886-9DC6-46B9-A1A4-26A2F0BF5208}"/>
    <cellStyle name="Berechnung 3 2 2 48" xfId="22413" xr:uid="{BF0AF993-930E-4EF3-89CF-3E66CF32A33E}"/>
    <cellStyle name="Berechnung 3 2 2 49" xfId="24008" xr:uid="{9BD58D7A-203A-480E-9617-5A6943FC861E}"/>
    <cellStyle name="Berechnung 3 2 2 5" xfId="2031" xr:uid="{FBFB1C46-C1F9-421F-AA3C-5F5B4B413E31}"/>
    <cellStyle name="Berechnung 3 2 2 50" xfId="24916" xr:uid="{8B80C622-59F3-4155-892F-EADBC6E1A7D9}"/>
    <cellStyle name="Berechnung 3 2 2 51" xfId="24308" xr:uid="{D785E901-61D3-4F23-9412-9FA41A4EDE0D}"/>
    <cellStyle name="Berechnung 3 2 2 52" xfId="25832" xr:uid="{64F8E570-602A-41EE-8C3B-CBE7CE61BA27}"/>
    <cellStyle name="Berechnung 3 2 2 53" xfId="25266" xr:uid="{075A3CB7-9832-445F-A85E-6A9F5A8057FF}"/>
    <cellStyle name="Berechnung 3 2 2 54" xfId="26405" xr:uid="{3B149A5E-1BA5-4AA1-9120-BFBF1AB9D802}"/>
    <cellStyle name="Berechnung 3 2 2 55" xfId="27120" xr:uid="{1E75B7E1-1581-42E6-9A3E-EB4B2B4D6B7E}"/>
    <cellStyle name="Berechnung 3 2 2 56" xfId="27539" xr:uid="{F08D7098-AED9-4D98-A2EF-EBB7FE61856A}"/>
    <cellStyle name="Berechnung 3 2 2 57" xfId="26788" xr:uid="{BE15A7EF-BB3A-4216-AE64-5A0A76F192F6}"/>
    <cellStyle name="Berechnung 3 2 2 58" xfId="28666" xr:uid="{74E57A30-8B26-40EB-91AD-B36D49FE333D}"/>
    <cellStyle name="Berechnung 3 2 2 59" xfId="29133" xr:uid="{D9014671-C929-403B-8788-50630E963F4F}"/>
    <cellStyle name="Berechnung 3 2 2 6" xfId="3652" xr:uid="{428A2FB3-7811-47D7-A84A-8144BF65E95D}"/>
    <cellStyle name="Berechnung 3 2 2 60" xfId="28320" xr:uid="{53296711-86E0-4155-8F73-67DCB8CF9801}"/>
    <cellStyle name="Berechnung 3 2 2 61" xfId="29922" xr:uid="{95C709B3-D66F-41DB-888D-EA8569BE896C}"/>
    <cellStyle name="Berechnung 3 2 2 62" xfId="30328" xr:uid="{2B4EDB06-72F5-425A-A4EE-E5495004BD21}"/>
    <cellStyle name="Berechnung 3 2 2 63" xfId="30745" xr:uid="{C294F702-37C2-4D53-8F59-D97AC0DB006A}"/>
    <cellStyle name="Berechnung 3 2 2 64" xfId="30884" xr:uid="{A2E996A3-5DCD-4A27-A7B8-DBC017086577}"/>
    <cellStyle name="Berechnung 3 2 2 65" xfId="31361" xr:uid="{5726FE96-6867-4556-9FC0-FFDADA74C75E}"/>
    <cellStyle name="Berechnung 3 2 2 7" xfId="4144" xr:uid="{BBD95AAB-8A24-40EB-BC75-470B2F2E827A}"/>
    <cellStyle name="Berechnung 3 2 2 8" xfId="4581" xr:uid="{A1F2DB16-5ADC-4B0A-9C2E-564086B14CD5}"/>
    <cellStyle name="Berechnung 3 2 2 9" xfId="2188" xr:uid="{7C6549E3-AFE3-496F-9A50-E3ACBFC3E0E4}"/>
    <cellStyle name="Berechnung 3 2 20" xfId="9316" xr:uid="{DB63810B-D627-4614-B7E1-DDF6CBA4B500}"/>
    <cellStyle name="Berechnung 3 2 21" xfId="9860" xr:uid="{D813DE0D-B736-4952-B789-EBD73BBA1552}"/>
    <cellStyle name="Berechnung 3 2 22" xfId="10767" xr:uid="{9686F80A-F89A-41AD-91EF-6F8BA70C6CB1}"/>
    <cellStyle name="Berechnung 3 2 23" xfId="11107" xr:uid="{79D58825-DA0E-48C3-92C9-E717994E6419}"/>
    <cellStyle name="Berechnung 3 2 24" xfId="11964" xr:uid="{76F23F98-7A4B-44A6-B30C-EB80D7285857}"/>
    <cellStyle name="Berechnung 3 2 25" xfId="12437" xr:uid="{811D1CE2-2C53-419F-A500-007A59941CDC}"/>
    <cellStyle name="Berechnung 3 2 26" xfId="12871" xr:uid="{FE0F9E59-13FD-414F-8213-D0B067E1BF54}"/>
    <cellStyle name="Berechnung 3 2 27" xfId="13308" xr:uid="{3754A2BC-8B10-4B3B-8B57-B86BD2FE8138}"/>
    <cellStyle name="Berechnung 3 2 28" xfId="13754" xr:uid="{0B5DB14B-FDBD-4069-B744-ACF4D625680D}"/>
    <cellStyle name="Berechnung 3 2 29" xfId="14194" xr:uid="{FF3B2A3B-77EE-469F-951B-0FC471894FBB}"/>
    <cellStyle name="Berechnung 3 2 3" xfId="1094" xr:uid="{4621763C-8669-4E44-9AA6-C40678BA2205}"/>
    <cellStyle name="Berechnung 3 2 30" xfId="14823" xr:uid="{6C40974B-ABB1-43B4-89B5-BDA9AB9B160A}"/>
    <cellStyle name="Berechnung 3 2 31" xfId="14469" xr:uid="{4B81923B-0F47-406C-BE70-74168654FE11}"/>
    <cellStyle name="Berechnung 3 2 32" xfId="15381" xr:uid="{492BC5CC-ED65-40A7-8F59-1E2AEA1C36F8}"/>
    <cellStyle name="Berechnung 3 2 33" xfId="15001" xr:uid="{7EF0D8F8-4101-4F19-9B22-2888D68CA531}"/>
    <cellStyle name="Berechnung 3 2 34" xfId="16656" xr:uid="{AD01CCB1-482A-492D-8533-BE60DBC752C2}"/>
    <cellStyle name="Berechnung 3 2 35" xfId="16295" xr:uid="{D18D9B06-F82E-4930-9599-E7C2A8353207}"/>
    <cellStyle name="Berechnung 3 2 36" xfId="16277" xr:uid="{EC980DAE-E863-4998-AB79-D616F69ADDA0}"/>
    <cellStyle name="Berechnung 3 2 37" xfId="17979" xr:uid="{97B40FC0-59AC-434B-9209-7ED75BD1C5A5}"/>
    <cellStyle name="Berechnung 3 2 38" xfId="18474" xr:uid="{748040DD-BEE1-4EF6-A23F-13E177424974}"/>
    <cellStyle name="Berechnung 3 2 39" xfId="18370" xr:uid="{7E76BAF2-B0FC-4F4A-8680-F4D5EC16E807}"/>
    <cellStyle name="Berechnung 3 2 4" xfId="1578" xr:uid="{6E6C6742-9590-4009-893A-2A7DE44FF636}"/>
    <cellStyle name="Berechnung 3 2 40" xfId="19298" xr:uid="{9FE7189A-FD9A-452E-893A-4403CA1DD9E8}"/>
    <cellStyle name="Berechnung 3 2 41" xfId="19993" xr:uid="{0662D544-A230-43C7-A464-E0F00E1DB45C}"/>
    <cellStyle name="Berechnung 3 2 42" xfId="19406" xr:uid="{BC5E5EF2-A0AF-426F-A09C-647F3EAFE523}"/>
    <cellStyle name="Berechnung 3 2 43" xfId="19395" xr:uid="{210AA064-DB20-4B64-BB47-BD6746695C6E}"/>
    <cellStyle name="Berechnung 3 2 44" xfId="21307" xr:uid="{A53CDD0F-B0BC-4427-9B53-922B9E2ADFB6}"/>
    <cellStyle name="Berechnung 3 2 45" xfId="19429" xr:uid="{73316212-5FF9-471B-9A4F-0375305C16EF}"/>
    <cellStyle name="Berechnung 3 2 46" xfId="22019" xr:uid="{DCEE9786-76A2-4CC4-8023-105FDAF20530}"/>
    <cellStyle name="Berechnung 3 2 47" xfId="22749" xr:uid="{46602B3F-234D-4D80-845A-09F4CAC4877C}"/>
    <cellStyle name="Berechnung 3 2 48" xfId="22792" xr:uid="{E6517C2C-452F-420F-B1BF-C8AFDCFAD7C0}"/>
    <cellStyle name="Berechnung 3 2 49" xfId="23614" xr:uid="{FACD509D-464C-496F-BF67-6E4B8A7007B4}"/>
    <cellStyle name="Berechnung 3 2 5" xfId="2433" xr:uid="{0E767EB1-B1FE-4481-956B-96244FEDD48D}"/>
    <cellStyle name="Berechnung 3 2 50" xfId="23802" xr:uid="{6CD2C2B8-0878-4FA1-BF33-79A6016CF2FD}"/>
    <cellStyle name="Berechnung 3 2 51" xfId="24701" xr:uid="{6D30E2F4-DA7A-43E2-8C85-FECAB7C3429F}"/>
    <cellStyle name="Berechnung 3 2 52" xfId="24989" xr:uid="{E687EC9F-050A-4045-B022-38A409CB781A}"/>
    <cellStyle name="Berechnung 3 2 53" xfId="25619" xr:uid="{4B198E66-8F6F-4753-97FB-06EB006B5A2C}"/>
    <cellStyle name="Berechnung 3 2 54" xfId="26052" xr:uid="{88718CE5-C106-42A0-BB0E-7F8C05989D50}"/>
    <cellStyle name="Berechnung 3 2 55" xfId="25937" xr:uid="{B9D63E7D-7124-44D9-8EBB-68507193D88E}"/>
    <cellStyle name="Berechnung 3 2 56" xfId="26909" xr:uid="{E6F3CF7E-3556-4D7D-B472-F114AF03255B}"/>
    <cellStyle name="Berechnung 3 2 57" xfId="27328" xr:uid="{E0EFDA2E-86C0-4D55-B219-7EA4994D7CBC}"/>
    <cellStyle name="Berechnung 3 2 58" xfId="27711" xr:uid="{2E4437E7-948F-45AA-99B7-CB72F92BA56A}"/>
    <cellStyle name="Berechnung 3 2 59" xfId="28451" xr:uid="{1B5E7946-3E99-415C-AAAF-87702255108B}"/>
    <cellStyle name="Berechnung 3 2 6" xfId="2920" xr:uid="{ED3B8B27-0141-4B4D-9D6B-17D575239404}"/>
    <cellStyle name="Berechnung 3 2 60" xfId="28919" xr:uid="{0C2403FF-ED49-4B41-BA39-B6F02D128E6A}"/>
    <cellStyle name="Berechnung 3 2 61" xfId="28211" xr:uid="{DA439EF2-E8E5-451C-9019-C93C69F9701E}"/>
    <cellStyle name="Berechnung 3 2 62" xfId="29709" xr:uid="{502C4F8A-5782-4E67-A555-69A2281B976D}"/>
    <cellStyle name="Berechnung 3 2 63" xfId="30117" xr:uid="{2301267A-84D6-458C-AF7B-9F17870C49A2}"/>
    <cellStyle name="Berechnung 3 2 64" xfId="30531" xr:uid="{0B7A8A23-7706-4DC0-8AEB-DF10997DE32C}"/>
    <cellStyle name="Berechnung 3 2 65" xfId="29539" xr:uid="{ED60FA33-8A04-4F31-B9F9-A78A316B90CA}"/>
    <cellStyle name="Berechnung 3 2 66" xfId="31155" xr:uid="{699E8F42-7683-458E-9F58-42CC8AA001BD}"/>
    <cellStyle name="Berechnung 3 2 7" xfId="3139" xr:uid="{BFA07039-E9E8-40B6-BD1B-441996C4AC1E}"/>
    <cellStyle name="Berechnung 3 2 8" xfId="3929" xr:uid="{BA583215-1FE1-4ABF-885B-CC971E4AD452}"/>
    <cellStyle name="Berechnung 3 2 9" xfId="4367" xr:uid="{CAE82019-B209-4D26-8069-7A596E4C0010}"/>
    <cellStyle name="Berechnung 3 20" xfId="9344" xr:uid="{FE7F7047-9D4B-4C60-957C-C07C398A666D}"/>
    <cellStyle name="Berechnung 3 21" xfId="11307" xr:uid="{A1E03E84-F3EE-4872-B2C5-5803EC9545FC}"/>
    <cellStyle name="Berechnung 3 22" xfId="11628" xr:uid="{B85A5380-FF6F-4C2A-9380-BBB8839DAB87}"/>
    <cellStyle name="Berechnung 3 23" xfId="12049" xr:uid="{2D6DC2EF-7E91-44C6-8DA4-161EC5624D02}"/>
    <cellStyle name="Berechnung 3 24" xfId="11636" xr:uid="{BD500035-538D-45C0-8FD3-FC24189C858B}"/>
    <cellStyle name="Berechnung 3 25" xfId="11465" xr:uid="{8D8F287D-D9E8-4D08-B08E-5DEAF0C9DF13}"/>
    <cellStyle name="Berechnung 3 26" xfId="11732" xr:uid="{9A7A65D2-A1B9-4912-B563-E3F95AB518B0}"/>
    <cellStyle name="Berechnung 3 27" xfId="14423" xr:uid="{F1BB2FA1-E7CA-4512-9DF7-FDBFD64F5EDA}"/>
    <cellStyle name="Berechnung 3 28" xfId="14983" xr:uid="{0AD41AB3-C211-488F-976A-896F3707EA6A}"/>
    <cellStyle name="Berechnung 3 29" xfId="16323" xr:uid="{B36BE999-B06C-4190-A597-78D52BAC5241}"/>
    <cellStyle name="Berechnung 3 3" xfId="547" xr:uid="{B776F746-ACC5-4854-BE6F-557A6FF621D5}"/>
    <cellStyle name="Berechnung 3 3 10" xfId="4800" xr:uid="{E25AE639-47A6-4112-A266-6D9496675383}"/>
    <cellStyle name="Berechnung 3 3 11" xfId="5195" xr:uid="{75F84347-251F-4D95-8308-C3F5A3BFE9B6}"/>
    <cellStyle name="Berechnung 3 3 12" xfId="3560" xr:uid="{82CFBB17-3E7A-419C-8A22-E94DD6DE3A55}"/>
    <cellStyle name="Berechnung 3 3 13" xfId="6128" xr:uid="{D91D9D67-F5F8-439A-8B21-1A6E66B01EC1}"/>
    <cellStyle name="Berechnung 3 3 14" xfId="6527" xr:uid="{3613C7BA-E783-4658-B551-D41D6E5A2254}"/>
    <cellStyle name="Berechnung 3 3 15" xfId="7267" xr:uid="{4955E68A-BCE3-4B45-966F-AE193582AC72}"/>
    <cellStyle name="Berechnung 3 3 16" xfId="7826" xr:uid="{24B3A430-9883-4D09-83FC-51E60CB86F42}"/>
    <cellStyle name="Berechnung 3 3 17" xfId="8262" xr:uid="{2AD735C5-D511-4EEE-818B-9D90335CD3DC}"/>
    <cellStyle name="Berechnung 3 3 18" xfId="8002" xr:uid="{16799687-FCA1-47DF-AC41-25E00F125324}"/>
    <cellStyle name="Berechnung 3 3 19" xfId="9481" xr:uid="{E1C1D74D-AD60-4208-A1DB-09CCB2183C8E}"/>
    <cellStyle name="Berechnung 3 3 2" xfId="762" xr:uid="{EB9C7A1D-27C8-49DE-ACA9-2B9169EADB3C}"/>
    <cellStyle name="Berechnung 3 3 2 10" xfId="5410" xr:uid="{50A72964-A266-48A3-99A2-6A9D08990E00}"/>
    <cellStyle name="Berechnung 3 3 2 11" xfId="5699" xr:uid="{A54BE201-93B0-4A2E-8C33-262D8F08562D}"/>
    <cellStyle name="Berechnung 3 3 2 12" xfId="5774" xr:uid="{AE419294-681C-47BD-8481-10C9CAF20BE1}"/>
    <cellStyle name="Berechnung 3 3 2 13" xfId="5663" xr:uid="{618DAB0D-5DAA-4E39-AD2A-B28C68D3DB50}"/>
    <cellStyle name="Berechnung 3 3 2 14" xfId="7482" xr:uid="{B88DFB2A-FC91-4722-B2E5-7090310824C3}"/>
    <cellStyle name="Berechnung 3 3 2 15" xfId="6876" xr:uid="{B4665CF0-AA70-415C-ABE8-D5D22DA86D5E}"/>
    <cellStyle name="Berechnung 3 3 2 16" xfId="8083" xr:uid="{5265C18D-2E77-4648-BE14-96DA4F46273D}"/>
    <cellStyle name="Berechnung 3 3 2 17" xfId="8892" xr:uid="{63E0F082-BC12-413F-8B77-9665A6F47BC3}"/>
    <cellStyle name="Berechnung 3 3 2 18" xfId="9696" xr:uid="{5CB76FB8-B978-44D0-821B-AD6DE8E62244}"/>
    <cellStyle name="Berechnung 3 3 2 19" xfId="9089" xr:uid="{BAD07F62-E3F2-4EAB-8D4C-08CEBE9CBA92}"/>
    <cellStyle name="Berechnung 3 3 2 2" xfId="1236" xr:uid="{37048000-1C30-4635-B99B-BAFD29AB1BC9}"/>
    <cellStyle name="Berechnung 3 3 2 20" xfId="8986" xr:uid="{4F6EAF60-2FEE-4E87-A8C0-B237A2C4D670}"/>
    <cellStyle name="Berechnung 3 3 2 21" xfId="10695" xr:uid="{96C0B6B0-0A81-493D-A8FE-2DA80BD009FC}"/>
    <cellStyle name="Berechnung 3 3 2 22" xfId="11000" xr:uid="{5C9B41BA-77DF-41F4-A186-3C84850C2AF4}"/>
    <cellStyle name="Berechnung 3 3 2 23" xfId="12115" xr:uid="{40247BAA-A2EE-4C94-8146-5B6FD1D67B0D}"/>
    <cellStyle name="Berechnung 3 3 2 24" xfId="12588" xr:uid="{00330717-8DBD-4A06-AC15-B248145727A1}"/>
    <cellStyle name="Berechnung 3 3 2 25" xfId="13022" xr:uid="{52E05DE6-4FDF-441E-9824-10A25739ED9C}"/>
    <cellStyle name="Berechnung 3 3 2 26" xfId="13459" xr:uid="{8BFC68BD-C98A-43A6-9DDB-F38CEBB2FAE9}"/>
    <cellStyle name="Berechnung 3 3 2 27" xfId="13603" xr:uid="{1E193FB2-02BA-4231-BFDC-A737ACDCD842}"/>
    <cellStyle name="Berechnung 3 3 2 28" xfId="12745" xr:uid="{06A22E05-326D-4856-9909-7601BA2A0A71}"/>
    <cellStyle name="Berechnung 3 3 2 29" xfId="14108" xr:uid="{D945FB47-049C-4BCE-9E8D-372F9513CD21}"/>
    <cellStyle name="Berechnung 3 3 2 3" xfId="1715" xr:uid="{4DD4BA5D-F829-4867-AB89-9604811079EB}"/>
    <cellStyle name="Berechnung 3 3 2 30" xfId="14017" xr:uid="{9B451CA8-E1B6-424B-9045-49F378634CB7}"/>
    <cellStyle name="Berechnung 3 3 2 31" xfId="15422" xr:uid="{CED0B0D3-1050-466F-AA75-8C43E03D6CC1}"/>
    <cellStyle name="Berechnung 3 3 2 32" xfId="13808" xr:uid="{70156A08-697D-4FD5-9B89-D103413EB8A2}"/>
    <cellStyle name="Berechnung 3 3 2 33" xfId="16807" xr:uid="{730713CE-0154-4915-ACBB-7BDD60D9C50B}"/>
    <cellStyle name="Berechnung 3 3 2 34" xfId="16192" xr:uid="{887E0AD6-AF32-434E-B258-724A16A6F920}"/>
    <cellStyle name="Berechnung 3 3 2 35" xfId="16083" xr:uid="{BD2343CF-46B6-4584-B452-4A38ED30C7B3}"/>
    <cellStyle name="Berechnung 3 3 2 36" xfId="17628" xr:uid="{DC36F2F0-B1CF-40F5-9CFB-F6A8C8FA104A}"/>
    <cellStyle name="Berechnung 3 3 2 37" xfId="18625" xr:uid="{CB51F00A-EA4A-44FC-9F26-C5597DFA8F73}"/>
    <cellStyle name="Berechnung 3 3 2 38" xfId="18961" xr:uid="{9484DD7C-2807-4C38-8419-06EA081FC0B6}"/>
    <cellStyle name="Berechnung 3 3 2 39" xfId="19163" xr:uid="{D45E4589-FD0B-4DC1-8B42-B5A39708EA78}"/>
    <cellStyle name="Berechnung 3 3 2 4" xfId="2584" xr:uid="{D6E3223F-2615-47CB-9C6B-8C8106C1C70E}"/>
    <cellStyle name="Berechnung 3 3 2 40" xfId="20144" xr:uid="{2D34E154-E082-4E1A-8CA1-A1570922F01F}"/>
    <cellStyle name="Berechnung 3 3 2 41" xfId="19524" xr:uid="{87C4A6E8-5366-41A8-90A3-B233456E830E}"/>
    <cellStyle name="Berechnung 3 3 2 42" xfId="20735" xr:uid="{1D925637-A16D-4A65-A30D-B82BEC8DB9E0}"/>
    <cellStyle name="Berechnung 3 3 2 43" xfId="21430" xr:uid="{2901953E-4622-4C25-A49F-1480DF0DC29F}"/>
    <cellStyle name="Berechnung 3 3 2 44" xfId="21411" xr:uid="{D39B9FC1-2BF1-4722-9D07-CE91BE82D05F}"/>
    <cellStyle name="Berechnung 3 3 2 45" xfId="20790" xr:uid="{0B805833-A05C-4830-9B75-98184FDC6380}"/>
    <cellStyle name="Berechnung 3 3 2 46" xfId="22613" xr:uid="{18E2DE55-44BD-44D6-B761-D6F4C5C3812B}"/>
    <cellStyle name="Berechnung 3 3 2 47" xfId="23249" xr:uid="{A275B054-C854-4755-BAFC-E0266843301E}"/>
    <cellStyle name="Berechnung 3 3 2 48" xfId="23377" xr:uid="{18BF395E-B538-46B6-9ECE-F87652D0FEF5}"/>
    <cellStyle name="Berechnung 3 3 2 49" xfId="23944" xr:uid="{C111AB79-5537-4C54-BDCF-CC5BB818E8DD}"/>
    <cellStyle name="Berechnung 3 3 2 5" xfId="2770" xr:uid="{F967278F-14F3-4DDF-AAE2-5028FAE2FB9F}"/>
    <cellStyle name="Berechnung 3 3 2 50" xfId="24852" xr:uid="{C6F8CE6F-F938-4490-8F0C-AE32446C5241}"/>
    <cellStyle name="Berechnung 3 3 2 51" xfId="24454" xr:uid="{1104EF43-7F3E-4271-96EB-90CC25DF4711}"/>
    <cellStyle name="Berechnung 3 3 2 52" xfId="25768" xr:uid="{FA3543BC-1A22-4550-A1C2-19765CEDE2AF}"/>
    <cellStyle name="Berechnung 3 3 2 53" xfId="25922" xr:uid="{D0AB5A3B-381F-4A80-AAAE-C55FDF23B982}"/>
    <cellStyle name="Berechnung 3 3 2 54" xfId="24211" xr:uid="{A5AC57BF-E603-4BF7-A02F-ACCA502FBFEE}"/>
    <cellStyle name="Berechnung 3 3 2 55" xfId="27056" xr:uid="{B91E10BB-35DF-40CA-883C-FE6849F1B2CC}"/>
    <cellStyle name="Berechnung 3 3 2 56" xfId="27475" xr:uid="{DE01DD8E-89C0-4891-AB85-74C6E43B93A6}"/>
    <cellStyle name="Berechnung 3 3 2 57" xfId="26240" xr:uid="{1B8BE034-5C45-4623-84EE-6AEF88DC136D}"/>
    <cellStyle name="Berechnung 3 3 2 58" xfId="28602" xr:uid="{96F90930-B233-43AF-A6C9-43A94969BB02}"/>
    <cellStyle name="Berechnung 3 3 2 59" xfId="29069" xr:uid="{FFEFEB3A-1851-4214-84DF-04D589A6B472}"/>
    <cellStyle name="Berechnung 3 3 2 6" xfId="3077" xr:uid="{EE2C6283-460E-4BB1-95F4-A1C3606BEA0D}"/>
    <cellStyle name="Berechnung 3 3 2 60" xfId="27918" xr:uid="{A7BE1F32-EBFD-4FCA-A379-311305AE9F96}"/>
    <cellStyle name="Berechnung 3 3 2 61" xfId="29858" xr:uid="{F9A205BA-B49A-498C-85F2-6C6B7B622000}"/>
    <cellStyle name="Berechnung 3 3 2 62" xfId="30264" xr:uid="{685A62DB-03AD-47E1-9A29-DE024792A71D}"/>
    <cellStyle name="Berechnung 3 3 2 63" xfId="30681" xr:uid="{3DFFBF4B-8A0E-4184-BE09-C82120CDD170}"/>
    <cellStyle name="Berechnung 3 3 2 64" xfId="30405" xr:uid="{E5220B2B-233A-4947-B973-E0AA49E782E9}"/>
    <cellStyle name="Berechnung 3 3 2 65" xfId="31297" xr:uid="{09DEDBF2-1D15-421C-A4C5-DB76F694270E}"/>
    <cellStyle name="Berechnung 3 3 2 7" xfId="4080" xr:uid="{EF217147-9024-43C9-961B-8E84ADC0BD8B}"/>
    <cellStyle name="Berechnung 3 3 2 8" xfId="4517" xr:uid="{D22E9271-2994-4F67-8413-32CFB353C5B3}"/>
    <cellStyle name="Berechnung 3 3 2 9" xfId="4235" xr:uid="{405FC2A0-5606-4504-AA0D-82DD33F12C14}"/>
    <cellStyle name="Berechnung 3 3 20" xfId="10038" xr:uid="{F817AD96-D8FC-4F34-9F2A-6C9378041F92}"/>
    <cellStyle name="Berechnung 3 3 21" xfId="10459" xr:uid="{0305B444-635F-4224-AB34-6D0B94DE6E58}"/>
    <cellStyle name="Berechnung 3 3 22" xfId="10163" xr:uid="{7A368A56-4E57-4FCC-BBA0-E91D95C95F40}"/>
    <cellStyle name="Berechnung 3 3 23" xfId="10387" xr:uid="{9FBEBE4A-FCB6-477B-A7A5-4B45DC3D151C}"/>
    <cellStyle name="Berechnung 3 3 24" xfId="11900" xr:uid="{38B70CC8-C8C5-4778-A57C-4F397C001135}"/>
    <cellStyle name="Berechnung 3 3 25" xfId="12373" xr:uid="{DF08A0EA-D6C0-4BD5-8BC1-CCCDE0ECE153}"/>
    <cellStyle name="Berechnung 3 3 26" xfId="12807" xr:uid="{8936AE0F-415A-46DE-9408-744837359C70}"/>
    <cellStyle name="Berechnung 3 3 27" xfId="13244" xr:uid="{04B83BDE-0F84-4C01-A6ED-11AED4ABB145}"/>
    <cellStyle name="Berechnung 3 3 28" xfId="11802" xr:uid="{E8AEB410-A2D6-4FC9-8350-1B33BDAC06ED}"/>
    <cellStyle name="Berechnung 3 3 29" xfId="14007" xr:uid="{9288E7D0-33A0-469F-88AC-908F57FA9B12}"/>
    <cellStyle name="Berechnung 3 3 3" xfId="1030" xr:uid="{E4F51C73-09EB-45C0-B21D-32183475DCD2}"/>
    <cellStyle name="Berechnung 3 3 30" xfId="12754" xr:uid="{3B2D4EAC-C483-49FA-BB6E-67399F77778B}"/>
    <cellStyle name="Berechnung 3 3 31" xfId="14918" xr:uid="{16B30FF4-F95F-4BA0-A76D-D921BD0ACDAD}"/>
    <cellStyle name="Berechnung 3 3 32" xfId="14979" xr:uid="{F30DA624-30A9-4628-8B0F-6B9B550D21EB}"/>
    <cellStyle name="Berechnung 3 3 33" xfId="15873" xr:uid="{4EA2060E-48AC-40E4-9A7B-41524AE5FBB4}"/>
    <cellStyle name="Berechnung 3 3 34" xfId="16592" xr:uid="{0B7746AA-CF55-448E-A7AE-8C7EBD55BE40}"/>
    <cellStyle name="Berechnung 3 3 35" xfId="17156" xr:uid="{9182B09A-CFDF-42F8-B74B-B9630B8DED05}"/>
    <cellStyle name="Berechnung 3 3 36" xfId="17601" xr:uid="{4451B3E7-007A-46AB-A0C5-B1A273479673}"/>
    <cellStyle name="Berechnung 3 3 37" xfId="17721" xr:uid="{7FD98BC2-3AED-4009-8189-F3F043D37072}"/>
    <cellStyle name="Berechnung 3 3 38" xfId="18410" xr:uid="{5BAA45DD-E32B-4DB0-AA63-0BD56AE80461}"/>
    <cellStyle name="Berechnung 3 3 39" xfId="18284" xr:uid="{C93226C7-E6DA-4048-B0D6-A0546A561EA9}"/>
    <cellStyle name="Berechnung 3 3 4" xfId="1459" xr:uid="{34C49356-3A1C-4D18-A3EA-F2565E186B0F}"/>
    <cellStyle name="Berechnung 3 3 40" xfId="18948" xr:uid="{B3E1BA3E-43B3-4D3D-BC93-D4D49997A2EF}"/>
    <cellStyle name="Berechnung 3 3 41" xfId="19929" xr:uid="{AE7CEC5E-AA1E-4F55-8E66-F3D01C5C42B3}"/>
    <cellStyle name="Berechnung 3 3 42" xfId="20508" xr:uid="{B57E5147-839A-40FA-A2F6-E1DC0DB13A42}"/>
    <cellStyle name="Berechnung 3 3 43" xfId="20962" xr:uid="{E1EDA885-BEF8-4FC1-BC01-C4F686ADD79F}"/>
    <cellStyle name="Berechnung 3 3 44" xfId="20894" xr:uid="{65AE845E-9B30-4151-8A91-06D6C9295850}"/>
    <cellStyle name="Berechnung 3 3 45" xfId="21892" xr:uid="{D66D65AF-667F-4D0D-A94D-6980372336EF}"/>
    <cellStyle name="Berechnung 3 3 46" xfId="22328" xr:uid="{53BC9556-243F-4F53-954C-B0BC390413D1}"/>
    <cellStyle name="Berechnung 3 3 47" xfId="21565" xr:uid="{12421319-C909-4B35-AB11-9BF08ABD5085}"/>
    <cellStyle name="Berechnung 3 3 48" xfId="20996" xr:uid="{9B988BA0-C2E4-435C-85C7-96F8B4C5B1AB}"/>
    <cellStyle name="Berechnung 3 3 49" xfId="22871" xr:uid="{C463B8A5-FBAA-45C4-9DAA-5ED6F9E34C09}"/>
    <cellStyle name="Berechnung 3 3 5" xfId="2369" xr:uid="{5F91AE57-F171-46B3-B75C-407AC6C516B7}"/>
    <cellStyle name="Berechnung 3 3 50" xfId="23738" xr:uid="{76A7D659-08E5-4FDC-A8BE-32BDC60640AC}"/>
    <cellStyle name="Berechnung 3 3 51" xfId="24637" xr:uid="{7FAA1C7E-CDF6-4055-A80A-4042BC39EBEB}"/>
    <cellStyle name="Berechnung 3 3 52" xfId="25217" xr:uid="{3CCFBCDB-2E91-4627-8CBF-F8BB074F2E05}"/>
    <cellStyle name="Berechnung 3 3 53" xfId="25555" xr:uid="{248B1F6B-99A6-4944-A218-C2B87A7AF960}"/>
    <cellStyle name="Berechnung 3 3 54" xfId="24213" xr:uid="{2FD42300-ED18-4CD0-8067-8B29D7FC24CA}"/>
    <cellStyle name="Berechnung 3 3 55" xfId="26235" xr:uid="{D13643E0-BD37-4A26-BCBB-438D6BAB094E}"/>
    <cellStyle name="Berechnung 3 3 56" xfId="26845" xr:uid="{EE6D727F-D990-433E-9928-A37EBF71FBB9}"/>
    <cellStyle name="Berechnung 3 3 57" xfId="27264" xr:uid="{67EA0549-366F-4762-8F18-D8564B1F6EC2}"/>
    <cellStyle name="Berechnung 3 3 58" xfId="27668" xr:uid="{0979887D-D5B7-4334-B57C-0FC840047745}"/>
    <cellStyle name="Berechnung 3 3 59" xfId="28387" xr:uid="{A7EC1DE1-04A4-44DF-8639-7101DB3DF286}"/>
    <cellStyle name="Berechnung 3 3 6" xfId="2193" xr:uid="{70B60FA3-220F-4E3A-A2E0-B20B4EF837A7}"/>
    <cellStyle name="Berechnung 3 3 60" xfId="28855" xr:uid="{14EEBFE7-7396-4704-8AE3-BC79EB88B9D2}"/>
    <cellStyle name="Berechnung 3 3 61" xfId="29358" xr:uid="{08D0A09A-E884-4B66-AEAC-D53ED9622744}"/>
    <cellStyle name="Berechnung 3 3 62" xfId="29645" xr:uid="{A3770A4C-C4E6-4F7C-A776-E042BA150614}"/>
    <cellStyle name="Berechnung 3 3 63" xfId="30053" xr:uid="{DB4AE745-A98B-443A-AF7B-866409287DC1}"/>
    <cellStyle name="Berechnung 3 3 64" xfId="30467" xr:uid="{FFFE0D3D-0441-454B-8AF0-AB47FBF1799A}"/>
    <cellStyle name="Berechnung 3 3 65" xfId="30953" xr:uid="{63D021C6-E8B6-4423-86A6-D8769FB56332}"/>
    <cellStyle name="Berechnung 3 3 66" xfId="31091" xr:uid="{56F87840-F2E1-49B5-AAFE-5B40CE7A6171}"/>
    <cellStyle name="Berechnung 3 3 7" xfId="2797" xr:uid="{A6BBB81D-5F6D-4CA7-BF86-97F183885721}"/>
    <cellStyle name="Berechnung 3 3 8" xfId="3865" xr:uid="{77E4BA57-D9E6-4C70-BE2E-00E85D42177A}"/>
    <cellStyle name="Berechnung 3 3 9" xfId="4303" xr:uid="{F93B15A4-CB3F-43C4-B329-DD5308776ADB}"/>
    <cellStyle name="Berechnung 3 30" xfId="16454" xr:uid="{5174851A-72BD-466F-BADB-C4376EAE9B7E}"/>
    <cellStyle name="Berechnung 3 31" xfId="17570" xr:uid="{3983B6A8-9016-4A29-BEED-C4BE78C40423}"/>
    <cellStyle name="Berechnung 3 32" xfId="18213" xr:uid="{2F59B3E0-B08A-4D47-A17D-6541B8E804BC}"/>
    <cellStyle name="Berechnung 3 33" xfId="17739" xr:uid="{878E7CB8-AD75-4CA6-AC35-0692D1D09332}"/>
    <cellStyle name="Berechnung 3 34" xfId="19656" xr:uid="{29A37209-DF69-42C7-9C08-9BF26BFDB08C}"/>
    <cellStyle name="Berechnung 3 35" xfId="19498" xr:uid="{1D8B5C7F-A908-45A8-83DD-51511837B134}"/>
    <cellStyle name="Berechnung 3 36" xfId="21656" xr:uid="{75904D85-4FD7-4092-B1A1-A2351F052A2D}"/>
    <cellStyle name="Berechnung 3 37" xfId="22528" xr:uid="{EE103CD1-0D51-46D1-96B7-BC4959B7A4FF}"/>
    <cellStyle name="Berechnung 3 38" xfId="23527" xr:uid="{76E4D82E-57A9-49E8-B8B3-89355DF2B5D3}"/>
    <cellStyle name="Berechnung 3 39" xfId="24376" xr:uid="{F39E6BA7-004C-442B-B9A1-85880493831E}"/>
    <cellStyle name="Berechnung 3 4" xfId="559" xr:uid="{C1D579DD-4BDD-4624-A99F-B70BA3BFD76A}"/>
    <cellStyle name="Berechnung 3 4 10" xfId="4014" xr:uid="{92D13A47-00AC-4D23-96BC-02A0F0A82552}"/>
    <cellStyle name="Berechnung 3 4 11" xfId="5207" xr:uid="{AE2A8888-E34B-4967-A653-CACAE597E70A}"/>
    <cellStyle name="Berechnung 3 4 12" xfId="5945" xr:uid="{F1217142-6F2B-4B37-960D-9B4F6380C61C}"/>
    <cellStyle name="Berechnung 3 4 13" xfId="5118" xr:uid="{08BE2C2E-9679-4CFE-BBD2-F7B50574D573}"/>
    <cellStyle name="Berechnung 3 4 14" xfId="6069" xr:uid="{C120D1D7-965B-40BC-9818-72BD726819E8}"/>
    <cellStyle name="Berechnung 3 4 15" xfId="7279" xr:uid="{935307DD-2CD2-4BDB-8857-737E7E23FBDE}"/>
    <cellStyle name="Berechnung 3 4 16" xfId="7721" xr:uid="{29DC1871-D866-43FC-BE46-7C79B2645656}"/>
    <cellStyle name="Berechnung 3 4 17" xfId="8313" xr:uid="{E6E4806D-469F-417F-8A72-EA441510BD0F}"/>
    <cellStyle name="Berechnung 3 4 18" xfId="8885" xr:uid="{F12F3595-9BF0-4022-895C-9E000B61DAC8}"/>
    <cellStyle name="Berechnung 3 4 19" xfId="9493" xr:uid="{D57DDED0-54E0-448E-9A13-BA18380B5558}"/>
    <cellStyle name="Berechnung 3 4 2" xfId="774" xr:uid="{BE8FA274-9556-468A-ABB6-CAAE53D4C79A}"/>
    <cellStyle name="Berechnung 3 4 2 10" xfId="5422" xr:uid="{333572F0-5215-4EFE-A831-5000D3A68A8D}"/>
    <cellStyle name="Berechnung 3 4 2 11" xfId="3415" xr:uid="{9036BA21-9D40-471F-A6FE-363987AB9687}"/>
    <cellStyle name="Berechnung 3 4 2 12" xfId="3589" xr:uid="{BAC2F362-8211-454A-A541-29A57C0D2D49}"/>
    <cellStyle name="Berechnung 3 4 2 13" xfId="6501" xr:uid="{5AB98D69-1044-4868-B15C-135D69314E65}"/>
    <cellStyle name="Berechnung 3 4 2 14" xfId="7494" xr:uid="{DD8C31D4-D26B-4D8C-BA1D-B3E1EB4D1FFD}"/>
    <cellStyle name="Berechnung 3 4 2 15" xfId="7058" xr:uid="{012B6D57-A3D3-4B5D-A07C-16350EDB2E6E}"/>
    <cellStyle name="Berechnung 3 4 2 16" xfId="8105" xr:uid="{09ADFB47-40E4-43F7-9C37-7CE0CB024A35}"/>
    <cellStyle name="Berechnung 3 4 2 17" xfId="8861" xr:uid="{BD6E87D2-C3ED-47C7-859B-2B68D0CB1703}"/>
    <cellStyle name="Berechnung 3 4 2 18" xfId="9708" xr:uid="{BB603393-F193-483E-87A2-EB68BE0DFA8A}"/>
    <cellStyle name="Berechnung 3 4 2 19" xfId="9271" xr:uid="{E7DFFA81-A13F-44CE-9C32-D1662898A686}"/>
    <cellStyle name="Berechnung 3 4 2 2" xfId="1248" xr:uid="{FA1F8FF4-5367-4983-89E7-253C28EA72D9}"/>
    <cellStyle name="Berechnung 3 4 2 20" xfId="10160" xr:uid="{015D5D7F-3BDD-4CC9-98E1-12718427BCB3}"/>
    <cellStyle name="Berechnung 3 4 2 21" xfId="9281" xr:uid="{4BA91515-A21F-4660-892C-E95A4C929143}"/>
    <cellStyle name="Berechnung 3 4 2 22" xfId="11179" xr:uid="{F7805FDD-11DF-45BD-9BB0-A6CAEA85386C}"/>
    <cellStyle name="Berechnung 3 4 2 23" xfId="12127" xr:uid="{1BDE5163-8032-4377-BEE8-F44AAEE7CBA0}"/>
    <cellStyle name="Berechnung 3 4 2 24" xfId="12600" xr:uid="{125F0DEC-C4B5-41C4-8193-B55ABEE473CB}"/>
    <cellStyle name="Berechnung 3 4 2 25" xfId="13034" xr:uid="{406CEC9E-E922-42A4-8764-F1558A176BE9}"/>
    <cellStyle name="Berechnung 3 4 2 26" xfId="13471" xr:uid="{37686588-F259-4E59-8E72-F987E3A8EC0F}"/>
    <cellStyle name="Berechnung 3 4 2 27" xfId="13203" xr:uid="{F3A6236C-B2AD-4F67-968D-928C77DBF1BD}"/>
    <cellStyle name="Berechnung 3 4 2 28" xfId="11818" xr:uid="{46983D8F-C69B-4A7B-81D4-0DB52E86760F}"/>
    <cellStyle name="Berechnung 3 4 2 29" xfId="14372" xr:uid="{793D7B3B-178D-435F-AE70-2E7A52889AFA}"/>
    <cellStyle name="Berechnung 3 4 2 3" xfId="1483" xr:uid="{12F8FCEE-4196-4D38-A72A-CBD9D4879901}"/>
    <cellStyle name="Berechnung 3 4 2 30" xfId="15208" xr:uid="{1F417EFA-D72A-457A-9925-E6D7AED133A7}"/>
    <cellStyle name="Berechnung 3 4 2 31" xfId="15600" xr:uid="{51B337AD-153B-4D46-A14D-2AB629DE6882}"/>
    <cellStyle name="Berechnung 3 4 2 32" xfId="15539" xr:uid="{AE0DC160-34A1-436F-AD58-302A76A1C09A}"/>
    <cellStyle name="Berechnung 3 4 2 33" xfId="16819" xr:uid="{B9294706-A894-4E15-B92C-13382A2BD8A5}"/>
    <cellStyle name="Berechnung 3 4 2 34" xfId="16380" xr:uid="{E3571D9E-8508-4D2E-BFA7-4354C02C12BF}"/>
    <cellStyle name="Berechnung 3 4 2 35" xfId="17279" xr:uid="{172EEE14-284E-4C1B-96E8-9EE9458FB2F6}"/>
    <cellStyle name="Berechnung 3 4 2 36" xfId="17794" xr:uid="{AEFC9788-2BFB-4E8A-B771-87D19B423ABA}"/>
    <cellStyle name="Berechnung 3 4 2 37" xfId="18637" xr:uid="{9677A649-8160-4A47-8731-1C313FBEEEE2}"/>
    <cellStyle name="Berechnung 3 4 2 38" xfId="19024" xr:uid="{D2AE496E-5134-4684-8273-195C55EBF10A}"/>
    <cellStyle name="Berechnung 3 4 2 39" xfId="18966" xr:uid="{50614B60-FF13-4E51-B5F1-92C8DB62303C}"/>
    <cellStyle name="Berechnung 3 4 2 4" xfId="2596" xr:uid="{781A29AA-205D-4B8E-82B3-42E37AEB5552}"/>
    <cellStyle name="Berechnung 3 4 2 40" xfId="20156" xr:uid="{E1F374CC-8C7B-4B4F-8143-9155109604EF}"/>
    <cellStyle name="Berechnung 3 4 2 41" xfId="19714" xr:uid="{3140356C-9AF9-491C-BF2C-A08E0EDC6A5E}"/>
    <cellStyle name="Berechnung 3 4 2 42" xfId="20285" xr:uid="{586628E2-06CC-4879-BE40-4F1C7B697E24}"/>
    <cellStyle name="Berechnung 3 4 2 43" xfId="21348" xr:uid="{65555056-B963-46A8-AC0C-340532B3E22A}"/>
    <cellStyle name="Berechnung 3 4 2 44" xfId="20425" xr:uid="{F096740F-A63E-4025-B74F-A06C5C91203A}"/>
    <cellStyle name="Berechnung 3 4 2 45" xfId="22003" xr:uid="{E9180248-9D11-4D83-8A3B-E003A7ED3CD5}"/>
    <cellStyle name="Berechnung 3 4 2 46" xfId="22178" xr:uid="{A91F8B97-C679-4938-9EBD-233BCF4C0806}"/>
    <cellStyle name="Berechnung 3 4 2 47" xfId="23303" xr:uid="{E86D5846-6D0B-4B49-B318-82308B592BF8}"/>
    <cellStyle name="Berechnung 3 4 2 48" xfId="23069" xr:uid="{960B3D15-F309-4CDB-A109-40A6DC37AAAE}"/>
    <cellStyle name="Berechnung 3 4 2 49" xfId="23956" xr:uid="{E8AFC3DD-4503-451A-9F83-618AD46F6FF9}"/>
    <cellStyle name="Berechnung 3 4 2 5" xfId="1853" xr:uid="{4713FC94-9F9D-4F81-A8C7-E0E13D0C9E62}"/>
    <cellStyle name="Berechnung 3 4 2 50" xfId="24864" xr:uid="{B4BE8747-AE17-4E69-80A1-6F7551BABBC6}"/>
    <cellStyle name="Berechnung 3 4 2 51" xfId="24409" xr:uid="{053F7EA5-111C-4082-A4DC-CB9168EE00B5}"/>
    <cellStyle name="Berechnung 3 4 2 52" xfId="25780" xr:uid="{B9C509C7-8C4C-4227-86C3-71B03DF1F133}"/>
    <cellStyle name="Berechnung 3 4 2 53" xfId="25255" xr:uid="{7E1D09E6-B0B3-4B46-AB9C-3A312F435A35}"/>
    <cellStyle name="Berechnung 3 4 2 54" xfId="26685" xr:uid="{76518305-3499-45C3-AA79-A25D31DC175D}"/>
    <cellStyle name="Berechnung 3 4 2 55" xfId="27068" xr:uid="{5D8FF144-B54C-48CC-B4E0-695E5B41FCF1}"/>
    <cellStyle name="Berechnung 3 4 2 56" xfId="27487" xr:uid="{7EBF81DD-B8BE-4D2C-83A7-5BFAE6333B6B}"/>
    <cellStyle name="Berechnung 3 4 2 57" xfId="26569" xr:uid="{6A2864DF-30D7-450C-85FA-A34698558AE0}"/>
    <cellStyle name="Berechnung 3 4 2 58" xfId="28614" xr:uid="{42F8E483-BAE8-4AB6-9D2D-20F0B0454C73}"/>
    <cellStyle name="Berechnung 3 4 2 59" xfId="29081" xr:uid="{A663BDE3-9A53-421C-85E6-839B03E908A9}"/>
    <cellStyle name="Berechnung 3 4 2 6" xfId="2808" xr:uid="{3D021570-3E3C-4EA0-AD15-1FC93CB59D50}"/>
    <cellStyle name="Berechnung 3 4 2 60" xfId="28075" xr:uid="{D208F471-0B25-40A4-B446-A5666411C89A}"/>
    <cellStyle name="Berechnung 3 4 2 61" xfId="29870" xr:uid="{68018692-AC8B-4E2A-BF10-C622D0B26AEB}"/>
    <cellStyle name="Berechnung 3 4 2 62" xfId="30276" xr:uid="{5D2F998B-B8B8-4B22-9998-155A1B377946}"/>
    <cellStyle name="Berechnung 3 4 2 63" xfId="30693" xr:uid="{C0E50C31-27A2-4864-96DB-ED584A5010D6}"/>
    <cellStyle name="Berechnung 3 4 2 64" xfId="28329" xr:uid="{7C9A0F66-45DE-4B03-A947-599B7D065A18}"/>
    <cellStyle name="Berechnung 3 4 2 65" xfId="31309" xr:uid="{1D97D91B-B4C4-4E33-BC3E-6D28F15D1E66}"/>
    <cellStyle name="Berechnung 3 4 2 7" xfId="4092" xr:uid="{AE46D27F-7CA6-4B13-8D6B-F85B216EE4DE}"/>
    <cellStyle name="Berechnung 3 4 2 8" xfId="4529" xr:uid="{1E6AA222-A52B-4951-BFA4-E7A01E1B078B}"/>
    <cellStyle name="Berechnung 3 4 2 9" xfId="3443" xr:uid="{DC5AAAA1-D531-426A-B8AD-DE01495B1E40}"/>
    <cellStyle name="Berechnung 3 4 20" xfId="9935" xr:uid="{097E5BFF-830C-4ABE-8753-9506D0555FBC}"/>
    <cellStyle name="Berechnung 3 4 21" xfId="10366" xr:uid="{8E544647-FBE4-40BA-9B47-8F9F6355E390}"/>
    <cellStyle name="Berechnung 3 4 22" xfId="10918" xr:uid="{FE9DF2EF-1C55-4727-9907-F61BD95DE379}"/>
    <cellStyle name="Berechnung 3 4 23" xfId="11208" xr:uid="{78ED283C-33DE-4BD2-AAC6-7E122852AB0A}"/>
    <cellStyle name="Berechnung 3 4 24" xfId="11912" xr:uid="{AC277389-1CFD-44C0-A1BB-5064B59489FB}"/>
    <cellStyle name="Berechnung 3 4 25" xfId="12385" xr:uid="{EB5B120B-99C7-40CC-96C0-73C784BEFB39}"/>
    <cellStyle name="Berechnung 3 4 26" xfId="12819" xr:uid="{DFD21FDD-C3A8-48AC-8554-DCD8E4286896}"/>
    <cellStyle name="Berechnung 3 4 27" xfId="13256" xr:uid="{BE2FDC0F-154D-40D4-8B3A-87D1514E6019}"/>
    <cellStyle name="Berechnung 3 4 28" xfId="13953" xr:uid="{68D83CDF-87A9-42BA-BED8-C72A4A0A41D2}"/>
    <cellStyle name="Berechnung 3 4 29" xfId="11384" xr:uid="{4C6533B4-725F-4766-A3E3-F34A677AF24E}"/>
    <cellStyle name="Berechnung 3 4 3" xfId="1042" xr:uid="{5EE0B672-A8BF-4216-8D37-C0A0A9D1A063}"/>
    <cellStyle name="Berechnung 3 4 30" xfId="14666" xr:uid="{C75C905A-D496-4799-95E6-121F77D98FB6}"/>
    <cellStyle name="Berechnung 3 4 31" xfId="15319" xr:uid="{DE813FF2-5680-48D5-9F44-D26DBFF0F368}"/>
    <cellStyle name="Berechnung 3 4 32" xfId="13788" xr:uid="{30B6806A-3F4D-405E-981B-70C0FE8B86AC}"/>
    <cellStyle name="Berechnung 3 4 33" xfId="15820" xr:uid="{1BCDEEC9-0A9B-48F2-BAEA-1BA5FEC10B8A}"/>
    <cellStyle name="Berechnung 3 4 34" xfId="16604" xr:uid="{CB3AC010-30DE-47B3-81E6-AC5F9262627A}"/>
    <cellStyle name="Berechnung 3 4 35" xfId="17049" xr:uid="{D8EF1906-6114-4F56-826F-748C05ECB439}"/>
    <cellStyle name="Berechnung 3 4 36" xfId="17496" xr:uid="{F6C11542-965D-466D-9C11-2443C407DF2A}"/>
    <cellStyle name="Berechnung 3 4 37" xfId="16421" xr:uid="{343A87A5-87D1-425F-A765-41188756C96A}"/>
    <cellStyle name="Berechnung 3 4 38" xfId="18422" xr:uid="{D45B250E-C77F-4F5A-8117-273A897E7AB7}"/>
    <cellStyle name="Berechnung 3 4 39" xfId="18254" xr:uid="{ED55D96F-ECC1-4994-84D5-3D3B8C7FA06A}"/>
    <cellStyle name="Berechnung 3 4 4" xfId="1639" xr:uid="{57BEEC52-F235-4EF0-BC96-90205EB6FE69}"/>
    <cellStyle name="Berechnung 3 4 40" xfId="19263" xr:uid="{C2B55B87-258A-44E1-A71A-EC49BC1872AF}"/>
    <cellStyle name="Berechnung 3 4 41" xfId="19941" xr:uid="{8185CC9E-0475-41AE-890D-901AAD3BF3F4}"/>
    <cellStyle name="Berechnung 3 4 42" xfId="20401" xr:uid="{DF9295C5-7138-4B25-AC01-A881225B59A7}"/>
    <cellStyle name="Berechnung 3 4 43" xfId="20854" xr:uid="{E95194A7-18EA-4BDB-B304-6A00DA972983}"/>
    <cellStyle name="Berechnung 3 4 44" xfId="21606" xr:uid="{75E1F7DE-C01E-4E8D-A634-0813ABFF7630}"/>
    <cellStyle name="Berechnung 3 4 45" xfId="21787" xr:uid="{E2E6F635-14D4-4598-A07D-AEE6DE843074}"/>
    <cellStyle name="Berechnung 3 4 46" xfId="22223" xr:uid="{0DBA8148-B920-4EDD-A494-8061356D43D3}"/>
    <cellStyle name="Berechnung 3 4 47" xfId="22927" xr:uid="{919F1A68-FDF2-45DA-ACF6-FAE737C02327}"/>
    <cellStyle name="Berechnung 3 4 48" xfId="22637" xr:uid="{2E4FD890-E070-499D-B7A7-C9F42CCC5CC2}"/>
    <cellStyle name="Berechnung 3 4 49" xfId="23486" xr:uid="{5F3CB1A0-4323-47CA-9F70-2820E5E3009E}"/>
    <cellStyle name="Berechnung 3 4 5" xfId="2381" xr:uid="{84C148A7-7B48-46EC-A08A-ADEF7435DE68}"/>
    <cellStyle name="Berechnung 3 4 50" xfId="23750" xr:uid="{34FDFCB0-48C0-439D-8315-041FF27A75A9}"/>
    <cellStyle name="Berechnung 3 4 51" xfId="24649" xr:uid="{F18CFB88-3606-4292-A47C-A0EEE6E38805}"/>
    <cellStyle name="Berechnung 3 4 52" xfId="25110" xr:uid="{DF9CEC5C-41CF-4AF1-ABB4-8A7C90153A35}"/>
    <cellStyle name="Berechnung 3 4 53" xfId="25567" xr:uid="{2F1CB0D2-E6FE-41EF-9C39-CD69C9CA7181}"/>
    <cellStyle name="Berechnung 3 4 54" xfId="26234" xr:uid="{9A7D3D60-B06C-4669-B62E-ABCCF784BE32}"/>
    <cellStyle name="Berechnung 3 4 55" xfId="26281" xr:uid="{EDCA5700-E178-4607-8471-7F8538AC4572}"/>
    <cellStyle name="Berechnung 3 4 56" xfId="26857" xr:uid="{64D09157-2B45-43B8-980E-80ED2940A972}"/>
    <cellStyle name="Berechnung 3 4 57" xfId="27276" xr:uid="{658CC3AB-2194-4CA1-A4D5-44B0AEC07204}"/>
    <cellStyle name="Berechnung 3 4 58" xfId="27192" xr:uid="{314E8BCF-8546-4341-B0E4-6A8090613C45}"/>
    <cellStyle name="Berechnung 3 4 59" xfId="28399" xr:uid="{713E4536-205E-4E24-875E-9A1484351FF2}"/>
    <cellStyle name="Berechnung 3 4 6" xfId="3122" xr:uid="{2C6C422B-EF79-40DA-B85A-EBDF8B36AEEF}"/>
    <cellStyle name="Berechnung 3 4 60" xfId="28867" xr:uid="{6C3C105A-6079-441A-81D5-E28B1DB24B87}"/>
    <cellStyle name="Berechnung 3 4 61" xfId="29264" xr:uid="{4CD1617E-2D0E-40EA-A5C1-DE6D1D8A2304}"/>
    <cellStyle name="Berechnung 3 4 62" xfId="29657" xr:uid="{B7B2AE76-1EA3-4FA9-88BB-AB5E331BC2A2}"/>
    <cellStyle name="Berechnung 3 4 63" xfId="30065" xr:uid="{28F83520-8745-4F46-B8A8-7D5067C8436C}"/>
    <cellStyle name="Berechnung 3 4 64" xfId="30479" xr:uid="{ABD7EC83-D787-4405-ADD5-10DE79F0C1D1}"/>
    <cellStyle name="Berechnung 3 4 65" xfId="30893" xr:uid="{44A92C49-5693-464F-8E23-BF6FEDD7CC2B}"/>
    <cellStyle name="Berechnung 3 4 66" xfId="31103" xr:uid="{C6AA036E-7EB7-4338-A9C9-CBEE6A9F0C06}"/>
    <cellStyle name="Berechnung 3 4 7" xfId="3362" xr:uid="{F9BBAEC4-4DB9-4A50-9BC8-BB5FA642673E}"/>
    <cellStyle name="Berechnung 3 4 8" xfId="3877" xr:uid="{EE52A98C-54D9-4A3E-85D2-BFFA0D64A81D}"/>
    <cellStyle name="Berechnung 3 4 9" xfId="4315" xr:uid="{72E22797-1192-401B-872C-57F2A4DC6445}"/>
    <cellStyle name="Berechnung 3 40" xfId="25021" xr:uid="{2C34B52D-F832-419F-90DD-CCC524E60B50}"/>
    <cellStyle name="Berechnung 3 41" xfId="25208" xr:uid="{CC72D203-F639-4BF2-8510-DD97A505573C}"/>
    <cellStyle name="Berechnung 3 42" xfId="26272" xr:uid="{9144F923-A98E-4218-9176-BE4047D20E58}"/>
    <cellStyle name="Berechnung 3 43" xfId="26175" xr:uid="{A2795BB1-91D0-4E53-ABC7-CFF570B755CD}"/>
    <cellStyle name="Berechnung 3 44" xfId="26395" xr:uid="{383E2AF1-2BB7-4381-AD53-CFCBB1796213}"/>
    <cellStyle name="Berechnung 3 45" xfId="26795" xr:uid="{6C5E1F21-6F6F-4B8A-83FE-2359A9D9F5CC}"/>
    <cellStyle name="Berechnung 3 46" xfId="28147" xr:uid="{AD2509EE-324D-4F64-A987-B738B3262022}"/>
    <cellStyle name="Berechnung 3 47" xfId="27976" xr:uid="{0CCE6BB3-80C0-4A15-898E-D3C845F131FA}"/>
    <cellStyle name="Berechnung 3 48" xfId="29301" xr:uid="{2FCE803A-7AD4-4967-BCFE-EEBAA11EB908}"/>
    <cellStyle name="Berechnung 3 49" xfId="29416" xr:uid="{7438403F-8D00-4CDC-A66F-38C6E6C60D79}"/>
    <cellStyle name="Berechnung 3 5" xfId="697" xr:uid="{1588AF6A-6466-48F7-8DA4-FBF4323FA419}"/>
    <cellStyle name="Berechnung 3 5 10" xfId="5345" xr:uid="{F0F0B5AD-53D2-4E92-96C5-74613502C06E}"/>
    <cellStyle name="Berechnung 3 5 11" xfId="5819" xr:uid="{EC4ECF86-EE67-440C-912C-3BD7957F6C09}"/>
    <cellStyle name="Berechnung 3 5 12" xfId="4878" xr:uid="{D5C971E6-7E7C-43FC-B2C8-5F0E93243803}"/>
    <cellStyle name="Berechnung 3 5 13" xfId="6522" xr:uid="{6ABE04F6-0626-4913-A619-421883CBE862}"/>
    <cellStyle name="Berechnung 3 5 14" xfId="7417" xr:uid="{81D6B212-24EF-415F-A58B-AD715C0663C6}"/>
    <cellStyle name="Berechnung 3 5 15" xfId="7984" xr:uid="{EBA11001-856C-4867-B24F-5D6B4BCB31C4}"/>
    <cellStyle name="Berechnung 3 5 16" xfId="8445" xr:uid="{17FC2216-83CD-4DF3-B52E-05F11813CF73}"/>
    <cellStyle name="Berechnung 3 5 17" xfId="8690" xr:uid="{6ADFB7EB-07DB-4779-B45D-1ADA7402AC9D}"/>
    <cellStyle name="Berechnung 3 5 18" xfId="9631" xr:uid="{74BDBEE2-1971-4C1D-BDDD-1166ACE42525}"/>
    <cellStyle name="Berechnung 3 5 19" xfId="10200" xr:uid="{2CC2926A-49B8-404C-A1B1-E36DB86390CC}"/>
    <cellStyle name="Berechnung 3 5 2" xfId="1175" xr:uid="{44CF3A92-4C86-4C77-9700-CA025382BBA2}"/>
    <cellStyle name="Berechnung 3 5 20" xfId="10604" xr:uid="{1AC60326-D061-4236-B0BA-9973DA31CBB2}"/>
    <cellStyle name="Berechnung 3 5 21" xfId="10314" xr:uid="{410AE84B-212B-46FA-9D34-1198D792D603}"/>
    <cellStyle name="Berechnung 3 5 22" xfId="9952" xr:uid="{0AD4048A-4B7E-46FC-9874-9E83FA7536C4}"/>
    <cellStyle name="Berechnung 3 5 23" xfId="12050" xr:uid="{A5F3C815-F56E-4C1F-96DD-7BEA86F0F981}"/>
    <cellStyle name="Berechnung 3 5 24" xfId="12523" xr:uid="{004CA742-2D82-49B4-B129-C4255413F032}"/>
    <cellStyle name="Berechnung 3 5 25" xfId="12957" xr:uid="{D3E5ED8F-C1B6-48A3-B1FC-691036577B11}"/>
    <cellStyle name="Berechnung 3 5 26" xfId="13394" xr:uid="{5E4C893E-DC64-4A0B-B4D4-333E62277784}"/>
    <cellStyle name="Berechnung 3 5 27" xfId="12304" xr:uid="{6A73D388-5B4D-4A69-915B-6DB4D673C8F7}"/>
    <cellStyle name="Berechnung 3 5 28" xfId="14117" xr:uid="{F6696827-3874-4CFF-BDA6-10DEFB929970}"/>
    <cellStyle name="Berechnung 3 5 29" xfId="14850" xr:uid="{4E3CDE18-A33D-4AF4-A05B-C2579BF0DD45}"/>
    <cellStyle name="Berechnung 3 5 3" xfId="1714" xr:uid="{13A887E2-E287-4EB1-AAC5-33E9D2FF3917}"/>
    <cellStyle name="Berechnung 3 5 30" xfId="15158" xr:uid="{FD87B7BF-70F6-41EB-98EB-64C79125F3D0}"/>
    <cellStyle name="Berechnung 3 5 31" xfId="15072" xr:uid="{61DAB467-84AF-4F48-8BD0-3DDF044F679D}"/>
    <cellStyle name="Berechnung 3 5 32" xfId="15963" xr:uid="{AC884F4D-E484-4F9E-9459-419A29D1111C}"/>
    <cellStyle name="Berechnung 3 5 33" xfId="16742" xr:uid="{37F99CAB-9941-41F6-A632-E80E7DCBC13C}"/>
    <cellStyle name="Berechnung 3 5 34" xfId="17321" xr:uid="{41685FE5-8B69-4A0C-8400-BFCD730DEE82}"/>
    <cellStyle name="Berechnung 3 5 35" xfId="17764" xr:uid="{427CA0DD-77E1-4C56-A161-BE61A0962C6F}"/>
    <cellStyle name="Berechnung 3 5 36" xfId="18072" xr:uid="{9B0D44E3-0B0A-4B57-93B3-45E8EB6102AE}"/>
    <cellStyle name="Berechnung 3 5 37" xfId="18560" xr:uid="{34B5AD79-3228-4310-ACFC-8FA8AB6BAF81}"/>
    <cellStyle name="Berechnung 3 5 38" xfId="18762" xr:uid="{35B84A19-51F7-4ED8-86E0-36A3B9AFC2C9}"/>
    <cellStyle name="Berechnung 3 5 39" xfId="17499" xr:uid="{840149ED-6D92-43BA-9F61-F1B9470A1B0A}"/>
    <cellStyle name="Berechnung 3 5 4" xfId="2519" xr:uid="{E4144CCA-49EC-4982-8B42-60842AACD5CA}"/>
    <cellStyle name="Berechnung 3 5 40" xfId="20079" xr:uid="{5704D3F3-E466-4F35-8A53-2D56E62007AE}"/>
    <cellStyle name="Berechnung 3 5 41" xfId="20672" xr:uid="{28451095-FC93-4762-B893-1748CC3ECD57}"/>
    <cellStyle name="Berechnung 3 5 42" xfId="21128" xr:uid="{6BE9370B-842C-417D-B4E2-8B041834CF77}"/>
    <cellStyle name="Berechnung 3 5 43" xfId="20823" xr:uid="{FDF325E1-1ED0-43A9-9ADE-0B2F7506143E}"/>
    <cellStyle name="Berechnung 3 5 44" xfId="22060" xr:uid="{B7887929-97D9-413A-9550-E01919154C25}"/>
    <cellStyle name="Berechnung 3 5 45" xfId="22488" xr:uid="{7B0D70DB-DCD8-4D8C-A1D9-2E29EB51ECE8}"/>
    <cellStyle name="Berechnung 3 5 46" xfId="21570" xr:uid="{91BAFCE0-0652-4E94-9418-458EB87FAB12}"/>
    <cellStyle name="Berechnung 3 5 47" xfId="23030" xr:uid="{36D089FF-1114-4E4B-BABF-8B2F5EC30F31}"/>
    <cellStyle name="Berechnung 3 5 48" xfId="22827" xr:uid="{B85155D9-EBE9-4DF6-9B00-E613DDC48CE8}"/>
    <cellStyle name="Berechnung 3 5 49" xfId="23883" xr:uid="{6A578FDE-919E-4E22-843E-0B1E05CAB29B}"/>
    <cellStyle name="Berechnung 3 5 5" xfId="1952" xr:uid="{A8EABB75-A9D8-4A6E-9C3B-09BC5E3307E1}"/>
    <cellStyle name="Berechnung 3 5 50" xfId="24787" xr:uid="{2E7EDD27-BA3B-49BE-BBC9-3FBB8C1030A2}"/>
    <cellStyle name="Berechnung 3 5 51" xfId="25375" xr:uid="{C9C12EAE-6F2C-4749-A3BC-14D1EB71EAC2}"/>
    <cellStyle name="Berechnung 3 5 52" xfId="25704" xr:uid="{B09D3730-3888-483B-A916-442A644C1BFE}"/>
    <cellStyle name="Berechnung 3 5 53" xfId="25413" xr:uid="{2006CDF5-86E6-42D8-B8D4-BFED196FDBBF}"/>
    <cellStyle name="Berechnung 3 5 54" xfId="24541" xr:uid="{C89D1C34-D688-4DBF-8DE4-7781C93224FA}"/>
    <cellStyle name="Berechnung 3 5 55" xfId="26992" xr:uid="{B62AB247-BE05-4730-8444-36591A0AA8D3}"/>
    <cellStyle name="Berechnung 3 5 56" xfId="27411" xr:uid="{EC996E1C-9190-425F-A4B0-79C8BA6AE598}"/>
    <cellStyle name="Berechnung 3 5 57" xfId="27725" xr:uid="{F4F6ED59-F4AC-4C1E-8E02-D3B7D0FC0003}"/>
    <cellStyle name="Berechnung 3 5 58" xfId="28537" xr:uid="{39FC7C4C-F087-44D9-B21C-76B6CB78330E}"/>
    <cellStyle name="Berechnung 3 5 59" xfId="29004" xr:uid="{F6CB63E3-CFAB-49A7-BF98-EABAC7785126}"/>
    <cellStyle name="Berechnung 3 5 6" xfId="3319" xr:uid="{3B571153-DAB5-4A9B-8502-CC32C8979A5D}"/>
    <cellStyle name="Berechnung 3 5 60" xfId="29497" xr:uid="{0F18A4FB-1939-4DFE-8A37-3369C9B77477}"/>
    <cellStyle name="Berechnung 3 5 61" xfId="29794" xr:uid="{8AD88BC7-9C53-4F59-9AE5-AFE6CF9856BE}"/>
    <cellStyle name="Berechnung 3 5 62" xfId="30200" xr:uid="{2B6B0767-2230-4CE7-8DA3-0921AEA088A9}"/>
    <cellStyle name="Berechnung 3 5 63" xfId="30616" xr:uid="{5EACBC0F-7783-4B0D-B01B-3D1C39198762}"/>
    <cellStyle name="Berechnung 3 5 64" xfId="29205" xr:uid="{9B83238C-7B03-4647-8FA6-18A1D40C7071}"/>
    <cellStyle name="Berechnung 3 5 65" xfId="31236" xr:uid="{5587DF93-06CD-4AC0-B817-003233E9101D}"/>
    <cellStyle name="Berechnung 3 5 7" xfId="4015" xr:uid="{F0A101BD-2F7F-4B97-BAF3-010ECBEE2441}"/>
    <cellStyle name="Berechnung 3 5 8" xfId="4452" xr:uid="{8C90E882-1BE6-4653-95B3-5A86CC52210C}"/>
    <cellStyle name="Berechnung 3 5 9" xfId="4906" xr:uid="{B71D56F0-98B1-40D4-A8B0-43497AC14A2B}"/>
    <cellStyle name="Berechnung 3 50" xfId="28239" xr:uid="{400ECDD5-74F3-4F16-9CAA-6F037C11556A}"/>
    <cellStyle name="Berechnung 3 51" xfId="28295" xr:uid="{DE43B7C2-B958-4684-9CFA-C1C6A8975CC4}"/>
    <cellStyle name="Berechnung 3 6" xfId="949" xr:uid="{911D3748-7084-4B30-8A9E-CB213769BFF4}"/>
    <cellStyle name="Berechnung 3 7" xfId="2096" xr:uid="{500543F0-F1C1-4454-87FB-B9AD169EC1A3}"/>
    <cellStyle name="Berechnung 3 8" xfId="2242" xr:uid="{12910610-5C47-46BE-BC49-0326D6157EF5}"/>
    <cellStyle name="Berechnung 3 9" xfId="3307" xr:uid="{86E8059F-B36B-451D-B468-01E5FE2FCAA2}"/>
    <cellStyle name="Berechnung 4" xfId="544" xr:uid="{C289F3BF-3211-4292-A4C5-5AA2C5BA2EE4}"/>
    <cellStyle name="Berechnung 4 10" xfId="4926" xr:uid="{B7964E14-81EE-4618-94B7-836D51239660}"/>
    <cellStyle name="Berechnung 4 11" xfId="5192" xr:uid="{587D6E25-D34A-4667-B311-2A3DD8E0A11B}"/>
    <cellStyle name="Berechnung 4 12" xfId="5754" xr:uid="{BFA03F10-34A3-48D8-BF2B-D5952F043F34}"/>
    <cellStyle name="Berechnung 4 13" xfId="5887" xr:uid="{7EE3C750-B7FB-4F0B-90D3-E96904BB26DD}"/>
    <cellStyle name="Berechnung 4 14" xfId="6664" xr:uid="{21EC5041-FC2D-4C88-8CB3-E442C1A30D7C}"/>
    <cellStyle name="Berechnung 4 15" xfId="7264" xr:uid="{96B40A9D-026E-42CE-9023-B79778554A4F}"/>
    <cellStyle name="Berechnung 4 16" xfId="7903" xr:uid="{F911D31A-8A21-4D5F-A576-CA534D58CF66}"/>
    <cellStyle name="Berechnung 4 17" xfId="8582" xr:uid="{CE378632-09DF-4A65-AD6A-583EC1A2C247}"/>
    <cellStyle name="Berechnung 4 18" xfId="8197" xr:uid="{90B2DB07-7489-4976-A739-9FE1EFE88658}"/>
    <cellStyle name="Berechnung 4 19" xfId="9478" xr:uid="{E6AE9139-02B5-4F56-9AE3-799881846ECE}"/>
    <cellStyle name="Berechnung 4 2" xfId="759" xr:uid="{8F02ADF9-3393-4B7F-BB0E-0534E40F6DC6}"/>
    <cellStyle name="Berechnung 4 2 10" xfId="5407" xr:uid="{74C52D31-6DEE-4637-A33A-4A05EEBC04E5}"/>
    <cellStyle name="Berechnung 4 2 11" xfId="5716" xr:uid="{DA57406A-012C-48FC-ACAA-C19366E03BA7}"/>
    <cellStyle name="Berechnung 4 2 12" xfId="4737" xr:uid="{E3BD2454-6AAD-4BF7-BA27-C9D17D050138}"/>
    <cellStyle name="Berechnung 4 2 13" xfId="6657" xr:uid="{65E9D0EC-F030-4864-AE96-7B2553CA2DF4}"/>
    <cellStyle name="Berechnung 4 2 14" xfId="7479" xr:uid="{EA3BC162-FECB-4831-918E-9C95D0D10714}"/>
    <cellStyle name="Berechnung 4 2 15" xfId="7092" xr:uid="{26A7A28F-1705-4305-8739-B0823F90390B}"/>
    <cellStyle name="Berechnung 4 2 16" xfId="8515" xr:uid="{CE511F03-9036-4103-8B78-409871635309}"/>
    <cellStyle name="Berechnung 4 2 17" xfId="7910" xr:uid="{2CDDE6DF-5B9B-4EB2-8FB2-F0082F426B1C}"/>
    <cellStyle name="Berechnung 4 2 18" xfId="9693" xr:uid="{0A371BA8-4B4C-4142-8699-843A7908607A}"/>
    <cellStyle name="Berechnung 4 2 19" xfId="9305" xr:uid="{4F590E89-16CC-4833-B0D2-2928F0C30B71}"/>
    <cellStyle name="Berechnung 4 2 2" xfId="1233" xr:uid="{47336F23-F050-4EA1-9CA8-F310082791A4}"/>
    <cellStyle name="Berechnung 4 2 20" xfId="10138" xr:uid="{C5C42E24-0184-449A-B344-64D83806198B}"/>
    <cellStyle name="Berechnung 4 2 21" xfId="9441" xr:uid="{36926A77-AF75-491E-A084-5F0AD402A80A}"/>
    <cellStyle name="Berechnung 4 2 22" xfId="10933" xr:uid="{6E3523EE-E416-440A-8C65-AFE358F7C7D0}"/>
    <cellStyle name="Berechnung 4 2 23" xfId="12112" xr:uid="{6B4B796C-FF36-4BC2-8A93-ADD45DD26440}"/>
    <cellStyle name="Berechnung 4 2 24" xfId="12585" xr:uid="{87C002E2-33FB-4FB8-B32F-F5AAA3F94965}"/>
    <cellStyle name="Berechnung 4 2 25" xfId="13019" xr:uid="{303ACAC4-7946-4E09-AFB5-476F19143D36}"/>
    <cellStyle name="Berechnung 4 2 26" xfId="13456" xr:uid="{B78FF7AF-82DA-44AC-8179-789998E30595}"/>
    <cellStyle name="Berechnung 4 2 27" xfId="13610" xr:uid="{0AE1B028-B849-4EFB-9256-B7401AF139B8}"/>
    <cellStyle name="Berechnung 4 2 28" xfId="11512" xr:uid="{6F974FF6-C4FB-40E0-BD83-4E363B4DB052}"/>
    <cellStyle name="Berechnung 4 2 29" xfId="14417" xr:uid="{B63B9915-E5E8-4567-8C93-E4BCB796E486}"/>
    <cellStyle name="Berechnung 4 2 3" xfId="1678" xr:uid="{E937D7A5-049F-46F8-983C-BF41340097F6}"/>
    <cellStyle name="Berechnung 4 2 30" xfId="15105" xr:uid="{E0664AAA-5B1A-4E74-9050-347B9EC687B4}"/>
    <cellStyle name="Berechnung 4 2 31" xfId="15734" xr:uid="{A4710728-DAEA-4609-9030-DF70E1C28B5D}"/>
    <cellStyle name="Berechnung 4 2 32" xfId="15706" xr:uid="{D7B108ED-811D-40A5-AAE6-0FAD9AB7B952}"/>
    <cellStyle name="Berechnung 4 2 33" xfId="16804" xr:uid="{9EB638EF-CBD3-4D09-9B29-1DED3E261354}"/>
    <cellStyle name="Berechnung 4 2 34" xfId="16414" xr:uid="{80AE99D7-8F8A-4DD4-A357-6315BC5EB96C}"/>
    <cellStyle name="Berechnung 4 2 35" xfId="17257" xr:uid="{CC5D8002-9AE7-463F-83C6-1A62C736803F}"/>
    <cellStyle name="Berechnung 4 2 36" xfId="18117" xr:uid="{019B0584-3D83-42A9-A969-E1E34ECC1AF1}"/>
    <cellStyle name="Berechnung 4 2 37" xfId="18622" xr:uid="{C6E916CC-1F5E-4B36-BAFA-BF0C05D9F1AA}"/>
    <cellStyle name="Berechnung 4 2 38" xfId="18288" xr:uid="{F30ABA00-532A-4CDF-A63F-CA434130E6F2}"/>
    <cellStyle name="Berechnung 4 2 39" xfId="19166" xr:uid="{D2336321-0B8C-448E-A9D1-D53863CA8F87}"/>
    <cellStyle name="Berechnung 4 2 4" xfId="2581" xr:uid="{6D778085-D904-4D00-8651-3FCEFF23C8B2}"/>
    <cellStyle name="Berechnung 4 2 40" xfId="20141" xr:uid="{147C677D-CF88-46EA-BC56-8B2C2981C129}"/>
    <cellStyle name="Berechnung 4 2 41" xfId="19749" xr:uid="{8C54F9A9-997A-4E61-9B3C-2303DD358E10}"/>
    <cellStyle name="Berechnung 4 2 42" xfId="19724" xr:uid="{501DC7DB-98CF-4FE2-ABF4-008BE321F224}"/>
    <cellStyle name="Berechnung 4 2 43" xfId="21315" xr:uid="{00E0390A-1E07-4089-9B18-609199A702F0}"/>
    <cellStyle name="Berechnung 4 2 44" xfId="21624" xr:uid="{8D6A4B07-1DAD-477C-A625-74BCDD683EF8}"/>
    <cellStyle name="Berechnung 4 2 45" xfId="19738" xr:uid="{7FFC1EB4-016B-4EB5-8783-725AA25118C2}"/>
    <cellStyle name="Berechnung 4 2 46" xfId="22619" xr:uid="{C7F87171-DD43-41F0-8C3D-EB1345CC1198}"/>
    <cellStyle name="Berechnung 4 2 47" xfId="22739" xr:uid="{0AA54CA8-6E2B-4B32-985B-4C161866B9C7}"/>
    <cellStyle name="Berechnung 4 2 48" xfId="21864" xr:uid="{794B6C51-A209-47C5-B6A7-5CCB1777BB52}"/>
    <cellStyle name="Berechnung 4 2 49" xfId="23941" xr:uid="{040663A0-50C1-414E-BD03-8DDE9AD08380}"/>
    <cellStyle name="Berechnung 4 2 5" xfId="2777" xr:uid="{D3794B8A-33E5-4922-91D3-9DE0067D15A0}"/>
    <cellStyle name="Berechnung 4 2 50" xfId="24849" xr:uid="{4B6A0D76-3415-460E-8BE3-76E2BC027AAF}"/>
    <cellStyle name="Berechnung 4 2 51" xfId="24332" xr:uid="{8DBAFDC8-E0B5-4452-B667-DBD95C43B165}"/>
    <cellStyle name="Berechnung 4 2 52" xfId="25765" xr:uid="{F224F669-D87A-4B87-99A6-E21E99ECBB25}"/>
    <cellStyle name="Berechnung 4 2 53" xfId="25071" xr:uid="{243D4DD3-FF82-461A-BF3D-05CA47C9B636}"/>
    <cellStyle name="Berechnung 4 2 54" xfId="26585" xr:uid="{26FAA847-CC1F-4DB0-843B-288977353E67}"/>
    <cellStyle name="Berechnung 4 2 55" xfId="27053" xr:uid="{5371EC53-CD03-4D8D-9E83-CED47CDE9342}"/>
    <cellStyle name="Berechnung 4 2 56" xfId="27472" xr:uid="{1E5161C8-A1ED-4B60-B36B-15DDC539B455}"/>
    <cellStyle name="Berechnung 4 2 57" xfId="26177" xr:uid="{E4E81B07-C64B-445E-B902-3E6540FF433D}"/>
    <cellStyle name="Berechnung 4 2 58" xfId="28599" xr:uid="{3BC7B64B-8FAA-4FAB-8571-ABB3FE8A33D1}"/>
    <cellStyle name="Berechnung 4 2 59" xfId="29066" xr:uid="{089A06FD-3E4D-4356-859C-B39127EDA0DB}"/>
    <cellStyle name="Berechnung 4 2 6" xfId="3261" xr:uid="{99836868-6C63-411B-8483-76614B517BF0}"/>
    <cellStyle name="Berechnung 4 2 60" xfId="28737" xr:uid="{F8435540-CBF7-40E8-AD37-AB77F0AE0120}"/>
    <cellStyle name="Berechnung 4 2 61" xfId="29855" xr:uid="{E7F919B3-DE35-4B2E-AED9-DADD576A4E8F}"/>
    <cellStyle name="Berechnung 4 2 62" xfId="30261" xr:uid="{50E0C1A0-9FBE-4B58-A555-8954A937AEB9}"/>
    <cellStyle name="Berechnung 4 2 63" xfId="30678" xr:uid="{17967898-6566-416C-A2A9-23EC48C95A65}"/>
    <cellStyle name="Berechnung 4 2 64" xfId="28034" xr:uid="{EE665B9E-8EBB-4DAC-8286-E27B72EE3294}"/>
    <cellStyle name="Berechnung 4 2 65" xfId="31294" xr:uid="{0820A1EE-1944-497B-A457-15E21BDD0BCF}"/>
    <cellStyle name="Berechnung 4 2 7" xfId="4077" xr:uid="{8230A263-8610-412A-AD5F-0E4EDB31E468}"/>
    <cellStyle name="Berechnung 4 2 8" xfId="4514" xr:uid="{DE3D3EDB-66E4-46FA-A90F-3DB395448ECD}"/>
    <cellStyle name="Berechnung 4 2 9" xfId="3360" xr:uid="{A7762E5F-2C4C-492F-AEAF-ECCD584C4020}"/>
    <cellStyle name="Berechnung 4 20" xfId="10116" xr:uid="{0FE5240B-E4C9-492F-8D55-8178E8A8AAC0}"/>
    <cellStyle name="Berechnung 4 21" xfId="10527" xr:uid="{BAB23F95-BF14-409F-A4ED-B19EA8049DD6}"/>
    <cellStyle name="Berechnung 4 22" xfId="10329" xr:uid="{B3D80569-0FB3-4B9E-A1D4-B356B9413295}"/>
    <cellStyle name="Berechnung 4 23" xfId="11265" xr:uid="{53FC4061-D73B-4892-AA53-BB393C326C59}"/>
    <cellStyle name="Berechnung 4 24" xfId="11897" xr:uid="{7A4965FE-6631-469C-A2CA-E10566D1F688}"/>
    <cellStyle name="Berechnung 4 25" xfId="12370" xr:uid="{4B1E3F72-4B05-4666-A05C-6C695576E2D8}"/>
    <cellStyle name="Berechnung 4 26" xfId="12804" xr:uid="{1CBD3DFF-D843-4ACD-96B8-C06F4678C025}"/>
    <cellStyle name="Berechnung 4 27" xfId="13241" xr:uid="{9B510708-6124-4072-BD13-033D352A3D9E}"/>
    <cellStyle name="Berechnung 4 28" xfId="13923" xr:uid="{875E2697-AD46-4A09-8F1E-F538809654F1}"/>
    <cellStyle name="Berechnung 4 29" xfId="14140" xr:uid="{CD2BF23B-6721-4ABE-943E-3A578CB0AB94}"/>
    <cellStyle name="Berechnung 4 3" xfId="1027" xr:uid="{3A62575E-1B21-495C-A027-C4A577A1FD1F}"/>
    <cellStyle name="Berechnung 4 30" xfId="14892" xr:uid="{7B4FC501-26F4-4CD3-B51A-DA5C9950BF8C}"/>
    <cellStyle name="Berechnung 4 31" xfId="14804" xr:uid="{15AD7BF9-F430-444F-8D32-B458F459D9F4}"/>
    <cellStyle name="Berechnung 4 32" xfId="15759" xr:uid="{2CF739BD-2BE4-4878-98F1-C310CC11CBFF}"/>
    <cellStyle name="Berechnung 4 33" xfId="15918" xr:uid="{34BC3579-B245-4F61-84D2-DAA543CA911D}"/>
    <cellStyle name="Berechnung 4 34" xfId="16589" xr:uid="{D671826F-FDC1-4A3C-AE4D-D622FB371BF2}"/>
    <cellStyle name="Berechnung 4 35" xfId="17235" xr:uid="{911131FA-003C-4D8E-9A3A-057489128804}"/>
    <cellStyle name="Berechnung 4 36" xfId="17679" xr:uid="{C4AFDCD1-B4EE-45E8-A898-D88837C09FA9}"/>
    <cellStyle name="Berechnung 4 37" xfId="18015" xr:uid="{91ABCDFA-A1D3-4FE2-8A27-096FD7455CA6}"/>
    <cellStyle name="Berechnung 4 38" xfId="18407" xr:uid="{A8455F3E-02B3-4D4E-BAE2-43C72812A694}"/>
    <cellStyle name="Berechnung 4 39" xfId="19012" xr:uid="{6450D0EA-62C7-4520-9D9C-CC7E1E5CE3C5}"/>
    <cellStyle name="Berechnung 4 4" xfId="1569" xr:uid="{242705ED-DB09-4123-A15C-C52C338CB765}"/>
    <cellStyle name="Berechnung 4 40" xfId="17799" xr:uid="{CBB2CC3C-9497-4BAF-95C6-21AF8797796B}"/>
    <cellStyle name="Berechnung 4 41" xfId="19926" xr:uid="{EB4D9E5B-43E9-4AC5-8E7A-AD4E41C329FA}"/>
    <cellStyle name="Berechnung 4 42" xfId="20586" xr:uid="{DD15DC90-E5B4-4A81-BB7A-4C929A059A04}"/>
    <cellStyle name="Berechnung 4 43" xfId="21040" xr:uid="{202E24C9-91DC-416E-B6FD-71324D36D631}"/>
    <cellStyle name="Berechnung 4 44" xfId="19399" xr:uid="{BAA3D22E-37E8-4690-ADAD-9BED72CBF0A9}"/>
    <cellStyle name="Berechnung 4 45" xfId="21971" xr:uid="{A22AFE0A-1198-4506-9897-AAE6760DAA1E}"/>
    <cellStyle name="Berechnung 4 46" xfId="22403" xr:uid="{AFFB4076-F6E4-4EFE-8C5F-465DB2ABECB3}"/>
    <cellStyle name="Berechnung 4 47" xfId="22899" xr:uid="{A83B669B-24FB-4ECF-8DA7-F038DBFFF7F5}"/>
    <cellStyle name="Berechnung 4 48" xfId="23292" xr:uid="{7A0D9F81-BB46-4C42-BA36-D398FF7EBA2A}"/>
    <cellStyle name="Berechnung 4 49" xfId="23032" xr:uid="{468D0A8F-72D8-47DA-9C1B-3C0E72475033}"/>
    <cellStyle name="Berechnung 4 5" xfId="2366" xr:uid="{52B9A4E8-495C-4E3A-A1FC-20331F806477}"/>
    <cellStyle name="Berechnung 4 50" xfId="23735" xr:uid="{4F74ABB1-F6E9-442E-9B97-9F49B27D3E6A}"/>
    <cellStyle name="Berechnung 4 51" xfId="24634" xr:uid="{4BAE0ED1-B074-4962-88F4-42D9F12C1EEE}"/>
    <cellStyle name="Berechnung 4 52" xfId="25295" xr:uid="{29C1D3CD-D0C8-477C-BC96-414D9F8F0B2A}"/>
    <cellStyle name="Berechnung 4 53" xfId="25552" xr:uid="{70908BDD-1446-431B-A66A-980155431D5C}"/>
    <cellStyle name="Berechnung 4 54" xfId="26205" xr:uid="{75C2ABAF-C321-4F1D-A297-5E106960C44D}"/>
    <cellStyle name="Berechnung 4 55" xfId="26350" xr:uid="{50469258-3AC4-4211-8790-330A6B51E988}"/>
    <cellStyle name="Berechnung 4 56" xfId="26842" xr:uid="{A8EA52CC-B2B9-4359-8337-697E8C215386}"/>
    <cellStyle name="Berechnung 4 57" xfId="27261" xr:uid="{070F2A2B-2B5F-4712-88F8-83A1F0560569}"/>
    <cellStyle name="Berechnung 4 58" xfId="27755" xr:uid="{5AB475DB-9EC6-41E2-A19B-87B4B65F7266}"/>
    <cellStyle name="Berechnung 4 59" xfId="28384" xr:uid="{934FB91F-1CAD-49BA-BB9B-FD47851FB096}"/>
    <cellStyle name="Berechnung 4 6" xfId="3091" xr:uid="{51A2A151-E894-40E5-89A8-F6CFDD1FBB8B}"/>
    <cellStyle name="Berechnung 4 60" xfId="28852" xr:uid="{4A676B1A-64A0-495A-BE51-0DCC8C868711}"/>
    <cellStyle name="Berechnung 4 61" xfId="29420" xr:uid="{EF7D9218-34AB-4539-A228-660E669262D9}"/>
    <cellStyle name="Berechnung 4 62" xfId="29642" xr:uid="{FF6E186D-EF0A-4979-9F82-D23BE87B50D7}"/>
    <cellStyle name="Berechnung 4 63" xfId="30050" xr:uid="{867A07B4-8853-42D0-89A5-2EA24F05D0ED}"/>
    <cellStyle name="Berechnung 4 64" xfId="30464" xr:uid="{AD5FC2E4-764A-4413-A0A9-F579700988A3}"/>
    <cellStyle name="Berechnung 4 65" xfId="30910" xr:uid="{DA32D601-6E3F-4BC7-A4EE-505962F452B1}"/>
    <cellStyle name="Berechnung 4 66" xfId="31088" xr:uid="{1134EA76-687A-4B06-BEC5-C1AA9CD4B52C}"/>
    <cellStyle name="Berechnung 4 7" xfId="3298" xr:uid="{B6730E75-104F-4EE0-970B-85A5241F9610}"/>
    <cellStyle name="Berechnung 4 8" xfId="3862" xr:uid="{9BE5315F-73A8-480A-A37D-E1265FDF5AFC}"/>
    <cellStyle name="Berechnung 4 9" xfId="4300" xr:uid="{BB45C06B-03AE-4FD3-9F35-97BA157458CF}"/>
    <cellStyle name="Berechnung 5" xfId="661" xr:uid="{633DCED2-BDBA-448A-8971-051DED064BB6}"/>
    <cellStyle name="Berechnung 5 10" xfId="4891" xr:uid="{B1C8D6BE-64B7-452D-9961-143EA5D40B56}"/>
    <cellStyle name="Berechnung 5 11" xfId="5309" xr:uid="{23A5C46A-634D-4B14-938D-E18A3F2A48FA}"/>
    <cellStyle name="Berechnung 5 12" xfId="4909" xr:uid="{367B375D-9E8C-45B1-872A-4C1F7C41901A}"/>
    <cellStyle name="Berechnung 5 13" xfId="5137" xr:uid="{A92CA853-65F1-472B-B1BC-DAAF84841B51}"/>
    <cellStyle name="Berechnung 5 14" xfId="6624" xr:uid="{74AA3224-A42B-4E4E-8CAF-BBE703960F35}"/>
    <cellStyle name="Berechnung 5 15" xfId="7381" xr:uid="{231E910A-77D4-443D-B71E-58ACDFF7BF18}"/>
    <cellStyle name="Berechnung 5 16" xfId="7985" xr:uid="{95ADCC36-5C7C-4195-AB6C-9A312347C8C9}"/>
    <cellStyle name="Berechnung 5 17" xfId="7964" xr:uid="{7387D828-A791-4DE5-84CF-423DF9C435D5}"/>
    <cellStyle name="Berechnung 5 18" xfId="6829" xr:uid="{54F83821-EBCE-4061-A11E-58EB2AFA33C9}"/>
    <cellStyle name="Berechnung 5 19" xfId="9595" xr:uid="{5CF1F031-6818-4A54-8721-4E64EAF3F2CF}"/>
    <cellStyle name="Berechnung 5 2" xfId="876" xr:uid="{8A97A420-F6D4-48B5-BD61-CBB26FC9567E}"/>
    <cellStyle name="Berechnung 5 2 10" xfId="5524" xr:uid="{8755D93A-D7C1-4CDC-B385-5C6550E6D14F}"/>
    <cellStyle name="Berechnung 5 2 11" xfId="6018" xr:uid="{48438AF1-349F-4C6E-85CC-188A214D2F0E}"/>
    <cellStyle name="Berechnung 5 2 12" xfId="6377" xr:uid="{48085011-2418-45EF-9FB8-F80528CFA54E}"/>
    <cellStyle name="Berechnung 5 2 13" xfId="6715" xr:uid="{30644A5F-AB75-4B42-818D-02AC905F2B7D}"/>
    <cellStyle name="Berechnung 5 2 14" xfId="7596" xr:uid="{AE797326-3B74-4AD2-AFC8-59F92EC515DE}"/>
    <cellStyle name="Berechnung 5 2 15" xfId="8060" xr:uid="{19076CD6-18FF-4813-BB9C-E616469A12B9}"/>
    <cellStyle name="Berechnung 5 2 16" xfId="8669" xr:uid="{365C4FAB-3860-48BB-9E65-EAF52510D92A}"/>
    <cellStyle name="Berechnung 5 2 17" xfId="8928" xr:uid="{05DB17C0-C602-4059-A523-DEC09193FA4D}"/>
    <cellStyle name="Berechnung 5 2 18" xfId="9810" xr:uid="{DE3A4733-540C-498A-8BB8-EAFA4F7A00B4}"/>
    <cellStyle name="Berechnung 5 2 19" xfId="10279" xr:uid="{3950CA31-16FB-4D37-9AAB-718F6CC61F45}"/>
    <cellStyle name="Berechnung 5 2 2" xfId="1350" xr:uid="{8102F17C-BADE-46F6-B564-67E2ED73229D}"/>
    <cellStyle name="Berechnung 5 2 20" xfId="10673" xr:uid="{014BC73F-42E9-450B-9D3A-C1DC9839711C}"/>
    <cellStyle name="Berechnung 5 2 21" xfId="11022" xr:uid="{B9AF51A8-247A-47CE-8516-5FC1312E0AF6}"/>
    <cellStyle name="Berechnung 5 2 22" xfId="11332" xr:uid="{862CB726-A12E-499D-83CB-9ED0FF11365A}"/>
    <cellStyle name="Berechnung 5 2 23" xfId="12229" xr:uid="{0081A759-3E28-457E-8785-0BD576463A4B}"/>
    <cellStyle name="Berechnung 5 2 24" xfId="12702" xr:uid="{403E727A-94FC-4EAE-A170-EDDE8086F885}"/>
    <cellStyle name="Berechnung 5 2 25" xfId="13136" xr:uid="{F5D736E7-8F45-4473-89C3-A7F73B05D964}"/>
    <cellStyle name="Berechnung 5 2 26" xfId="13573" xr:uid="{48966583-E6FF-4ADA-A2CA-6A66947B32D9}"/>
    <cellStyle name="Berechnung 5 2 27" xfId="14045" xr:uid="{F71606B5-21EB-4743-B8A6-B9D64F8B8D4B}"/>
    <cellStyle name="Berechnung 5 2 28" xfId="14492" xr:uid="{2BEDC251-ACD6-4422-9478-509F3E2F7947}"/>
    <cellStyle name="Berechnung 5 2 29" xfId="14926" xr:uid="{6F60D5AC-3A57-49B7-B51A-EE48CE11C0AB}"/>
    <cellStyle name="Berechnung 5 2 3" xfId="1799" xr:uid="{8A75CD67-07E5-4E4A-9718-8EC44DB7A80F}"/>
    <cellStyle name="Berechnung 5 2 30" xfId="15396" xr:uid="{D65C9D58-77F1-458D-B0CE-15121ACBB694}"/>
    <cellStyle name="Berechnung 5 2 31" xfId="15786" xr:uid="{DF2F52FD-34D3-4D92-8053-9AB6A55B682A}"/>
    <cellStyle name="Berechnung 5 2 32" xfId="16008" xr:uid="{50196C19-F7CF-455F-92AA-AB738A833275}"/>
    <cellStyle name="Berechnung 5 2 33" xfId="16921" xr:uid="{424D3AA6-271D-479F-BA2A-E5455021AE05}"/>
    <cellStyle name="Berechnung 5 2 34" xfId="17402" xr:uid="{BEA8526F-2D14-4128-A63F-BF5F7086A818}"/>
    <cellStyle name="Berechnung 5 2 35" xfId="17843" xr:uid="{1DD40F83-A82D-4444-B58A-A1B01FDA5DCC}"/>
    <cellStyle name="Berechnung 5 2 36" xfId="18318" xr:uid="{2667A8D0-AA1D-47E4-B7E6-22B7B3C73178}"/>
    <cellStyle name="Berechnung 5 2 37" xfId="18739" xr:uid="{4E0DED1F-0DF9-4DAF-BADC-6CC7BE30D44B}"/>
    <cellStyle name="Berechnung 5 2 38" xfId="19126" xr:uid="{FAB4D34C-9D97-440E-958A-A9DDF6B424BE}"/>
    <cellStyle name="Berechnung 5 2 39" xfId="19356" xr:uid="{979F0C48-2EE7-4A53-AC57-69B781062EA1}"/>
    <cellStyle name="Berechnung 5 2 4" xfId="2698" xr:uid="{3AE5EBA8-3331-480F-9476-70E8B9681F5E}"/>
    <cellStyle name="Berechnung 5 2 40" xfId="20258" xr:uid="{BCFA8D15-9786-420B-B4B6-A653B6156EEF}"/>
    <cellStyle name="Berechnung 5 2 41" xfId="20751" xr:uid="{41D6A768-B6E1-4C78-9EF1-1E4ED022E0AF}"/>
    <cellStyle name="Berechnung 5 2 42" xfId="21210" xr:uid="{B8167ADF-E19B-452E-84FC-E5E7198E0841}"/>
    <cellStyle name="Berechnung 5 2 43" xfId="21702" xr:uid="{9E9E63F2-56FC-4B2B-B870-076A83453B8F}"/>
    <cellStyle name="Berechnung 5 2 44" xfId="22141" xr:uid="{D1031FBC-534E-47A2-8DA9-300CCD40E054}"/>
    <cellStyle name="Berechnung 5 2 45" xfId="22568" xr:uid="{9E83DE74-5382-4F2C-97C2-100BB5E5A012}"/>
    <cellStyle name="Berechnung 5 2 46" xfId="23013" xr:uid="{7D9D425D-EB6B-4EB4-B498-D507DC2D0CFC}"/>
    <cellStyle name="Berechnung 5 2 47" xfId="23415" xr:uid="{8DE123A2-0596-48E7-BD7F-022100900D80}"/>
    <cellStyle name="Berechnung 5 2 48" xfId="23678" xr:uid="{B78BFA54-6362-4335-8458-0736B05D0537}"/>
    <cellStyle name="Berechnung 5 2 49" xfId="24058" xr:uid="{98F7BC81-16FD-4B06-AC5D-9748C0C06193}"/>
    <cellStyle name="Berechnung 5 2 5" xfId="3218" xr:uid="{163E9783-E373-48B4-B775-10FC5578DEA0}"/>
    <cellStyle name="Berechnung 5 2 50" xfId="24966" xr:uid="{1F3C56B7-D350-4709-8F0A-60143E6DCD5C}"/>
    <cellStyle name="Berechnung 5 2 51" xfId="25454" xr:uid="{A9627C09-BC1A-4A32-B368-7ACE4353170D}"/>
    <cellStyle name="Berechnung 5 2 52" xfId="25882" xr:uid="{912CA451-3E5F-49EC-B0B0-CBECE004C56E}"/>
    <cellStyle name="Berechnung 5 2 53" xfId="26320" xr:uid="{4DDD1DA5-76FD-4334-9F0C-5D3B311268A8}"/>
    <cellStyle name="Berechnung 5 2 54" xfId="26749" xr:uid="{0582FDA8-F05B-4F9A-8E2B-B1C01AF89E75}"/>
    <cellStyle name="Berechnung 5 2 55" xfId="27170" xr:uid="{260A78BC-01F7-4FD8-8C9F-4C7B92AF2192}"/>
    <cellStyle name="Berechnung 5 2 56" xfId="27589" xr:uid="{FFCFA392-64DD-4953-95B6-6049EC522D22}"/>
    <cellStyle name="Berechnung 5 2 57" xfId="26561" xr:uid="{1461F3C1-9249-4F99-8A1B-A41038707AD7}"/>
    <cellStyle name="Berechnung 5 2 58" xfId="28716" xr:uid="{367C5984-D4E0-44B2-BF04-8270C4CFCBED}"/>
    <cellStyle name="Berechnung 5 2 59" xfId="29183" xr:uid="{7B00D894-350B-47A8-A1A0-8C02373DF1FD}"/>
    <cellStyle name="Berechnung 5 2 6" xfId="3773" xr:uid="{6D7BD00D-7155-442F-958D-D7EE9A69BA3F}"/>
    <cellStyle name="Berechnung 5 2 60" xfId="29565" xr:uid="{7584FD3F-1141-4920-BF1B-FD23995E76E6}"/>
    <cellStyle name="Berechnung 5 2 61" xfId="29972" xr:uid="{7562D935-07D1-4455-90D6-B97AFD3F7751}"/>
    <cellStyle name="Berechnung 5 2 62" xfId="30378" xr:uid="{BEC79C06-5F0D-4E7D-A227-892279A6B1EC}"/>
    <cellStyle name="Berechnung 5 2 63" xfId="30795" xr:uid="{8B35B6CD-6D3A-4CBF-AD5E-7C16641FE17D}"/>
    <cellStyle name="Berechnung 5 2 64" xfId="31040" xr:uid="{16AC902E-18CD-4C65-928E-31BBE80DD4E5}"/>
    <cellStyle name="Berechnung 5 2 65" xfId="31411" xr:uid="{7D1D74A5-D145-47E2-8180-A4D31EE76D10}"/>
    <cellStyle name="Berechnung 5 2 7" xfId="4194" xr:uid="{731B4420-3AA6-4164-A2F5-38948213EF45}"/>
    <cellStyle name="Berechnung 5 2 8" xfId="4631" xr:uid="{CFADD592-6D1D-4D60-8ACC-D4D160FBED37}"/>
    <cellStyle name="Berechnung 5 2 9" xfId="5077" xr:uid="{1E1E4CA9-B031-4F86-BBAC-59DAE6E60391}"/>
    <cellStyle name="Berechnung 5 20" xfId="10201" xr:uid="{50AF41BE-5E16-4A36-AEF3-0F4D5B3593BD}"/>
    <cellStyle name="Berechnung 5 21" xfId="10605" xr:uid="{9525F021-8E24-4945-AF58-5CA7CE80208D}"/>
    <cellStyle name="Berechnung 5 22" xfId="10247" xr:uid="{01C2B521-B6A8-4CF4-8C05-151FD28CC8F4}"/>
    <cellStyle name="Berechnung 5 23" xfId="10963" xr:uid="{3DE22E67-D1D9-4BFD-8837-DC51499A2ABB}"/>
    <cellStyle name="Berechnung 5 24" xfId="12014" xr:uid="{0693BDD0-4930-4727-A5EB-CD11B562FE8A}"/>
    <cellStyle name="Berechnung 5 25" xfId="12487" xr:uid="{99A75BB1-EC88-4901-BE74-A9546F10D98A}"/>
    <cellStyle name="Berechnung 5 26" xfId="12921" xr:uid="{F233487C-9C7C-4277-8485-868CB4980C5C}"/>
    <cellStyle name="Berechnung 5 27" xfId="13358" xr:uid="{4F6B9028-6F3A-4A5B-A071-E01CD9048D2E}"/>
    <cellStyle name="Berechnung 5 28" xfId="12254" xr:uid="{1114F0C5-53A1-4DC7-8679-7ACEA180FC0A}"/>
    <cellStyle name="Berechnung 5 29" xfId="14326" xr:uid="{23E0F2C9-E22A-4567-BBB2-28841600E105}"/>
    <cellStyle name="Berechnung 5 3" xfId="1144" xr:uid="{C984A2BB-7E49-40F0-AE3F-88C808C0F6AE}"/>
    <cellStyle name="Berechnung 5 30" xfId="14851" xr:uid="{F9952393-36B0-4D65-920B-B4F05CB273EA}"/>
    <cellStyle name="Berechnung 5 31" xfId="14669" xr:uid="{6C93A53E-9103-4BA2-BF60-9318B79886B3}"/>
    <cellStyle name="Berechnung 5 32" xfId="15646" xr:uid="{8804F4EA-E0E2-4097-9644-2EE7D704D036}"/>
    <cellStyle name="Berechnung 5 33" xfId="15964" xr:uid="{36F57C6A-EF9F-4E67-8E84-6204811F02F1}"/>
    <cellStyle name="Berechnung 5 34" xfId="16706" xr:uid="{352783D8-7A7F-4BEE-A20A-ADAF7E67CFAB}"/>
    <cellStyle name="Berechnung 5 35" xfId="17322" xr:uid="{E5DAAC08-3C47-488F-867C-D1302B3C4B46}"/>
    <cellStyle name="Berechnung 5 36" xfId="17765" xr:uid="{A61ED9BB-0096-4989-936F-EAEBBD64470A}"/>
    <cellStyle name="Berechnung 5 37" xfId="17865" xr:uid="{11DEDF5B-0B52-46B8-AA45-323F9EDC4C5B}"/>
    <cellStyle name="Berechnung 5 38" xfId="18524" xr:uid="{1753A0C5-1DD0-42F2-83BE-6096341A79C3}"/>
    <cellStyle name="Berechnung 5 39" xfId="17731" xr:uid="{DDF1807D-6C77-48CD-9AA0-81C9A7529ADA}"/>
    <cellStyle name="Berechnung 5 4" xfId="1603" xr:uid="{CDB4666B-C4CE-4342-A1AE-82EFAA984AD1}"/>
    <cellStyle name="Berechnung 5 40" xfId="19047" xr:uid="{800E83AB-AD09-41DA-9E54-8086CC68033D}"/>
    <cellStyle name="Berechnung 5 41" xfId="20043" xr:uid="{AF11178D-9542-44F3-B507-60C9D84022A7}"/>
    <cellStyle name="Berechnung 5 42" xfId="20673" xr:uid="{D6FEBF5D-1531-496B-B654-53F332FF42F6}"/>
    <cellStyle name="Berechnung 5 43" xfId="21129" xr:uid="{2DA54DDC-608B-47A3-B47B-A8C42E52E31F}"/>
    <cellStyle name="Berechnung 5 44" xfId="19493" xr:uid="{757BF95C-5361-4794-9BA2-CAE0B74EF462}"/>
    <cellStyle name="Berechnung 5 45" xfId="22061" xr:uid="{3550C666-CED8-4392-944D-2F472B47C09D}"/>
    <cellStyle name="Berechnung 5 46" xfId="22489" xr:uid="{C2929398-87F8-465D-8A41-E160D4B2010A}"/>
    <cellStyle name="Berechnung 5 47" xfId="20336" xr:uid="{DCD66204-226F-453F-A749-0CDA6C20D1D7}"/>
    <cellStyle name="Berechnung 5 48" xfId="20726" xr:uid="{B510E86F-3F72-4739-BD20-587BC337AE52}"/>
    <cellStyle name="Berechnung 5 49" xfId="23321" xr:uid="{A8929B1A-3D95-4AEF-94FB-5D88B32A398C}"/>
    <cellStyle name="Berechnung 5 5" xfId="2483" xr:uid="{A09A280A-F1F9-4A47-AA29-1DF3DBB02E59}"/>
    <cellStyle name="Berechnung 5 50" xfId="23852" xr:uid="{1385315C-493B-449D-A539-02F49639128F}"/>
    <cellStyle name="Berechnung 5 51" xfId="24751" xr:uid="{6F70FD95-9D6F-4E78-A13C-467E4D68A232}"/>
    <cellStyle name="Berechnung 5 52" xfId="25376" xr:uid="{EBCF7BDA-D883-46C6-B003-6985000C1AC6}"/>
    <cellStyle name="Berechnung 5 53" xfId="25669" xr:uid="{69592C9C-6680-459B-89C9-1563B543BD68}"/>
    <cellStyle name="Berechnung 5 54" xfId="24419" xr:uid="{F88B0755-4A7C-42F3-9126-8861F4959C41}"/>
    <cellStyle name="Berechnung 5 55" xfId="26532" xr:uid="{E41E6BE5-CF1B-4E7D-BA78-CC0E7C54B5C5}"/>
    <cellStyle name="Berechnung 5 56" xfId="26959" xr:uid="{AC561DD6-AA3C-41AD-9A58-F48E23C3CD3D}"/>
    <cellStyle name="Berechnung 5 57" xfId="27378" xr:uid="{FCC8DA29-372B-4644-B417-1AC167DE274B}"/>
    <cellStyle name="Berechnung 5 58" xfId="24103" xr:uid="{0D688129-5867-4F93-AA07-C01961B360E7}"/>
    <cellStyle name="Berechnung 5 59" xfId="28501" xr:uid="{1AA38F61-05FA-48F8-B918-F30A412FE250}"/>
    <cellStyle name="Berechnung 5 6" xfId="1823" xr:uid="{C3A88650-7C4E-40D0-BAE0-71140E21ECF4}"/>
    <cellStyle name="Berechnung 5 60" xfId="28969" xr:uid="{647FE588-C6D1-4C9C-8C04-BF8A530FFC53}"/>
    <cellStyle name="Berechnung 5 61" xfId="29498" xr:uid="{6742060A-CBD4-4FDE-8470-D9A26113F640}"/>
    <cellStyle name="Berechnung 5 62" xfId="29759" xr:uid="{90629463-0ECD-4B77-B992-3E409FC40C48}"/>
    <cellStyle name="Berechnung 5 63" xfId="30167" xr:uid="{B23FB470-9C74-451B-8AD3-3D8AAA95A7B1}"/>
    <cellStyle name="Berechnung 5 64" xfId="30581" xr:uid="{4E1B9BFD-87CE-4851-88B9-41154E54A50F}"/>
    <cellStyle name="Berechnung 5 65" xfId="30827" xr:uid="{183B8D35-92BE-40B8-9FB2-BD2FABB42703}"/>
    <cellStyle name="Berechnung 5 66" xfId="31205" xr:uid="{DB8FB25D-CE86-4558-A26D-86DBA4DD1529}"/>
    <cellStyle name="Berechnung 5 7" xfId="2331" xr:uid="{D395A6A9-1BB7-49DE-BE73-CC8D7F5050DC}"/>
    <cellStyle name="Berechnung 5 8" xfId="3979" xr:uid="{4A66C9D6-E2C4-40FE-9601-6893EDF6471A}"/>
    <cellStyle name="Berechnung 5 9" xfId="4417" xr:uid="{D8DD8B23-5471-4B5E-917B-17BBCE63520A}"/>
    <cellStyle name="Berechnung 6" xfId="673" xr:uid="{553BD92C-09CF-4A86-8032-4C07658E7F9B}"/>
    <cellStyle name="Berechnung 6 10" xfId="4782" xr:uid="{761BC273-DF57-4BCB-A772-9D2643CDCC96}"/>
    <cellStyle name="Berechnung 6 11" xfId="5321" xr:uid="{722F3CA6-5ED0-42B9-AFC4-66BFA03A55FD}"/>
    <cellStyle name="Berechnung 6 12" xfId="2239" xr:uid="{B8B0BF0F-2626-4CB0-9FA7-BDC3C6AF7D62}"/>
    <cellStyle name="Berechnung 6 13" xfId="6257" xr:uid="{D74DA2F3-6CE3-451F-9CF1-AA1CB201F1F1}"/>
    <cellStyle name="Berechnung 6 14" xfId="6610" xr:uid="{751C49E3-B9B4-4CE9-A4FB-7E9470844B14}"/>
    <cellStyle name="Berechnung 6 15" xfId="7393" xr:uid="{40A6A442-5FD3-4E49-BCD7-09515407682A}"/>
    <cellStyle name="Berechnung 6 16" xfId="7784" xr:uid="{7C404BA1-4D71-4E0C-87C4-DD07F618E7FE}"/>
    <cellStyle name="Berechnung 6 17" xfId="8345" xr:uid="{CD0A625C-B236-483A-A4D7-82371AD78C1A}"/>
    <cellStyle name="Berechnung 6 18" xfId="7817" xr:uid="{2AC1FCB4-21D9-4608-B753-31B251A6EC46}"/>
    <cellStyle name="Berechnung 6 19" xfId="9607" xr:uid="{338D0A43-4B15-4C50-BC14-745179275100}"/>
    <cellStyle name="Berechnung 6 2" xfId="887" xr:uid="{C5768A61-DD4E-45F5-AC7D-2491783DA12F}"/>
    <cellStyle name="Berechnung 6 2 10" xfId="5535" xr:uid="{88DB9CCC-C3B4-4AE7-BAC0-E3E9BF2C109D}"/>
    <cellStyle name="Berechnung 6 2 11" xfId="6029" xr:uid="{590FEE17-BB50-4A9E-B3E9-053D7E92EE97}"/>
    <cellStyle name="Berechnung 6 2 12" xfId="6388" xr:uid="{BBBDD3E4-0BE0-4DFF-A26F-54E06C129F80}"/>
    <cellStyle name="Berechnung 6 2 13" xfId="6726" xr:uid="{FAF8CC75-206F-48A2-8E49-D984038D5A15}"/>
    <cellStyle name="Berechnung 6 2 14" xfId="7607" xr:uid="{C44DC126-D829-4280-907B-8994E919AD2D}"/>
    <cellStyle name="Berechnung 6 2 15" xfId="8071" xr:uid="{32B78534-4734-4DC5-8581-600E4A78617B}"/>
    <cellStyle name="Berechnung 6 2 16" xfId="8680" xr:uid="{000FF94A-B557-4E6F-94EE-B92036013654}"/>
    <cellStyle name="Berechnung 6 2 17" xfId="8939" xr:uid="{BAF3DD26-812F-4CB1-B6B1-A126FD6CE306}"/>
    <cellStyle name="Berechnung 6 2 18" xfId="9821" xr:uid="{CF9B0B5F-F596-4A0F-8F25-BEF52CDE1B3E}"/>
    <cellStyle name="Berechnung 6 2 19" xfId="10290" xr:uid="{39AC4A00-1265-4D4F-849D-ED646AF40A37}"/>
    <cellStyle name="Berechnung 6 2 2" xfId="1361" xr:uid="{24242F7D-09E2-4AE2-BCC9-F2386FFD6A20}"/>
    <cellStyle name="Berechnung 6 2 20" xfId="10684" xr:uid="{736B64B6-5CCC-492F-B825-54B953718F44}"/>
    <cellStyle name="Berechnung 6 2 21" xfId="11033" xr:uid="{B18E7D7A-BDDE-4B8E-9BFB-ECE3351A15E7}"/>
    <cellStyle name="Berechnung 6 2 22" xfId="11343" xr:uid="{633F228A-6154-451F-83EA-5BDDB209A279}"/>
    <cellStyle name="Berechnung 6 2 23" xfId="12240" xr:uid="{6632CA53-2DE3-4F4C-9842-7B6405CED593}"/>
    <cellStyle name="Berechnung 6 2 24" xfId="12713" xr:uid="{A8353C33-27B2-4ACB-9BAF-3FA3B97BDB17}"/>
    <cellStyle name="Berechnung 6 2 25" xfId="13147" xr:uid="{C9976E95-A844-4941-B167-63F574EFCB6A}"/>
    <cellStyle name="Berechnung 6 2 26" xfId="13584" xr:uid="{D68ECE55-379A-457B-82A4-703D24E6A392}"/>
    <cellStyle name="Berechnung 6 2 27" xfId="14056" xr:uid="{3540BF6B-1F2E-4D3F-8B99-8E8F0E341151}"/>
    <cellStyle name="Berechnung 6 2 28" xfId="14503" xr:uid="{AB4B4713-72FC-437E-ABEA-37EE5E87BF9E}"/>
    <cellStyle name="Berechnung 6 2 29" xfId="14937" xr:uid="{B7DB121C-F565-44B0-AF09-68CC4ED1EF37}"/>
    <cellStyle name="Berechnung 6 2 3" xfId="1810" xr:uid="{8CB4F4D4-1DD4-433C-BB3D-D98024DCC420}"/>
    <cellStyle name="Berechnung 6 2 30" xfId="15407" xr:uid="{CD1A8702-9D08-447E-9561-695F855BDB53}"/>
    <cellStyle name="Berechnung 6 2 31" xfId="15797" xr:uid="{32D29877-4C82-4F51-9225-849C59863813}"/>
    <cellStyle name="Berechnung 6 2 32" xfId="16019" xr:uid="{AB4AF4B2-A38C-4E53-8E19-1626311C3633}"/>
    <cellStyle name="Berechnung 6 2 33" xfId="16932" xr:uid="{F6793DE9-483C-49FF-802F-D557CDF84BC6}"/>
    <cellStyle name="Berechnung 6 2 34" xfId="17413" xr:uid="{DB233948-A5D9-4E9D-BD8A-F5A9733277BA}"/>
    <cellStyle name="Berechnung 6 2 35" xfId="17854" xr:uid="{1B4E76B8-6E76-4730-BF3B-3C416B93C605}"/>
    <cellStyle name="Berechnung 6 2 36" xfId="18329" xr:uid="{74FC8308-08D4-480D-A715-A862FBCB1975}"/>
    <cellStyle name="Berechnung 6 2 37" xfId="18750" xr:uid="{490F6B70-C4B8-47F7-84BC-DC805404ADF4}"/>
    <cellStyle name="Berechnung 6 2 38" xfId="19137" xr:uid="{ADF30DCC-3E54-4417-A5FA-6AA55C1C007C}"/>
    <cellStyle name="Berechnung 6 2 39" xfId="19367" xr:uid="{B0B7F60A-477F-44DD-A6D8-95810FC35016}"/>
    <cellStyle name="Berechnung 6 2 4" xfId="2709" xr:uid="{820CB6BA-4766-408C-9D43-CBFEC2C07B62}"/>
    <cellStyle name="Berechnung 6 2 40" xfId="20269" xr:uid="{B25C1F28-01B1-4E2A-83AC-4629FDCCA2B6}"/>
    <cellStyle name="Berechnung 6 2 41" xfId="20762" xr:uid="{2DC88E3F-DDA7-4D60-B023-DC82B79AC7C3}"/>
    <cellStyle name="Berechnung 6 2 42" xfId="21221" xr:uid="{51D993E5-4F98-40D0-86BA-00D8ECF12258}"/>
    <cellStyle name="Berechnung 6 2 43" xfId="21713" xr:uid="{4066C98C-533A-4D74-872A-A3D6241AD36A}"/>
    <cellStyle name="Berechnung 6 2 44" xfId="22152" xr:uid="{540426A2-D0A6-4CB1-9265-20AFC8ECFA3C}"/>
    <cellStyle name="Berechnung 6 2 45" xfId="22579" xr:uid="{79AA49DC-7C4C-45CE-88B2-EA05BF32A70F}"/>
    <cellStyle name="Berechnung 6 2 46" xfId="23024" xr:uid="{6EB026BE-FF62-45DC-BF22-8CB736A1D901}"/>
    <cellStyle name="Berechnung 6 2 47" xfId="23426" xr:uid="{717F291E-7A73-49A4-ABDA-BDBB4E033E91}"/>
    <cellStyle name="Berechnung 6 2 48" xfId="23689" xr:uid="{159A5F77-75D5-4923-92FA-E042EBD50068}"/>
    <cellStyle name="Berechnung 6 2 49" xfId="24069" xr:uid="{0861A57E-E2E5-4144-8035-DA6D7905041C}"/>
    <cellStyle name="Berechnung 6 2 5" xfId="3229" xr:uid="{1276A037-2323-4F87-B200-AC91807C9E02}"/>
    <cellStyle name="Berechnung 6 2 50" xfId="24977" xr:uid="{3B49DBC6-4736-468B-BC6A-27AE20149900}"/>
    <cellStyle name="Berechnung 6 2 51" xfId="25465" xr:uid="{57DA8A01-E9CA-4684-8D10-C380028EBBEF}"/>
    <cellStyle name="Berechnung 6 2 52" xfId="25893" xr:uid="{F9C5EDB2-DAF9-41A8-9556-FE9C8BFEF47C}"/>
    <cellStyle name="Berechnung 6 2 53" xfId="26331" xr:uid="{84491E43-6283-47F3-864A-19040FA2166D}"/>
    <cellStyle name="Berechnung 6 2 54" xfId="26760" xr:uid="{B62A4588-962F-4A08-B162-46EBEE870A46}"/>
    <cellStyle name="Berechnung 6 2 55" xfId="27181" xr:uid="{03622056-6863-4136-A1F3-35735FD77F13}"/>
    <cellStyle name="Berechnung 6 2 56" xfId="27600" xr:uid="{B0A0B5B8-F386-4461-B59F-0EF8FD6FF7AE}"/>
    <cellStyle name="Berechnung 6 2 57" xfId="27838" xr:uid="{E8442B6E-1C05-4F14-B325-F4CAEEEAFEFC}"/>
    <cellStyle name="Berechnung 6 2 58" xfId="28727" xr:uid="{9E9C8F99-14AA-4AA4-9BAD-2D8D6FD1C7F3}"/>
    <cellStyle name="Berechnung 6 2 59" xfId="29194" xr:uid="{77CFFBC5-8D86-4094-800A-4FEC915AFA8F}"/>
    <cellStyle name="Berechnung 6 2 6" xfId="3784" xr:uid="{CD0E5A3D-8580-4F9B-A0CD-5F1D428A847B}"/>
    <cellStyle name="Berechnung 6 2 60" xfId="29576" xr:uid="{59A03D9F-499F-4AF0-9E37-53AD05153E78}"/>
    <cellStyle name="Berechnung 6 2 61" xfId="29983" xr:uid="{4FCC6799-01A8-44D3-B17B-5CC4B1A451A8}"/>
    <cellStyle name="Berechnung 6 2 62" xfId="30389" xr:uid="{BE43FD9A-5990-4E84-A1A3-FBE70968081C}"/>
    <cellStyle name="Berechnung 6 2 63" xfId="30806" xr:uid="{73167D66-A7BE-4926-8783-56A7E71D24B4}"/>
    <cellStyle name="Berechnung 6 2 64" xfId="31051" xr:uid="{626CA998-C65F-4DC6-9F49-0D4236290375}"/>
    <cellStyle name="Berechnung 6 2 65" xfId="31422" xr:uid="{2316ABE1-B4FB-453E-95B4-CA28F5FFF5B2}"/>
    <cellStyle name="Berechnung 6 2 7" xfId="4205" xr:uid="{48C4F653-6101-4596-91CA-DFD998AD3F6F}"/>
    <cellStyle name="Berechnung 6 2 8" xfId="4642" xr:uid="{D2B853C1-C9AA-4DCF-809F-84DB6EFE4EEE}"/>
    <cellStyle name="Berechnung 6 2 9" xfId="5088" xr:uid="{C3A8B0B1-C857-4463-9552-BC95346C38BB}"/>
    <cellStyle name="Berechnung 6 20" xfId="9997" xr:uid="{9786DC9A-1B6E-451A-AFAF-40954F4E665E}"/>
    <cellStyle name="Berechnung 6 21" xfId="10422" xr:uid="{518E39D9-61D1-45FD-8DF6-A0D7B741BEC6}"/>
    <cellStyle name="Berechnung 6 22" xfId="10948" xr:uid="{4B539DD7-7040-4072-AD57-FAD0CB9DA3DE}"/>
    <cellStyle name="Berechnung 6 23" xfId="10818" xr:uid="{AB770A1D-B350-461A-A83B-62BD03F05FB0}"/>
    <cellStyle name="Berechnung 6 24" xfId="12026" xr:uid="{FF3D3569-017F-4417-9EB0-01C63E4A53FD}"/>
    <cellStyle name="Berechnung 6 25" xfId="12499" xr:uid="{EA181560-4DB5-452F-AB3A-A5FFAC1E1FA9}"/>
    <cellStyle name="Berechnung 6 26" xfId="12933" xr:uid="{EED28140-87BC-4DEB-AAE3-AFE79466159C}"/>
    <cellStyle name="Berechnung 6 27" xfId="13370" xr:uid="{A730E232-2A4B-4CEE-92F0-23CDB401E3C4}"/>
    <cellStyle name="Berechnung 6 28" xfId="13913" xr:uid="{64B06FD4-8A91-4118-BFBB-2E562E3EB37F}"/>
    <cellStyle name="Berechnung 6 29" xfId="13772" xr:uid="{61ABC7CF-8AA8-4C95-AEEE-0ED5E5674417}"/>
    <cellStyle name="Berechnung 6 3" xfId="1155" xr:uid="{E5EB41FC-42C1-4B40-BB86-D66235FA2547}"/>
    <cellStyle name="Berechnung 6 30" xfId="14651" xr:uid="{99487930-554F-495D-B698-D9E07EAEFF4B}"/>
    <cellStyle name="Berechnung 6 31" xfId="14958" xr:uid="{0FD4E888-CC7F-4D43-A693-0D0D9F00F14D}"/>
    <cellStyle name="Berechnung 6 32" xfId="15724" xr:uid="{AE6558E7-B5B0-4225-95C1-A709C87C30AD}"/>
    <cellStyle name="Berechnung 6 33" xfId="15852" xr:uid="{A868FEBF-2EAC-4AB5-80E2-281D40113058}"/>
    <cellStyle name="Berechnung 6 34" xfId="16718" xr:uid="{BE7C5A30-E925-4367-A4F5-8E67A8906DFA}"/>
    <cellStyle name="Berechnung 6 35" xfId="17113" xr:uid="{EA6181F1-C1BF-430D-955E-F273A7AACFA9}"/>
    <cellStyle name="Berechnung 6 36" xfId="17560" xr:uid="{091CE3F7-E940-4899-9970-104CB0FC5E75}"/>
    <cellStyle name="Berechnung 6 37" xfId="17529" xr:uid="{DF12DEA4-B675-4745-B071-92B64DEC7CAB}"/>
    <cellStyle name="Berechnung 6 38" xfId="18536" xr:uid="{51AE3BFA-35E6-4604-9A30-28FA69B65186}"/>
    <cellStyle name="Berechnung 6 39" xfId="18080" xr:uid="{737B4C84-8AE1-4417-B1EF-7DA1D47FD9B3}"/>
    <cellStyle name="Berechnung 6 4" xfId="1575" xr:uid="{2CC35F24-C180-4C14-AC74-0A088DB9D136}"/>
    <cellStyle name="Berechnung 6 40" xfId="19313" xr:uid="{EE263867-550E-4B38-8BA3-F799CFDF82E0}"/>
    <cellStyle name="Berechnung 6 41" xfId="20055" xr:uid="{BFEC7873-933B-4F11-B97C-71EA1BC48602}"/>
    <cellStyle name="Berechnung 6 42" xfId="20466" xr:uid="{5D6F9D47-DD03-4A90-A8BD-5F5B02D4B085}"/>
    <cellStyle name="Berechnung 6 43" xfId="20919" xr:uid="{8A8C5A07-088E-48CB-9C17-F6942A9E4CB6}"/>
    <cellStyle name="Berechnung 6 44" xfId="19680" xr:uid="{4FEC5458-DC5F-496D-94EB-C0EC548CA7B1}"/>
    <cellStyle name="Berechnung 6 45" xfId="21848" xr:uid="{25A963AF-74B1-4DB9-8BB0-253DB1979ADE}"/>
    <cellStyle name="Berechnung 6 46" xfId="22285" xr:uid="{7EAA0E1B-7096-4B5E-BC9C-AE1FB7612A90}"/>
    <cellStyle name="Berechnung 6 47" xfId="22890" xr:uid="{4FACBB6A-1B0B-41B0-AB3B-E4D887E624C2}"/>
    <cellStyle name="Berechnung 6 48" xfId="22412" xr:uid="{A4ED1E61-CEDF-4D72-90A5-10DC75FFD4D0}"/>
    <cellStyle name="Berechnung 6 49" xfId="23509" xr:uid="{EF13B919-81CC-4832-85BE-FA5DE25856D3}"/>
    <cellStyle name="Berechnung 6 5" xfId="2495" xr:uid="{65FDEF02-D93A-4E72-A587-3C67CE9435A4}"/>
    <cellStyle name="Berechnung 6 50" xfId="23863" xr:uid="{4B3ABAEA-7F0F-4977-BC9C-C701DE467075}"/>
    <cellStyle name="Berechnung 6 51" xfId="24763" xr:uid="{822EB7A1-2DA7-4BC4-A42E-DC9C8F03D723}"/>
    <cellStyle name="Berechnung 6 52" xfId="25174" xr:uid="{7A23B32F-6931-46E3-8C4F-959D8F938F72}"/>
    <cellStyle name="Berechnung 6 53" xfId="25681" xr:uid="{279C0E04-D432-4F5B-92D1-B2DA630B260C}"/>
    <cellStyle name="Berechnung 6 54" xfId="26196" xr:uid="{72532AB6-EE26-4E87-A42B-0B037769E553}"/>
    <cellStyle name="Berechnung 6 55" xfId="26169" xr:uid="{41267C29-3A45-4F7B-B5A7-67DD4F15BC3B}"/>
    <cellStyle name="Berechnung 6 56" xfId="26971" xr:uid="{4CCAE685-9A6B-4B9C-93B7-BB051F5DDAC7}"/>
    <cellStyle name="Berechnung 6 57" xfId="27390" xr:uid="{CF2728E4-B313-4668-AEAC-80EF101FD869}"/>
    <cellStyle name="Berechnung 6 58" xfId="27807" xr:uid="{B4607378-ADD4-4667-A178-777B14F79A35}"/>
    <cellStyle name="Berechnung 6 59" xfId="28513" xr:uid="{7A8D680C-C60E-49B9-BAFA-1FB5639634DE}"/>
    <cellStyle name="Berechnung 6 6" xfId="3081" xr:uid="{3C2B11F5-87A4-46B4-986B-FF7FDB9CEF3D}"/>
    <cellStyle name="Berechnung 6 60" xfId="28981" xr:uid="{2BA5C5B2-F5B3-423A-B2D3-F27A246E2174}"/>
    <cellStyle name="Berechnung 6 61" xfId="29321" xr:uid="{4A1BE7F9-B3D0-49A0-B546-B8B7286488E5}"/>
    <cellStyle name="Berechnung 6 62" xfId="29771" xr:uid="{35BC01B3-378B-4439-BD05-64A6F70B99E0}"/>
    <cellStyle name="Berechnung 6 63" xfId="30178" xr:uid="{FFA05042-801E-4B55-A322-29D99FDEE19D}"/>
    <cellStyle name="Berechnung 6 64" xfId="30593" xr:uid="{02F7862D-ECD0-4E43-B272-07FE132EF41D}"/>
    <cellStyle name="Berechnung 6 65" xfId="28109" xr:uid="{CA8695B5-9794-45EB-8390-4B2B79BA4928}"/>
    <cellStyle name="Berechnung 6 66" xfId="31216" xr:uid="{460221AE-20B3-4BD8-9747-F95D2A06E1C3}"/>
    <cellStyle name="Berechnung 6 7" xfId="3263" xr:uid="{9F95520D-55BE-4197-8F96-ADC27DBA99B7}"/>
    <cellStyle name="Berechnung 6 8" xfId="3991" xr:uid="{04E0CB2C-8C4D-4FDD-9882-AD7124944B1D}"/>
    <cellStyle name="Berechnung 6 9" xfId="4429" xr:uid="{3B8CBEB5-2735-4806-9882-40B340E5CDA3}"/>
    <cellStyle name="Berechnung 7" xfId="679" xr:uid="{A6F7BE7D-6A7B-42C3-BDCD-E9BE3A53765B}"/>
    <cellStyle name="Berechnung 7 10" xfId="5327" xr:uid="{03E4C9A9-DBD0-4777-BA1A-10E9B64A4A8F}"/>
    <cellStyle name="Berechnung 7 11" xfId="5856" xr:uid="{09E4AB3D-280D-412E-B925-30E6B960528D}"/>
    <cellStyle name="Berechnung 7 12" xfId="6153" xr:uid="{80431F4D-7166-4207-BB58-F82ABE81E8F2}"/>
    <cellStyle name="Berechnung 7 13" xfId="6295" xr:uid="{113E03AA-8A0E-431C-9669-B39A934531DF}"/>
    <cellStyle name="Berechnung 7 14" xfId="7399" xr:uid="{DFAFB535-CE0B-430D-BCA0-81D074E651BB}"/>
    <cellStyle name="Berechnung 7 15" xfId="7191" xr:uid="{3BB52832-8740-407F-8C02-8FA81D4C24F4}"/>
    <cellStyle name="Berechnung 7 16" xfId="8425" xr:uid="{EE4C7154-D8E5-42E5-966A-AD80B555EE57}"/>
    <cellStyle name="Berechnung 7 17" xfId="8602" xr:uid="{A1808EF5-37DC-429C-9628-96532C310B1B}"/>
    <cellStyle name="Berechnung 7 18" xfId="9613" xr:uid="{782CF2E7-D69A-4E7D-886C-03985ACCD4BB}"/>
    <cellStyle name="Berechnung 7 19" xfId="9404" xr:uid="{CB09708C-1320-4DE5-8164-471036248932}"/>
    <cellStyle name="Berechnung 7 2" xfId="1161" xr:uid="{01B2D9E5-4317-46BA-8EC8-245FD8C40189}"/>
    <cellStyle name="Berechnung 7 20" xfId="10254" xr:uid="{7C4FDF7A-F5D3-4D6D-9004-9CE02DA322B5}"/>
    <cellStyle name="Berechnung 7 21" xfId="10954" xr:uid="{A6BD4385-C018-4A6E-83B8-75739471B025}"/>
    <cellStyle name="Berechnung 7 22" xfId="10717" xr:uid="{DAD08171-FDBB-4C51-96FF-A92794EEB76F}"/>
    <cellStyle name="Berechnung 7 23" xfId="12032" xr:uid="{57A64814-44CC-4AC0-A4C9-FDBCFAE9A783}"/>
    <cellStyle name="Berechnung 7 24" xfId="12505" xr:uid="{1ABF3CEA-BDCD-4FFE-B637-BA181936DD32}"/>
    <cellStyle name="Berechnung 7 25" xfId="12939" xr:uid="{544E6471-836C-4A58-B26D-4C0A6DD9E394}"/>
    <cellStyle name="Berechnung 7 26" xfId="13376" xr:uid="{0F4B22F0-1EC6-44B6-A56F-DDF7B42140BC}"/>
    <cellStyle name="Berechnung 7 27" xfId="13967" xr:uid="{566E9EDA-32B8-49CA-B96A-8C5F6AD15B44}"/>
    <cellStyle name="Berechnung 7 28" xfId="14226" xr:uid="{1AE9FB99-0B29-4F2B-8CCA-910765138DDC}"/>
    <cellStyle name="Berechnung 7 29" xfId="14127" xr:uid="{1B03D084-468F-402C-B977-835F005AA212}"/>
    <cellStyle name="Berechnung 7 3" xfId="1645" xr:uid="{66B9EEFF-33AD-48DA-8DA7-CBF3CBF8E334}"/>
    <cellStyle name="Berechnung 7 30" xfId="15180" xr:uid="{979267C6-5D46-4E72-B475-05EE800A3820}"/>
    <cellStyle name="Berechnung 7 31" xfId="14991" xr:uid="{FA8DB5F9-EEF0-4E4C-AC2E-BFBA5B781EEF}"/>
    <cellStyle name="Berechnung 7 32" xfId="14865" xr:uid="{5CE4ACFD-5CE9-41A0-B0ED-A7D80355BBC3}"/>
    <cellStyle name="Berechnung 7 33" xfId="16724" xr:uid="{8D453060-DBF9-41F0-BE14-A9B0E4AE65FA}"/>
    <cellStyle name="Berechnung 7 34" xfId="16513" xr:uid="{FC204569-6007-4B92-AAA8-3AF6464983ED}"/>
    <cellStyle name="Berechnung 7 35" xfId="17376" xr:uid="{F6E1AE3C-BD75-4D6B-AB88-930708703701}"/>
    <cellStyle name="Berechnung 7 36" xfId="18137" xr:uid="{45610BAD-2984-4F54-9294-FB1C9E1956B0}"/>
    <cellStyle name="Berechnung 7 37" xfId="18542" xr:uid="{DE5002D6-1A3D-4BF8-8F3F-DC1AAD931710}"/>
    <cellStyle name="Berechnung 7 38" xfId="18355" xr:uid="{BFC6B11D-944D-4311-AB14-6180B665323D}"/>
    <cellStyle name="Berechnung 7 39" xfId="19320" xr:uid="{6A48C642-A745-433E-83EF-FBDB2FDABB0A}"/>
    <cellStyle name="Berechnung 7 4" xfId="2501" xr:uid="{320B4FBF-553F-436A-AB78-9D97FDB353ED}"/>
    <cellStyle name="Berechnung 7 40" xfId="20061" xr:uid="{430F6D51-B412-4D6B-A5B8-FBC385F029AB}"/>
    <cellStyle name="Berechnung 7 41" xfId="19849" xr:uid="{FB339220-DB0C-4BB2-90EE-FFF19793AB29}"/>
    <cellStyle name="Berechnung 7 42" xfId="20632" xr:uid="{3BAFC2FE-2293-479A-9D2E-EDB1B8519DCA}"/>
    <cellStyle name="Berechnung 7 43" xfId="21169" xr:uid="{15696A29-DACB-47CA-9ABB-608FB0238C3B}"/>
    <cellStyle name="Berechnung 7 44" xfId="20351" xr:uid="{1168489A-E5B6-4953-9BBB-F3E20DE8BDC0}"/>
    <cellStyle name="Berechnung 7 45" xfId="19756" xr:uid="{63095FD6-5765-4B97-9BBC-4A27B6C6FE27}"/>
    <cellStyle name="Berechnung 7 46" xfId="22941" xr:uid="{F95AD3FE-C9B4-41CC-B56E-0E4DFA8B6D49}"/>
    <cellStyle name="Berechnung 7 47" xfId="21048" xr:uid="{7616BDF9-F794-4F5A-8A33-68E21514AA9A}"/>
    <cellStyle name="Berechnung 7 48" xfId="23513" xr:uid="{231878A8-6C87-45B8-BE6B-E78909D138FF}"/>
    <cellStyle name="Berechnung 7 49" xfId="23869" xr:uid="{BACFA151-F25E-43DB-97B9-BC8E1C71C0B9}"/>
    <cellStyle name="Berechnung 7 5" xfId="3137" xr:uid="{52FEF6D8-DCCE-426B-AED9-AF173914720E}"/>
    <cellStyle name="Berechnung 7 50" xfId="24769" xr:uid="{7F55823D-53A8-4E80-B62F-4662CAFE3698}"/>
    <cellStyle name="Berechnung 7 51" xfId="24424" xr:uid="{A5B35F93-6CAD-4BC4-AC90-F0D3E4A46908}"/>
    <cellStyle name="Berechnung 7 52" xfId="25687" xr:uid="{0C13CDE8-6E4F-430A-9C3E-A0B09D7C2753}"/>
    <cellStyle name="Berechnung 7 53" xfId="26055" xr:uid="{0A92D968-77EE-438C-9016-B8F2131B5526}"/>
    <cellStyle name="Berechnung 7 54" xfId="25348" xr:uid="{D1E3D9D6-CBEB-4574-A77E-F3D38686F530}"/>
    <cellStyle name="Berechnung 7 55" xfId="26977" xr:uid="{D7A546BF-A7D3-4C9F-B80E-F6010C526E20}"/>
    <cellStyle name="Berechnung 7 56" xfId="27396" xr:uid="{2BD45978-3C3C-4D14-9816-213431619EFC}"/>
    <cellStyle name="Berechnung 7 57" xfId="27614" xr:uid="{C2A77125-1F43-48CE-AE8A-D5862C49E72D}"/>
    <cellStyle name="Berechnung 7 58" xfId="28519" xr:uid="{54F1288D-C60D-452F-9E6C-D1F4CF56998A}"/>
    <cellStyle name="Berechnung 7 59" xfId="28987" xr:uid="{7940D8B8-3558-4E3A-93BA-928C50A083AB}"/>
    <cellStyle name="Berechnung 7 6" xfId="3354" xr:uid="{C9BB63AB-BA1B-4F3E-8895-29170B50655F}"/>
    <cellStyle name="Berechnung 7 60" xfId="28783" xr:uid="{2FC165C8-ABBC-4C0A-AB96-FBBE9457B682}"/>
    <cellStyle name="Berechnung 7 61" xfId="29777" xr:uid="{C0C6518E-F802-4682-AB58-5CFE88E15C89}"/>
    <cellStyle name="Berechnung 7 62" xfId="30184" xr:uid="{BC5B4412-DE8A-46BA-8E20-CF5493220460}"/>
    <cellStyle name="Berechnung 7 63" xfId="30599" xr:uid="{B8D749DA-C158-483E-8C26-9D4BB705D4E1}"/>
    <cellStyle name="Berechnung 7 64" xfId="30866" xr:uid="{434DCD84-6871-46F3-B9BF-595A1564FCF7}"/>
    <cellStyle name="Berechnung 7 65" xfId="31222" xr:uid="{C0DD1EB7-05E6-4D85-B176-FBE6DD6BAB3A}"/>
    <cellStyle name="Berechnung 7 7" xfId="3997" xr:uid="{5078DD6A-53EC-4C5D-9AD1-5797F4989E7E}"/>
    <cellStyle name="Berechnung 7 8" xfId="4435" xr:uid="{A0EC6F23-3E27-4B97-8036-3F8F7EE6BD43}"/>
    <cellStyle name="Berechnung 7 9" xfId="5011" xr:uid="{2E751E32-90E0-4D96-AF66-5D5E685C9501}"/>
    <cellStyle name="Bold GHG Numbers (0.00)" xfId="127" xr:uid="{AF4F3139-A41C-4DE8-9349-59F43EBA2C67}"/>
    <cellStyle name="Calculation 2" xfId="128" xr:uid="{A7F54E66-FF3F-458A-AEFD-DC100D58B610}"/>
    <cellStyle name="Calculation 2 10" xfId="2793" xr:uid="{91169EFF-5DC6-4226-BF95-4B83B09C4300}"/>
    <cellStyle name="Calculation 2 11" xfId="3021" xr:uid="{6AC2EC0D-4396-4587-8551-B5A57C20D2C7}"/>
    <cellStyle name="Calculation 2 12" xfId="4922" xr:uid="{0299CCD9-6FAF-4C72-B737-3374C195B2E9}"/>
    <cellStyle name="Calculation 2 13" xfId="6144" xr:uid="{34570530-DF41-45C0-85D6-EE5087502CA7}"/>
    <cellStyle name="Calculation 2 14" xfId="6172" xr:uid="{B7A14B08-FFBD-48C6-A9C7-19F13D2EE7BC}"/>
    <cellStyle name="Calculation 2 15" xfId="6864" xr:uid="{397CE58F-422F-4CE6-A14C-940E1AC902F9}"/>
    <cellStyle name="Calculation 2 16" xfId="7945" xr:uid="{ECF33EF5-A092-430B-922D-C70FC23D02F4}"/>
    <cellStyle name="Calculation 2 17" xfId="6924" xr:uid="{1E398A03-7A53-418F-9DA1-C7D630D5D052}"/>
    <cellStyle name="Calculation 2 18" xfId="6835" xr:uid="{927883D7-7CBF-4FEA-AD34-1529F0461E04}"/>
    <cellStyle name="Calculation 2 19" xfId="9078" xr:uid="{32C54AE8-27C0-451A-A330-0598189FD71D}"/>
    <cellStyle name="Calculation 2 2" xfId="546" xr:uid="{D8204885-9C46-4CE8-9D61-633B8064BA01}"/>
    <cellStyle name="Calculation 2 2 10" xfId="5002" xr:uid="{6417D7AD-4CB0-4A83-A575-4BF2A5E9612F}"/>
    <cellStyle name="Calculation 2 2 11" xfId="5194" xr:uid="{054C2427-E37B-4381-AC64-761528133339}"/>
    <cellStyle name="Calculation 2 2 12" xfId="5615" xr:uid="{AB6489CF-0E1D-4207-969E-214BB022FC9F}"/>
    <cellStyle name="Calculation 2 2 13" xfId="4665" xr:uid="{5CF7F099-336A-4680-B816-DFFCD1422B76}"/>
    <cellStyle name="Calculation 2 2 14" xfId="6220" xr:uid="{E5A8FF8B-F8D6-4778-85F7-018B992C0732}"/>
    <cellStyle name="Calculation 2 2 15" xfId="7266" xr:uid="{569084AB-8147-4E8F-A1F2-46715F6C14C2}"/>
    <cellStyle name="Calculation 2 2 16" xfId="8026" xr:uid="{90AEC523-7269-4046-B14E-1B2DD9CF00D4}"/>
    <cellStyle name="Calculation 2 2 17" xfId="6950" xr:uid="{768FFADD-A25B-46DA-944C-144A6E087FB2}"/>
    <cellStyle name="Calculation 2 2 18" xfId="7718" xr:uid="{ECB2DD67-A00F-41C3-9313-CCAA02867724}"/>
    <cellStyle name="Calculation 2 2 19" xfId="9480" xr:uid="{13912E17-96CE-4046-A721-B6F6B1AB473A}"/>
    <cellStyle name="Calculation 2 2 2" xfId="761" xr:uid="{2BF0D9C5-3B92-4FD6-B897-C6D1C95E3090}"/>
    <cellStyle name="Calculation 2 2 2 10" xfId="5409" xr:uid="{2BEDCFC4-AEE4-413C-9309-0BDDD7FF7B0E}"/>
    <cellStyle name="Calculation 2 2 2 11" xfId="5871" xr:uid="{86D0A9AC-3D64-4D2F-8705-0F10D4FD750B}"/>
    <cellStyle name="Calculation 2 2 2 12" xfId="4959" xr:uid="{0F698A61-A419-4D2F-BAFA-0A5F6BB6AA58}"/>
    <cellStyle name="Calculation 2 2 2 13" xfId="5777" xr:uid="{D15DE44F-67A7-4E5C-A6FC-CCC587B2C070}"/>
    <cellStyle name="Calculation 2 2 2 14" xfId="7481" xr:uid="{5DDFE715-665E-4B46-9DB1-A8990E70E1CF}"/>
    <cellStyle name="Calculation 2 2 2 15" xfId="7114" xr:uid="{55B531C2-AE55-45EF-BEE0-B42DF29883C8}"/>
    <cellStyle name="Calculation 2 2 2 16" xfId="8172" xr:uid="{B9A47F6B-4D20-48C9-855F-FF3496879104}"/>
    <cellStyle name="Calculation 2 2 2 17" xfId="8831" xr:uid="{03CB1F24-1E4D-442F-8326-15ABE78D7270}"/>
    <cellStyle name="Calculation 2 2 2 18" xfId="9695" xr:uid="{32B2EC0E-D908-4A81-A754-F18E0DFE8D3E}"/>
    <cellStyle name="Calculation 2 2 2 19" xfId="9200" xr:uid="{5DF5DB87-9268-4345-B646-347EEF38474B}"/>
    <cellStyle name="Calculation 2 2 2 2" xfId="1235" xr:uid="{29E79964-8D8C-49A0-A201-73DC2B95ED84}"/>
    <cellStyle name="Calculation 2 2 2 20" xfId="9363" xr:uid="{B743727A-CAD7-4FC9-8E2B-3F7A0402A6E2}"/>
    <cellStyle name="Calculation 2 2 2 21" xfId="8949" xr:uid="{C59A8C99-AC02-473A-B0F5-06F1ABA4D43F}"/>
    <cellStyle name="Calculation 2 2 2 22" xfId="10489" xr:uid="{26BB9482-500B-4631-9F2A-BBE8FB33E647}"/>
    <cellStyle name="Calculation 2 2 2 23" xfId="12114" xr:uid="{71D3802D-E06D-477D-86B5-D08BAD78AD02}"/>
    <cellStyle name="Calculation 2 2 2 24" xfId="12587" xr:uid="{7C798141-BD0D-43E6-ABCB-0AD1F7742557}"/>
    <cellStyle name="Calculation 2 2 2 25" xfId="13021" xr:uid="{C506A6B1-2530-42AD-BA71-0AF12F92B851}"/>
    <cellStyle name="Calculation 2 2 2 26" xfId="13458" xr:uid="{14E6B84B-6FB8-4605-BFBA-9943B4ABDE2F}"/>
    <cellStyle name="Calculation 2 2 2 27" xfId="12253" xr:uid="{AAAD7DE0-5C62-4B1A-9D9C-01F6334CAEDC}"/>
    <cellStyle name="Calculation 2 2 2 28" xfId="13713" xr:uid="{2DE9AAE5-69B4-440F-B9E0-B13DB51C1156}"/>
    <cellStyle name="Calculation 2 2 2 29" xfId="14453" xr:uid="{A3FBAFB7-D28D-4AF6-AEAB-7840E0931A70}"/>
    <cellStyle name="Calculation 2 2 2 3" xfId="1665" xr:uid="{4CFB13A1-9EE5-4D5B-B0FE-409ADC7DDDBF}"/>
    <cellStyle name="Calculation 2 2 2 30" xfId="15318" xr:uid="{88D85533-5702-4AE3-9CBA-12C21C95B0FE}"/>
    <cellStyle name="Calculation 2 2 2 31" xfId="13950" xr:uid="{4698B717-7531-4DC4-9693-8685177D7A9C}"/>
    <cellStyle name="Calculation 2 2 2 32" xfId="15731" xr:uid="{C6A34C66-5059-4FAF-8B42-C09D4DC25234}"/>
    <cellStyle name="Calculation 2 2 2 33" xfId="16806" xr:uid="{262CBABB-2306-4345-96AF-89FAC7F4216A}"/>
    <cellStyle name="Calculation 2 2 2 34" xfId="16436" xr:uid="{837E80C2-022C-47DE-8115-75AD4340479F}"/>
    <cellStyle name="Calculation 2 2 2 35" xfId="16309" xr:uid="{4C2A1955-29EB-46C0-8132-C5CCB224D1B5}"/>
    <cellStyle name="Calculation 2 2 2 36" xfId="16954" xr:uid="{57261792-1E3F-4D82-989A-49CDE522BF9F}"/>
    <cellStyle name="Calculation 2 2 2 37" xfId="18624" xr:uid="{E21C6440-8319-4166-B1C8-B8D7E6C72A27}"/>
    <cellStyle name="Calculation 2 2 2 38" xfId="18973" xr:uid="{25BDCD42-C20E-47BE-837F-F61D3EC18C0A}"/>
    <cellStyle name="Calculation 2 2 2 39" xfId="18952" xr:uid="{D6409586-FA33-4B60-883E-16BC937D59F8}"/>
    <cellStyle name="Calculation 2 2 2 4" xfId="2583" xr:uid="{2408813F-7784-46E7-A1AE-AB90D916429C}"/>
    <cellStyle name="Calculation 2 2 2 40" xfId="20143" xr:uid="{D033410A-0798-4D78-A231-46507F1E5233}"/>
    <cellStyle name="Calculation 2 2 2 41" xfId="20086" xr:uid="{0A5FB34C-2A32-4D01-8C31-3A6508D5A593}"/>
    <cellStyle name="Calculation 2 2 2 42" xfId="19835" xr:uid="{9B9A181D-2D03-4648-B139-FD5241477101}"/>
    <cellStyle name="Calculation 2 2 2 43" xfId="21475" xr:uid="{5CDB3419-C1AB-453D-B112-F80399302F2E}"/>
    <cellStyle name="Calculation 2 2 2 44" xfId="20581" xr:uid="{1671B015-20B7-42A3-B59E-037B6C96D666}"/>
    <cellStyle name="Calculation 2 2 2 45" xfId="21587" xr:uid="{14F510D9-3B99-4296-94E3-F693AAD778DB}"/>
    <cellStyle name="Calculation 2 2 2 46" xfId="21468" xr:uid="{D7A2CCA8-6B48-45A8-92C1-D39F1285ACCA}"/>
    <cellStyle name="Calculation 2 2 2 47" xfId="23259" xr:uid="{FFCA8F64-248E-4D07-A88E-316381134906}"/>
    <cellStyle name="Calculation 2 2 2 48" xfId="22703" xr:uid="{2B90E6B8-09B6-40DF-A072-BC2A62EE50B6}"/>
    <cellStyle name="Calculation 2 2 2 49" xfId="23943" xr:uid="{4ECF85D1-EFB5-4D64-8BD6-DAE02AB869FF}"/>
    <cellStyle name="Calculation 2 2 2 5" xfId="2265" xr:uid="{0CCDFA29-2263-4324-B291-5CE6F01A4336}"/>
    <cellStyle name="Calculation 2 2 2 50" xfId="24851" xr:uid="{09323C51-7654-4DF0-B363-62BC3DDE7B87}"/>
    <cellStyle name="Calculation 2 2 2 51" xfId="24314" xr:uid="{33F695E8-2597-4AA7-ACF1-06115CBFC9D5}"/>
    <cellStyle name="Calculation 2 2 2 52" xfId="25767" xr:uid="{992D5D54-65CF-410A-A31C-DCED07AD9AD2}"/>
    <cellStyle name="Calculation 2 2 2 53" xfId="24132" xr:uid="{252D6C78-51EC-40EE-BB9D-DD920E37C769}"/>
    <cellStyle name="Calculation 2 2 2 54" xfId="26256" xr:uid="{BE02B953-A00C-4B96-8174-E016929D3C5D}"/>
    <cellStyle name="Calculation 2 2 2 55" xfId="27055" xr:uid="{3F6C93AF-A712-457C-B76D-100D3E29DA30}"/>
    <cellStyle name="Calculation 2 2 2 56" xfId="27474" xr:uid="{BE3CF6FC-7670-45F9-8BCB-077947D56FC8}"/>
    <cellStyle name="Calculation 2 2 2 57" xfId="25945" xr:uid="{27D3B44B-E23E-450A-9BD9-7D9DAFD3E797}"/>
    <cellStyle name="Calculation 2 2 2 58" xfId="28601" xr:uid="{D31365AB-FE07-4894-9250-6838A9B4E526}"/>
    <cellStyle name="Calculation 2 2 2 59" xfId="29068" xr:uid="{C47E59C3-CD84-4CAC-9D9B-9439BDE7CAD8}"/>
    <cellStyle name="Calculation 2 2 2 6" xfId="3257" xr:uid="{11846681-518D-4668-A49F-10DEEB22FFDF}"/>
    <cellStyle name="Calculation 2 2 2 60" xfId="28310" xr:uid="{33E5670F-A106-4DBB-9CFF-A617F61D53B7}"/>
    <cellStyle name="Calculation 2 2 2 61" xfId="29857" xr:uid="{B0D8842D-2BC1-41FD-907A-DCF043C8EC43}"/>
    <cellStyle name="Calculation 2 2 2 62" xfId="30263" xr:uid="{13898380-02D5-4234-AB00-9FCE0F5F7858}"/>
    <cellStyle name="Calculation 2 2 2 63" xfId="30680" xr:uid="{031F1316-1DD0-48B7-A3D1-BE81A61E75D9}"/>
    <cellStyle name="Calculation 2 2 2 64" xfId="28285" xr:uid="{01DA9EB4-2832-48B7-A625-3D969FF49C5C}"/>
    <cellStyle name="Calculation 2 2 2 65" xfId="31296" xr:uid="{65537B12-7E95-4E6B-96D2-2B2CECDAD131}"/>
    <cellStyle name="Calculation 2 2 2 7" xfId="4079" xr:uid="{346FBC94-066F-47B2-AAF9-22C2DAB6668A}"/>
    <cellStyle name="Calculation 2 2 2 8" xfId="4516" xr:uid="{D0AA1B02-763B-4D54-9BAB-4AEF72FA2A0C}"/>
    <cellStyle name="Calculation 2 2 2 9" xfId="2192" xr:uid="{C7BC31EA-57F4-4371-A881-0FF9562C2597}"/>
    <cellStyle name="Calculation 2 2 20" xfId="10245" xr:uid="{FE9333E5-FBE4-44E3-BAD6-71C7B901BC6E}"/>
    <cellStyle name="Calculation 2 2 21" xfId="10640" xr:uid="{F09ADFD9-FE97-416A-AF8F-97D08EDDE504}"/>
    <cellStyle name="Calculation 2 2 22" xfId="10044" xr:uid="{452B22B6-E168-4C5F-95D5-BC408B375839}"/>
    <cellStyle name="Calculation 2 2 23" xfId="9184" xr:uid="{7FDFD639-BB26-4DF5-A4A8-862F08340F09}"/>
    <cellStyle name="Calculation 2 2 24" xfId="11899" xr:uid="{A3161790-A97E-4C64-A56C-1BD735F4FBE4}"/>
    <cellStyle name="Calculation 2 2 25" xfId="12372" xr:uid="{14D8F486-2601-4EA8-AADD-C39556A6E879}"/>
    <cellStyle name="Calculation 2 2 26" xfId="12806" xr:uid="{44180180-B8D8-41EA-88EB-2EDA0C8C95B0}"/>
    <cellStyle name="Calculation 2 2 27" xfId="13243" xr:uid="{A7D0E894-DC0E-4ED9-A9CC-4A336529C39F}"/>
    <cellStyle name="Calculation 2 2 28" xfId="11594" xr:uid="{38D82DF6-B48B-4926-9356-E5B53C7490C6}"/>
    <cellStyle name="Calculation 2 2 29" xfId="14216" xr:uid="{A9B01BBB-32DF-41DE-B916-394CE16405D9}"/>
    <cellStyle name="Calculation 2 2 3" xfId="1029" xr:uid="{A0BDC880-8E48-4F10-85D5-E30975099AB7}"/>
    <cellStyle name="Calculation 2 2 30" xfId="14422" xr:uid="{CCBBD570-510D-443C-A1C7-4842257249A1}"/>
    <cellStyle name="Calculation 2 2 31" xfId="14622" xr:uid="{51F246B7-327F-4EE1-9C9F-18592C3DD009}"/>
    <cellStyle name="Calculation 2 2 32" xfId="15726" xr:uid="{67467ECF-38D4-447D-9CF2-579C3E770581}"/>
    <cellStyle name="Calculation 2 2 33" xfId="15986" xr:uid="{8280D4CB-3171-47EB-A810-9C1834104D91}"/>
    <cellStyle name="Calculation 2 2 34" xfId="16591" xr:uid="{65326179-67E4-4288-B735-1BFD10228E20}"/>
    <cellStyle name="Calculation 2 2 35" xfId="17366" xr:uid="{FB36B777-EE00-4573-9AA1-87883E98ECF7}"/>
    <cellStyle name="Calculation 2 2 36" xfId="17808" xr:uid="{571F47CC-B5B6-454A-BDE4-6E94034858C1}"/>
    <cellStyle name="Calculation 2 2 37" xfId="18028" xr:uid="{F64B4ED9-515E-4DE2-B7E5-EF86BE979548}"/>
    <cellStyle name="Calculation 2 2 38" xfId="18409" xr:uid="{2F3DE04F-6BD8-4C5E-A58A-3826C53C8055}"/>
    <cellStyle name="Calculation 2 2 39" xfId="18166" xr:uid="{CA1A423C-77D2-4A57-BA38-4FC4C2CDCFC4}"/>
    <cellStyle name="Calculation 2 2 4" xfId="1460" xr:uid="{4A190D3D-8432-4C67-85BE-AA660D010A43}"/>
    <cellStyle name="Calculation 2 2 40" xfId="19336" xr:uid="{11075FB4-C933-472A-B11E-2E930AE88EAD}"/>
    <cellStyle name="Calculation 2 2 41" xfId="19928" xr:uid="{E003B897-A1C8-4667-99FD-1E8AF515A966}"/>
    <cellStyle name="Calculation 2 2 42" xfId="20716" xr:uid="{1A6AA7F4-30BF-43AD-B590-7D6432BC6B3F}"/>
    <cellStyle name="Calculation 2 2 43" xfId="21174" xr:uid="{F692993A-AE3B-42EE-B93B-DE4F018EEBF2}"/>
    <cellStyle name="Calculation 2 2 44" xfId="20795" xr:uid="{923422EE-4440-4ADF-A3C3-CE7DACD16E8A}"/>
    <cellStyle name="Calculation 2 2 45" xfId="22105" xr:uid="{2AA43575-FEB1-4DC5-9423-2BCAF75E6AF6}"/>
    <cellStyle name="Calculation 2 2 46" xfId="22533" xr:uid="{44921843-FBEE-4D60-A129-6258D263A5A1}"/>
    <cellStyle name="Calculation 2 2 47" xfId="20295" xr:uid="{A8E57C93-333A-446F-8F31-D01C317D7FE6}"/>
    <cellStyle name="Calculation 2 2 48" xfId="22353" xr:uid="{F86588AC-4062-480F-A137-DA968CD92024}"/>
    <cellStyle name="Calculation 2 2 49" xfId="23208" xr:uid="{1ACB1605-4DFC-4D62-AF66-1E2E93B2834E}"/>
    <cellStyle name="Calculation 2 2 5" xfId="2368" xr:uid="{5C7DEA1A-0111-4A91-BE96-8B35B32752A7}"/>
    <cellStyle name="Calculation 2 2 50" xfId="23737" xr:uid="{2DE082FA-EF02-4F4C-BFE0-E049A22C9468}"/>
    <cellStyle name="Calculation 2 2 51" xfId="24636" xr:uid="{A9CF6571-E53B-492C-ACA6-6EF2D0F50B83}"/>
    <cellStyle name="Calculation 2 2 52" xfId="25420" xr:uid="{D416D44D-1A64-42ED-9D13-F92A53254B04}"/>
    <cellStyle name="Calculation 2 2 53" xfId="25554" xr:uid="{7D67085C-D29B-4E59-9FED-CA246E7772F7}"/>
    <cellStyle name="Calculation 2 2 54" xfId="25219" xr:uid="{63A22490-7A52-4849-8180-DB20AD23CE89}"/>
    <cellStyle name="Calculation 2 2 55" xfId="26498" xr:uid="{8D97408F-D8C1-4245-81FF-CABF58D7A3FA}"/>
    <cellStyle name="Calculation 2 2 56" xfId="26844" xr:uid="{CA047BB2-99D4-4ABC-B01F-DC6CC12B5B57}"/>
    <cellStyle name="Calculation 2 2 57" xfId="27263" xr:uid="{24454D0B-A9FC-4658-8DC1-BEF7D1B4A41E}"/>
    <cellStyle name="Calculation 2 2 58" xfId="27789" xr:uid="{260ABDAB-0FE3-4A4A-9F76-6B2A8FA9A421}"/>
    <cellStyle name="Calculation 2 2 59" xfId="28386" xr:uid="{607352B4-49DE-4015-98EB-C1EF7E1603EF}"/>
    <cellStyle name="Calculation 2 2 6" xfId="2204" xr:uid="{6EEF7420-587B-464E-A916-85886E18BC99}"/>
    <cellStyle name="Calculation 2 2 60" xfId="28854" xr:uid="{8322BDF0-3DDF-49D2-B225-A0BA155CC356}"/>
    <cellStyle name="Calculation 2 2 61" xfId="29534" xr:uid="{7C0D897B-3B27-4C3D-B58E-B0E3D12FD1E7}"/>
    <cellStyle name="Calculation 2 2 62" xfId="29644" xr:uid="{5795CB03-10B5-428B-B914-04AD99B5992A}"/>
    <cellStyle name="Calculation 2 2 63" xfId="30052" xr:uid="{00D147F0-938C-4C53-B89A-66A21EFA0364}"/>
    <cellStyle name="Calculation 2 2 64" xfId="30466" xr:uid="{CF012BD5-AF26-4D48-8429-6E619D0F7A58}"/>
    <cellStyle name="Calculation 2 2 65" xfId="30900" xr:uid="{BD393EDC-41A5-4BB5-9E1C-5AE63D15ED8B}"/>
    <cellStyle name="Calculation 2 2 66" xfId="31090" xr:uid="{B8A45485-89FB-4AD7-9BE7-C6B04E562DDC}"/>
    <cellStyle name="Calculation 2 2 7" xfId="2296" xr:uid="{E6E8DB79-195C-44E1-BF2A-ADED09A7636E}"/>
    <cellStyle name="Calculation 2 2 8" xfId="3864" xr:uid="{B3FAD341-A082-47E7-BCA1-AA4B75A6FCAB}"/>
    <cellStyle name="Calculation 2 2 9" xfId="4302" xr:uid="{0543F01B-CECB-4FC2-9E98-5CAD8AF087B2}"/>
    <cellStyle name="Calculation 2 20" xfId="10159" xr:uid="{F447EC85-9B22-42E5-975C-8FAC26A47F9B}"/>
    <cellStyle name="Calculation 2 21" xfId="10898" xr:uid="{89FF718C-C5A8-4F06-8904-532179C75296}"/>
    <cellStyle name="Calculation 2 22" xfId="11488" xr:uid="{11A16DF2-C07A-4153-9D8A-17CDA2DD0FC8}"/>
    <cellStyle name="Calculation 2 23" xfId="11812" xr:uid="{285CEB74-4C14-46AA-A949-C94BF9925679}"/>
    <cellStyle name="Calculation 2 24" xfId="11466" xr:uid="{DDC7A8CB-A98B-45E4-AFF3-1F2A3852F9A1}"/>
    <cellStyle name="Calculation 2 25" xfId="12728" xr:uid="{7D7E8254-DD11-41EE-A167-477BA4108D07}"/>
    <cellStyle name="Calculation 2 26" xfId="13180" xr:uid="{15468490-F5F4-457B-ACD5-C4E8C23FF229}"/>
    <cellStyle name="Calculation 2 27" xfId="14684" xr:uid="{F7B0C0D3-CD60-4C02-9878-F58EDFBE64CC}"/>
    <cellStyle name="Calculation 2 28" xfId="15829" xr:uid="{FD88161E-473B-4136-A38A-4BE4767C4FEF}"/>
    <cellStyle name="Calculation 2 29" xfId="16180" xr:uid="{DABC7818-069F-4397-B31C-076DFC47EEFD}"/>
    <cellStyle name="Calculation 2 3" xfId="630" xr:uid="{6A93680B-2502-4EDA-8A0A-2767782BE42D}"/>
    <cellStyle name="Calculation 2 3 10" xfId="5025" xr:uid="{0F5F6B7A-44DA-420D-A137-6568088C640F}"/>
    <cellStyle name="Calculation 2 3 11" xfId="5278" xr:uid="{996DFA85-01DB-4B99-9E03-4590A245DC73}"/>
    <cellStyle name="Calculation 2 3 12" xfId="5896" xr:uid="{7AD5B619-69F8-4642-8907-D4E518F43583}"/>
    <cellStyle name="Calculation 2 3 13" xfId="5810" xr:uid="{D9F8815C-7C88-4C1F-9833-368822CAA4D5}"/>
    <cellStyle name="Calculation 2 3 14" xfId="6662" xr:uid="{9CEBC9F1-80D7-44C0-939E-E22A7E57CB23}"/>
    <cellStyle name="Calculation 2 3 15" xfId="7350" xr:uid="{0552E484-030E-49C7-A036-274E1448D9E6}"/>
    <cellStyle name="Calculation 2 3 16" xfId="7785" xr:uid="{AA469CCA-10D0-4EA0-B6DA-BE9848B618ED}"/>
    <cellStyle name="Calculation 2 3 17" xfId="7676" xr:uid="{933A6A57-287A-432D-A763-907204757606}"/>
    <cellStyle name="Calculation 2 3 18" xfId="8621" xr:uid="{379E886E-D336-4262-8F11-2BFD24346E14}"/>
    <cellStyle name="Calculation 2 3 19" xfId="9564" xr:uid="{C08A3C72-D760-434A-B01B-C8B8A82E83D1}"/>
    <cellStyle name="Calculation 2 3 2" xfId="845" xr:uid="{A4C59DBA-40D3-4F10-8AE8-BCC48A25D5E0}"/>
    <cellStyle name="Calculation 2 3 2 10" xfId="5493" xr:uid="{53406EFB-02B3-4570-A523-BB344F754535}"/>
    <cellStyle name="Calculation 2 3 2 11" xfId="4998" xr:uid="{DCC84838-1B1F-4E47-B993-95B1EC419003}"/>
    <cellStyle name="Calculation 2 3 2 12" xfId="6264" xr:uid="{7AB997C2-BA0F-4811-998E-0BBCC7951461}"/>
    <cellStyle name="Calculation 2 3 2 13" xfId="6140" xr:uid="{A00F6C0A-7177-4D59-ABEF-C0149B5AF8BF}"/>
    <cellStyle name="Calculation 2 3 2 14" xfId="7565" xr:uid="{286EAD59-BD52-4A28-8B7A-1830D2D44336}"/>
    <cellStyle name="Calculation 2 3 2 15" xfId="7061" xr:uid="{6B9296F1-88FC-4FE1-AE51-ECB533EAB2C8}"/>
    <cellStyle name="Calculation 2 3 2 16" xfId="8143" xr:uid="{22BB1ECD-35F4-4109-8F33-C756A3124CB6}"/>
    <cellStyle name="Calculation 2 3 2 17" xfId="8897" xr:uid="{1400DC3B-A5C2-4A9D-BFB2-9028D7DB1785}"/>
    <cellStyle name="Calculation 2 3 2 18" xfId="9779" xr:uid="{FDEDF7E1-65E7-4413-A42A-7CF254EAEBFB}"/>
    <cellStyle name="Calculation 2 3 2 19" xfId="9274" xr:uid="{5ADEE702-0CA9-40B3-876E-073D75D07664}"/>
    <cellStyle name="Calculation 2 3 2 2" xfId="1319" xr:uid="{E780ABBE-8CB5-4AF9-9E3D-EDCC3AF3AECA}"/>
    <cellStyle name="Calculation 2 3 2 20" xfId="9384" xr:uid="{2DDCCCFE-6DB6-4846-82C2-0309BA609955}"/>
    <cellStyle name="Calculation 2 3 2 21" xfId="10936" xr:uid="{28B576DB-A7E1-4BF2-B384-07C621EEDDC1}"/>
    <cellStyle name="Calculation 2 3 2 22" xfId="10715" xr:uid="{EFA8C2DE-86D1-453C-AADD-F934D979A989}"/>
    <cellStyle name="Calculation 2 3 2 23" xfId="12198" xr:uid="{DF7AA40E-CCBF-49B5-BB24-1B24B39ABC99}"/>
    <cellStyle name="Calculation 2 3 2 24" xfId="12671" xr:uid="{C0D1D17E-F4C3-4859-8436-591611C2DFBD}"/>
    <cellStyle name="Calculation 2 3 2 25" xfId="13105" xr:uid="{2920FBCA-AA4A-457F-B0D1-D5E5B8111B30}"/>
    <cellStyle name="Calculation 2 3 2 26" xfId="13542" xr:uid="{334BBF5B-8E37-4F36-9412-6CD902D2FE69}"/>
    <cellStyle name="Calculation 2 3 2 27" xfId="13916" xr:uid="{36103D4D-1A13-4949-981B-29DFF0FB88CB}"/>
    <cellStyle name="Calculation 2 3 2 28" xfId="14013" xr:uid="{D6F38DA2-6E6B-47A7-8574-85F957DD5B70}"/>
    <cellStyle name="Calculation 2 3 2 29" xfId="13194" xr:uid="{9A194B91-2631-4D21-AA9F-94DCB9F66C2C}"/>
    <cellStyle name="Calculation 2 3 2 3" xfId="1768" xr:uid="{2D9C44CB-3EB0-40E1-837F-540B2E1D65B1}"/>
    <cellStyle name="Calculation 2 3 2 30" xfId="13768" xr:uid="{52535AFC-8FB0-4B4A-B708-A864F9BC5069}"/>
    <cellStyle name="Calculation 2 3 2 31" xfId="15447" xr:uid="{B771ED69-947E-49EE-B656-E927B13EEC5D}"/>
    <cellStyle name="Calculation 2 3 2 32" xfId="15532" xr:uid="{5E4367D7-63DF-4044-8DCD-123FDFFCDDBA}"/>
    <cellStyle name="Calculation 2 3 2 33" xfId="16890" xr:uid="{477FD02E-39AB-4BCC-A114-C0F4BDE1CE51}"/>
    <cellStyle name="Calculation 2 3 2 34" xfId="16383" xr:uid="{55C65B5E-6079-4260-BDD9-15E5C82BD883}"/>
    <cellStyle name="Calculation 2 3 2 35" xfId="16490" xr:uid="{397AC9EC-445D-46CE-A27A-98A9B40D5B30}"/>
    <cellStyle name="Calculation 2 3 2 36" xfId="17088" xr:uid="{D806661F-F597-4A4A-8119-4DED0FD213BD}"/>
    <cellStyle name="Calculation 2 3 2 37" xfId="18708" xr:uid="{3B8EB36C-FFBB-41D8-ACFA-725B46977F34}"/>
    <cellStyle name="Calculation 2 3 2 38" xfId="18082" xr:uid="{75ABFED2-FAE1-4F17-B75E-2C225244FC60}"/>
    <cellStyle name="Calculation 2 3 2 39" xfId="19299" xr:uid="{D0E6684A-804D-417C-89FE-7C481761D38F}"/>
    <cellStyle name="Calculation 2 3 2 4" xfId="2667" xr:uid="{FB2E9A74-234D-46D2-8E44-B404A46622C9}"/>
    <cellStyle name="Calculation 2 3 2 40" xfId="20227" xr:uid="{4D0DF188-F087-420F-B35B-08E9C7B8972B}"/>
    <cellStyle name="Calculation 2 3 2 41" xfId="19717" xr:uid="{2FB72980-D7D5-493D-A5EF-99B8F66893EA}"/>
    <cellStyle name="Calculation 2 3 2 42" xfId="20682" xr:uid="{A1BB520A-5C65-408D-B283-5BCF86C117A5}"/>
    <cellStyle name="Calculation 2 3 2 43" xfId="21635" xr:uid="{F8FC57DE-C0F3-4D22-BEB5-20B7A7DAFDD9}"/>
    <cellStyle name="Calculation 2 3 2 44" xfId="21675" xr:uid="{5DCE59D6-BDB4-4FA1-AE1E-23B909604B93}"/>
    <cellStyle name="Calculation 2 3 2 45" xfId="22114" xr:uid="{EBEDA646-BB55-4DF2-9FFB-0B4A85D66CE7}"/>
    <cellStyle name="Calculation 2 3 2 46" xfId="22892" xr:uid="{8495028B-4B3E-43DC-9BC1-30713306F5A5}"/>
    <cellStyle name="Calculation 2 3 2 47" xfId="22659" xr:uid="{ACFB9327-78C8-4984-B6C9-1D988BAFE119}"/>
    <cellStyle name="Calculation 2 3 2 48" xfId="23498" xr:uid="{79DF1A02-60CB-4981-9EB1-7829AD0E800B}"/>
    <cellStyle name="Calculation 2 3 2 49" xfId="24027" xr:uid="{EF6C3275-CE8D-4220-A6B4-CE374B5C1307}"/>
    <cellStyle name="Calculation 2 3 2 5" xfId="3084" xr:uid="{3A15EAA2-197F-4616-BEE6-46D96C7F89DF}"/>
    <cellStyle name="Calculation 2 3 2 50" xfId="24935" xr:uid="{875D8296-04B4-4E41-A1DE-B00A8277DF51}"/>
    <cellStyle name="Calculation 2 3 2 51" xfId="24410" xr:uid="{FD050A65-8DD4-4442-8AE4-8E66470DC865}"/>
    <cellStyle name="Calculation 2 3 2 52" xfId="25851" xr:uid="{5724EDC4-EBA8-467C-934C-AD9FC7B661E7}"/>
    <cellStyle name="Calculation 2 3 2 53" xfId="26153" xr:uid="{2A0C451A-B3D7-461A-8BC7-4DC4B759E35E}"/>
    <cellStyle name="Calculation 2 3 2 54" xfId="26506" xr:uid="{5BBDDEAE-E1B4-428E-AC58-D5FBD46DC24D}"/>
    <cellStyle name="Calculation 2 3 2 55" xfId="27139" xr:uid="{7F466DC7-6120-4085-B4A8-5D8933EBD605}"/>
    <cellStyle name="Calculation 2 3 2 56" xfId="27558" xr:uid="{9E260754-A686-4DA6-9AC5-67A51FE29AA0}"/>
    <cellStyle name="Calculation 2 3 2 57" xfId="27745" xr:uid="{FE6669D6-03BC-4D29-9C2F-36915F1C5818}"/>
    <cellStyle name="Calculation 2 3 2 58" xfId="28685" xr:uid="{52B27170-DEAB-4D66-AD3A-A333A9E61359}"/>
    <cellStyle name="Calculation 2 3 2 59" xfId="29152" xr:uid="{69225F68-98A3-4BA2-96AE-D47B84E1D901}"/>
    <cellStyle name="Calculation 2 3 2 6" xfId="3294" xr:uid="{046DFC55-8239-4287-B228-D059DB2677E4}"/>
    <cellStyle name="Calculation 2 3 2 60" xfId="28104" xr:uid="{3FB2DF3C-17D4-4B58-9C0F-9A2F05DBA09A}"/>
    <cellStyle name="Calculation 2 3 2 61" xfId="29941" xr:uid="{136B0DF8-E4BB-46C9-A954-D5C21A35C68E}"/>
    <cellStyle name="Calculation 2 3 2 62" xfId="30347" xr:uid="{DA7FAFC8-8871-4E46-8159-478DC0B16E33}"/>
    <cellStyle name="Calculation 2 3 2 63" xfId="30764" xr:uid="{77DCF75C-D24D-4986-9012-8C86780561E5}"/>
    <cellStyle name="Calculation 2 3 2 64" xfId="30417" xr:uid="{227FA770-6440-4647-BF3F-F8BB254236D1}"/>
    <cellStyle name="Calculation 2 3 2 65" xfId="31380" xr:uid="{A243A9E2-8D52-4DEA-875F-C50D503AC429}"/>
    <cellStyle name="Calculation 2 3 2 7" xfId="4163" xr:uid="{AF563306-E903-4815-B7E6-A54C480A95A3}"/>
    <cellStyle name="Calculation 2 3 2 8" xfId="4600" xr:uid="{3AA102F5-E82E-4F6A-8BFE-A5A1C12D1EDA}"/>
    <cellStyle name="Calculation 2 3 2 9" xfId="3046" xr:uid="{9E96200B-2A4F-4D82-B3DC-26D6671B2655}"/>
    <cellStyle name="Calculation 2 3 20" xfId="9998" xr:uid="{95C38A7B-CC88-4E0A-AEDB-A16B1288933F}"/>
    <cellStyle name="Calculation 2 3 21" xfId="10423" xr:uid="{B350C6C0-307E-4D61-9356-68AD8F2A29EC}"/>
    <cellStyle name="Calculation 2 3 22" xfId="10795" xr:uid="{0878562F-A5C9-4EBE-9C70-43E4FE2F25E9}"/>
    <cellStyle name="Calculation 2 3 23" xfId="10869" xr:uid="{7D7A37EA-E3C6-451D-8528-2E17FD739BB7}"/>
    <cellStyle name="Calculation 2 3 24" xfId="11983" xr:uid="{CE175C66-F088-4673-B70C-43214560E029}"/>
    <cellStyle name="Calculation 2 3 25" xfId="12456" xr:uid="{CA967766-6000-4D51-BC9E-8E9DFA8DA5DC}"/>
    <cellStyle name="Calculation 2 3 26" xfId="12890" xr:uid="{13D246AD-2A4B-4F3D-BAFA-A275303EBD76}"/>
    <cellStyle name="Calculation 2 3 27" xfId="13327" xr:uid="{BD69B8EE-80CF-427A-A688-A85E4D3DBA2C}"/>
    <cellStyle name="Calculation 2 3 28" xfId="13702" xr:uid="{C7341997-9859-4DE9-87C4-B7F8DEE6BBEC}"/>
    <cellStyle name="Calculation 2 3 29" xfId="14239" xr:uid="{2724C7CE-38DC-4F83-ADFE-E427C0D01AE0}"/>
    <cellStyle name="Calculation 2 3 3" xfId="1113" xr:uid="{AC5FDFC7-2764-4D53-AE54-666A47AD0E27}"/>
    <cellStyle name="Calculation 2 3 30" xfId="14753" xr:uid="{81F74C74-EDD4-4518-AF97-DCC2993E8291}"/>
    <cellStyle name="Calculation 2 3 31" xfId="14124" xr:uid="{3ADF4A74-555B-4BAE-B264-61F8886C2082}"/>
    <cellStyle name="Calculation 2 3 32" xfId="15639" xr:uid="{E06E8BE2-5BE9-4050-A23B-E2A8D02D3ABE}"/>
    <cellStyle name="Calculation 2 3 33" xfId="15853" xr:uid="{80C2A289-5B2D-4FDB-B751-F1516DEB3953}"/>
    <cellStyle name="Calculation 2 3 34" xfId="16675" xr:uid="{9FACAE77-FCF9-48D7-887E-546333D8EACB}"/>
    <cellStyle name="Calculation 2 3 35" xfId="17114" xr:uid="{A51107AA-3607-42ED-930F-5392A77B3D84}"/>
    <cellStyle name="Calculation 2 3 36" xfId="17561" xr:uid="{5A9C8E46-2556-4E04-ACAB-E5CD58FBE5E8}"/>
    <cellStyle name="Calculation 2 3 37" xfId="18159" xr:uid="{8A368B5A-DBDF-4FBB-AB2B-5CDA8AEF1B74}"/>
    <cellStyle name="Calculation 2 3 38" xfId="18493" xr:uid="{216BBAF5-678D-40E9-BC3F-180BE55F3EF0}"/>
    <cellStyle name="Calculation 2 3 39" xfId="17611" xr:uid="{B501DD97-6305-47D1-9A66-D59F27EE055A}"/>
    <cellStyle name="Calculation 2 3 4" xfId="1625" xr:uid="{D00E7D68-37C5-4E3E-8AB3-9BA35F39F2C8}"/>
    <cellStyle name="Calculation 2 3 40" xfId="19225" xr:uid="{93B11722-ABD5-41EE-8A16-B83E1DAFC68D}"/>
    <cellStyle name="Calculation 2 3 41" xfId="20012" xr:uid="{1DF79403-8820-4CFE-80BD-2ED923FCCD21}"/>
    <cellStyle name="Calculation 2 3 42" xfId="20467" xr:uid="{EB74BF98-23F5-412C-AD00-E1743C3F6002}"/>
    <cellStyle name="Calculation 2 3 43" xfId="20920" xr:uid="{9AD39BC8-DA6F-4B7C-8B3B-03FA19299DE1}"/>
    <cellStyle name="Calculation 2 3 44" xfId="20441" xr:uid="{18A7A291-FF27-44B5-92B3-C0C316032813}"/>
    <cellStyle name="Calculation 2 3 45" xfId="21849" xr:uid="{076CA267-BBF7-4D60-8420-1CBFA3CAB8B4}"/>
    <cellStyle name="Calculation 2 3 46" xfId="22286" xr:uid="{C4D56A57-A0E6-4102-8525-AFECF499EFB2}"/>
    <cellStyle name="Calculation 2 3 47" xfId="22699" xr:uid="{7D653ADC-44E7-49BF-985E-6F35C0CE5422}"/>
    <cellStyle name="Calculation 2 3 48" xfId="21519" xr:uid="{DF46E752-2C97-4F24-8531-49EF02572FFE}"/>
    <cellStyle name="Calculation 2 3 49" xfId="22963" xr:uid="{EA98B734-3832-4141-94B1-B71D7AC32ACE}"/>
    <cellStyle name="Calculation 2 3 5" xfId="2452" xr:uid="{F003DA59-6FB2-44DC-8EA2-93127FA27890}"/>
    <cellStyle name="Calculation 2 3 50" xfId="23821" xr:uid="{35F570D4-C8DD-4244-B8C9-B2E877AF6C46}"/>
    <cellStyle name="Calculation 2 3 51" xfId="24720" xr:uid="{33FBF14C-968F-46F9-B24F-19DF6E0171D9}"/>
    <cellStyle name="Calculation 2 3 52" xfId="25175" xr:uid="{65D802AA-61CE-43D1-BADB-BA1C8CDF7C84}"/>
    <cellStyle name="Calculation 2 3 53" xfId="25638" xr:uid="{B560414D-9F9A-4098-9CDB-3A36C473D720}"/>
    <cellStyle name="Calculation 2 3 54" xfId="26004" xr:uid="{DAD0E189-B692-4DD9-BD70-A4188C8605D3}"/>
    <cellStyle name="Calculation 2 3 55" xfId="25706" xr:uid="{CC4B51AC-CF69-48C9-A751-99F23903E418}"/>
    <cellStyle name="Calculation 2 3 56" xfId="26928" xr:uid="{DBB386C1-03B5-44A5-B267-B683C996FB96}"/>
    <cellStyle name="Calculation 2 3 57" xfId="27347" xr:uid="{DB54BF56-2F98-42D9-9156-CFDF312DAA70}"/>
    <cellStyle name="Calculation 2 3 58" xfId="27224" xr:uid="{7F988B76-C84A-40CB-972F-D1B30F26B6C6}"/>
    <cellStyle name="Calculation 2 3 59" xfId="28470" xr:uid="{CEBB9F4A-7512-45C3-A167-9C170AEA8F32}"/>
    <cellStyle name="Calculation 2 3 6" xfId="2867" xr:uid="{8F8B6BCC-FA09-4457-BDD7-7BB8010B1BF4}"/>
    <cellStyle name="Calculation 2 3 60" xfId="28938" xr:uid="{998D58D0-B3CB-420E-ACBE-E1057C5394F9}"/>
    <cellStyle name="Calculation 2 3 61" xfId="29322" xr:uid="{1B6C9618-8916-48BC-A20B-17224D149411}"/>
    <cellStyle name="Calculation 2 3 62" xfId="29728" xr:uid="{4DCC4CE4-472E-4236-9BDF-D035DD4980FA}"/>
    <cellStyle name="Calculation 2 3 63" xfId="30136" xr:uid="{4B1529C8-DF8B-4C30-B3B0-249702465984}"/>
    <cellStyle name="Calculation 2 3 64" xfId="30550" xr:uid="{C127AC24-24E3-400C-AE4B-1431867C1F99}"/>
    <cellStyle name="Calculation 2 3 65" xfId="31011" xr:uid="{AAFBC4CE-D5FD-44D2-B1AE-FBBE5C4B9C71}"/>
    <cellStyle name="Calculation 2 3 66" xfId="31174" xr:uid="{ABE26C98-9E7F-4797-A66B-EF3204FAFD42}"/>
    <cellStyle name="Calculation 2 3 7" xfId="3529" xr:uid="{0B166C17-B666-4320-A459-3A84D8EFB9D8}"/>
    <cellStyle name="Calculation 2 3 8" xfId="3948" xr:uid="{607B21AC-A10D-4144-B7E7-A41CCBB970AE}"/>
    <cellStyle name="Calculation 2 3 9" xfId="4386" xr:uid="{03BD60FA-E585-4455-87DE-E4092B327ABF}"/>
    <cellStyle name="Calculation 2 30" xfId="17278" xr:uid="{95425A84-8276-4345-9155-9C40FEFED0A1}"/>
    <cellStyle name="Calculation 2 31" xfId="17093" xr:uid="{09894FBE-2F38-46BC-A009-CBDA35296195}"/>
    <cellStyle name="Calculation 2 32" xfId="18076" xr:uid="{81066729-CB9F-4109-A3A7-B0C8A546D619}"/>
    <cellStyle name="Calculation 2 33" xfId="16739" xr:uid="{4D792BD3-1686-478A-A3F7-D50F75D1560F}"/>
    <cellStyle name="Calculation 2 34" xfId="19512" xr:uid="{D20BC06F-B4FC-4F7D-B5D1-BF7A83BE36A0}"/>
    <cellStyle name="Calculation 2 35" xfId="20629" xr:uid="{8CDD8A01-2E14-40E8-9E9A-0EE3B4CC1DA3}"/>
    <cellStyle name="Calculation 2 36" xfId="22445" xr:uid="{9BAC1B63-D023-4231-B676-30A689734FD1}"/>
    <cellStyle name="Calculation 2 37" xfId="22226" xr:uid="{C634DDDB-A8C5-45BD-B34A-3868F6993E71}"/>
    <cellStyle name="Calculation 2 38" xfId="23358" xr:uid="{E77EF0AB-C4EA-44C6-A049-FB19D46920A6}"/>
    <cellStyle name="Calculation 2 39" xfId="24233" xr:uid="{ABE51B5F-530A-4A92-9E54-B913F618B353}"/>
    <cellStyle name="Calculation 2 4" xfId="536" xr:uid="{0A4F0BA1-EC83-495C-A89A-0166BC34894F}"/>
    <cellStyle name="Calculation 2 4 10" xfId="3684" xr:uid="{C04BB82A-8057-42CE-B338-008E0736F815}"/>
    <cellStyle name="Calculation 2 4 11" xfId="5184" xr:uid="{E13DA62A-4FD2-4691-B462-99416D0A4A06}"/>
    <cellStyle name="Calculation 2 4 12" xfId="5823" xr:uid="{2A8EBFF5-F871-491C-86FA-25DB70030C06}"/>
    <cellStyle name="Calculation 2 4 13" xfId="5866" xr:uid="{720E673F-44DF-4CE7-B43B-03FDC921BBA6}"/>
    <cellStyle name="Calculation 2 4 14" xfId="6343" xr:uid="{D7AB6C7C-633B-400D-AD95-7D34A6DBCD57}"/>
    <cellStyle name="Calculation 2 4 15" xfId="7256" xr:uid="{745385E7-6128-4E3B-95C1-C3FA21F10E2F}"/>
    <cellStyle name="Calculation 2 4 16" xfId="7936" xr:uid="{43D860B1-8650-4C6B-886A-D3B82D37B8CD}"/>
    <cellStyle name="Calculation 2 4 17" xfId="8342" xr:uid="{DACADDAF-D0C5-45E1-89F0-16EA5FE3419E}"/>
    <cellStyle name="Calculation 2 4 18" xfId="8694" xr:uid="{7729F143-5F94-4E01-9E85-1937AD32EC73}"/>
    <cellStyle name="Calculation 2 4 19" xfId="9470" xr:uid="{785F638B-25AF-42C7-9208-B0EBA5015167}"/>
    <cellStyle name="Calculation 2 4 2" xfId="751" xr:uid="{96636321-6367-4944-AFDD-41591D55BC36}"/>
    <cellStyle name="Calculation 2 4 2 10" xfId="5399" xr:uid="{0B378BFF-724B-4DBC-8399-34E63F49CFF7}"/>
    <cellStyle name="Calculation 2 4 2 11" xfId="5034" xr:uid="{6ED5F051-CFC1-45BC-B21A-9F8F69027C5C}"/>
    <cellStyle name="Calculation 2 4 2 12" xfId="5606" xr:uid="{3A799165-C3A1-4F7D-BD75-2293BADB9C92}"/>
    <cellStyle name="Calculation 2 4 2 13" xfId="6418" xr:uid="{7F17A483-9A06-41FC-85A4-83BF4129FAE1}"/>
    <cellStyle name="Calculation 2 4 2 14" xfId="7471" xr:uid="{6226F8C6-EC24-4B22-BA7E-C29DD183ABCD}"/>
    <cellStyle name="Calculation 2 4 2 15" xfId="7028" xr:uid="{4B4653C9-86A6-4AC1-A1BE-BBCAFF0573A1}"/>
    <cellStyle name="Calculation 2 4 2 16" xfId="8295" xr:uid="{73D856CC-8FC3-4BB4-9DB7-1022F485A9E9}"/>
    <cellStyle name="Calculation 2 4 2 17" xfId="8714" xr:uid="{78BFA67C-8AB7-47B8-9EAB-6EB316F34070}"/>
    <cellStyle name="Calculation 2 4 2 18" xfId="9685" xr:uid="{9A866B5D-D80D-4915-B502-ADD1859D7DF7}"/>
    <cellStyle name="Calculation 2 4 2 19" xfId="9240" xr:uid="{DFD2A418-3511-4D79-9828-DA176A884CE5}"/>
    <cellStyle name="Calculation 2 4 2 2" xfId="1225" xr:uid="{D4999D57-D933-4A9D-97FA-51086329746E}"/>
    <cellStyle name="Calculation 2 4 2 20" xfId="9126" xr:uid="{539A305E-5171-453D-A0D1-97EC0663F864}"/>
    <cellStyle name="Calculation 2 4 2 21" xfId="10346" xr:uid="{D927F11A-DFF2-4CA8-8719-BF8665917C36}"/>
    <cellStyle name="Calculation 2 4 2 22" xfId="11102" xr:uid="{3A387329-3914-4E14-9988-4663C2EF8D43}"/>
    <cellStyle name="Calculation 2 4 2 23" xfId="12104" xr:uid="{06C3F328-6BF1-49D5-B083-781E13ACCDC8}"/>
    <cellStyle name="Calculation 2 4 2 24" xfId="12577" xr:uid="{78A67022-0060-49CF-8D84-433B9851526C}"/>
    <cellStyle name="Calculation 2 4 2 25" xfId="13011" xr:uid="{2B58DFCF-85BD-4F1D-A3BA-016207A71296}"/>
    <cellStyle name="Calculation 2 4 2 26" xfId="13448" xr:uid="{4F224278-C9E6-4EE1-8D06-CC6FB845F475}"/>
    <cellStyle name="Calculation 2 4 2 27" xfId="11810" xr:uid="{130B8915-5C9B-468A-A613-CBC0463BD9AC}"/>
    <cellStyle name="Calculation 2 4 2 28" xfId="13836" xr:uid="{9F14519E-C52E-4F26-87D5-C77D877B02B3}"/>
    <cellStyle name="Calculation 2 4 2 29" xfId="14413" xr:uid="{7D42359A-B73A-4E65-90A4-22C8F30E4EC1}"/>
    <cellStyle name="Calculation 2 4 2 3" xfId="1566" xr:uid="{C31B5FCD-7901-4C16-B5B2-2D6DEC5FC9A6}"/>
    <cellStyle name="Calculation 2 4 2 30" xfId="14340" xr:uid="{0D002F09-6A0D-4736-8F7B-8DB8CBB0D6FC}"/>
    <cellStyle name="Calculation 2 4 2 31" xfId="15259" xr:uid="{60E211A3-4010-4411-9B80-1B23D72211ED}"/>
    <cellStyle name="Calculation 2 4 2 32" xfId="14511" xr:uid="{6ACAFB7B-C476-4630-B704-C0BBC2CA2F92}"/>
    <cellStyle name="Calculation 2 4 2 33" xfId="16796" xr:uid="{F7370DE9-FC8B-422B-B887-B7C9C58BFBA8}"/>
    <cellStyle name="Calculation 2 4 2 34" xfId="16350" xr:uid="{7D4D1065-240A-4B02-B801-E246120E8084}"/>
    <cellStyle name="Calculation 2 4 2 35" xfId="16230" xr:uid="{EC6513EE-973D-4AF8-AAA4-0D3E088C00FB}"/>
    <cellStyle name="Calculation 2 4 2 36" xfId="17479" xr:uid="{039DB959-4350-44E3-912E-434F52F52F0B}"/>
    <cellStyle name="Calculation 2 4 2 37" xfId="18614" xr:uid="{34CB6F1B-FFA2-4313-89D1-483D13F4B21F}"/>
    <cellStyle name="Calculation 2 4 2 38" xfId="18795" xr:uid="{575C0842-DB19-4C60-8D55-FD195A8A10D1}"/>
    <cellStyle name="Calculation 2 4 2 39" xfId="19048" xr:uid="{D0231FD4-69F9-455B-9EB9-6B883BCE803D}"/>
    <cellStyle name="Calculation 2 4 2 4" xfId="2573" xr:uid="{39C69385-264E-4B87-BB74-4D58A4EC1A8E}"/>
    <cellStyle name="Calculation 2 4 2 40" xfId="20133" xr:uid="{8025240D-6B8B-486E-B229-DDB191721F12}"/>
    <cellStyle name="Calculation 2 4 2 41" xfId="19683" xr:uid="{975098E4-5323-40BA-8A3B-E2C6B62086CE}"/>
    <cellStyle name="Calculation 2 4 2 42" xfId="20741" xr:uid="{934E53F2-5BF1-4290-9E11-AA72569B6A36}"/>
    <cellStyle name="Calculation 2 4 2 43" xfId="21091" xr:uid="{17F61142-BFF3-4436-942E-8E7B830F5321}"/>
    <cellStyle name="Calculation 2 4 2 44" xfId="20826" xr:uid="{5A3D531D-4008-4B14-9359-8BF651F19450}"/>
    <cellStyle name="Calculation 2 4 2 45" xfId="21914" xr:uid="{EC73EEB9-BEFD-4CFD-B582-20A63DDD7FC7}"/>
    <cellStyle name="Calculation 2 4 2 46" xfId="22080" xr:uid="{0926AB67-454A-4EE4-A06D-13C311466981}"/>
    <cellStyle name="Calculation 2 4 2 47" xfId="23067" xr:uid="{EBB535E2-2160-4553-A36D-DD7F13162604}"/>
    <cellStyle name="Calculation 2 4 2 48" xfId="23390" xr:uid="{3C1553BA-5711-48EB-89F8-0B3A40C3FD76}"/>
    <cellStyle name="Calculation 2 4 2 49" xfId="23933" xr:uid="{CAF106B8-D138-41B6-A545-7156D066E2FC}"/>
    <cellStyle name="Calculation 2 4 2 5" xfId="1983" xr:uid="{B07F9D7C-512B-4894-BB8C-2DF9D53654F5}"/>
    <cellStyle name="Calculation 2 4 2 50" xfId="24841" xr:uid="{67825538-FB91-4F9F-8E36-7A285DFC81FB}"/>
    <cellStyle name="Calculation 2 4 2 51" xfId="24557" xr:uid="{E08B0BC9-F2DF-49DE-B298-6F2DD39BC0B1}"/>
    <cellStyle name="Calculation 2 4 2 52" xfId="25757" xr:uid="{971E282A-329E-407B-9915-C89A147CCCE7}"/>
    <cellStyle name="Calculation 2 4 2 53" xfId="25133" xr:uid="{82337B7F-6091-4F40-AE7A-BCBD99D955BB}"/>
    <cellStyle name="Calculation 2 4 2 54" xfId="26121" xr:uid="{568AB9CE-A7C4-4FDE-8A9F-71AFBBF0CE23}"/>
    <cellStyle name="Calculation 2 4 2 55" xfId="27045" xr:uid="{82DA5768-AD4F-48B2-B6D1-DD1A48BC3431}"/>
    <cellStyle name="Calculation 2 4 2 56" xfId="27464" xr:uid="{A248C3DA-0AC6-4D39-93BD-2399C01CDF13}"/>
    <cellStyle name="Calculation 2 4 2 57" xfId="26084" xr:uid="{F301BFA6-39AF-4C6D-9E72-5D484779BC43}"/>
    <cellStyle name="Calculation 2 4 2 58" xfId="28591" xr:uid="{4EF75DE9-EFD0-407A-8C12-6CA7141BF674}"/>
    <cellStyle name="Calculation 2 4 2 59" xfId="29058" xr:uid="{84978870-8FA7-4C09-A4AE-2D263F0C5CC9}"/>
    <cellStyle name="Calculation 2 4 2 6" xfId="3132" xr:uid="{408E4BE6-BCB4-4501-801F-07206D1B74DF}"/>
    <cellStyle name="Calculation 2 4 2 60" xfId="28779" xr:uid="{E8B34153-2254-42D2-ABB4-510D1BE34D1F}"/>
    <cellStyle name="Calculation 2 4 2 61" xfId="29847" xr:uid="{592EFBE4-DE2E-4845-A271-93C59D49A8BC}"/>
    <cellStyle name="Calculation 2 4 2 62" xfId="30253" xr:uid="{18F5143F-0EBC-449D-9227-6D9B0BA3DDCD}"/>
    <cellStyle name="Calculation 2 4 2 63" xfId="30670" xr:uid="{D777CD15-1A52-49F7-83C2-3DFE97D8D64E}"/>
    <cellStyle name="Calculation 2 4 2 64" xfId="29990" xr:uid="{BBA8273C-7728-482A-8CAF-B033E8CB232B}"/>
    <cellStyle name="Calculation 2 4 2 65" xfId="31286" xr:uid="{237B7486-E10F-4006-A0F1-1315C7917F11}"/>
    <cellStyle name="Calculation 2 4 2 7" xfId="4069" xr:uid="{B6B41956-E37C-4888-B403-B054BE8F58DC}"/>
    <cellStyle name="Calculation 2 4 2 8" xfId="4506" xr:uid="{241594F7-19BC-472C-8C22-3E6ED1E5EDCE}"/>
    <cellStyle name="Calculation 2 4 2 9" xfId="3660" xr:uid="{C3DDA7B6-BA3A-4B8B-BBE0-BEAC5C116873}"/>
    <cellStyle name="Calculation 2 4 20" xfId="10149" xr:uid="{764F3F5B-7E54-4C49-9E3F-2709A2665C44}"/>
    <cellStyle name="Calculation 2 4 21" xfId="10559" xr:uid="{40CDE16B-E597-48D9-A20F-18857A269354}"/>
    <cellStyle name="Calculation 2 4 22" xfId="10568" xr:uid="{5D48CC56-7594-4A17-8035-B5F557C4349E}"/>
    <cellStyle name="Calculation 2 4 23" xfId="10837" xr:uid="{9C6B47D4-291E-4ACC-96A6-481798D8D3FC}"/>
    <cellStyle name="Calculation 2 4 24" xfId="11889" xr:uid="{424BAAE2-C923-4DBA-820C-084F5B8DF585}"/>
    <cellStyle name="Calculation 2 4 25" xfId="12362" xr:uid="{B54D42F7-BD2A-47B0-81FC-619486A0EBAF}"/>
    <cellStyle name="Calculation 2 4 26" xfId="12796" xr:uid="{8EAC0818-75B3-49A5-8B58-EFE118046E33}"/>
    <cellStyle name="Calculation 2 4 27" xfId="13233" xr:uid="{B996B39F-A2FC-4897-831B-C3C877B5B0BA}"/>
    <cellStyle name="Calculation 2 4 28" xfId="11829" xr:uid="{65D5C501-19A4-449E-8647-55EC840C6591}"/>
    <cellStyle name="Calculation 2 4 29" xfId="13822" xr:uid="{94468C26-05FF-4BF9-B668-3604065F58E7}"/>
    <cellStyle name="Calculation 2 4 3" xfId="1019" xr:uid="{C63B8546-D96F-48DB-B118-5FC8EA1A1EE6}"/>
    <cellStyle name="Calculation 2 4 30" xfId="14859" xr:uid="{95437643-A663-4164-8BAC-1DB0AF21FCB9}"/>
    <cellStyle name="Calculation 2 4 31" xfId="15142" xr:uid="{1E8867CF-8C26-4262-9783-E718EBCEE5FF}"/>
    <cellStyle name="Calculation 2 4 32" xfId="15560" xr:uid="{536D9F23-AFB3-4423-85F7-005FCD7BD54E}"/>
    <cellStyle name="Calculation 2 4 33" xfId="15938" xr:uid="{D472654A-5B54-4831-AE4D-6689A96DB029}"/>
    <cellStyle name="Calculation 2 4 34" xfId="16581" xr:uid="{38D5DAC6-AC3E-4447-B76A-4E50C273C4A3}"/>
    <cellStyle name="Calculation 2 4 35" xfId="17269" xr:uid="{3068F2C7-8B4B-4D22-9D8E-5E0E61F477A6}"/>
    <cellStyle name="Calculation 2 4 36" xfId="17713" xr:uid="{95BAE693-A780-4F57-AEFE-2DA5B9777DE9}"/>
    <cellStyle name="Calculation 2 4 37" xfId="18105" xr:uid="{4535368C-D0F5-4DF8-AFB9-2E1DCA1942AB}"/>
    <cellStyle name="Calculation 2 4 38" xfId="18399" xr:uid="{52B111E9-E12C-4DAD-88F2-5F0799CB5BD5}"/>
    <cellStyle name="Calculation 2 4 39" xfId="18769" xr:uid="{26651E78-F5F3-43B2-BED5-5815E9D1C20C}"/>
    <cellStyle name="Calculation 2 4 4" xfId="1734" xr:uid="{BB3DA9DA-596E-4DD8-BCDA-AD99C304F788}"/>
    <cellStyle name="Calculation 2 4 40" xfId="18773" xr:uid="{599847C7-6023-4EE2-86C5-C751B5465466}"/>
    <cellStyle name="Calculation 2 4 41" xfId="19918" xr:uid="{6D7725E3-D9D6-4276-8122-DDFE439C28FC}"/>
    <cellStyle name="Calculation 2 4 42" xfId="20619" xr:uid="{19F69FDB-BAE9-4CBB-8171-02150FBFA666}"/>
    <cellStyle name="Calculation 2 4 43" xfId="21074" xr:uid="{A007F635-89DB-4DC0-B893-309A1BE6D1F9}"/>
    <cellStyle name="Calculation 2 4 44" xfId="19409" xr:uid="{AB1F516F-9CD2-4A5D-BC47-83EB622D65A3}"/>
    <cellStyle name="Calculation 2 4 45" xfId="22005" xr:uid="{AE3445EB-85D0-4B9A-A133-4338644D8196}"/>
    <cellStyle name="Calculation 2 4 46" xfId="22436" xr:uid="{34165B97-7778-4F85-B482-EA9CEC22FFD7}"/>
    <cellStyle name="Calculation 2 4 47" xfId="22552" xr:uid="{EF4782D4-00AC-47EB-89F6-CC95E77D0E06}"/>
    <cellStyle name="Calculation 2 4 48" xfId="23037" xr:uid="{842AC09D-34DE-4686-902E-F68CAF932D95}"/>
    <cellStyle name="Calculation 2 4 49" xfId="23361" xr:uid="{2F5CF1BA-CA97-4360-988F-6B322FAA460B}"/>
    <cellStyle name="Calculation 2 4 5" xfId="2358" xr:uid="{59EB5664-B63B-4EE7-BF45-E3F034EAEEA9}"/>
    <cellStyle name="Calculation 2 4 50" xfId="23727" xr:uid="{383CE909-4B0E-4B92-85EC-536CA7D60718}"/>
    <cellStyle name="Calculation 2 4 51" xfId="24626" xr:uid="{6530EA4C-D8DE-4635-8EB8-35708EEA9DEF}"/>
    <cellStyle name="Calculation 2 4 52" xfId="25325" xr:uid="{62EF82F5-55B7-4ACA-8C04-63115DE1F772}"/>
    <cellStyle name="Calculation 2 4 53" xfId="25544" xr:uid="{BB28E09A-B5FE-41B5-BA05-B2175B9DD4DC}"/>
    <cellStyle name="Calculation 2 4 54" xfId="24218" xr:uid="{A37342B5-47EC-430D-918E-98B9C6028676}"/>
    <cellStyle name="Calculation 2 4 55" xfId="26470" xr:uid="{822D7D59-CB87-41C5-900F-9E11885EAC17}"/>
    <cellStyle name="Calculation 2 4 56" xfId="26834" xr:uid="{891EC77B-3765-4FB8-83B7-0CD52271014B}"/>
    <cellStyle name="Calculation 2 4 57" xfId="27253" xr:uid="{1AAB6043-BA44-4494-AE4D-7709E0035DF7}"/>
    <cellStyle name="Calculation 2 4 58" xfId="27702" xr:uid="{F8D14338-9FC6-4887-A388-818A44C626A5}"/>
    <cellStyle name="Calculation 2 4 59" xfId="28376" xr:uid="{8BF1ECEF-3AE2-4E1F-87C2-E26CF562A8A9}"/>
    <cellStyle name="Calculation 2 4 6" xfId="1965" xr:uid="{090137EF-A475-41A0-87D6-F40C41C44920}"/>
    <cellStyle name="Calculation 2 4 60" xfId="28844" xr:uid="{BF3B18CA-A89A-4DEA-A79B-5CCB5DFDEFAD}"/>
    <cellStyle name="Calculation 2 4 61" xfId="29448" xr:uid="{0963F159-31CF-45BF-8E04-7CEC7FF2E0FA}"/>
    <cellStyle name="Calculation 2 4 62" xfId="29634" xr:uid="{E53C99E8-159F-44AB-8840-1560FEBCF808}"/>
    <cellStyle name="Calculation 2 4 63" xfId="30042" xr:uid="{FEF6BFB6-CB9F-4086-A19B-B32696AE876B}"/>
    <cellStyle name="Calculation 2 4 64" xfId="30456" xr:uid="{72DA225F-EDF5-41A2-AFD2-6D52CE43E3AC}"/>
    <cellStyle name="Calculation 2 4 65" xfId="30938" xr:uid="{517EC32C-4AB0-4C02-B6F1-0BAD86004C13}"/>
    <cellStyle name="Calculation 2 4 66" xfId="31080" xr:uid="{DF610C40-FF08-4B1F-9FD4-609166E44387}"/>
    <cellStyle name="Calculation 2 4 7" xfId="1920" xr:uid="{86153B4D-5600-49F8-A713-FFB2A5DB1D39}"/>
    <cellStyle name="Calculation 2 4 8" xfId="3854" xr:uid="{83B90DDB-E19E-4164-A457-084532DFDC2D}"/>
    <cellStyle name="Calculation 2 4 9" xfId="4292" xr:uid="{4797310A-7DC6-480E-AEA0-2BBCDE3ABBF3}"/>
    <cellStyle name="Calculation 2 40" xfId="25128" xr:uid="{825A7DFB-5C0E-4473-9176-A8DC4704C73C}"/>
    <cellStyle name="Calculation 2 41" xfId="25183" xr:uid="{CE833D74-60B2-4706-AD1B-2D5A81FC8FF3}"/>
    <cellStyle name="Calculation 2 42" xfId="26122" xr:uid="{DE47BBFA-46C7-4F00-9683-6612261FF427}"/>
    <cellStyle name="Calculation 2 43" xfId="26089" xr:uid="{FFE4CF67-90F2-4136-8E96-4B1EF1EE5FF5}"/>
    <cellStyle name="Calculation 2 44" xfId="26092" xr:uid="{3A9863FC-E9D0-4057-BB6E-AE38E4DF19C9}"/>
    <cellStyle name="Calculation 2 45" xfId="27670" xr:uid="{5C0EB3AA-EF09-4273-B328-C7727EB005A8}"/>
    <cellStyle name="Calculation 2 46" xfId="28023" xr:uid="{67505B4B-301E-4126-AF8A-93BD629B1C67}"/>
    <cellStyle name="Calculation 2 47" xfId="28308" xr:uid="{BACF408A-CFFE-4A4A-BCE3-F3595BB1427C}"/>
    <cellStyle name="Calculation 2 48" xfId="29516" xr:uid="{8E2A95C3-51E2-4B1A-A3BA-528CE77A5F36}"/>
    <cellStyle name="Calculation 2 49" xfId="27999" xr:uid="{76E6BBDC-DF98-4D2B-99F0-B713774BB642}"/>
    <cellStyle name="Calculation 2 5" xfId="680" xr:uid="{1FD51641-A477-4197-BB50-9B562D5FA0E2}"/>
    <cellStyle name="Calculation 2 5 10" xfId="5328" xr:uid="{08BF9B2B-974C-4BE0-9DC3-7EBE61DF6EE4}"/>
    <cellStyle name="Calculation 2 5 11" xfId="4678" xr:uid="{F64B7B8E-8E79-428C-A3F0-F608B6E9606D}"/>
    <cellStyle name="Calculation 2 5 12" xfId="5552" xr:uid="{5A2306A2-5FAE-42DD-BCFD-851EA8DAEC7C}"/>
    <cellStyle name="Calculation 2 5 13" xfId="6174" xr:uid="{491F5FB7-2C5C-4CFC-AB3C-E25269F7B8B6}"/>
    <cellStyle name="Calculation 2 5 14" xfId="7400" xr:uid="{6DE4189C-3A89-47AD-A730-50F5964FC472}"/>
    <cellStyle name="Calculation 2 5 15" xfId="6931" xr:uid="{668AE839-B63A-4305-B8D6-EC68EB7E9337}"/>
    <cellStyle name="Calculation 2 5 16" xfId="8531" xr:uid="{9F6B1874-D9E6-4BDE-A8D1-50BC5EA1F3CC}"/>
    <cellStyle name="Calculation 2 5 17" xfId="8321" xr:uid="{FB4392E6-7C53-4250-BD02-F8B86AFBBBC5}"/>
    <cellStyle name="Calculation 2 5 18" xfId="9614" xr:uid="{AD501020-14CA-41A0-BAD5-E710BAF1F2EE}"/>
    <cellStyle name="Calculation 2 5 19" xfId="9145" xr:uid="{F72FCA20-5CB2-41E7-B5BF-C8D62AD2AB6C}"/>
    <cellStyle name="Calculation 2 5 2" xfId="1162" xr:uid="{FD637FA3-0E4D-44F0-AEEC-48D124371F7C}"/>
    <cellStyle name="Calculation 2 5 20" xfId="9381" xr:uid="{312E8D0A-CCA0-46AD-9934-C85707C485AE}"/>
    <cellStyle name="Calculation 2 5 21" xfId="10401" xr:uid="{6BE5FF15-EF99-4B63-A329-F559625A2BB1}"/>
    <cellStyle name="Calculation 2 5 22" xfId="11264" xr:uid="{6D6544AC-1B76-424D-9017-0BDB63180594}"/>
    <cellStyle name="Calculation 2 5 23" xfId="12033" xr:uid="{CD0B34A0-52BF-4D87-855F-3E24CC7BB42B}"/>
    <cellStyle name="Calculation 2 5 24" xfId="12506" xr:uid="{3FF558F0-47AC-4775-974E-9D386F547664}"/>
    <cellStyle name="Calculation 2 5 25" xfId="12940" xr:uid="{7AA1C0C9-D870-4A9F-A9A1-14C773CF42CC}"/>
    <cellStyle name="Calculation 2 5 26" xfId="13377" xr:uid="{6EE72CD8-D31E-4BCF-BD65-812661A7F3C8}"/>
    <cellStyle name="Calculation 2 5 27" xfId="11544" xr:uid="{CA151898-3C1E-4505-A828-89896559F704}"/>
    <cellStyle name="Calculation 2 5 28" xfId="14350" xr:uid="{D1CAB602-E52A-47BB-913C-EB6EA74020D1}"/>
    <cellStyle name="Calculation 2 5 29" xfId="12519" xr:uid="{B4DC30C2-5A31-4371-8F37-36F7B0527BFB}"/>
    <cellStyle name="Calculation 2 5 3" xfId="1691" xr:uid="{3D990B40-6A6B-47E0-8D7C-933DC148B76C}"/>
    <cellStyle name="Calculation 2 5 30" xfId="14544" xr:uid="{0565283F-DF81-475C-80B1-96894C08E20F}"/>
    <cellStyle name="Calculation 2 5 31" xfId="15324" xr:uid="{94706A37-0AEA-4E09-B690-21EE894CD4F0}"/>
    <cellStyle name="Calculation 2 5 32" xfId="14894" xr:uid="{4957F9E8-4BE8-4B4C-9492-AD4D3B07D22F}"/>
    <cellStyle name="Calculation 2 5 33" xfId="16725" xr:uid="{48B5E5A2-5996-4A3A-8093-7647CD5B0E46}"/>
    <cellStyle name="Calculation 2 5 34" xfId="16249" xr:uid="{FEC73CD1-B50A-41CD-A4B4-478612C238C9}"/>
    <cellStyle name="Calculation 2 5 35" xfId="16487" xr:uid="{FA4A1F11-B5B0-4273-B663-16C4DC5267CF}"/>
    <cellStyle name="Calculation 2 5 36" xfId="17549" xr:uid="{E0175863-75FA-4766-BC44-05F50A61D392}"/>
    <cellStyle name="Calculation 2 5 37" xfId="18543" xr:uid="{9AF5CD59-0DC2-4D6C-8EAF-81020A360231}"/>
    <cellStyle name="Calculation 2 5 38" xfId="17613" xr:uid="{6BFA17F3-F1AE-45FD-822C-06D59D327289}"/>
    <cellStyle name="Calculation 2 5 39" xfId="19066" xr:uid="{82E748E2-88B4-407A-97FC-C5206634F3D6}"/>
    <cellStyle name="Calculation 2 5 4" xfId="2502" xr:uid="{2BB7F7BE-A9A2-439B-9562-81DB29113940}"/>
    <cellStyle name="Calculation 2 5 40" xfId="20062" xr:uid="{CCC79AFD-B18F-4B1E-9E09-A246602CFC12}"/>
    <cellStyle name="Calculation 2 5 41" xfId="19582" xr:uid="{AA038779-63A2-4B08-9515-D51D876CC8CD}"/>
    <cellStyle name="Calculation 2 5 42" xfId="20330" xr:uid="{B53C0E29-0ED7-44AC-8DC0-821907D034F4}"/>
    <cellStyle name="Calculation 2 5 43" xfId="20994" xr:uid="{5601EA53-7065-4E49-BBE6-5294C83878BE}"/>
    <cellStyle name="Calculation 2 5 44" xfId="19617" xr:uid="{8DE4E079-3935-4E4D-B8F7-B4C2F1AB0AAB}"/>
    <cellStyle name="Calculation 2 5 45" xfId="21476" xr:uid="{7C05F4D7-35EF-448E-BEEC-F2E4638D5EFA}"/>
    <cellStyle name="Calculation 2 5 46" xfId="19726" xr:uid="{0C8E9ECC-08A7-4087-97BC-C7A6982D8611}"/>
    <cellStyle name="Calculation 2 5 47" xfId="22209" xr:uid="{2B4E5D49-1C22-491D-85E9-1619E0A92245}"/>
    <cellStyle name="Calculation 2 5 48" xfId="23115" xr:uid="{3AB39878-C000-4B90-A349-1CBDE5FE5A10}"/>
    <cellStyle name="Calculation 2 5 49" xfId="23870" xr:uid="{98AD0EAC-226F-43AD-9669-FF592881FB48}"/>
    <cellStyle name="Calculation 2 5 5" xfId="2011" xr:uid="{61B02073-26A2-43A6-92B4-449E5B40A11B}"/>
    <cellStyle name="Calculation 2 5 50" xfId="24770" xr:uid="{F9280A36-9E9F-48D8-972A-FDCC21761405}"/>
    <cellStyle name="Calculation 2 5 51" xfId="24303" xr:uid="{334BB1AD-4A82-4CE5-B89A-F60A7345CAF9}"/>
    <cellStyle name="Calculation 2 5 52" xfId="25688" xr:uid="{38BF204C-9928-4BD1-8321-0D0A2E40BF47}"/>
    <cellStyle name="Calculation 2 5 53" xfId="24142" xr:uid="{90141E29-1BB6-43ED-9B52-76B7B13B8B8E}"/>
    <cellStyle name="Calculation 2 5 54" xfId="24790" xr:uid="{E0997222-B7EA-4727-937B-777AD7870F85}"/>
    <cellStyle name="Calculation 2 5 55" xfId="26978" xr:uid="{5A35E237-C079-456E-B080-1C8BF7FF9533}"/>
    <cellStyle name="Calculation 2 5 56" xfId="27397" xr:uid="{E3048E21-7059-4832-8EF7-2E2DF2C48B38}"/>
    <cellStyle name="Calculation 2 5 57" xfId="27782" xr:uid="{5A813291-32C3-431C-B7CB-E7E6924A6AAA}"/>
    <cellStyle name="Calculation 2 5 58" xfId="28520" xr:uid="{5BE9EA06-5F76-408C-956A-0F2D72C0E4E5}"/>
    <cellStyle name="Calculation 2 5 59" xfId="28988" xr:uid="{BB198F7F-5EBA-415D-BC21-BE663BD1642A}"/>
    <cellStyle name="Calculation 2 5 6" xfId="2125" xr:uid="{7D172240-0B37-4BCD-8003-DA3CC3A05568}"/>
    <cellStyle name="Calculation 2 5 60" xfId="28070" xr:uid="{EED441C5-A165-45F8-A9C2-504A83A41EEC}"/>
    <cellStyle name="Calculation 2 5 61" xfId="29778" xr:uid="{2E2647CF-0995-4237-8587-9A16ECECCB02}"/>
    <cellStyle name="Calculation 2 5 62" xfId="30185" xr:uid="{9479032D-170A-4FAA-AA6E-C610B66DAB4A}"/>
    <cellStyle name="Calculation 2 5 63" xfId="30600" xr:uid="{23264FB0-BA80-4436-B3D4-10A81262BB2D}"/>
    <cellStyle name="Calculation 2 5 64" xfId="28073" xr:uid="{06673170-490A-47F0-95DA-598B66EEA36B}"/>
    <cellStyle name="Calculation 2 5 65" xfId="31223" xr:uid="{7063B388-2D43-4D25-9B34-085CE5EAED7B}"/>
    <cellStyle name="Calculation 2 5 7" xfId="3998" xr:uid="{D50B431A-2B8D-489B-9FEE-00C38B3716E5}"/>
    <cellStyle name="Calculation 2 5 8" xfId="4436" xr:uid="{E93546A1-F28D-412E-AD51-F3EB72788A26}"/>
    <cellStyle name="Calculation 2 5 9" xfId="4810" xr:uid="{E08B18CF-DE4A-4C59-BACD-EB2525CEA6B8}"/>
    <cellStyle name="Calculation 2 50" xfId="30942" xr:uid="{EAB154BC-89D2-40D8-A724-1AB0A807C524}"/>
    <cellStyle name="Calculation 2 51" xfId="30992" xr:uid="{62DF4C80-EFBE-48A5-AC5A-09F120026D84}"/>
    <cellStyle name="Calculation 2 6" xfId="922" xr:uid="{F2B0C46A-F7DF-4A97-981A-C8F3BBF68E68}"/>
    <cellStyle name="Calculation 2 7" xfId="1955" xr:uid="{EF30F339-E87F-43CF-86F3-9954D45B7EA7}"/>
    <cellStyle name="Calculation 2 8" xfId="2294" xr:uid="{1D491849-3769-4A32-976F-96BE54CF8042}"/>
    <cellStyle name="Calculation 2 9" xfId="3063" xr:uid="{8659E6D8-E00A-4F50-828F-9D8855224CF2}"/>
    <cellStyle name="Calculation 3" xfId="224" xr:uid="{7CC603C8-0934-40F1-A409-7749A27836A5}"/>
    <cellStyle name="Calculation 3 10" xfId="2795" xr:uid="{D9A4490E-A51A-4DCC-913A-BBFBDD069E3C}"/>
    <cellStyle name="Calculation 3 11" xfId="3763" xr:uid="{6AEE8FCE-B728-4397-AFC9-6E51B690703D}"/>
    <cellStyle name="Calculation 3 12" xfId="3234" xr:uid="{52672B5A-E1A7-4FD6-99BE-733A8E3E5F20}"/>
    <cellStyle name="Calculation 3 13" xfId="6197" xr:uid="{122BA8E7-099E-46BF-842C-18E53B9A7085}"/>
    <cellStyle name="Calculation 3 14" xfId="6625" xr:uid="{C7713218-D1A5-4F84-A62E-A396959B7250}"/>
    <cellStyle name="Calculation 3 15" xfId="6956" xr:uid="{66981CFF-CB5B-4185-B0A1-690DC0A95330}"/>
    <cellStyle name="Calculation 3 16" xfId="6926" xr:uid="{B181B982-E0C7-4465-8E23-27E00281864B}"/>
    <cellStyle name="Calculation 3 17" xfId="8526" xr:uid="{3AD33DD3-76DA-4B83-B100-A89632B6711F}"/>
    <cellStyle name="Calculation 3 18" xfId="8852" xr:uid="{1E76B3BA-DBA3-4718-8BD5-F9DC5AB2D2BC}"/>
    <cellStyle name="Calculation 3 19" xfId="9169" xr:uid="{4862A634-D253-4311-8668-D3C5DF9CCFCB}"/>
    <cellStyle name="Calculation 3 2" xfId="585" xr:uid="{B7E20417-1D05-4ECE-BF93-F4865C8BC1F8}"/>
    <cellStyle name="Calculation 3 2 10" xfId="2177" xr:uid="{369845B0-1349-463D-AF04-C03348380250}"/>
    <cellStyle name="Calculation 3 2 11" xfId="5233" xr:uid="{62824E66-90CC-4400-8D74-9B4008B8F4A1}"/>
    <cellStyle name="Calculation 3 2 12" xfId="5664" xr:uid="{D070B4BA-94E4-4FF4-AB02-885CC655326E}"/>
    <cellStyle name="Calculation 3 2 13" xfId="6156" xr:uid="{C16BDD9D-AA15-4B85-AC03-C07268D32F6B}"/>
    <cellStyle name="Calculation 3 2 14" xfId="6369" xr:uid="{FBC96907-F1AC-48DC-9429-0783E1FFA29F}"/>
    <cellStyle name="Calculation 3 2 15" xfId="7305" xr:uid="{B3C7B52E-BD1D-4F4E-AD59-0EC5A8005A07}"/>
    <cellStyle name="Calculation 3 2 16" xfId="8022" xr:uid="{082B9D26-1C49-4246-8A0B-434F23B7B9D4}"/>
    <cellStyle name="Calculation 3 2 17" xfId="8524" xr:uid="{54B22909-E91E-40EB-B4EB-D64EBE960210}"/>
    <cellStyle name="Calculation 3 2 18" xfId="7677" xr:uid="{62D6EBA7-A675-420F-8051-DCEF735BD57A}"/>
    <cellStyle name="Calculation 3 2 19" xfId="9519" xr:uid="{161A891F-7CB8-4E83-BB25-8E7B71E2DE3C}"/>
    <cellStyle name="Calculation 3 2 2" xfId="800" xr:uid="{D4C2923A-9037-46AF-803A-965C4CF2491E}"/>
    <cellStyle name="Calculation 3 2 2 10" xfId="5448" xr:uid="{079A1EA4-BCA8-4257-96E2-094C552D588A}"/>
    <cellStyle name="Calculation 3 2 2 11" xfId="4720" xr:uid="{20669C4F-7145-4606-B5EF-D8C5D2A2E041}"/>
    <cellStyle name="Calculation 3 2 2 12" xfId="6101" xr:uid="{81713159-1591-427B-8340-247E224164B0}"/>
    <cellStyle name="Calculation 3 2 2 13" xfId="2120" xr:uid="{F23DDB14-5234-4419-9846-497A049A23AD}"/>
    <cellStyle name="Calculation 3 2 2 14" xfId="7520" xr:uid="{39C05523-CECD-456F-A9CB-4BAB08BA1577}"/>
    <cellStyle name="Calculation 3 2 2 15" xfId="6820" xr:uid="{7D600E5B-6D6E-4A85-A67F-97769DE3C42E}"/>
    <cellStyle name="Calculation 3 2 2 16" xfId="7741" xr:uid="{10EE3B99-63B3-4D4C-B2DE-556DBB29996A}"/>
    <cellStyle name="Calculation 3 2 2 17" xfId="8866" xr:uid="{16E2077E-42B5-44AD-B2A2-44CDCA9C5FCC}"/>
    <cellStyle name="Calculation 3 2 2 18" xfId="9734" xr:uid="{F2857840-D704-41CA-A995-3ECC42B55957}"/>
    <cellStyle name="Calculation 3 2 2 19" xfId="9147" xr:uid="{0D1FB512-39A7-40FE-9422-F0FD3DFE0930}"/>
    <cellStyle name="Calculation 3 2 2 2" xfId="1274" xr:uid="{5B9DD25A-3309-4DA2-BF7D-22409913EFF9}"/>
    <cellStyle name="Calculation 3 2 2 20" xfId="10123" xr:uid="{F27FAC35-A0FE-443C-828A-98D1DCB49D56}"/>
    <cellStyle name="Calculation 3 2 2 21" xfId="10913" xr:uid="{F1D64A2F-0DCA-4BED-9599-08B3870D36FD}"/>
    <cellStyle name="Calculation 3 2 2 22" xfId="11158" xr:uid="{CB879A72-90C3-4331-969B-A6EEDB0DFAC7}"/>
    <cellStyle name="Calculation 3 2 2 23" xfId="12153" xr:uid="{5598385E-71C8-4196-8101-3B9EE314DB06}"/>
    <cellStyle name="Calculation 3 2 2 24" xfId="12626" xr:uid="{66C0C158-1D15-469C-BD99-13E66EAABFF8}"/>
    <cellStyle name="Calculation 3 2 2 25" xfId="13060" xr:uid="{66CC5267-CB90-470B-9BAE-F1E0488F74C1}"/>
    <cellStyle name="Calculation 3 2 2 26" xfId="13497" xr:uid="{FF9E1F11-EDEC-496B-85B2-FA04B97676A7}"/>
    <cellStyle name="Calculation 3 2 2 27" xfId="13758" xr:uid="{13486907-1F5A-4C03-AA81-C065ED558023}"/>
    <cellStyle name="Calculation 3 2 2 28" xfId="13874" xr:uid="{2D10A317-714E-4CD2-B8C5-7DC75B939B7B}"/>
    <cellStyle name="Calculation 3 2 2 29" xfId="13595" xr:uid="{20C6BE39-E1D8-4766-A39F-765F932028B0}"/>
    <cellStyle name="Calculation 3 2 2 3" xfId="1739" xr:uid="{90C28846-E497-4745-9933-04A6B77B0157}"/>
    <cellStyle name="Calculation 3 2 2 30" xfId="14992" xr:uid="{A45DD10E-5792-4D61-9487-B2B04A735277}"/>
    <cellStyle name="Calculation 3 2 2 31" xfId="15740" xr:uid="{7B3E4C24-7012-4658-B0F8-D4AEC94185E0}"/>
    <cellStyle name="Calculation 3 2 2 32" xfId="14614" xr:uid="{994B2450-AF49-473B-A1CA-2B4AA3B5C576}"/>
    <cellStyle name="Calculation 3 2 2 33" xfId="16845" xr:uid="{C2F6C96B-2E7F-4BEA-B992-B7B8630CB579}"/>
    <cellStyle name="Calculation 3 2 2 34" xfId="16132" xr:uid="{FC4E2997-47D2-4CDE-B71B-AC293E2F52CC}"/>
    <cellStyle name="Calculation 3 2 2 35" xfId="16154" xr:uid="{DCF39FEF-82DC-4ADE-8341-AACEC067BC3D}"/>
    <cellStyle name="Calculation 3 2 2 36" xfId="17493" xr:uid="{1AF57B58-C00A-41A2-BC2E-A34E5413ABEF}"/>
    <cellStyle name="Calculation 3 2 2 37" xfId="18663" xr:uid="{6641E97D-9C9A-4201-9E87-098DD8E2C6E7}"/>
    <cellStyle name="Calculation 3 2 2 38" xfId="18986" xr:uid="{3E3D1852-3415-471F-8519-E4D28686B593}"/>
    <cellStyle name="Calculation 3 2 2 39" xfId="19261" xr:uid="{B6EAA114-8814-4B6A-9099-FDBB3275D13F}"/>
    <cellStyle name="Calculation 3 2 2 4" xfId="2622" xr:uid="{2813CEC3-6E30-463F-B6F9-A32FF96211A5}"/>
    <cellStyle name="Calculation 3 2 2 40" xfId="20182" xr:uid="{D262060F-CD00-4160-A43B-E6E07B9C7081}"/>
    <cellStyle name="Calculation 3 2 2 41" xfId="19761" xr:uid="{80F49AEA-B730-416B-9E9F-5909BB571F36}"/>
    <cellStyle name="Calculation 3 2 2 42" xfId="19385" xr:uid="{0ACFF286-3D6F-4C22-9377-55920BC006B5}"/>
    <cellStyle name="Calculation 3 2 2 43" xfId="21470" xr:uid="{2557D5F2-0680-4AA3-BD23-DC7323048F1E}"/>
    <cellStyle name="Calculation 3 2 2 44" xfId="20785" xr:uid="{F7F30DC7-FC65-4435-8449-72CC5579D95C}"/>
    <cellStyle name="Calculation 3 2 2 45" xfId="21242" xr:uid="{2E4A87E2-745B-4C89-A6BA-95A9F2901BA1}"/>
    <cellStyle name="Calculation 3 2 2 46" xfId="22753" xr:uid="{9F39ABE8-6C75-421F-A114-727D96152BFF}"/>
    <cellStyle name="Calculation 3 2 2 47" xfId="23272" xr:uid="{762542E9-9790-41E7-B4E2-7F29A641D727}"/>
    <cellStyle name="Calculation 3 2 2 48" xfId="23482" xr:uid="{76A05AC2-F422-40D8-87EB-F0FE243E5077}"/>
    <cellStyle name="Calculation 3 2 2 49" xfId="23982" xr:uid="{F37097A6-3B75-4C82-81ED-DA7B69722379}"/>
    <cellStyle name="Calculation 3 2 2 5" xfId="2924" xr:uid="{1ACBFD42-FCF0-4373-95CF-8400DBE57F89}"/>
    <cellStyle name="Calculation 3 2 2 50" xfId="24890" xr:uid="{639CBE54-2C93-4B4A-93C7-B0085D15DEF7}"/>
    <cellStyle name="Calculation 3 2 2 51" xfId="24470" xr:uid="{6FD846AB-CDC9-48B6-BE84-94CE46161A7C}"/>
    <cellStyle name="Calculation 3 2 2 52" xfId="25806" xr:uid="{6D7D8485-C67F-43BC-BEDA-A3639BF915BC}"/>
    <cellStyle name="Calculation 3 2 2 53" xfId="26056" xr:uid="{0093FC60-63E7-40E2-AAED-5D1BBD379F0F}"/>
    <cellStyle name="Calculation 3 2 2 54" xfId="26441" xr:uid="{BA83891B-E663-4B04-84A9-4B9FDB296C5C}"/>
    <cellStyle name="Calculation 3 2 2 55" xfId="27094" xr:uid="{F4E8D10D-5353-409C-A26D-79405FABF972}"/>
    <cellStyle name="Calculation 3 2 2 56" xfId="27513" xr:uid="{52C55BD3-EC8B-4740-9706-BED0029A859E}"/>
    <cellStyle name="Calculation 3 2 2 57" xfId="27719" xr:uid="{BAEACE86-5A79-47B1-AB9E-86CEE1B0140C}"/>
    <cellStyle name="Calculation 3 2 2 58" xfId="28640" xr:uid="{41697D58-673E-4A56-B5E9-F10598E2E9B1}"/>
    <cellStyle name="Calculation 3 2 2 59" xfId="29107" xr:uid="{470BE89D-FC6F-4D02-ABC0-3985CE4F010E}"/>
    <cellStyle name="Calculation 3 2 2 6" xfId="2268" xr:uid="{5AEE9FAC-CA0E-4847-81C9-C1AE9A8B2FF5}"/>
    <cellStyle name="Calculation 3 2 2 60" xfId="27929" xr:uid="{5AA72CD2-41FF-427E-8FA3-E2B0173097B1}"/>
    <cellStyle name="Calculation 3 2 2 61" xfId="29896" xr:uid="{C42C937E-9E23-427A-9E99-4E741C180E0B}"/>
    <cellStyle name="Calculation 3 2 2 62" xfId="30302" xr:uid="{4256F292-86EF-471C-B476-6738ED12216B}"/>
    <cellStyle name="Calculation 3 2 2 63" xfId="30719" xr:uid="{CBA8E8FE-41EC-4011-8EE5-7F47E2B74558}"/>
    <cellStyle name="Calculation 3 2 2 64" xfId="30410" xr:uid="{2CA3A2BE-430E-414B-9917-3CA65047BAA3}"/>
    <cellStyle name="Calculation 3 2 2 65" xfId="31335" xr:uid="{62571034-2061-41D4-AC72-1D744D2EB320}"/>
    <cellStyle name="Calculation 3 2 2 7" xfId="4118" xr:uid="{91EFCE7E-0D17-4E3F-917B-2570431CA88E}"/>
    <cellStyle name="Calculation 3 2 2 8" xfId="4555" xr:uid="{1A9B26AE-FA10-44F7-8AF3-50FB6FB004F0}"/>
    <cellStyle name="Calculation 3 2 2 9" xfId="3659" xr:uid="{5DE62174-7934-45AF-84C3-66CB1C3ECF1B}"/>
    <cellStyle name="Calculation 3 2 20" xfId="10241" xr:uid="{3397D9A8-DAE6-46C0-9047-BCE11A6479FD}"/>
    <cellStyle name="Calculation 3 2 21" xfId="10636" xr:uid="{31396ECA-FAE4-4C5F-BF5D-B61EB1585CA3}"/>
    <cellStyle name="Calculation 3 2 22" xfId="10316" xr:uid="{9D02CCB0-203F-481E-B18C-F887DC7ADD30}"/>
    <cellStyle name="Calculation 3 2 23" xfId="11077" xr:uid="{AA131CFC-9896-486C-BF83-4A28629A91B0}"/>
    <cellStyle name="Calculation 3 2 24" xfId="11938" xr:uid="{6DC68948-AFB5-4539-BC8D-B23DA1D88263}"/>
    <cellStyle name="Calculation 3 2 25" xfId="12411" xr:uid="{7E121F56-A98F-428A-96CD-7458FDF8DE2E}"/>
    <cellStyle name="Calculation 3 2 26" xfId="12845" xr:uid="{8E31297D-EE18-41AF-B095-401691940B9D}"/>
    <cellStyle name="Calculation 3 2 27" xfId="13282" xr:uid="{2D363B40-CF06-448A-AD12-17FF18E28EA4}"/>
    <cellStyle name="Calculation 3 2 28" xfId="12742" xr:uid="{15FEF840-1912-45AE-95EB-657080F47E13}"/>
    <cellStyle name="Calculation 3 2 29" xfId="12930" xr:uid="{8BCCFC67-1D1B-4020-9C6F-7A974219F7E4}"/>
    <cellStyle name="Calculation 3 2 3" xfId="1068" xr:uid="{FB5190E5-8FA9-4B2A-84A1-03E3AA6B217A}"/>
    <cellStyle name="Calculation 3 2 30" xfId="14096" xr:uid="{ACA55D08-113E-4A34-BAAE-D3FCD5635B87}"/>
    <cellStyle name="Calculation 3 2 31" xfId="14626" xr:uid="{BDAAC9A8-B27B-4F00-841A-8006376F31CE}"/>
    <cellStyle name="Calculation 3 2 32" xfId="14772" xr:uid="{F2A62F54-B5DC-4AB3-B2AC-95A0721CA744}"/>
    <cellStyle name="Calculation 3 2 33" xfId="15982" xr:uid="{87CDA78F-1C19-472C-97DF-8E53EFF4B2D4}"/>
    <cellStyle name="Calculation 3 2 34" xfId="16630" xr:uid="{40F29A79-F7CA-4DDC-8831-8ADE619F31A4}"/>
    <cellStyle name="Calculation 3 2 35" xfId="17362" xr:uid="{50C80A99-410E-424C-9946-2DD6ED6FB333}"/>
    <cellStyle name="Calculation 3 2 36" xfId="17804" xr:uid="{4142553F-8C3B-4DE3-A897-24E4432FD0A5}"/>
    <cellStyle name="Calculation 3 2 37" xfId="18058" xr:uid="{AC815C18-A026-45FF-A49A-1C96962127CD}"/>
    <cellStyle name="Calculation 3 2 38" xfId="18448" xr:uid="{B7908A45-C16C-445E-B67C-B12F8E8837E6}"/>
    <cellStyle name="Calculation 3 2 39" xfId="17918" xr:uid="{E621D870-E841-4596-A51E-28FA652ECF1B}"/>
    <cellStyle name="Calculation 3 2 4" xfId="1637" xr:uid="{52B87108-D8F8-4D94-B9C1-67F66429FBE4}"/>
    <cellStyle name="Calculation 3 2 40" xfId="19069" xr:uid="{CFD6B8A7-BA5B-4E4D-AA57-562CC3643410}"/>
    <cellStyle name="Calculation 3 2 41" xfId="19967" xr:uid="{F26A19E6-B8D4-43C2-A255-6ECAF815B025}"/>
    <cellStyle name="Calculation 3 2 42" xfId="20712" xr:uid="{26933806-97EC-489A-B356-F74CBC3FF7EA}"/>
    <cellStyle name="Calculation 3 2 43" xfId="21170" xr:uid="{5C762D3C-692F-4D1B-A126-20494DFE114B}"/>
    <cellStyle name="Calculation 3 2 44" xfId="19814" xr:uid="{79693518-D6AA-4DDF-B826-035EDCFD36DE}"/>
    <cellStyle name="Calculation 3 2 45" xfId="22101" xr:uid="{EDC40EAE-9BC6-46C1-B11A-8FC791BC2E52}"/>
    <cellStyle name="Calculation 3 2 46" xfId="22529" xr:uid="{75AD564D-5BFE-42E7-AF75-A5760342D120}"/>
    <cellStyle name="Calculation 3 2 47" xfId="21884" xr:uid="{9E4915D2-3DBE-45D7-A40C-3F6AE1F893FF}"/>
    <cellStyle name="Calculation 3 2 48" xfId="22806" xr:uid="{7332FAED-50EC-4D5A-B680-EC3844365019}"/>
    <cellStyle name="Calculation 3 2 49" xfId="23232" xr:uid="{B3301663-80C6-49F8-B02D-D4213ABBD864}"/>
    <cellStyle name="Calculation 3 2 5" xfId="2407" xr:uid="{6434EFC4-8294-49B9-B0BB-2EACDC072996}"/>
    <cellStyle name="Calculation 3 2 50" xfId="23776" xr:uid="{DBA517E0-CAAF-4DF9-B58A-DEE3E4F4AA0E}"/>
    <cellStyle name="Calculation 3 2 51" xfId="24675" xr:uid="{E8374CEC-6FB7-4E2F-9708-B476E3FCE4E6}"/>
    <cellStyle name="Calculation 3 2 52" xfId="25416" xr:uid="{04423B2F-A230-4C7C-BA84-6E37C86CF805}"/>
    <cellStyle name="Calculation 3 2 53" xfId="25593" xr:uid="{9D66CDA0-BB35-4B2D-9265-ADDDDA99C3F4}"/>
    <cellStyle name="Calculation 3 2 54" xfId="25207" xr:uid="{56866DCD-5A08-487C-BFE3-8AA1A14342BB}"/>
    <cellStyle name="Calculation 3 2 55" xfId="24115" xr:uid="{41B3B15A-13E1-4E0B-8443-B09ACAD17620}"/>
    <cellStyle name="Calculation 3 2 56" xfId="26883" xr:uid="{E4319A93-A9FD-4C93-9F2A-199DA0624DDE}"/>
    <cellStyle name="Calculation 3 2 57" xfId="27302" xr:uid="{52E1F0F2-5C98-41F4-846E-AB977E1CD5D8}"/>
    <cellStyle name="Calculation 3 2 58" xfId="27713" xr:uid="{18B6E445-8015-4AE1-B1AB-14F2D3007BC4}"/>
    <cellStyle name="Calculation 3 2 59" xfId="28425" xr:uid="{99E2A33D-2F94-4B6D-B830-F7F9DAA7A64A}"/>
    <cellStyle name="Calculation 3 2 6" xfId="2203" xr:uid="{E49B15A7-86AF-490D-8F14-C6D82D2B394B}"/>
    <cellStyle name="Calculation 3 2 60" xfId="28893" xr:uid="{6BE35144-AB43-404A-B0C2-AA6FFFA60EE3}"/>
    <cellStyle name="Calculation 3 2 61" xfId="29530" xr:uid="{E85CA38C-CADC-4A37-9804-6BD543B4BED8}"/>
    <cellStyle name="Calculation 3 2 62" xfId="29683" xr:uid="{3DD87D0E-6BAA-4968-8456-F3CEEC3F9BE0}"/>
    <cellStyle name="Calculation 3 2 63" xfId="30091" xr:uid="{1DB1754C-4856-475C-A729-E6D404956279}"/>
    <cellStyle name="Calculation 3 2 64" xfId="30505" xr:uid="{A48DA1D6-BFF0-43C1-8255-D9A3CEBBD1F3}"/>
    <cellStyle name="Calculation 3 2 65" xfId="30858" xr:uid="{AF0F7C34-FDBE-462E-A2BD-78C4C4006D55}"/>
    <cellStyle name="Calculation 3 2 66" xfId="31129" xr:uid="{FFC94DB1-185F-40C3-BCC8-DAA8F48961D2}"/>
    <cellStyle name="Calculation 3 2 7" xfId="2812" xr:uid="{70451B3D-70CF-471C-A397-EF226FBA162F}"/>
    <cellStyle name="Calculation 3 2 8" xfId="3903" xr:uid="{13E84FFE-0131-4AA4-B4E0-AA2EEA72E697}"/>
    <cellStyle name="Calculation 3 2 9" xfId="4341" xr:uid="{5C03F07E-09BA-461A-BCD3-5089FADD453E}"/>
    <cellStyle name="Calculation 3 20" xfId="9285" xr:uid="{9DB075A7-6E84-4722-B7D7-910DB998EF1F}"/>
    <cellStyle name="Calculation 3 21" xfId="11126" xr:uid="{EEE83BE1-9FED-461A-A991-5CAAC87509B0}"/>
    <cellStyle name="Calculation 3 22" xfId="11580" xr:uid="{4F74BC78-5AF1-45D6-A266-597D8715146D}"/>
    <cellStyle name="Calculation 3 23" xfId="11498" xr:uid="{4F5A1A81-6144-4AC0-89DE-FA0EA6D02646}"/>
    <cellStyle name="Calculation 3 24" xfId="11744" xr:uid="{2E80ED43-41B4-472D-841C-4D98B43D157B}"/>
    <cellStyle name="Calculation 3 25" xfId="12286" xr:uid="{1668B55D-E8C6-4230-943B-79FCC2DC4E46}"/>
    <cellStyle name="Calculation 3 26" xfId="13157" xr:uid="{E986AA42-F9A9-401D-BA85-6CA09698D1A2}"/>
    <cellStyle name="Calculation 3 27" xfId="14527" xr:uid="{91877136-7E6A-4449-96B1-F8B18F912643}"/>
    <cellStyle name="Calculation 3 28" xfId="15803" xr:uid="{150069D2-4FF7-4C23-95C0-5BD459920BD7}"/>
    <cellStyle name="Calculation 3 29" xfId="16275" xr:uid="{199364E8-6BC3-4895-B74D-E66C0DD82E53}"/>
    <cellStyle name="Calculation 3 3" xfId="571" xr:uid="{47B293E2-9A58-4145-AC73-93D7370EB312}"/>
    <cellStyle name="Calculation 3 3 10" xfId="5024" xr:uid="{FFA5D1B0-7972-4F92-A544-71DB05784368}"/>
    <cellStyle name="Calculation 3 3 11" xfId="5219" xr:uid="{B3015AD2-0E89-4335-B395-187A52B2E01C}"/>
    <cellStyle name="Calculation 3 3 12" xfId="5804" xr:uid="{B7896CDA-AF3E-4F52-ACBA-3182226E8F18}"/>
    <cellStyle name="Calculation 3 3 13" xfId="5796" xr:uid="{55F5C005-71B9-4B68-BA7F-7DA5D5505D4F}"/>
    <cellStyle name="Calculation 3 3 14" xfId="6686" xr:uid="{D86D5E75-6180-460B-92C9-8AF4F88AFC66}"/>
    <cellStyle name="Calculation 3 3 15" xfId="7291" xr:uid="{0AED6163-1DC4-4815-87CF-B5E4F370D2D4}"/>
    <cellStyle name="Calculation 3 3 16" xfId="7188" xr:uid="{755EAF62-F8C0-4B8E-8FCB-DB5D32070C09}"/>
    <cellStyle name="Calculation 3 3 17" xfId="8103" xr:uid="{45C94C60-D343-4273-80D5-944533BDF431}"/>
    <cellStyle name="Calculation 3 3 18" xfId="7128" xr:uid="{9324619D-8B90-4D0B-AA9F-54B5C7D3AD0C}"/>
    <cellStyle name="Calculation 3 3 19" xfId="9505" xr:uid="{C02838CB-C6F3-4454-A9BF-9415043BC3BA}"/>
    <cellStyle name="Calculation 3 3 2" xfId="786" xr:uid="{86883983-473B-42F1-AFD1-2213E829769A}"/>
    <cellStyle name="Calculation 3 3 2 10" xfId="5434" xr:uid="{7B1302C3-33D9-42CF-975F-1E0DB3B80CE9}"/>
    <cellStyle name="Calculation 3 3 2 11" xfId="5614" xr:uid="{FEA8B30C-9BAB-44A2-ACA2-C50A2D158BD5}"/>
    <cellStyle name="Calculation 3 3 2 12" xfId="5779" xr:uid="{56B2A689-7B8A-4449-B206-5F129EAA1FB8}"/>
    <cellStyle name="Calculation 3 3 2 13" xfId="3460" xr:uid="{AFBF3173-1997-4C37-8B61-370D73B5017F}"/>
    <cellStyle name="Calculation 3 3 2 14" xfId="7506" xr:uid="{658E134B-C6CF-48B6-AF14-40261F2E0969}"/>
    <cellStyle name="Calculation 3 3 2 15" xfId="7127" xr:uid="{DF1130E3-65E4-42A8-9C20-9762FCCDCC8C}"/>
    <cellStyle name="Calculation 3 3 2 16" xfId="8364" xr:uid="{69959DF6-C62F-40DB-81CF-5ED0B4797112}"/>
    <cellStyle name="Calculation 3 3 2 17" xfId="8695" xr:uid="{AC13231E-47EE-4C3B-A82D-31E5A4F62248}"/>
    <cellStyle name="Calculation 3 3 2 18" xfId="9720" xr:uid="{110C8804-9AB0-4606-967F-80F5EE12A824}"/>
    <cellStyle name="Calculation 3 3 2 19" xfId="9319" xr:uid="{95681CFF-D19D-4B2F-8FAD-98898CB3CAC2}"/>
    <cellStyle name="Calculation 3 3 2 2" xfId="1260" xr:uid="{5428DB73-94C0-4C28-94F1-A0D85A5FC42C}"/>
    <cellStyle name="Calculation 3 3 2 20" xfId="9386" xr:uid="{0DAD2FF0-5CEA-4B51-95D0-C9B7AD1A2979}"/>
    <cellStyle name="Calculation 3 3 2 21" xfId="9038" xr:uid="{90148EF7-F307-4E44-908A-20F723375CD5}"/>
    <cellStyle name="Calculation 3 3 2 22" xfId="10828" xr:uid="{D3DE614C-402D-49DA-AF78-1FFF0C6BA0B1}"/>
    <cellStyle name="Calculation 3 3 2 23" xfId="12139" xr:uid="{8281EF9E-DE9A-4510-AEEE-53E0D9366C63}"/>
    <cellStyle name="Calculation 3 3 2 24" xfId="12612" xr:uid="{90EE74EB-55C2-43D4-8E33-03F3B04DA49B}"/>
    <cellStyle name="Calculation 3 3 2 25" xfId="13046" xr:uid="{A652E81C-27EC-431C-B675-D19DFDB9D869}"/>
    <cellStyle name="Calculation 3 3 2 26" xfId="13483" xr:uid="{3E6AC54B-5C99-4BF3-B0AC-132E31C9CF57}"/>
    <cellStyle name="Calculation 3 3 2 27" xfId="12276" xr:uid="{1FDBD367-989A-4524-86A1-D3FAABC23C64}"/>
    <cellStyle name="Calculation 3 3 2 28" xfId="13978" xr:uid="{C0CDAD62-7567-465C-9D37-2CDD0C7F8F29}"/>
    <cellStyle name="Calculation 3 3 2 29" xfId="13742" xr:uid="{86D4876D-1D95-4A61-866F-E139C79A5458}"/>
    <cellStyle name="Calculation 3 3 2 3" xfId="1509" xr:uid="{5E5F387A-E4E1-48B4-8892-CAF5D1BB6D86}"/>
    <cellStyle name="Calculation 3 3 2 30" xfId="15342" xr:uid="{961CFD34-6BAD-46ED-9939-820E44A35009}"/>
    <cellStyle name="Calculation 3 3 2 31" xfId="15564" xr:uid="{037DE66A-E8EC-496F-93F5-9E016E8BCB0E}"/>
    <cellStyle name="Calculation 3 3 2 32" xfId="14451" xr:uid="{D15B1045-24BF-4C29-8FEC-F5BC38D75665}"/>
    <cellStyle name="Calculation 3 3 2 33" xfId="16831" xr:uid="{0BF06EB5-B839-4ED4-8D93-18A6752DCA44}"/>
    <cellStyle name="Calculation 3 3 2 34" xfId="16449" xr:uid="{49407BE5-B1D8-4976-AF6F-2FB93F1ABEB2}"/>
    <cellStyle name="Calculation 3 3 2 35" xfId="16145" xr:uid="{84996856-C32C-462B-9D89-30E8A455AEC4}"/>
    <cellStyle name="Calculation 3 3 2 36" xfId="18233" xr:uid="{33786149-D5A9-4852-8760-DAF53E033BAC}"/>
    <cellStyle name="Calculation 3 3 2 37" xfId="18649" xr:uid="{5FFC6571-877C-4FCC-954E-FFADE23F6EA1}"/>
    <cellStyle name="Calculation 3 3 2 38" xfId="18770" xr:uid="{0EAE9908-289E-4B74-A14A-1753AD55650D}"/>
    <cellStyle name="Calculation 3 3 2 39" xfId="18141" xr:uid="{CAB587D3-52DB-4316-89FF-F1A38E31AB99}"/>
    <cellStyle name="Calculation 3 3 2 4" xfId="2608" xr:uid="{29EC0730-FDA1-4381-A91C-511C40C48C79}"/>
    <cellStyle name="Calculation 3 3 2 40" xfId="20168" xr:uid="{9999C0B7-B8EF-4DBC-BFEB-89947AD92CDB}"/>
    <cellStyle name="Calculation 3 3 2 41" xfId="19469" xr:uid="{5FCD5EBD-39D8-4702-9891-FDBA6B37BED1}"/>
    <cellStyle name="Calculation 3 3 2 42" xfId="20354" xr:uid="{2F592836-5A3B-414F-9FCF-B39C2BB56D4B}"/>
    <cellStyle name="Calculation 3 3 2 43" xfId="20902" xr:uid="{A3DE5360-5D11-4058-B9EC-740AB1D5B52C}"/>
    <cellStyle name="Calculation 3 3 2 44" xfId="19593" xr:uid="{2CC1BE07-9B89-4E98-8287-C34A482826A6}"/>
    <cellStyle name="Calculation 3 3 2 45" xfId="21730" xr:uid="{4E30FDF5-61CE-4FB1-B0AC-4F300054191D}"/>
    <cellStyle name="Calculation 3 3 2 46" xfId="21275" xr:uid="{DF31EAB9-34AA-41F1-8146-FAE74B040413}"/>
    <cellStyle name="Calculation 3 3 2 47" xfId="23039" xr:uid="{622F27B4-7AA8-44CD-8B01-7185572F9CFF}"/>
    <cellStyle name="Calculation 3 3 2 48" xfId="22238" xr:uid="{5DEDA62B-38B2-42B8-A9C3-B2D2C9D64303}"/>
    <cellStyle name="Calculation 3 3 2 49" xfId="23968" xr:uid="{1659E76A-9FEF-4034-8068-3E93EC7C8EC0}"/>
    <cellStyle name="Calculation 3 3 2 5" xfId="2195" xr:uid="{CF135D2D-D505-44F8-AF86-2A8C34160C62}"/>
    <cellStyle name="Calculation 3 3 2 50" xfId="24876" xr:uid="{98D2838B-2B36-4CAE-829B-3948B54219F8}"/>
    <cellStyle name="Calculation 3 3 2 51" xfId="24186" xr:uid="{C0AE18AC-E50C-45D9-BF32-03E792954C4B}"/>
    <cellStyle name="Calculation 3 3 2 52" xfId="25792" xr:uid="{AC85DFCE-FA4B-45FC-A167-C7167B3ED41A}"/>
    <cellStyle name="Calculation 3 3 2 53" xfId="25394" xr:uid="{E1169030-782D-4F88-AE8F-97EAA72A46C5}"/>
    <cellStyle name="Calculation 3 3 2 54" xfId="24254" xr:uid="{5ED7E271-0815-43D3-BC42-27A64D5E8C5B}"/>
    <cellStyle name="Calculation 3 3 2 55" xfId="27080" xr:uid="{1FA299DD-72C4-49B8-8ED0-CAB8C2992686}"/>
    <cellStyle name="Calculation 3 3 2 56" xfId="27499" xr:uid="{53963126-2F38-4C02-B9F0-2C9D1F9CB272}"/>
    <cellStyle name="Calculation 3 3 2 57" xfId="27205" xr:uid="{9D3B3AA4-F323-49E9-988C-8111E50C854E}"/>
    <cellStyle name="Calculation 3 3 2 58" xfId="28626" xr:uid="{B6C78343-C4AE-4E49-B250-864BEAD94916}"/>
    <cellStyle name="Calculation 3 3 2 59" xfId="29093" xr:uid="{DF0049CD-E7D1-469B-A812-567B096F8C73}"/>
    <cellStyle name="Calculation 3 3 2 6" xfId="3313" xr:uid="{3D871CA1-6959-4E3F-8D09-C2F72F995F16}"/>
    <cellStyle name="Calculation 3 3 2 60" xfId="28022" xr:uid="{CC7A6D00-317A-4AC4-B2F1-6E4CE42E3235}"/>
    <cellStyle name="Calculation 3 3 2 61" xfId="29882" xr:uid="{BA9BAC50-554A-490C-9559-B9A9F6A5CDC5}"/>
    <cellStyle name="Calculation 3 3 2 62" xfId="30288" xr:uid="{AAD4095F-3952-4CDF-A1AA-7C6913ED3D76}"/>
    <cellStyle name="Calculation 3 3 2 63" xfId="30705" xr:uid="{922E85F4-B8F6-4372-8253-FD63651CF979}"/>
    <cellStyle name="Calculation 3 3 2 64" xfId="30905" xr:uid="{3F8EEDEF-887D-493E-A277-1FE1DA2C90D3}"/>
    <cellStyle name="Calculation 3 3 2 65" xfId="31321" xr:uid="{0290F186-8D90-48F0-B242-19E62309B674}"/>
    <cellStyle name="Calculation 3 3 2 7" xfId="4104" xr:uid="{F0A71C30-B275-44B2-B55E-BA2D7E74AC5D}"/>
    <cellStyle name="Calculation 3 3 2 8" xfId="4541" xr:uid="{C7C645E8-861F-4A45-8C1A-4C7EBB918EF2}"/>
    <cellStyle name="Calculation 3 3 2 9" xfId="3804" xr:uid="{D0F4DFBA-DB66-43F6-ABEF-80D278B1A379}"/>
    <cellStyle name="Calculation 3 3 20" xfId="9401" xr:uid="{E593EDD3-D117-4FCD-A2BD-3FB356578956}"/>
    <cellStyle name="Calculation 3 3 21" xfId="10067" xr:uid="{BFEFC5A6-AECB-444F-AEC4-BEF6360E0C0A}"/>
    <cellStyle name="Calculation 3 3 22" xfId="9037" xr:uid="{202D39DA-E0CA-4C26-B19F-173225899CEF}"/>
    <cellStyle name="Calculation 3 3 23" xfId="11303" xr:uid="{AC51F6EB-8331-4407-A671-514895FFE70B}"/>
    <cellStyle name="Calculation 3 3 24" xfId="11924" xr:uid="{367F399A-92F0-49C2-BE1C-C40CA3054C0E}"/>
    <cellStyle name="Calculation 3 3 25" xfId="12397" xr:uid="{669040D2-BA79-4B39-B6D3-7E9A787BAC83}"/>
    <cellStyle name="Calculation 3 3 26" xfId="12831" xr:uid="{22EE112E-027A-4F29-A637-8C5FC1CE6632}"/>
    <cellStyle name="Calculation 3 3 27" xfId="13268" xr:uid="{D5F9F528-911B-4368-94F8-4E75B235098A}"/>
    <cellStyle name="Calculation 3 3 28" xfId="13852" xr:uid="{FC58C840-833E-440A-B602-54A3D35D1375}"/>
    <cellStyle name="Calculation 3 3 29" xfId="14238" xr:uid="{DC900ED8-3CA8-41C6-9B2C-AB1F47B1EBA3}"/>
    <cellStyle name="Calculation 3 3 3" xfId="1054" xr:uid="{1DF0777A-C8E9-4AEC-B9C5-72A4089CDC43}"/>
    <cellStyle name="Calculation 3 3 30" xfId="13770" xr:uid="{627F19DB-D1FD-449A-A252-6F2B4289EC65}"/>
    <cellStyle name="Calculation 3 3 31" xfId="15009" xr:uid="{5F792B3D-1920-499A-A27F-6EB2161AF433}"/>
    <cellStyle name="Calculation 3 3 32" xfId="14964" xr:uid="{5632BCD4-585B-4C20-8066-22382D62436B}"/>
    <cellStyle name="Calculation 3 3 33" xfId="14774" xr:uid="{F350E3EF-E3DC-4FE1-8104-AC341F746FD6}"/>
    <cellStyle name="Calculation 3 3 34" xfId="16616" xr:uid="{DB2B8CDF-59C1-407E-9135-989D489FFABC}"/>
    <cellStyle name="Calculation 3 3 35" xfId="16510" xr:uid="{2801BD98-1C8A-4A6C-A336-7D65A520E65D}"/>
    <cellStyle name="Calculation 3 3 36" xfId="17184" xr:uid="{84E74EF5-7842-4980-AC52-86586A1B053B}"/>
    <cellStyle name="Calculation 3 3 37" xfId="18264" xr:uid="{7644080B-FE84-4CE5-98D7-6DB92602DC67}"/>
    <cellStyle name="Calculation 3 3 38" xfId="18434" xr:uid="{9B9A7156-1204-40E5-9F7D-89F0DD9734D2}"/>
    <cellStyle name="Calculation 3 3 39" xfId="19088" xr:uid="{ABB89A66-6A15-487B-A6FD-787B547704B6}"/>
    <cellStyle name="Calculation 3 3 4" xfId="1640" xr:uid="{67512E99-8D27-4CE3-862E-61FEC6619FC4}"/>
    <cellStyle name="Calculation 3 3 40" xfId="19269" xr:uid="{687C3951-5887-42CE-8310-03907C64605E}"/>
    <cellStyle name="Calculation 3 3 41" xfId="19953" xr:uid="{23A23554-A4A5-4975-B50D-162BF5A8B81A}"/>
    <cellStyle name="Calculation 3 3 42" xfId="19846" xr:uid="{B95C243C-D32F-42A4-9A2D-7ADF32881400}"/>
    <cellStyle name="Calculation 3 3 43" xfId="19571" xr:uid="{2EC1ACAA-8F33-47B2-AA48-6896CE625C3C}"/>
    <cellStyle name="Calculation 3 3 44" xfId="21465" xr:uid="{37BF3A44-F6AE-4855-BE61-71979A585EA7}"/>
    <cellStyle name="Calculation 3 3 45" xfId="21441" xr:uid="{88A93194-D272-436B-AEDF-2AD920402F88}"/>
    <cellStyle name="Calculation 3 3 46" xfId="21327" xr:uid="{1541A0D5-6B63-4A21-AA7F-FFBFB3B498BB}"/>
    <cellStyle name="Calculation 3 3 47" xfId="22837" xr:uid="{D3ED18D3-1E49-43DF-8330-FE9B8B6AF87A}"/>
    <cellStyle name="Calculation 3 3 48" xfId="23365" xr:uid="{F36FE718-1C4E-475A-8F0C-4876CD462339}"/>
    <cellStyle name="Calculation 3 3 49" xfId="23599" xr:uid="{1C49C1A2-B2EA-4D6A-8C0F-B63B057C00B1}"/>
    <cellStyle name="Calculation 3 3 5" xfId="2393" xr:uid="{D54D60DE-631D-4DFF-8443-28A476672DD0}"/>
    <cellStyle name="Calculation 3 3 50" xfId="23762" xr:uid="{BD47A64B-5023-4156-90C9-089625A4F146}"/>
    <cellStyle name="Calculation 3 3 51" xfId="24661" xr:uid="{63034703-6F1C-42C4-A1EB-E72D2E1F4AC9}"/>
    <cellStyle name="Calculation 3 3 52" xfId="24264" xr:uid="{BCD417EF-C43E-4BAD-86A5-9559B605E8B9}"/>
    <cellStyle name="Calculation 3 3 53" xfId="25579" xr:uid="{EDD652BA-FEFE-4D0B-BD10-2AABE49A850B}"/>
    <cellStyle name="Calculation 3 3 54" xfId="26204" xr:uid="{25F99EF0-3C4A-4F6F-9C1E-BA50C3AA2365}"/>
    <cellStyle name="Calculation 3 3 55" xfId="26243" xr:uid="{6EE8E0A3-F422-48F3-98F4-19E790EF0492}"/>
    <cellStyle name="Calculation 3 3 56" xfId="26869" xr:uid="{75C3E919-6E82-4F91-B601-7BF650D10501}"/>
    <cellStyle name="Calculation 3 3 57" xfId="27288" xr:uid="{462D8B23-9247-4E19-B6BA-1F1019428125}"/>
    <cellStyle name="Calculation 3 3 58" xfId="27720" xr:uid="{BF5D5B66-599A-4FD9-8F7E-C348D857FF06}"/>
    <cellStyle name="Calculation 3 3 59" xfId="28411" xr:uid="{1ADF99E2-E7D8-43A1-9DDE-22C93C5868DD}"/>
    <cellStyle name="Calculation 3 3 6" xfId="3018" xr:uid="{141C9260-F0F9-452D-BA18-B73B1DF151E7}"/>
    <cellStyle name="Calculation 3 3 60" xfId="28879" xr:uid="{D881F43B-BCE8-46E9-A2F6-E3D053348DD5}"/>
    <cellStyle name="Calculation 3 3 61" xfId="27908" xr:uid="{E398159D-008A-40FD-8A4B-A0FC3D909678}"/>
    <cellStyle name="Calculation 3 3 62" xfId="29669" xr:uid="{B9EF4808-7DEC-42FF-ADDA-248BEC14F117}"/>
    <cellStyle name="Calculation 3 3 63" xfId="30077" xr:uid="{D800F151-88FA-48E3-9836-F2996B955A38}"/>
    <cellStyle name="Calculation 3 3 64" xfId="30491" xr:uid="{6B8BE6EB-73A2-4814-B7FA-2C2E7AA87E4C}"/>
    <cellStyle name="Calculation 3 3 65" xfId="30901" xr:uid="{AEA0B246-B1F2-4C4B-8318-22A64EF73FB1}"/>
    <cellStyle name="Calculation 3 3 66" xfId="31115" xr:uid="{0509B4E9-43E7-424C-96B1-13175643956C}"/>
    <cellStyle name="Calculation 3 3 7" xfId="3039" xr:uid="{CE6774B5-5D16-41B0-ABD7-A889D691ABB5}"/>
    <cellStyle name="Calculation 3 3 8" xfId="3889" xr:uid="{A6230595-0D28-47B8-AFD2-6111A470663B}"/>
    <cellStyle name="Calculation 3 3 9" xfId="4327" xr:uid="{3194F644-475C-41DE-86AC-9A2994320B92}"/>
    <cellStyle name="Calculation 3 30" xfId="16243" xr:uid="{3456E2BF-FA46-4E16-87CA-BFBC43E2D599}"/>
    <cellStyle name="Calculation 3 31" xfId="18043" xr:uid="{4E507091-36F9-46C6-9156-D5BF7042C47B}"/>
    <cellStyle name="Calculation 3 32" xfId="18085" xr:uid="{EBCDED49-9C55-4DB5-9B66-60619ECDD2FA}"/>
    <cellStyle name="Calculation 3 33" xfId="19008" xr:uid="{76839CF6-4CBE-473F-8FC9-A363AE92ABFF}"/>
    <cellStyle name="Calculation 3 34" xfId="19608" xr:uid="{55ABA274-2D01-4565-8529-9202D36EE51B}"/>
    <cellStyle name="Calculation 3 35" xfId="19494" xr:uid="{BA768064-7F24-4D1C-8D22-70D2F0274E32}"/>
    <cellStyle name="Calculation 3 36" xfId="21951" xr:uid="{C33F6EBB-F411-47CB-9681-BC8547328C41}"/>
    <cellStyle name="Calculation 3 37" xfId="22295" xr:uid="{125F6CCC-B081-4F4C-9C27-D2CAE8BDBF50}"/>
    <cellStyle name="Calculation 3 38" xfId="23202" xr:uid="{764FA199-4E42-461B-B860-2254F19BB4CC}"/>
    <cellStyle name="Calculation 3 39" xfId="24329" xr:uid="{47D03056-E9F8-45FC-934B-468B3738B37C}"/>
    <cellStyle name="Calculation 3 4" xfId="655" xr:uid="{AD57E26F-FB49-4D52-A22E-FAC08101EFE6}"/>
    <cellStyle name="Calculation 3 4 10" xfId="4711" xr:uid="{8127D874-1644-48EF-A9D6-FA343677C29C}"/>
    <cellStyle name="Calculation 3 4 11" xfId="5303" xr:uid="{585C05AB-8B74-449D-A0ED-6D8BC37AD6D8}"/>
    <cellStyle name="Calculation 3 4 12" xfId="5621" xr:uid="{84A49E41-EADF-44DE-8541-34FF3AEB7457}"/>
    <cellStyle name="Calculation 3 4 13" xfId="6102" xr:uid="{667C0AE7-A658-4856-9E1B-06F8A66CF9A1}"/>
    <cellStyle name="Calculation 3 4 14" xfId="6645" xr:uid="{77BDD2C3-9336-4C39-A18A-5F480FF7378C}"/>
    <cellStyle name="Calculation 3 4 15" xfId="7375" xr:uid="{D36D08B3-CDA7-4D03-A05A-167DBD694357}"/>
    <cellStyle name="Calculation 3 4 16" xfId="6769" xr:uid="{39FB2BCB-9E0E-481F-976B-AA6AE7B0A132}"/>
    <cellStyle name="Calculation 3 4 17" xfId="8627" xr:uid="{FA70C927-3351-41C2-A777-8C41778EDD37}"/>
    <cellStyle name="Calculation 3 4 18" xfId="7704" xr:uid="{2564F64D-C2C3-45F1-93B0-24FFFD6EA873}"/>
    <cellStyle name="Calculation 3 4 19" xfId="9589" xr:uid="{D5C04203-F431-4460-94E7-3EDFA26CB82C}"/>
    <cellStyle name="Calculation 3 4 2" xfId="870" xr:uid="{45BB7E29-35A5-4298-9FD9-F4237D878813}"/>
    <cellStyle name="Calculation 3 4 2 10" xfId="5518" xr:uid="{4E6D0BE0-0754-4D97-8793-00103A272EE8}"/>
    <cellStyle name="Calculation 3 4 2 11" xfId="6012" xr:uid="{EAD4D15B-65EB-477B-93D6-527EA656E792}"/>
    <cellStyle name="Calculation 3 4 2 12" xfId="6371" xr:uid="{F11F33B4-069C-4168-8A51-D99F96028052}"/>
    <cellStyle name="Calculation 3 4 2 13" xfId="6709" xr:uid="{676814A0-0DAC-4B4A-8405-2FB8818FC0E4}"/>
    <cellStyle name="Calculation 3 4 2 14" xfId="7590" xr:uid="{EE1416B3-0BE6-43E2-B435-6F602D98A584}"/>
    <cellStyle name="Calculation 3 4 2 15" xfId="8054" xr:uid="{C9398EBD-D2A7-44B9-9327-91B44D23C4C4}"/>
    <cellStyle name="Calculation 3 4 2 16" xfId="8663" xr:uid="{7705295E-9DBF-44D3-B9C6-9A898EEEBAB0}"/>
    <cellStyle name="Calculation 3 4 2 17" xfId="8922" xr:uid="{201EF836-FB24-4154-9D99-C431E6B4181A}"/>
    <cellStyle name="Calculation 3 4 2 18" xfId="9804" xr:uid="{04C45A21-0B00-4C27-A54F-C20F3E77ABDB}"/>
    <cellStyle name="Calculation 3 4 2 19" xfId="10273" xr:uid="{A0CA48E0-8D62-46F7-907A-4676C3B80B68}"/>
    <cellStyle name="Calculation 3 4 2 2" xfId="1344" xr:uid="{102D85C3-EC86-4B0B-92D5-2B323B7E00FF}"/>
    <cellStyle name="Calculation 3 4 2 20" xfId="10667" xr:uid="{2E77D7F8-B1C4-4301-8A03-96DC8B73E795}"/>
    <cellStyle name="Calculation 3 4 2 21" xfId="11016" xr:uid="{4177565C-33E7-4CD1-AAD2-5BF7B13CDD2C}"/>
    <cellStyle name="Calculation 3 4 2 22" xfId="11326" xr:uid="{F8F99A93-3AFF-4D6C-807A-D7D9CE3090C3}"/>
    <cellStyle name="Calculation 3 4 2 23" xfId="12223" xr:uid="{B6D06D22-8352-4B86-BB2B-6938B902A14B}"/>
    <cellStyle name="Calculation 3 4 2 24" xfId="12696" xr:uid="{7474F282-6F59-4BD6-9CEC-C829F8CBA1C5}"/>
    <cellStyle name="Calculation 3 4 2 25" xfId="13130" xr:uid="{C2107685-CEDA-4C82-B23E-00742887D6CE}"/>
    <cellStyle name="Calculation 3 4 2 26" xfId="13567" xr:uid="{F5B6BEAF-BB18-4492-B291-F863CB19B36D}"/>
    <cellStyle name="Calculation 3 4 2 27" xfId="14039" xr:uid="{15949874-0D38-475F-BD71-092272DFEBC5}"/>
    <cellStyle name="Calculation 3 4 2 28" xfId="14486" xr:uid="{BC4650B2-84B0-4D2A-86CA-2DD83F7E6892}"/>
    <cellStyle name="Calculation 3 4 2 29" xfId="14920" xr:uid="{0F6979BC-78AB-44FB-97F1-069C8B2EF661}"/>
    <cellStyle name="Calculation 3 4 2 3" xfId="1793" xr:uid="{E83F17C9-7E33-422E-A025-053E42915165}"/>
    <cellStyle name="Calculation 3 4 2 30" xfId="15390" xr:uid="{4398FA86-0EDA-4A67-94F9-908B479D463D}"/>
    <cellStyle name="Calculation 3 4 2 31" xfId="15780" xr:uid="{2FCEB7D7-0755-40FE-9A8D-CC5FF6E88BE2}"/>
    <cellStyle name="Calculation 3 4 2 32" xfId="16002" xr:uid="{2E38038A-6E0F-4D09-BDFF-1495F257A9F2}"/>
    <cellStyle name="Calculation 3 4 2 33" xfId="16915" xr:uid="{38D286C4-02F9-440F-B058-2D111EC6E9B3}"/>
    <cellStyle name="Calculation 3 4 2 34" xfId="17396" xr:uid="{9422DC72-F94F-4BB0-A784-CD3A7648764D}"/>
    <cellStyle name="Calculation 3 4 2 35" xfId="17837" xr:uid="{18033ABE-A8DE-4675-81C7-B488BE644983}"/>
    <cellStyle name="Calculation 3 4 2 36" xfId="18312" xr:uid="{5D09127B-7CD4-4698-8C40-44DBEE920C0C}"/>
    <cellStyle name="Calculation 3 4 2 37" xfId="18733" xr:uid="{CA15BB30-432A-4479-953D-8A09B45F3CB0}"/>
    <cellStyle name="Calculation 3 4 2 38" xfId="19120" xr:uid="{CB5E22A0-0A74-43E5-BD60-C0517C66BDC9}"/>
    <cellStyle name="Calculation 3 4 2 39" xfId="19350" xr:uid="{EFAFE677-56A1-45D1-B12B-2500CE51E9F8}"/>
    <cellStyle name="Calculation 3 4 2 4" xfId="2692" xr:uid="{A2425DBC-F74E-46F7-8022-CE9043AB6117}"/>
    <cellStyle name="Calculation 3 4 2 40" xfId="20252" xr:uid="{A25AB268-D76A-47E4-BDFA-011D6EBF2041}"/>
    <cellStyle name="Calculation 3 4 2 41" xfId="20745" xr:uid="{88B4F6D6-0900-49A8-A5D6-65759460FD37}"/>
    <cellStyle name="Calculation 3 4 2 42" xfId="21204" xr:uid="{4EACF1D2-56EF-483F-A889-B19789076088}"/>
    <cellStyle name="Calculation 3 4 2 43" xfId="21696" xr:uid="{8313FB66-DC38-4344-9C9E-3EED7A92BEE3}"/>
    <cellStyle name="Calculation 3 4 2 44" xfId="22135" xr:uid="{585D955F-CCBD-44C1-8E9E-2B713030AA12}"/>
    <cellStyle name="Calculation 3 4 2 45" xfId="22562" xr:uid="{CCD8C98D-ED50-495D-9B7B-EE140E212FEF}"/>
    <cellStyle name="Calculation 3 4 2 46" xfId="23007" xr:uid="{88D5F55D-59E3-4D07-B564-367C8B78E13C}"/>
    <cellStyle name="Calculation 3 4 2 47" xfId="23409" xr:uid="{4CF199CF-CA4F-4156-A576-B6CCBEA839FE}"/>
    <cellStyle name="Calculation 3 4 2 48" xfId="23672" xr:uid="{3197E103-3F6A-476A-B4B0-28FFAFBE95D7}"/>
    <cellStyle name="Calculation 3 4 2 49" xfId="24052" xr:uid="{CBBA42DA-6EDD-47F4-9425-9E3A3B08361D}"/>
    <cellStyle name="Calculation 3 4 2 5" xfId="3212" xr:uid="{6D257CD2-8C98-498F-A08A-9BB051F898B7}"/>
    <cellStyle name="Calculation 3 4 2 50" xfId="24960" xr:uid="{C1BA74F2-0D7A-432C-860F-F34EFBCDBEEB}"/>
    <cellStyle name="Calculation 3 4 2 51" xfId="25448" xr:uid="{FAE7628E-D4CF-411D-860C-32BED9B652FE}"/>
    <cellStyle name="Calculation 3 4 2 52" xfId="25876" xr:uid="{3BF57FC9-505A-469A-84F3-4E716DF01CF8}"/>
    <cellStyle name="Calculation 3 4 2 53" xfId="26314" xr:uid="{BBB366B5-3A5E-4E5B-B2C1-6DC2FFD80EA7}"/>
    <cellStyle name="Calculation 3 4 2 54" xfId="26743" xr:uid="{8E3333B4-539C-4366-9FA9-4649DB930F6F}"/>
    <cellStyle name="Calculation 3 4 2 55" xfId="27164" xr:uid="{875CB7F8-BFFB-4CA3-AF7E-19599A39EBC3}"/>
    <cellStyle name="Calculation 3 4 2 56" xfId="27583" xr:uid="{A64E61CC-3542-4AF8-8B9C-D3768BACEFDA}"/>
    <cellStyle name="Calculation 3 4 2 57" xfId="25914" xr:uid="{E71EEAC4-2581-4C97-9836-3B295BFBEA55}"/>
    <cellStyle name="Calculation 3 4 2 58" xfId="28710" xr:uid="{B89A42B7-EAA4-407B-BA0E-76B8B370E756}"/>
    <cellStyle name="Calculation 3 4 2 59" xfId="29177" xr:uid="{4B2E9DDD-DD05-4A06-AAAE-58C5F3BF0E29}"/>
    <cellStyle name="Calculation 3 4 2 6" xfId="3767" xr:uid="{2321BBAE-891F-4581-9732-FC1B3DC18FCB}"/>
    <cellStyle name="Calculation 3 4 2 60" xfId="29559" xr:uid="{4265CBEF-44A9-4083-8C88-F7FF8C3028DE}"/>
    <cellStyle name="Calculation 3 4 2 61" xfId="29966" xr:uid="{21217297-89CC-4B64-B312-86C4DE908740}"/>
    <cellStyle name="Calculation 3 4 2 62" xfId="30372" xr:uid="{FCF8E2EA-06AA-490A-8901-6C3245EB2D92}"/>
    <cellStyle name="Calculation 3 4 2 63" xfId="30789" xr:uid="{799DE220-4F25-46A6-B980-ABB3FC8D927C}"/>
    <cellStyle name="Calculation 3 4 2 64" xfId="31034" xr:uid="{F1363F59-CE0E-499F-8AD3-0C2EE7A5A144}"/>
    <cellStyle name="Calculation 3 4 2 65" xfId="31405" xr:uid="{61554919-34F5-4DB9-B395-E3AC2FDE5A6B}"/>
    <cellStyle name="Calculation 3 4 2 7" xfId="4188" xr:uid="{72D822B4-C1DD-429E-BE66-E1E414083D9B}"/>
    <cellStyle name="Calculation 3 4 2 8" xfId="4625" xr:uid="{3E54F417-C53E-418E-AFCF-B9532E455178}"/>
    <cellStyle name="Calculation 3 4 2 9" xfId="5071" xr:uid="{FA848D6B-7594-49E0-B7C1-745C10CAF544}"/>
    <cellStyle name="Calculation 3 4 20" xfId="8981" xr:uid="{2F3AD71B-DB2C-4954-ABB6-A5AC6C2E45E5}"/>
    <cellStyle name="Calculation 3 4 21" xfId="9086" xr:uid="{A63A0A8A-C5FD-407F-95DB-9352276B6307}"/>
    <cellStyle name="Calculation 3 4 22" xfId="10155" xr:uid="{5E4F4EA1-45CD-4E35-9A88-07262E6CC643}"/>
    <cellStyle name="Calculation 3 4 23" xfId="9062" xr:uid="{3A9ED803-08F0-4037-A9FD-3E33D6E35EED}"/>
    <cellStyle name="Calculation 3 4 24" xfId="12008" xr:uid="{75D9277A-1DCB-47E7-87AC-684D4ED27FDA}"/>
    <cellStyle name="Calculation 3 4 25" xfId="12481" xr:uid="{C45FF96B-99AD-4A16-BD42-0D6E8D18F145}"/>
    <cellStyle name="Calculation 3 4 26" xfId="12915" xr:uid="{BEB108A1-B99E-4BDB-A1C6-26ED594B0AAE}"/>
    <cellStyle name="Calculation 3 4 27" xfId="13352" xr:uid="{97A9557B-3B1C-4B72-8359-58A50C80B81D}"/>
    <cellStyle name="Calculation 3 4 28" xfId="13897" xr:uid="{2425F372-47BC-4911-8857-78B709CDDA65}"/>
    <cellStyle name="Calculation 3 4 29" xfId="14313" xr:uid="{B4A9A2A4-ACC7-4DB8-BE05-61D5EFAD2005}"/>
    <cellStyle name="Calculation 3 4 3" xfId="1138" xr:uid="{459AE279-B791-42B0-ACB2-12CDD281D39B}"/>
    <cellStyle name="Calculation 3 4 30" xfId="14225" xr:uid="{2234438F-3C9F-4E84-B186-E81ABDA57C57}"/>
    <cellStyle name="Calculation 3 4 31" xfId="15065" xr:uid="{8F96399F-4F03-4AE9-A6EB-ACEF75C4C32F}"/>
    <cellStyle name="Calculation 3 4 32" xfId="14089" xr:uid="{3DCB3019-9C9F-43F8-805D-C9E051740BA1}"/>
    <cellStyle name="Calculation 3 4 33" xfId="15034" xr:uid="{CFF19368-0E2D-4477-9C76-C3578595CF7E}"/>
    <cellStyle name="Calculation 3 4 34" xfId="16700" xr:uid="{699E8EAF-03AB-447D-BD9B-E46DDEB358A5}"/>
    <cellStyle name="Calculation 3 4 35" xfId="16078" xr:uid="{05DCEF75-409B-4175-9318-BC59B6D76CFD}"/>
    <cellStyle name="Calculation 3 4 36" xfId="16189" xr:uid="{EBEE293A-F193-4E74-BE54-4AB7CB208420}"/>
    <cellStyle name="Calculation 3 4 37" xfId="17521" xr:uid="{33456616-B31C-431D-BCA9-CC65AB064662}"/>
    <cellStyle name="Calculation 3 4 38" xfId="18518" xr:uid="{6E75BCAF-77F5-4478-9DEF-754AFE5D4E6C}"/>
    <cellStyle name="Calculation 3 4 39" xfId="17307" xr:uid="{650C29E0-7C53-477A-BCF6-0E40EA2F38A9}"/>
    <cellStyle name="Calculation 3 4 4" xfId="1658" xr:uid="{9B06B757-5DF9-4B87-8947-F3B00CFF3180}"/>
    <cellStyle name="Calculation 3 4 40" xfId="19287" xr:uid="{645BAFBD-3A6E-435E-83FB-3B9585856F9D}"/>
    <cellStyle name="Calculation 3 4 41" xfId="20037" xr:uid="{2D3B31E6-9015-4D1E-97E4-28A899266849}"/>
    <cellStyle name="Calculation 3 4 42" xfId="19411" xr:uid="{0BF45EF0-061C-4E1D-BC8D-C1014C21C53A}"/>
    <cellStyle name="Calculation 3 4 43" xfId="19492" xr:uid="{902A3083-4792-4487-AE83-8E3201C10AFC}"/>
    <cellStyle name="Calculation 3 4 44" xfId="21072" xr:uid="{75ED7202-CA00-4D73-9DFF-E23224BCFF62}"/>
    <cellStyle name="Calculation 3 4 45" xfId="20825" xr:uid="{9F5012F0-B337-4D97-A9C8-5A849EC0D0E6}"/>
    <cellStyle name="Calculation 3 4 46" xfId="21739" xr:uid="{7432CC2C-2E5B-48D0-A432-08D0596AF4A8}"/>
    <cellStyle name="Calculation 3 4 47" xfId="22877" xr:uid="{BD7D522A-0269-459D-A230-99DFC7811B7E}"/>
    <cellStyle name="Calculation 3 4 48" xfId="22688" xr:uid="{72D5CA01-857F-49D7-A014-5C6CC07058EE}"/>
    <cellStyle name="Calculation 3 4 49" xfId="23547" xr:uid="{8131FDD1-E197-4474-B193-F763C417252A}"/>
    <cellStyle name="Calculation 3 4 5" xfId="2477" xr:uid="{C2873F1E-0653-4A11-822F-6CD0F23FC303}"/>
    <cellStyle name="Calculation 3 4 50" xfId="23846" xr:uid="{53FE8D8A-6033-4807-BA50-0F52E8EFFC95}"/>
    <cellStyle name="Calculation 3 4 51" xfId="24745" xr:uid="{DD740728-6B11-4BB7-80B5-8B0884F779EC}"/>
    <cellStyle name="Calculation 3 4 52" xfId="24135" xr:uid="{ECE0E76F-6F92-4C99-B0D8-948F9D77DFA3}"/>
    <cellStyle name="Calculation 3 4 53" xfId="25663" xr:uid="{4A27F5C3-BA11-4BD1-95E2-065058701D4F}"/>
    <cellStyle name="Calculation 3 4 54" xfId="26183" xr:uid="{90EEC7CF-E85A-4E87-95D7-5C15E6FC1253}"/>
    <cellStyle name="Calculation 3 4 55" xfId="26509" xr:uid="{7F1A1DF7-8054-477F-A044-5909C5B7CE83}"/>
    <cellStyle name="Calculation 3 4 56" xfId="26953" xr:uid="{475C3AD3-C32F-4DFB-8525-A2B686E68236}"/>
    <cellStyle name="Calculation 3 4 57" xfId="27372" xr:uid="{91722CEF-F02D-4F50-B328-36009D6A4CC5}"/>
    <cellStyle name="Calculation 3 4 58" xfId="27197" xr:uid="{3EB596CA-140B-43E6-B5D6-19D0291BC0AC}"/>
    <cellStyle name="Calculation 3 4 59" xfId="28495" xr:uid="{2E746F4F-6771-4E43-B4BC-A530D8916E4D}"/>
    <cellStyle name="Calculation 3 4 6" xfId="3065" xr:uid="{8EE89F29-7834-4DD4-AFEA-843B9A7FCB15}"/>
    <cellStyle name="Calculation 3 4 60" xfId="28963" xr:uid="{54B31A55-AF74-403B-A134-F5ECEC685D9A}"/>
    <cellStyle name="Calculation 3 4 61" xfId="28815" xr:uid="{FD601860-A749-43CE-A602-DD34D64D9B86}"/>
    <cellStyle name="Calculation 3 4 62" xfId="29753" xr:uid="{37803508-C00A-4F9C-8466-30C3D748286E}"/>
    <cellStyle name="Calculation 3 4 63" xfId="30161" xr:uid="{19105F39-48EF-4084-B4E8-49D817578D93}"/>
    <cellStyle name="Calculation 3 4 64" xfId="30575" xr:uid="{CD1BC127-9376-4B43-B209-2AD323FFB06F}"/>
    <cellStyle name="Calculation 3 4 65" xfId="30617" xr:uid="{80A586AE-7CB4-4396-8E07-589FC8FCF99F}"/>
    <cellStyle name="Calculation 3 4 66" xfId="31199" xr:uid="{AE5E91AC-982B-43C0-9360-0D1B5771E8BF}"/>
    <cellStyle name="Calculation 3 4 7" xfId="3725" xr:uid="{2FA5FD9F-E5FA-430E-8E87-C20D6D627E80}"/>
    <cellStyle name="Calculation 3 4 8" xfId="3973" xr:uid="{F41D2F0D-FF7E-43AE-B80D-D5564D77ADD2}"/>
    <cellStyle name="Calculation 3 4 9" xfId="4411" xr:uid="{84579A38-FD57-4622-8B0D-52EC0B768167}"/>
    <cellStyle name="Calculation 3 40" xfId="25049" xr:uid="{9ED14161-4A72-4D46-9D46-3CE9C1BE4788}"/>
    <cellStyle name="Calculation 3 41" xfId="24499" xr:uid="{2F827313-C7BD-4056-9B4F-2AC4F3D8CF10}"/>
    <cellStyle name="Calculation 3 42" xfId="25960" xr:uid="{A77ECA16-97CA-4446-8016-C991C26C0EB7}"/>
    <cellStyle name="Calculation 3 43" xfId="26482" xr:uid="{7D7927F4-53BF-4321-A140-ECDA9FC27BED}"/>
    <cellStyle name="Calculation 3 44" xfId="26083" xr:uid="{47F6D336-635B-4492-86E4-8C9BD613254B}"/>
    <cellStyle name="Calculation 3 45" xfId="26783" xr:uid="{5274BD50-3970-4BDC-8C60-2048FC9998F6}"/>
    <cellStyle name="Calculation 3 46" xfId="28106" xr:uid="{BF392323-0016-4AE5-B476-3EFD6F13F32A}"/>
    <cellStyle name="Calculation 3 47" xfId="28033" xr:uid="{949BF6C1-968C-46DA-BD15-B53D7F411361}"/>
    <cellStyle name="Calculation 3 48" xfId="27947" xr:uid="{099219C2-C182-4410-AC02-AA85E1352969}"/>
    <cellStyle name="Calculation 3 49" xfId="29299" xr:uid="{81EC0F46-36BA-4919-BB19-352858DE96E7}"/>
    <cellStyle name="Calculation 3 5" xfId="688" xr:uid="{DE655A7D-BEF3-4FF4-82BF-553AA895B9C7}"/>
    <cellStyle name="Calculation 3 5 10" xfId="5336" xr:uid="{0BB7A573-D0E7-49F0-B3AF-FAA1163DC101}"/>
    <cellStyle name="Calculation 3 5 11" xfId="5878" xr:uid="{AF3B7C89-120B-4FF3-B0A2-327C65D4B01F}"/>
    <cellStyle name="Calculation 3 5 12" xfId="4971" xr:uid="{FB8C5C12-F537-4B7D-894E-B85E4895F361}"/>
    <cellStyle name="Calculation 3 5 13" xfId="6440" xr:uid="{E9156A38-A2B8-41DF-9C2D-4B4C78627519}"/>
    <cellStyle name="Calculation 3 5 14" xfId="7408" xr:uid="{05177C69-BB8C-4B1C-B53F-175F02BCC8C7}"/>
    <cellStyle name="Calculation 3 5 15" xfId="6859" xr:uid="{A72E1D57-6CF8-498B-AA4D-0567D3B8B409}"/>
    <cellStyle name="Calculation 3 5 16" xfId="8282" xr:uid="{453A519E-0AAE-4200-AEAE-51FEE1BF4F88}"/>
    <cellStyle name="Calculation 3 5 17" xfId="8585" xr:uid="{1142B93D-1A3C-4DF9-B866-EE1CF0B5062E}"/>
    <cellStyle name="Calculation 3 5 18" xfId="9622" xr:uid="{7B3B7B6B-6125-4A01-908B-03AB7DAFC45C}"/>
    <cellStyle name="Calculation 3 5 19" xfId="9074" xr:uid="{211AC924-E85A-4CED-959F-CFC0B5B27E27}"/>
    <cellStyle name="Calculation 3 5 2" xfId="1170" xr:uid="{683970E6-F1D4-4096-8523-D5C2F1F3DC90}"/>
    <cellStyle name="Calculation 3 5 20" xfId="9975" xr:uid="{42FA186B-8CC5-4C67-9096-EC2D91990153}"/>
    <cellStyle name="Calculation 3 5 21" xfId="10305" xr:uid="{203D87C1-F2BA-4223-AE1E-0B7A1F0B0BD4}"/>
    <cellStyle name="Calculation 3 5 22" xfId="11130" xr:uid="{A40EF799-4908-44DC-85A4-FACA86444E7B}"/>
    <cellStyle name="Calculation 3 5 23" xfId="12041" xr:uid="{CD2802DC-A59F-4121-A30A-E8F21DF4E8F3}"/>
    <cellStyle name="Calculation 3 5 24" xfId="12514" xr:uid="{4DE8E02B-AC3F-4A59-835E-14ED45BBD4E4}"/>
    <cellStyle name="Calculation 3 5 25" xfId="12948" xr:uid="{2A586F80-851A-4E2A-A87A-FBC1986B982D}"/>
    <cellStyle name="Calculation 3 5 26" xfId="13385" xr:uid="{799D9424-58C5-41B1-858C-9152089D69AD}"/>
    <cellStyle name="Calculation 3 5 27" xfId="13591" xr:uid="{9E2794A9-39E1-49AF-A1FD-FCC08A7CE84F}"/>
    <cellStyle name="Calculation 3 5 28" xfId="11682" xr:uid="{69CED9DA-A9BD-41EE-8FCE-BA6CD5DAB183}"/>
    <cellStyle name="Calculation 3 5 29" xfId="14290" xr:uid="{666AA5B2-B318-47D0-AD73-F5C0D881DF47}"/>
    <cellStyle name="Calculation 3 5 3" xfId="1573" xr:uid="{DF9F3820-F3B2-4CAF-992E-AB7E9084FD49}"/>
    <cellStyle name="Calculation 3 5 30" xfId="14179" xr:uid="{EBC1A405-0951-4620-9BCD-2CACC4E4D792}"/>
    <cellStyle name="Calculation 3 5 31" xfId="15355" xr:uid="{3AC7CC91-7C07-4DAF-A5C5-35EBB8787A4B}"/>
    <cellStyle name="Calculation 3 5 32" xfId="14118" xr:uid="{EEA7AEAD-624F-4419-954E-A7DE33C93DBF}"/>
    <cellStyle name="Calculation 3 5 33" xfId="16733" xr:uid="{2DA00517-0370-41EB-A802-565EE20B2BCE}"/>
    <cellStyle name="Calculation 3 5 34" xfId="16175" xr:uid="{2F7BBBBC-426A-4C54-8B03-7D61D2F0812E}"/>
    <cellStyle name="Calculation 3 5 35" xfId="16084" xr:uid="{FC4BB6AF-CB60-4324-901F-D2C346A1DAD8}"/>
    <cellStyle name="Calculation 3 5 36" xfId="18226" xr:uid="{2C2C8B3F-A526-44C1-9E49-900A5D2C56C0}"/>
    <cellStyle name="Calculation 3 5 37" xfId="18551" xr:uid="{0680714A-E623-41A5-BB6F-91F94BF615D4}"/>
    <cellStyle name="Calculation 3 5 38" xfId="17871" xr:uid="{6806F520-447D-4F95-93EA-42678F65D97F}"/>
    <cellStyle name="Calculation 3 5 39" xfId="19155" xr:uid="{28EA51E7-D694-45B2-8BD2-1FFA91B2EFED}"/>
    <cellStyle name="Calculation 3 5 4" xfId="2510" xr:uid="{366914DB-E6B2-425E-95B7-2E0252F18195}"/>
    <cellStyle name="Calculation 3 5 40" xfId="20070" xr:uid="{CD89DAC2-BE45-4A58-A0A1-C5186B0C5DD5}"/>
    <cellStyle name="Calculation 3 5 41" xfId="19505" xr:uid="{052E3BAC-C80F-4224-9C9C-15872152A092}"/>
    <cellStyle name="Calculation 3 5 42" xfId="19600" xr:uid="{4BB5C749-2384-41C4-AEA6-88FC1AA1CC30}"/>
    <cellStyle name="Calculation 3 5 43" xfId="21317" xr:uid="{516653AF-4126-46BE-B38E-6CF9DBB142BE}"/>
    <cellStyle name="Calculation 3 5 44" xfId="21235" xr:uid="{7DDD8B9A-FE7F-447C-9FCB-EE2D03E7FEAB}"/>
    <cellStyle name="Calculation 3 5 45" xfId="22014" xr:uid="{084DEEB3-E845-430E-9E5E-5F5E86FC147E}"/>
    <cellStyle name="Calculation 3 5 46" xfId="22600" xr:uid="{7D93EC8C-4B6A-422D-888E-1CDD79B4C37F}"/>
    <cellStyle name="Calculation 3 5 47" xfId="22716" xr:uid="{007B0E8D-763D-45E6-AFA3-EE9FFBF010CF}"/>
    <cellStyle name="Calculation 3 5 48" xfId="22711" xr:uid="{215BE848-DC54-42DF-8BE8-C958B38F0DF1}"/>
    <cellStyle name="Calculation 3 5 49" xfId="23878" xr:uid="{2A27FA8C-2134-4D87-9D65-46DA4EF1492B}"/>
    <cellStyle name="Calculation 3 5 5" xfId="2757" xr:uid="{A7746765-32DD-4A14-BD12-A0E075A0CAC7}"/>
    <cellStyle name="Calculation 3 5 50" xfId="24778" xr:uid="{92EDA954-F51C-4637-B39E-1AA86D0DB5AC}"/>
    <cellStyle name="Calculation 3 5 51" xfId="24783" xr:uid="{81EFB394-C0C2-4A9F-B407-6ECA8BF9797C}"/>
    <cellStyle name="Calculation 3 5 52" xfId="25696" xr:uid="{B81F55A9-3429-49AD-904E-8B4B1CB883F0}"/>
    <cellStyle name="Calculation 3 5 53" xfId="25243" xr:uid="{DAA33B72-22C5-4D00-94EF-541F6CDEF135}"/>
    <cellStyle name="Calculation 3 5 54" xfId="26677" xr:uid="{B5C462BA-3F2B-4F10-929C-F8A0127BBB94}"/>
    <cellStyle name="Calculation 3 5 55" xfId="26986" xr:uid="{2EEE8D29-0826-46F3-8524-E1E3F1371F82}"/>
    <cellStyle name="Calculation 3 5 56" xfId="27405" xr:uid="{153B0B7C-DE2E-492D-B22A-736A3D5708B0}"/>
    <cellStyle name="Calculation 3 5 57" xfId="25913" xr:uid="{39E0DDF0-2EE2-44CD-AE93-65C8D5137721}"/>
    <cellStyle name="Calculation 3 5 58" xfId="28528" xr:uid="{E2827032-3633-4EA6-98AD-A249748E5765}"/>
    <cellStyle name="Calculation 3 5 59" xfId="28996" xr:uid="{82366EA0-DACE-466C-B928-C2509C51A6BE}"/>
    <cellStyle name="Calculation 3 5 6" xfId="3400" xr:uid="{F8631032-F968-4E34-80F0-22761347DEF4}"/>
    <cellStyle name="Calculation 3 5 60" xfId="29198" xr:uid="{FCEC2914-0FDE-49C7-ADC8-D263E4E918DF}"/>
    <cellStyle name="Calculation 3 5 61" xfId="29786" xr:uid="{D0F285F1-5634-4B6B-94C8-B23E85121A37}"/>
    <cellStyle name="Calculation 3 5 62" xfId="30193" xr:uid="{5D83851F-AAA7-4930-8A82-7EDB822C5786}"/>
    <cellStyle name="Calculation 3 5 63" xfId="30608" xr:uid="{474F2CCF-6B47-4AF5-8F65-9FCA318630F8}"/>
    <cellStyle name="Calculation 3 5 64" xfId="30845" xr:uid="{D0944BE2-6A47-467A-9E29-049EB9786010}"/>
    <cellStyle name="Calculation 3 5 65" xfId="31231" xr:uid="{F2BE8BA0-A144-4772-B457-C5A69AC56940}"/>
    <cellStyle name="Calculation 3 5 7" xfId="4006" xr:uid="{CBE9313D-5E5B-4F0E-AD93-3CDE0F55FD4D}"/>
    <cellStyle name="Calculation 3 5 8" xfId="4444" xr:uid="{0583EC25-9279-4719-BFA0-18479E55CE26}"/>
    <cellStyle name="Calculation 3 5 9" xfId="4779" xr:uid="{5ECA450B-E29F-4E1A-9C6C-D3FD0A3D9065}"/>
    <cellStyle name="Calculation 3 50" xfId="30613" xr:uid="{53C475C4-6E78-4880-8A55-8E8A98F8C2DC}"/>
    <cellStyle name="Calculation 3 51" xfId="29591" xr:uid="{97294CEF-64DF-4969-98E1-4A4AE8C50A94}"/>
    <cellStyle name="Calculation 3 6" xfId="931" xr:uid="{28CBB560-554C-4D6C-BD24-87E65811A2AE}"/>
    <cellStyle name="Calculation 3 7" xfId="2049" xr:uid="{BB3B4C43-CF2D-4A9E-A685-D2FA37DBC455}"/>
    <cellStyle name="Calculation 3 8" xfId="2271" xr:uid="{4C39B45E-514A-443A-B295-3C0C440BC052}"/>
    <cellStyle name="Calculation 3 9" xfId="2058" xr:uid="{57570DE6-1E7C-43E1-9F5F-39593E3EDCFD}"/>
    <cellStyle name="Check Cell 2" xfId="129" xr:uid="{79483D8E-513F-4DB1-BF29-853343C2494F}"/>
    <cellStyle name="Check Cell 3" xfId="225" xr:uid="{E477068E-4560-4A0E-B991-E07214E949B4}"/>
    <cellStyle name="Check Cell 4" xfId="369" xr:uid="{9DF9B213-8952-4C18-9AB4-8BCCD06306D6}"/>
    <cellStyle name="Comma 2" xfId="130" xr:uid="{1545E949-3CFB-4382-AEEE-D1031EB03D5C}"/>
    <cellStyle name="Comma 2 10" xfId="19514" xr:uid="{EE5C5695-FB2F-4BEC-8F8C-7721424A0CC5}"/>
    <cellStyle name="Comma 2 11" xfId="24235" xr:uid="{1EEAD306-28EF-4440-93C9-7E0A86048F15}"/>
    <cellStyle name="Comma 2 12" xfId="28025" xr:uid="{3AA5610C-A6BD-4A09-BCC5-0B3B74F270E7}"/>
    <cellStyle name="Comma 2 2" xfId="131" xr:uid="{8D4742FE-5F36-42EE-9E62-3F23ABA43F36}"/>
    <cellStyle name="Comma 2 2 2" xfId="414" xr:uid="{32FFFB01-8755-4F19-9385-E2B560C7DBE5}"/>
    <cellStyle name="Comma 2 2 2 2" xfId="2236" xr:uid="{7A608FD2-1D6D-4234-A8F3-750AAC2B7DA3}"/>
    <cellStyle name="Comma 2 2 3" xfId="1958" xr:uid="{E80AB557-358F-4503-8C94-4C1A0ECB59B4}"/>
    <cellStyle name="Comma 2 3" xfId="923" xr:uid="{D60CE049-CFB1-4C7A-9DAC-457E1E114BC3}"/>
    <cellStyle name="Comma 2 4" xfId="1463" xr:uid="{949A2C60-3883-4AC2-9115-C45CDF789425}"/>
    <cellStyle name="Comma 2 5" xfId="1957" xr:uid="{C643EE7F-257D-4C7A-B5AA-7627116CD1BF}"/>
    <cellStyle name="Comma 2 6" xfId="6866" xr:uid="{7EB9EBD4-206C-4F66-BBAD-B8A5AD2C02D8}"/>
    <cellStyle name="Comma 2 7" xfId="9080" xr:uid="{D535097C-0D4D-4A9D-AD6A-7E45BFCC76F5}"/>
    <cellStyle name="Comma 2 8" xfId="11490" xr:uid="{D2C10E7F-D1DF-47E1-9C36-2ECC14D47B6B}"/>
    <cellStyle name="Comma 2 9" xfId="16182" xr:uid="{80317777-828B-4B2E-8D41-3BCFBB2FF38E}"/>
    <cellStyle name="Comma 3" xfId="132" xr:uid="{DDB661F3-7A5A-4975-8D54-BCFB2A9D6FB6}"/>
    <cellStyle name="Comma 3 10" xfId="24237" xr:uid="{96A0CDF0-7A78-484D-AB12-0A32D31CCBE3}"/>
    <cellStyle name="Comma 3 11" xfId="28027" xr:uid="{A545A1EE-CB44-461F-B999-FE0A41CE8108}"/>
    <cellStyle name="Comma 3 2" xfId="924" xr:uid="{D55083D6-E8BD-4C8D-B56D-F0E0969DBD81}"/>
    <cellStyle name="Comma 3 3" xfId="1464" xr:uid="{7F62A00C-0E51-467E-9861-585A9D696817}"/>
    <cellStyle name="Comma 3 4" xfId="1959" xr:uid="{82D4A9F3-684B-4CDF-A5D6-A0FDCE39C473}"/>
    <cellStyle name="Comma 3 5" xfId="6868" xr:uid="{255257EE-610A-4E2F-8FC2-45D6DCFDE30F}"/>
    <cellStyle name="Comma 3 6" xfId="9082" xr:uid="{AE662ED8-6EBF-4A7C-9A42-B653D3F91C72}"/>
    <cellStyle name="Comma 3 7" xfId="11492" xr:uid="{005220AD-4D2E-4E74-B65C-A6E1D9CF7646}"/>
    <cellStyle name="Comma 3 8" xfId="16184" xr:uid="{F5911185-3B88-4A90-A628-D32A03C43438}"/>
    <cellStyle name="Comma 3 9" xfId="19516" xr:uid="{B4785B31-D746-4E9D-8D94-6250FFEC6D4B}"/>
    <cellStyle name="Constants" xfId="4" xr:uid="{3CCE1965-6943-4F5D-9A24-F83BD0A893DB}"/>
    <cellStyle name="ContentsHyperlink" xfId="241" xr:uid="{4A22FF18-773C-47B9-A385-4EE9ACA9C243}"/>
    <cellStyle name="CustomCellsOrange" xfId="133" xr:uid="{1A991E50-DEC8-4118-8ADF-64EBCEC1BEAB}"/>
    <cellStyle name="CustomCellsOrange 2" xfId="415" xr:uid="{9AFDADCB-00DC-43D8-9232-ACF43DD5F108}"/>
    <cellStyle name="CustomCellsOrange 2 2" xfId="438" xr:uid="{0D54616B-9E66-41CC-9B39-BCEDA10FCF89}"/>
    <cellStyle name="CustomCellsOrange 2 2 10" xfId="3147" xr:uid="{6E31941D-A9DB-4700-9155-EABA6ED2A714}"/>
    <cellStyle name="CustomCellsOrange 2 2 11" xfId="3454" xr:uid="{5C2027A4-224F-4CC1-8567-A253539ECA5E}"/>
    <cellStyle name="CustomCellsOrange 2 2 12" xfId="1960" xr:uid="{8A1081A4-B62F-4F86-BD7C-3209BED86400}"/>
    <cellStyle name="CustomCellsOrange 2 2 13" xfId="4967" xr:uid="{465FA78D-25F0-4D2A-907D-5C97D20F6ED7}"/>
    <cellStyle name="CustomCellsOrange 2 2 14" xfId="5092" xr:uid="{1F540D35-74F3-4D0C-A9A5-31FC0C31A138}"/>
    <cellStyle name="CustomCellsOrange 2 2 15" xfId="4725" xr:uid="{110E4DED-6905-49EF-9DEF-9082FC44CAB4}"/>
    <cellStyle name="CustomCellsOrange 2 2 16" xfId="6255" xr:uid="{E8EFF6B9-F9F0-492E-9FD2-A1485F1E86E3}"/>
    <cellStyle name="CustomCellsOrange 2 2 17" xfId="6355" xr:uid="{687A1017-AC36-4138-9CB5-A0A75EEFA1FC}"/>
    <cellStyle name="CustomCellsOrange 2 2 18" xfId="7163" xr:uid="{9F6F2E24-6AB0-4526-90FC-5FA48CD2C2C1}"/>
    <cellStyle name="CustomCellsOrange 2 2 19" xfId="7892" xr:uid="{36FCC9A2-C66F-482E-B003-754C9F9B8859}"/>
    <cellStyle name="CustomCellsOrange 2 2 2" xfId="508" xr:uid="{8A5B0D91-8EC9-457C-94D8-8CF38409F24C}"/>
    <cellStyle name="CustomCellsOrange 2 2 2 2" xfId="674" xr:uid="{E3A04BFD-BA19-44DA-96EF-AC85439AFDB4}"/>
    <cellStyle name="CustomCellsOrange 2 2 2 2 10" xfId="3691" xr:uid="{FFD4A1C4-B5E6-4591-A868-95BF9B296256}"/>
    <cellStyle name="CustomCellsOrange 2 2 2 2 11" xfId="5322" xr:uid="{FB5B584C-5D0F-4088-917E-499C4813F280}"/>
    <cellStyle name="CustomCellsOrange 2 2 2 2 12" xfId="1962" xr:uid="{B18B450A-5CB7-4D43-925F-A815195596CC}"/>
    <cellStyle name="CustomCellsOrange 2 2 2 2 13" xfId="5859" xr:uid="{868B93F1-6D17-4408-B4C6-B37449B94678}"/>
    <cellStyle name="CustomCellsOrange 2 2 2 2 14" xfId="6594" xr:uid="{4899BAA7-ED2F-4772-A653-E854D4512CC4}"/>
    <cellStyle name="CustomCellsOrange 2 2 2 2 15" xfId="7394" xr:uid="{4CFDD71D-2F88-40B2-82D1-AFC0F4446B7B}"/>
    <cellStyle name="CustomCellsOrange 2 2 2 2 16" xfId="6856" xr:uid="{27A84936-110E-4E31-BDCB-2963A320E15B}"/>
    <cellStyle name="CustomCellsOrange 2 2 2 2 17" xfId="8209" xr:uid="{3C306671-A21C-4953-9D9D-D058AD140FEA}"/>
    <cellStyle name="CustomCellsOrange 2 2 2 2 18" xfId="8872" xr:uid="{8703945D-A7BD-4DD1-8F07-80ECCACC0E44}"/>
    <cellStyle name="CustomCellsOrange 2 2 2 2 19" xfId="9608" xr:uid="{D4BD7817-C058-4CFE-ACA5-907912D68155}"/>
    <cellStyle name="CustomCellsOrange 2 2 2 2 2" xfId="888" xr:uid="{45CA78C0-BC68-4867-B648-8689B09D4825}"/>
    <cellStyle name="CustomCellsOrange 2 2 2 2 2 10" xfId="5536" xr:uid="{A3E20407-C115-4360-A663-E38DAFAFBED4}"/>
    <cellStyle name="CustomCellsOrange 2 2 2 2 2 11" xfId="6030" xr:uid="{873FDF78-A059-42E2-876D-6E7D39952E4F}"/>
    <cellStyle name="CustomCellsOrange 2 2 2 2 2 12" xfId="6389" xr:uid="{C200CEA4-D2AC-4303-8A20-8A50DB3EFBF9}"/>
    <cellStyle name="CustomCellsOrange 2 2 2 2 2 13" xfId="6727" xr:uid="{87F1CC87-079A-4F8E-A90C-9B551D014A29}"/>
    <cellStyle name="CustomCellsOrange 2 2 2 2 2 14" xfId="7608" xr:uid="{EB94569C-BCDF-4AB4-8636-316DE819D31E}"/>
    <cellStyle name="CustomCellsOrange 2 2 2 2 2 15" xfId="8072" xr:uid="{CA9A553C-FFA9-4BC6-ABAE-6E92CC8AFC5F}"/>
    <cellStyle name="CustomCellsOrange 2 2 2 2 2 16" xfId="8681" xr:uid="{EBDD0EA7-6A36-4B32-8F82-8ABC4A904C6C}"/>
    <cellStyle name="CustomCellsOrange 2 2 2 2 2 17" xfId="8940" xr:uid="{5A0162B7-2A58-4224-902C-27127AA15753}"/>
    <cellStyle name="CustomCellsOrange 2 2 2 2 2 18" xfId="9822" xr:uid="{83FDBF7F-8A12-4B77-9574-E492E3601B1E}"/>
    <cellStyle name="CustomCellsOrange 2 2 2 2 2 19" xfId="10291" xr:uid="{A70E40D3-6F70-4AFA-AF00-B19D4DE9DA6B}"/>
    <cellStyle name="CustomCellsOrange 2 2 2 2 2 2" xfId="1362" xr:uid="{12A85A89-469A-4382-82E1-5D0F5E52683B}"/>
    <cellStyle name="CustomCellsOrange 2 2 2 2 2 20" xfId="10685" xr:uid="{960E7DEB-9E41-4485-B2FA-2940A58A2E7C}"/>
    <cellStyle name="CustomCellsOrange 2 2 2 2 2 21" xfId="11034" xr:uid="{C98EC479-4272-49EC-B534-86C892BBEEAA}"/>
    <cellStyle name="CustomCellsOrange 2 2 2 2 2 22" xfId="11344" xr:uid="{6FA34958-3F7B-4EB8-A7C3-2373FD408689}"/>
    <cellStyle name="CustomCellsOrange 2 2 2 2 2 23" xfId="12241" xr:uid="{AB453DBE-62F1-45D9-A1E6-091F7F8277AF}"/>
    <cellStyle name="CustomCellsOrange 2 2 2 2 2 24" xfId="12714" xr:uid="{7A38E12A-C7F6-45C9-8711-617212C65B17}"/>
    <cellStyle name="CustomCellsOrange 2 2 2 2 2 25" xfId="13148" xr:uid="{9F808DC0-519E-4995-A460-5211065F9956}"/>
    <cellStyle name="CustomCellsOrange 2 2 2 2 2 26" xfId="13585" xr:uid="{352BC34B-AFA4-4E65-A326-10A51AFE0850}"/>
    <cellStyle name="CustomCellsOrange 2 2 2 2 2 27" xfId="14057" xr:uid="{82333786-C4AD-43B4-89DE-98D9C1B26A03}"/>
    <cellStyle name="CustomCellsOrange 2 2 2 2 2 28" xfId="14504" xr:uid="{8B9A6957-ADC5-4A0E-9E93-90F2E4D8149B}"/>
    <cellStyle name="CustomCellsOrange 2 2 2 2 2 29" xfId="14938" xr:uid="{50927ACA-E85F-46D3-AFF7-00F0D95B38CF}"/>
    <cellStyle name="CustomCellsOrange 2 2 2 2 2 3" xfId="1811" xr:uid="{9A858654-C28C-4289-8BB6-82006280EE02}"/>
    <cellStyle name="CustomCellsOrange 2 2 2 2 2 30" xfId="15408" xr:uid="{EAC44225-8F73-4565-98F8-F42F60337F95}"/>
    <cellStyle name="CustomCellsOrange 2 2 2 2 2 31" xfId="15798" xr:uid="{F5C99A90-41A3-4A66-A45A-543589E14F8E}"/>
    <cellStyle name="CustomCellsOrange 2 2 2 2 2 32" xfId="16020" xr:uid="{9601BE27-16FA-4D6E-8DD6-9D62C72A50DF}"/>
    <cellStyle name="CustomCellsOrange 2 2 2 2 2 33" xfId="16933" xr:uid="{AA639C4B-35BA-4708-986F-6C182CAC320F}"/>
    <cellStyle name="CustomCellsOrange 2 2 2 2 2 34" xfId="17414" xr:uid="{D3457F64-7385-46CB-A363-6E755B45018A}"/>
    <cellStyle name="CustomCellsOrange 2 2 2 2 2 35" xfId="17855" xr:uid="{62BE8EA4-38AE-45E8-B659-55BC9C6A3E7F}"/>
    <cellStyle name="CustomCellsOrange 2 2 2 2 2 36" xfId="18330" xr:uid="{1F032905-EFA2-4F95-A64B-B9F3BEDAD588}"/>
    <cellStyle name="CustomCellsOrange 2 2 2 2 2 37" xfId="18751" xr:uid="{E8DA72FB-8571-4398-81B0-C4E78071E5C0}"/>
    <cellStyle name="CustomCellsOrange 2 2 2 2 2 38" xfId="19138" xr:uid="{CAADD1A3-44D6-43EA-B742-6011505E5AC2}"/>
    <cellStyle name="CustomCellsOrange 2 2 2 2 2 39" xfId="19368" xr:uid="{D917B6C8-7993-4ECD-8C71-3BCFDDE3D776}"/>
    <cellStyle name="CustomCellsOrange 2 2 2 2 2 4" xfId="2710" xr:uid="{CCEDA225-F4D0-4D35-802F-A55BD2FFFF13}"/>
    <cellStyle name="CustomCellsOrange 2 2 2 2 2 40" xfId="20270" xr:uid="{F6F9E642-A53D-4CBD-9D37-7CE9052B0313}"/>
    <cellStyle name="CustomCellsOrange 2 2 2 2 2 41" xfId="20763" xr:uid="{4B24E889-12ED-4BD8-87EB-A5C2289065C1}"/>
    <cellStyle name="CustomCellsOrange 2 2 2 2 2 42" xfId="21222" xr:uid="{CF5AC41E-4CE7-452D-8BB9-43BC78B452F5}"/>
    <cellStyle name="CustomCellsOrange 2 2 2 2 2 43" xfId="21714" xr:uid="{4D8D123C-11B6-460E-BBEF-10F52ED95D46}"/>
    <cellStyle name="CustomCellsOrange 2 2 2 2 2 44" xfId="22153" xr:uid="{5574DF2A-1197-4CBC-A1DC-38D4CB2B6034}"/>
    <cellStyle name="CustomCellsOrange 2 2 2 2 2 45" xfId="22580" xr:uid="{10A12547-4E01-4623-A86B-C4CAA21C9E15}"/>
    <cellStyle name="CustomCellsOrange 2 2 2 2 2 46" xfId="23025" xr:uid="{FE583638-5AE6-4CF1-98BA-7470BCEC6F3B}"/>
    <cellStyle name="CustomCellsOrange 2 2 2 2 2 47" xfId="23427" xr:uid="{01948586-6F76-47FD-BB7D-E54C89792874}"/>
    <cellStyle name="CustomCellsOrange 2 2 2 2 2 48" xfId="23690" xr:uid="{495F80CA-9FE7-47D6-B187-F3995A7925CB}"/>
    <cellStyle name="CustomCellsOrange 2 2 2 2 2 49" xfId="24070" xr:uid="{39AE2BC3-6EB3-4979-B7F6-9B99EE477BC1}"/>
    <cellStyle name="CustomCellsOrange 2 2 2 2 2 5" xfId="3230" xr:uid="{597687D4-A22E-4EC1-8D19-4912D4333B8D}"/>
    <cellStyle name="CustomCellsOrange 2 2 2 2 2 50" xfId="24978" xr:uid="{0F76CD6F-B32E-4F7D-9FA8-DDDE223DD326}"/>
    <cellStyle name="CustomCellsOrange 2 2 2 2 2 51" xfId="25466" xr:uid="{38A45135-4724-4FCC-ABA8-6767BA4220E5}"/>
    <cellStyle name="CustomCellsOrange 2 2 2 2 2 52" xfId="25894" xr:uid="{AA68FAAA-0E4D-4270-A5BB-61A8011363B9}"/>
    <cellStyle name="CustomCellsOrange 2 2 2 2 2 53" xfId="26332" xr:uid="{0E028DBB-2C45-4B81-BFAC-76350ACA2BAD}"/>
    <cellStyle name="CustomCellsOrange 2 2 2 2 2 54" xfId="26761" xr:uid="{43F51F19-2625-4E12-A04E-6273985FAD59}"/>
    <cellStyle name="CustomCellsOrange 2 2 2 2 2 55" xfId="27182" xr:uid="{433F508B-CBF4-4DE3-A893-F361BDD85A4C}"/>
    <cellStyle name="CustomCellsOrange 2 2 2 2 2 56" xfId="27601" xr:uid="{A9212E8F-1098-4272-829B-ABDC120314CD}"/>
    <cellStyle name="CustomCellsOrange 2 2 2 2 2 57" xfId="27839" xr:uid="{3EA052A7-A01F-4B5F-B934-39E18224B2BA}"/>
    <cellStyle name="CustomCellsOrange 2 2 2 2 2 58" xfId="28728" xr:uid="{73DB5139-C120-43A4-8B15-37BD588D32D5}"/>
    <cellStyle name="CustomCellsOrange 2 2 2 2 2 59" xfId="29195" xr:uid="{87DD31CC-F0C9-46DB-A384-1849E3AF0F8E}"/>
    <cellStyle name="CustomCellsOrange 2 2 2 2 2 6" xfId="3785" xr:uid="{224AA8CA-9FA9-4EB0-9BBB-52B749218BBF}"/>
    <cellStyle name="CustomCellsOrange 2 2 2 2 2 60" xfId="29577" xr:uid="{80975D5A-666B-4539-9AEB-72B6844405FE}"/>
    <cellStyle name="CustomCellsOrange 2 2 2 2 2 61" xfId="29984" xr:uid="{4EB43442-664F-49E9-8ADA-2AAC4C516BC8}"/>
    <cellStyle name="CustomCellsOrange 2 2 2 2 2 62" xfId="30390" xr:uid="{6F243B6E-D5C9-42AC-A6CE-04044A615CA3}"/>
    <cellStyle name="CustomCellsOrange 2 2 2 2 2 63" xfId="30807" xr:uid="{651F29A4-C8A7-4D2D-9719-BFD6C659BFE7}"/>
    <cellStyle name="CustomCellsOrange 2 2 2 2 2 64" xfId="31052" xr:uid="{94DF3A86-2BD6-470E-88A9-E1424136C7F9}"/>
    <cellStyle name="CustomCellsOrange 2 2 2 2 2 65" xfId="31423" xr:uid="{44DCF287-1A2F-4A05-956C-3DDBDCBA581B}"/>
    <cellStyle name="CustomCellsOrange 2 2 2 2 2 7" xfId="4206" xr:uid="{01CEF19E-DF8A-404B-8E56-656D40FEBC20}"/>
    <cellStyle name="CustomCellsOrange 2 2 2 2 2 8" xfId="4643" xr:uid="{258EA91E-F058-4E15-905E-AA3ADDDC20A8}"/>
    <cellStyle name="CustomCellsOrange 2 2 2 2 2 9" xfId="5089" xr:uid="{A4DF2F07-BEF3-4358-852E-EF6257960815}"/>
    <cellStyle name="CustomCellsOrange 2 2 2 2 20" xfId="9071" xr:uid="{13FE9BF7-9A53-42AD-827D-85D1FFE9C23A}"/>
    <cellStyle name="CustomCellsOrange 2 2 2 2 21" xfId="9397" xr:uid="{7D33CBF8-00CB-4B62-81DA-2ACDFE9D5B0F}"/>
    <cellStyle name="CustomCellsOrange 2 2 2 2 22" xfId="10439" xr:uid="{4C35591B-CE72-4052-AB7C-01A29AD766A5}"/>
    <cellStyle name="CustomCellsOrange 2 2 2 2 23" xfId="11244" xr:uid="{E1EBF53B-64D7-4769-8710-1B2899741778}"/>
    <cellStyle name="CustomCellsOrange 2 2 2 2 24" xfId="12027" xr:uid="{2843087E-B31A-42C1-902D-67F7AF09840A}"/>
    <cellStyle name="CustomCellsOrange 2 2 2 2 25" xfId="12500" xr:uid="{EF4565AF-C825-4C9D-8EA0-332D3BF499B5}"/>
    <cellStyle name="CustomCellsOrange 2 2 2 2 26" xfId="12934" xr:uid="{91908511-5A79-4904-A44F-DDC484C9D5F8}"/>
    <cellStyle name="CustomCellsOrange 2 2 2 2 27" xfId="13371" xr:uid="{513FAF63-95B3-4C51-A338-42E4E763A597}"/>
    <cellStyle name="CustomCellsOrange 2 2 2 2 28" xfId="11740" xr:uid="{8479D318-F2C7-45BA-91DD-A6B8FA3A52C1}"/>
    <cellStyle name="CustomCellsOrange 2 2 2 2 29" xfId="14300" xr:uid="{07DC8FF9-2D13-481A-AC72-FABCA90BFC89}"/>
    <cellStyle name="CustomCellsOrange 2 2 2 2 3" xfId="1156" xr:uid="{C44A1B28-4C4A-4653-AE9B-47CBE1A7FBD3}"/>
    <cellStyle name="CustomCellsOrange 2 2 2 2 30" xfId="13854" xr:uid="{FB4AA3B3-1100-43CB-ADA2-DB836F8566A2}"/>
    <cellStyle name="CustomCellsOrange 2 2 2 2 31" xfId="15244" xr:uid="{7CFF3C0F-BB7F-489E-8005-310ED732047C}"/>
    <cellStyle name="CustomCellsOrange 2 2 2 2 32" xfId="14221" xr:uid="{0FD6F18F-00DD-45B2-A158-71123ACE7370}"/>
    <cellStyle name="CustomCellsOrange 2 2 2 2 33" xfId="14444" xr:uid="{32994CE2-1363-469F-BAAA-4DD1C7EFED6B}"/>
    <cellStyle name="CustomCellsOrange 2 2 2 2 34" xfId="16719" xr:uid="{B6B38CEA-BD44-4BAC-A359-BFF4E59E70C9}"/>
    <cellStyle name="CustomCellsOrange 2 2 2 2 35" xfId="16172" xr:uid="{9CC21BCD-2D07-49C0-8B24-0C76A16F0E03}"/>
    <cellStyle name="CustomCellsOrange 2 2 2 2 36" xfId="17301" xr:uid="{19DD99DD-7376-4866-B867-72F5733C6914}"/>
    <cellStyle name="CustomCellsOrange 2 2 2 2 37" xfId="17573" xr:uid="{F8FBD2F0-7AC5-40CF-8604-BE0B21B338B0}"/>
    <cellStyle name="CustomCellsOrange 2 2 2 2 38" xfId="18537" xr:uid="{A9896193-0342-477A-8715-2C4B4391C21E}"/>
    <cellStyle name="CustomCellsOrange 2 2 2 2 39" xfId="19013" xr:uid="{ACC6AF2F-EF37-4CA9-8B32-526144560678}"/>
    <cellStyle name="CustomCellsOrange 2 2 2 2 4" xfId="1451" xr:uid="{EFB6391A-B16E-4FAB-96B5-E4AA9FE92EFA}"/>
    <cellStyle name="CustomCellsOrange 2 2 2 2 40" xfId="19150" xr:uid="{8AB47A8A-B0DC-4E37-8FD4-6F912A6CF9D1}"/>
    <cellStyle name="CustomCellsOrange 2 2 2 2 41" xfId="20056" xr:uid="{CD129021-8E33-4320-B726-DA2DE3A6B6B2}"/>
    <cellStyle name="CustomCellsOrange 2 2 2 2 42" xfId="19795" xr:uid="{797FE8E3-8D70-4D79-959F-EE66AABCE51B}"/>
    <cellStyle name="CustomCellsOrange 2 2 2 2 43" xfId="20435" xr:uid="{3798E28D-03AF-4B64-9140-E94D216D608A}"/>
    <cellStyle name="CustomCellsOrange 2 2 2 2 44" xfId="21047" xr:uid="{1C953BBF-43B6-4F6E-8276-227A90A10796}"/>
    <cellStyle name="CustomCellsOrange 2 2 2 2 45" xfId="21293" xr:uid="{A8671042-99D4-4310-AA41-ECBD4EBF7D39}"/>
    <cellStyle name="CustomCellsOrange 2 2 2 2 46" xfId="21956" xr:uid="{95233058-43FD-4241-9F05-4784FFD35CE8}"/>
    <cellStyle name="CustomCellsOrange 2 2 2 2 47" xfId="22595" xr:uid="{D852B25C-5065-4A11-844C-4F25364CC16B}"/>
    <cellStyle name="CustomCellsOrange 2 2 2 2 48" xfId="23293" xr:uid="{0EB3539B-8EF1-4496-B5EA-FC5FEF3B0D68}"/>
    <cellStyle name="CustomCellsOrange 2 2 2 2 49" xfId="22588" xr:uid="{88840D08-976D-4850-84F3-30007BD2FE8A}"/>
    <cellStyle name="CustomCellsOrange 2 2 2 2 5" xfId="2496" xr:uid="{86B926C0-9057-4F56-9BED-0210FE36ABC5}"/>
    <cellStyle name="CustomCellsOrange 2 2 2 2 50" xfId="23864" xr:uid="{4CC0E616-5A08-47B0-A5BE-E71DF981797D}"/>
    <cellStyle name="CustomCellsOrange 2 2 2 2 51" xfId="24764" xr:uid="{C19FB72E-10EB-402A-8884-355EEC477F16}"/>
    <cellStyle name="CustomCellsOrange 2 2 2 2 52" xfId="24504" xr:uid="{B81FF40F-F528-4DF7-97F9-AA71B209E154}"/>
    <cellStyle name="CustomCellsOrange 2 2 2 2 53" xfId="25682" xr:uid="{FE8002E3-6E23-4AC6-AF1F-28A627DFBEC3}"/>
    <cellStyle name="CustomCellsOrange 2 2 2 2 54" xfId="25901" xr:uid="{5AEBC64C-3AC9-4129-8E55-778870CDC059}"/>
    <cellStyle name="CustomCellsOrange 2 2 2 2 55" xfId="26594" xr:uid="{ACE4515C-1C58-450B-987D-5F3B0BD1EEC5}"/>
    <cellStyle name="CustomCellsOrange 2 2 2 2 56" xfId="26972" xr:uid="{042CF014-C4C7-46E4-932C-5F4F7E833093}"/>
    <cellStyle name="CustomCellsOrange 2 2 2 2 57" xfId="27391" xr:uid="{1974CD0C-9347-4435-8D02-A6020A638472}"/>
    <cellStyle name="CustomCellsOrange 2 2 2 2 58" xfId="27684" xr:uid="{72F626E3-B161-490F-AFF9-B201BA6016FD}"/>
    <cellStyle name="CustomCellsOrange 2 2 2 2 59" xfId="28514" xr:uid="{C962D1A4-3626-488F-A93E-5D98D2D503EF}"/>
    <cellStyle name="CustomCellsOrange 2 2 2 2 6" xfId="2752" xr:uid="{A234B42F-94B8-4221-B679-B44F78AB24A3}"/>
    <cellStyle name="CustomCellsOrange 2 2 2 2 60" xfId="28982" xr:uid="{2982303E-064A-4E91-BE74-B05BD4C1587B}"/>
    <cellStyle name="CustomCellsOrange 2 2 2 2 61" xfId="28074" xr:uid="{2EAF2D5E-B0BF-421A-9DBF-D22CCF9B2B9B}"/>
    <cellStyle name="CustomCellsOrange 2 2 2 2 62" xfId="29772" xr:uid="{9384E496-3A8B-4C9C-A933-95FDCA32973F}"/>
    <cellStyle name="CustomCellsOrange 2 2 2 2 63" xfId="30179" xr:uid="{0F3A89CA-8130-48E6-A10D-B8FEFC216CF3}"/>
    <cellStyle name="CustomCellsOrange 2 2 2 2 64" xfId="30594" xr:uid="{329A050F-E2D2-448B-A18E-79FEBB850994}"/>
    <cellStyle name="CustomCellsOrange 2 2 2 2 65" xfId="31018" xr:uid="{CE7CBCA4-9C0D-43C1-9F43-8BC8EBECC99A}"/>
    <cellStyle name="CustomCellsOrange 2 2 2 2 66" xfId="31217" xr:uid="{4941AB56-5274-4993-859A-6FFC8D2A3745}"/>
    <cellStyle name="CustomCellsOrange 2 2 2 2 7" xfId="2280" xr:uid="{42D60B16-B14A-4827-BFED-76E2F5D21051}"/>
    <cellStyle name="CustomCellsOrange 2 2 2 2 8" xfId="3992" xr:uid="{9AA3C87B-AE4F-4E38-8FB4-552B2275C36F}"/>
    <cellStyle name="CustomCellsOrange 2 2 2 2 9" xfId="4430" xr:uid="{A415DD5F-B8C9-4CE2-BF41-1417F495CC39}"/>
    <cellStyle name="CustomCellsOrange 2 2 20" xfId="7155" xr:uid="{E56A85D1-E102-4240-BB80-2A111FEE4FBF}"/>
    <cellStyle name="CustomCellsOrange 2 2 21" xfId="8534" xr:uid="{D4575E0F-3C62-4EF4-B649-3BE5926B10C3}"/>
    <cellStyle name="CustomCellsOrange 2 2 22" xfId="9378" xr:uid="{B79A9CCA-758A-4036-A8A0-86CA3099CC59}"/>
    <cellStyle name="CustomCellsOrange 2 2 23" xfId="10105" xr:uid="{6AD9786D-EC97-42AA-B0D7-FE0B8E636640}"/>
    <cellStyle name="CustomCellsOrange 2 2 24" xfId="10521" xr:uid="{92F4F127-9428-4747-9CC9-C6E5ACFC3712}"/>
    <cellStyle name="CustomCellsOrange 2 2 25" xfId="10835" xr:uid="{43B8C751-5092-435D-AC67-C2A14BA96516}"/>
    <cellStyle name="CustomCellsOrange 2 2 26" xfId="11200" xr:uid="{CC11B114-D912-4EDD-9C63-112EAB6536C4}"/>
    <cellStyle name="CustomCellsOrange 2 2 27" xfId="11791" xr:uid="{DAC30B05-F2CC-4D22-BDE5-BBA0D2BC8164}"/>
    <cellStyle name="CustomCellsOrange 2 2 28" xfId="12265" xr:uid="{7815CED1-0A32-4778-86FC-9ED48F450C9E}"/>
    <cellStyle name="CustomCellsOrange 2 2 29" xfId="11677" xr:uid="{EF279B7B-DDAD-41F9-910F-0D91FC9E604E}"/>
    <cellStyle name="CustomCellsOrange 2 2 3" xfId="657" xr:uid="{D2E2A9EA-EC87-404E-BA8F-C804C90F6EA5}"/>
    <cellStyle name="CustomCellsOrange 2 2 3 10" xfId="4698" xr:uid="{778D36D8-12FA-49A9-81EB-FDB0F6A5BBE8}"/>
    <cellStyle name="CustomCellsOrange 2 2 3 11" xfId="5305" xr:uid="{1A599C4B-D922-46FC-BFB7-32331033D659}"/>
    <cellStyle name="CustomCellsOrange 2 2 3 12" xfId="5106" xr:uid="{B677ECC6-BD44-48AA-818F-518B1094D246}"/>
    <cellStyle name="CustomCellsOrange 2 2 3 13" xfId="5917" xr:uid="{22A3A531-6FDC-41F9-BA32-98AC8F71ACF1}"/>
    <cellStyle name="CustomCellsOrange 2 2 3 14" xfId="6061" xr:uid="{B1062E85-AA1A-4587-A172-903B6606398F}"/>
    <cellStyle name="CustomCellsOrange 2 2 3 15" xfId="7377" xr:uid="{C5003167-1AD7-4382-83AA-F5BF35490B12}"/>
    <cellStyle name="CustomCellsOrange 2 2 3 16" xfId="7952" xr:uid="{6FC31ED5-83A1-4641-87E7-94F14942AC12}"/>
    <cellStyle name="CustomCellsOrange 2 2 3 17" xfId="8240" xr:uid="{EA5B1E57-7AE8-4718-8321-14B96C6A664B}"/>
    <cellStyle name="CustomCellsOrange 2 2 3 18" xfId="7876" xr:uid="{25212C36-D400-4899-A488-C63A35F41CF1}"/>
    <cellStyle name="CustomCellsOrange 2 2 3 19" xfId="9591" xr:uid="{47D1D9B2-6EFD-4814-B884-93373A36E562}"/>
    <cellStyle name="CustomCellsOrange 2 2 3 2" xfId="872" xr:uid="{F05925EB-DE48-40BB-A7C1-1CFCC0D631D3}"/>
    <cellStyle name="CustomCellsOrange 2 2 3 2 10" xfId="5520" xr:uid="{05B90FC5-DE61-441E-886F-2A78DB69D0F8}"/>
    <cellStyle name="CustomCellsOrange 2 2 3 2 11" xfId="6014" xr:uid="{90D8D485-26EC-436C-B224-9A0DBE73D947}"/>
    <cellStyle name="CustomCellsOrange 2 2 3 2 12" xfId="6373" xr:uid="{257E7FE5-57CB-42CD-900D-CD0109413E54}"/>
    <cellStyle name="CustomCellsOrange 2 2 3 2 13" xfId="6711" xr:uid="{C5C232B0-F945-4B7E-A8CC-291AA7DD38B5}"/>
    <cellStyle name="CustomCellsOrange 2 2 3 2 14" xfId="7592" xr:uid="{600C0D1D-6D1A-4DA4-9A73-F49EE424EA49}"/>
    <cellStyle name="CustomCellsOrange 2 2 3 2 15" xfId="8056" xr:uid="{FA0479DC-1725-48E6-80A1-3471A19E39DB}"/>
    <cellStyle name="CustomCellsOrange 2 2 3 2 16" xfId="8665" xr:uid="{0D599F45-69FD-41B9-A169-8D3459E489BF}"/>
    <cellStyle name="CustomCellsOrange 2 2 3 2 17" xfId="8924" xr:uid="{EEBDEFAD-9E8C-4054-AB48-2A73F50BE4D4}"/>
    <cellStyle name="CustomCellsOrange 2 2 3 2 18" xfId="9806" xr:uid="{F76EA555-9ED3-4ACD-9845-E7B4EEAF7332}"/>
    <cellStyle name="CustomCellsOrange 2 2 3 2 19" xfId="10275" xr:uid="{F7D27329-F254-4532-B690-7867314EA650}"/>
    <cellStyle name="CustomCellsOrange 2 2 3 2 2" xfId="1346" xr:uid="{4DFBB30B-974E-4D74-87B9-904E41DDA08D}"/>
    <cellStyle name="CustomCellsOrange 2 2 3 2 20" xfId="10669" xr:uid="{8EE9BB2D-C1B7-4F43-A695-05EB2D560F79}"/>
    <cellStyle name="CustomCellsOrange 2 2 3 2 21" xfId="11018" xr:uid="{BD2F0718-4ADF-4705-BFF9-6EF26C946F2C}"/>
    <cellStyle name="CustomCellsOrange 2 2 3 2 22" xfId="11328" xr:uid="{FAA731D3-1E57-40EF-9ED6-8F9A7FE47EB1}"/>
    <cellStyle name="CustomCellsOrange 2 2 3 2 23" xfId="12225" xr:uid="{332C028E-DE93-4932-A552-95C7D9778CBB}"/>
    <cellStyle name="CustomCellsOrange 2 2 3 2 24" xfId="12698" xr:uid="{5EBA2B67-7618-43C6-8606-289CF8E6AE87}"/>
    <cellStyle name="CustomCellsOrange 2 2 3 2 25" xfId="13132" xr:uid="{3805CF65-7831-4D79-8764-CADD001860B7}"/>
    <cellStyle name="CustomCellsOrange 2 2 3 2 26" xfId="13569" xr:uid="{E056A04C-C692-4189-8250-7D89EF846262}"/>
    <cellStyle name="CustomCellsOrange 2 2 3 2 27" xfId="14041" xr:uid="{761B016E-C81C-497D-AB85-8635BDE8AEF8}"/>
    <cellStyle name="CustomCellsOrange 2 2 3 2 28" xfId="14488" xr:uid="{B68805DA-D23E-4F90-8186-66E946078847}"/>
    <cellStyle name="CustomCellsOrange 2 2 3 2 29" xfId="14922" xr:uid="{6D7F05B3-87BB-4B61-90F3-8DD5B154A1E7}"/>
    <cellStyle name="CustomCellsOrange 2 2 3 2 3" xfId="1795" xr:uid="{CFF5F931-D2FC-4A2D-A5E9-86C07F5ED9DE}"/>
    <cellStyle name="CustomCellsOrange 2 2 3 2 30" xfId="15392" xr:uid="{22C9747F-E644-467D-ADE5-A235E4AE4FDE}"/>
    <cellStyle name="CustomCellsOrange 2 2 3 2 31" xfId="15782" xr:uid="{9F2FB7DE-9913-4071-A13A-06B07B6E3831}"/>
    <cellStyle name="CustomCellsOrange 2 2 3 2 32" xfId="16004" xr:uid="{AD00BB16-EB83-4377-B296-34A816F96E92}"/>
    <cellStyle name="CustomCellsOrange 2 2 3 2 33" xfId="16917" xr:uid="{1FDD40BF-E1DC-440B-8BEF-E32DE56252D5}"/>
    <cellStyle name="CustomCellsOrange 2 2 3 2 34" xfId="17398" xr:uid="{0C827235-9B27-47E0-A1C8-51763BCF98F0}"/>
    <cellStyle name="CustomCellsOrange 2 2 3 2 35" xfId="17839" xr:uid="{636B28A3-60E7-4259-B535-BAECBE83164C}"/>
    <cellStyle name="CustomCellsOrange 2 2 3 2 36" xfId="18314" xr:uid="{A9DC7CA7-EB03-480A-A701-FAA5A5EBA1E1}"/>
    <cellStyle name="CustomCellsOrange 2 2 3 2 37" xfId="18735" xr:uid="{E7B8985F-5BC0-45C2-9FE0-8E5E0264FC00}"/>
    <cellStyle name="CustomCellsOrange 2 2 3 2 38" xfId="19122" xr:uid="{78028E3F-DFA9-458C-93F6-DB1099FD6A37}"/>
    <cellStyle name="CustomCellsOrange 2 2 3 2 39" xfId="19352" xr:uid="{ED7AEF18-1FD4-4662-80A1-2E524D46F255}"/>
    <cellStyle name="CustomCellsOrange 2 2 3 2 4" xfId="2694" xr:uid="{C460351E-70A3-42A6-A551-079CE243CE2C}"/>
    <cellStyle name="CustomCellsOrange 2 2 3 2 40" xfId="20254" xr:uid="{E041568A-F911-44D7-B2F7-78A709143449}"/>
    <cellStyle name="CustomCellsOrange 2 2 3 2 41" xfId="20747" xr:uid="{9C5399CD-EB07-488C-A26B-306AFBA5D0C4}"/>
    <cellStyle name="CustomCellsOrange 2 2 3 2 42" xfId="21206" xr:uid="{73431D2C-C652-43A3-8298-636C71885C4C}"/>
    <cellStyle name="CustomCellsOrange 2 2 3 2 43" xfId="21698" xr:uid="{F15AF751-4946-4BAE-967D-1615D7BBA1F6}"/>
    <cellStyle name="CustomCellsOrange 2 2 3 2 44" xfId="22137" xr:uid="{B4B5D84A-C6AE-4149-AF00-9AF0A232438A}"/>
    <cellStyle name="CustomCellsOrange 2 2 3 2 45" xfId="22564" xr:uid="{838985E5-2A96-49B7-BDC0-0B658EC34B4B}"/>
    <cellStyle name="CustomCellsOrange 2 2 3 2 46" xfId="23009" xr:uid="{B9E007B9-F34E-40E9-B289-53DD415009BD}"/>
    <cellStyle name="CustomCellsOrange 2 2 3 2 47" xfId="23411" xr:uid="{36646B61-117B-48E0-A261-53A063D2483F}"/>
    <cellStyle name="CustomCellsOrange 2 2 3 2 48" xfId="23674" xr:uid="{E156C317-2834-4B93-9C70-8059770BC084}"/>
    <cellStyle name="CustomCellsOrange 2 2 3 2 49" xfId="24054" xr:uid="{076D0CED-A2D5-49CB-9983-9B4A1CF9CC47}"/>
    <cellStyle name="CustomCellsOrange 2 2 3 2 5" xfId="3214" xr:uid="{AC32A37E-37E9-4DA3-8CFB-38486AE4D578}"/>
    <cellStyle name="CustomCellsOrange 2 2 3 2 50" xfId="24962" xr:uid="{918C9F31-7F3A-4162-A669-FE406E3960F6}"/>
    <cellStyle name="CustomCellsOrange 2 2 3 2 51" xfId="25450" xr:uid="{545253D2-5816-4358-A92D-CAA3560C8B3B}"/>
    <cellStyle name="CustomCellsOrange 2 2 3 2 52" xfId="25878" xr:uid="{FD4DF3F2-9827-4E23-83E1-B69E4FE231AC}"/>
    <cellStyle name="CustomCellsOrange 2 2 3 2 53" xfId="26316" xr:uid="{A8372AE8-ED54-4CF8-B3CA-41AFEAAA4458}"/>
    <cellStyle name="CustomCellsOrange 2 2 3 2 54" xfId="26745" xr:uid="{FDDE0951-8A77-42B4-9BD4-387D8E0D1614}"/>
    <cellStyle name="CustomCellsOrange 2 2 3 2 55" xfId="27166" xr:uid="{242BABF1-4CCA-4AB8-9129-71E136FDAD44}"/>
    <cellStyle name="CustomCellsOrange 2 2 3 2 56" xfId="27585" xr:uid="{9C4AA0F4-27D2-4A68-9446-8A4C7328FB46}"/>
    <cellStyle name="CustomCellsOrange 2 2 3 2 57" xfId="26430" xr:uid="{BE48D5E9-C28A-429A-9FBA-29659D8A0477}"/>
    <cellStyle name="CustomCellsOrange 2 2 3 2 58" xfId="28712" xr:uid="{5678F878-6B4E-4471-9BE5-6DEDF6328C8E}"/>
    <cellStyle name="CustomCellsOrange 2 2 3 2 59" xfId="29179" xr:uid="{939BE0BE-1A2E-4C82-AB78-3429487F4EDD}"/>
    <cellStyle name="CustomCellsOrange 2 2 3 2 6" xfId="3769" xr:uid="{C4D73CB9-2E93-4116-8BDF-931A4CA050BB}"/>
    <cellStyle name="CustomCellsOrange 2 2 3 2 60" xfId="29561" xr:uid="{C0DBC52A-FE8D-435C-9ACD-E6496A92CB5A}"/>
    <cellStyle name="CustomCellsOrange 2 2 3 2 61" xfId="29968" xr:uid="{B691524F-C0C7-4016-B1C8-C2F9D6449876}"/>
    <cellStyle name="CustomCellsOrange 2 2 3 2 62" xfId="30374" xr:uid="{91BE54E9-DE81-4461-85E0-7943B13ED351}"/>
    <cellStyle name="CustomCellsOrange 2 2 3 2 63" xfId="30791" xr:uid="{D736BE2D-1A78-4B2F-B311-3E57767B9757}"/>
    <cellStyle name="CustomCellsOrange 2 2 3 2 64" xfId="31036" xr:uid="{3ECE0572-2876-4562-A34D-31F3F547D4A3}"/>
    <cellStyle name="CustomCellsOrange 2 2 3 2 65" xfId="31407" xr:uid="{5C1D488A-72F7-45D1-BCCA-66091A27F99B}"/>
    <cellStyle name="CustomCellsOrange 2 2 3 2 7" xfId="4190" xr:uid="{1E368DF1-E8DD-4AE9-8A06-A4236C1B0AFF}"/>
    <cellStyle name="CustomCellsOrange 2 2 3 2 8" xfId="4627" xr:uid="{DC899D9F-326F-47D8-AABF-F96FA018A380}"/>
    <cellStyle name="CustomCellsOrange 2 2 3 2 9" xfId="5073" xr:uid="{292CDCB0-B439-4F31-81AA-05B5BB3098E3}"/>
    <cellStyle name="CustomCellsOrange 2 2 3 20" xfId="10167" xr:uid="{7D8E33D5-DD54-49A9-8A00-01E61E0F37C1}"/>
    <cellStyle name="CustomCellsOrange 2 2 3 21" xfId="10574" xr:uid="{931B7403-6722-4899-9D52-DF2FAA3BAB9A}"/>
    <cellStyle name="CustomCellsOrange 2 2 3 22" xfId="9937" xr:uid="{921F7FB0-7318-4100-BD10-EC7BE8C88F9F}"/>
    <cellStyle name="CustomCellsOrange 2 2 3 23" xfId="11052" xr:uid="{F4831EAA-DEE8-4E74-A461-C1E7C893C12D}"/>
    <cellStyle name="CustomCellsOrange 2 2 3 24" xfId="12010" xr:uid="{5E2520CD-3599-4D03-A99B-8101BC602FB7}"/>
    <cellStyle name="CustomCellsOrange 2 2 3 25" xfId="12483" xr:uid="{1D190AFD-F4FF-496F-9972-9271704213E8}"/>
    <cellStyle name="CustomCellsOrange 2 2 3 26" xfId="12917" xr:uid="{01E69A65-A2E9-4EB3-8B29-7A78C453CFB6}"/>
    <cellStyle name="CustomCellsOrange 2 2 3 27" xfId="13354" xr:uid="{080D2DE2-176C-401A-A17D-4208CDAD2CBA}"/>
    <cellStyle name="CustomCellsOrange 2 2 3 28" xfId="12724" xr:uid="{212D060F-D163-43F7-8E08-DEB3A249D9C7}"/>
    <cellStyle name="CustomCellsOrange 2 2 3 29" xfId="14400" xr:uid="{4F2FE0C2-6864-416A-B639-40C6FEDF26F8}"/>
    <cellStyle name="CustomCellsOrange 2 2 3 3" xfId="1140" xr:uid="{80085533-0DCA-4411-B05D-EDB63702C67C}"/>
    <cellStyle name="CustomCellsOrange 2 2 3 30" xfId="14815" xr:uid="{290DBB16-6E6A-4580-97AD-789C0E99E3E3}"/>
    <cellStyle name="CustomCellsOrange 2 2 3 31" xfId="14661" xr:uid="{84AFFA7B-CC40-486B-A920-D7CF7A50C919}"/>
    <cellStyle name="CustomCellsOrange 2 2 3 32" xfId="15217" xr:uid="{1DE8AF52-E76F-45E9-9E0F-52210EECBE20}"/>
    <cellStyle name="CustomCellsOrange 2 2 3 33" xfId="15943" xr:uid="{4CAD695A-CD3C-4A9D-ACFF-92F9AD335636}"/>
    <cellStyle name="CustomCellsOrange 2 2 3 34" xfId="16702" xr:uid="{7E1AC7C3-4401-4A5D-AB98-4E2ABEE1A913}"/>
    <cellStyle name="CustomCellsOrange 2 2 3 35" xfId="17287" xr:uid="{9518DF0F-2C1E-4873-9866-BAD464C9EDE2}"/>
    <cellStyle name="CustomCellsOrange 2 2 3 36" xfId="17730" xr:uid="{FE79F464-D49A-407E-A416-A32A49CAF475}"/>
    <cellStyle name="CustomCellsOrange 2 2 3 37" xfId="17755" xr:uid="{03EEF923-D0C1-4A6B-A093-B11CEC2889F1}"/>
    <cellStyle name="CustomCellsOrange 2 2 3 38" xfId="18520" xr:uid="{0E215852-448E-49D2-8510-7DE9D8674F58}"/>
    <cellStyle name="CustomCellsOrange 2 2 3 39" xfId="18007" xr:uid="{2456AFB9-A1DD-4359-958B-1D120B5CD0B1}"/>
    <cellStyle name="CustomCellsOrange 2 2 3 4" xfId="1631" xr:uid="{492C5FA0-02EA-45B4-A173-E3EAF320DB5F}"/>
    <cellStyle name="CustomCellsOrange 2 2 3 40" xfId="17130" xr:uid="{99CF67A6-38EA-48F8-898B-FEF0EB71B21B}"/>
    <cellStyle name="CustomCellsOrange 2 2 3 41" xfId="20039" xr:uid="{5DF8E9F3-1CB4-4733-98E5-FC12FC6CA9A8}"/>
    <cellStyle name="CustomCellsOrange 2 2 3 42" xfId="20637" xr:uid="{B9971B41-D692-4F1B-82B4-5DA79FCA4F03}"/>
    <cellStyle name="CustomCellsOrange 2 2 3 43" xfId="21093" xr:uid="{282B39D1-E284-4C4B-BBDB-B964FD2EA4B6}"/>
    <cellStyle name="CustomCellsOrange 2 2 3 44" xfId="20853" xr:uid="{889E344A-1A88-4CC0-9FEC-684B4F90F27E}"/>
    <cellStyle name="CustomCellsOrange 2 2 3 45" xfId="22024" xr:uid="{5CBFD152-9A76-4D14-9718-3E2BBC6249E8}"/>
    <cellStyle name="CustomCellsOrange 2 2 3 46" xfId="22454" xr:uid="{05817390-F3C4-4594-95F8-C18C6D0AC0CE}"/>
    <cellStyle name="CustomCellsOrange 2 2 3 47" xfId="22283" xr:uid="{6A69F9BD-2EE0-4F6F-9E28-E69A3D3159C6}"/>
    <cellStyle name="CustomCellsOrange 2 2 3 48" xfId="21486" xr:uid="{5C630585-5814-49CC-A6AC-0A340A71C5E0}"/>
    <cellStyle name="CustomCellsOrange 2 2 3 49" xfId="23142" xr:uid="{00120596-FB94-44DC-B842-3DFF754A95E1}"/>
    <cellStyle name="CustomCellsOrange 2 2 3 5" xfId="2479" xr:uid="{3421FB4D-EB4A-44F3-87FF-5D335BC6CA95}"/>
    <cellStyle name="CustomCellsOrange 2 2 3 50" xfId="23848" xr:uid="{BD5AD4FD-7F1A-4FAF-AEB7-902AF526A250}"/>
    <cellStyle name="CustomCellsOrange 2 2 3 51" xfId="24747" xr:uid="{81072DCA-01A6-4938-8F8B-006BA4D9F94F}"/>
    <cellStyle name="CustomCellsOrange 2 2 3 52" xfId="25341" xr:uid="{FA1E6213-15C2-4172-BF06-D71C8E0D6AA8}"/>
    <cellStyle name="CustomCellsOrange 2 2 3 53" xfId="25665" xr:uid="{ADF348E4-8E0D-4215-B793-A505FB3C480F}"/>
    <cellStyle name="CustomCellsOrange 2 2 3 54" xfId="25083" xr:uid="{6C08AB55-313F-41EA-839D-DCE6E5BB1BEA}"/>
    <cellStyle name="CustomCellsOrange 2 2 3 55" xfId="26619" xr:uid="{95D46815-5056-49F4-89B1-42EF0A0FCF55}"/>
    <cellStyle name="CustomCellsOrange 2 2 3 56" xfId="26955" xr:uid="{DCA3EB71-B2F4-44CD-828E-40057031FF36}"/>
    <cellStyle name="CustomCellsOrange 2 2 3 57" xfId="27374" xr:uid="{C950274F-7E68-4A23-87CE-7045798FBA73}"/>
    <cellStyle name="CustomCellsOrange 2 2 3 58" xfId="24292" xr:uid="{026873D1-4850-4BCB-B1E1-C1088A11BF88}"/>
    <cellStyle name="CustomCellsOrange 2 2 3 59" xfId="28497" xr:uid="{190CAE88-666C-47B3-8793-C01F985648C4}"/>
    <cellStyle name="CustomCellsOrange 2 2 3 6" xfId="1947" xr:uid="{64609208-ED27-4DC3-9889-ADAD9859898B}"/>
    <cellStyle name="CustomCellsOrange 2 2 3 60" xfId="28965" xr:uid="{74443D63-8E0F-4DC1-9ED1-78F45171DE56}"/>
    <cellStyle name="CustomCellsOrange 2 2 3 61" xfId="29465" xr:uid="{9545A96D-F777-4139-AD5E-C22145A32626}"/>
    <cellStyle name="CustomCellsOrange 2 2 3 62" xfId="29755" xr:uid="{CA371969-9462-45D8-A660-A14E16CD2B11}"/>
    <cellStyle name="CustomCellsOrange 2 2 3 63" xfId="30163" xr:uid="{BB31F3B5-05B9-454B-A95C-0DAF03575211}"/>
    <cellStyle name="CustomCellsOrange 2 2 3 64" xfId="30577" xr:uid="{268A5388-5E05-4FBC-A4C2-1360C814D950}"/>
    <cellStyle name="CustomCellsOrange 2 2 3 65" xfId="31008" xr:uid="{49A296F2-5E5E-4540-AEB7-E00BD114F092}"/>
    <cellStyle name="CustomCellsOrange 2 2 3 66" xfId="31201" xr:uid="{D3583479-88C0-44B8-A892-FAA82CE8EFDC}"/>
    <cellStyle name="CustomCellsOrange 2 2 3 7" xfId="2839" xr:uid="{30EBFAC3-F013-4680-A2D8-18DFD902C85D}"/>
    <cellStyle name="CustomCellsOrange 2 2 3 8" xfId="3975" xr:uid="{FF8BA923-EE89-4033-B18F-81B25B71D1A3}"/>
    <cellStyle name="CustomCellsOrange 2 2 3 9" xfId="4413" xr:uid="{1812D317-AE8D-429A-BE53-D8810D5D50D6}"/>
    <cellStyle name="CustomCellsOrange 2 2 30" xfId="12319" xr:uid="{C2DF9492-E2C9-4C0C-971E-DE9BA40B2AB3}"/>
    <cellStyle name="CustomCellsOrange 2 2 31" xfId="13873" xr:uid="{9C6069FC-4726-488D-9284-E2DE58B3B1D5}"/>
    <cellStyle name="CustomCellsOrange 2 2 32" xfId="14182" xr:uid="{CD2B44E5-24AC-41A2-9961-E8DA0855AFF0}"/>
    <cellStyle name="CustomCellsOrange 2 2 33" xfId="14583" xr:uid="{30950300-DC17-46D9-B77E-C293FDD068ED}"/>
    <cellStyle name="CustomCellsOrange 2 2 34" xfId="14110" xr:uid="{7BD5484E-F886-486C-B6C0-A9DD6B6005A1}"/>
    <cellStyle name="CustomCellsOrange 2 2 35" xfId="15676" xr:uid="{643F89C4-BDAD-4BBD-9915-0F5FEBEBB649}"/>
    <cellStyle name="CustomCellsOrange 2 2 36" xfId="15915" xr:uid="{F4EA3D7B-8072-4E5D-93FF-54DCDB2E8BC6}"/>
    <cellStyle name="CustomCellsOrange 2 2 37" xfId="16484" xr:uid="{075D52EC-98AB-42F0-A18F-D21DD518A716}"/>
    <cellStyle name="CustomCellsOrange 2 2 38" xfId="17224" xr:uid="{54936FFB-EE12-4B40-89E9-C6A0A2A59560}"/>
    <cellStyle name="CustomCellsOrange 2 2 39" xfId="17669" xr:uid="{D628E7A4-0CFC-497C-97FB-EB3440C131B6}"/>
    <cellStyle name="CustomCellsOrange 2 2 4" xfId="575" xr:uid="{34248D70-35E3-40BD-893D-E0F5236443BA}"/>
    <cellStyle name="CustomCellsOrange 2 2 4 10" xfId="4873" xr:uid="{12C03134-552F-4333-8CFC-1F29325B3167}"/>
    <cellStyle name="CustomCellsOrange 2 2 4 11" xfId="5223" xr:uid="{5833B7CC-8648-4F75-8A64-D84D31B1BB01}"/>
    <cellStyle name="CustomCellsOrange 2 2 4 12" xfId="4941" xr:uid="{A5878704-9431-412B-9D00-0F4FCEE9E9F7}"/>
    <cellStyle name="CustomCellsOrange 2 2 4 13" xfId="6258" xr:uid="{977687FE-EC69-498C-BFF0-15365F5B2086}"/>
    <cellStyle name="CustomCellsOrange 2 2 4 14" xfId="6546" xr:uid="{F2DE0A7C-DE9F-489C-9846-6098564E418F}"/>
    <cellStyle name="CustomCellsOrange 2 2 4 15" xfId="7295" xr:uid="{3D961192-DBAC-41C0-AB8E-C930BA6AB961}"/>
    <cellStyle name="CustomCellsOrange 2 2 4 16" xfId="7159" xr:uid="{CEC36FA7-EA1C-44D1-B546-0C381240426A}"/>
    <cellStyle name="CustomCellsOrange 2 2 4 17" xfId="8382" xr:uid="{C6D51FD9-5F1D-4221-A91A-911B31D92DFD}"/>
    <cellStyle name="CustomCellsOrange 2 2 4 18" xfId="8759" xr:uid="{4FB94E24-919E-4002-BC9D-809D65AD09D3}"/>
    <cellStyle name="CustomCellsOrange 2 2 4 19" xfId="9509" xr:uid="{5AAB6F7B-9DE0-4AEC-B9EA-7347AC8B2937}"/>
    <cellStyle name="CustomCellsOrange 2 2 4 2" xfId="790" xr:uid="{14B1C7DB-95F8-4D4F-A7C3-0F66A89608B2}"/>
    <cellStyle name="CustomCellsOrange 2 2 4 2 10" xfId="5438" xr:uid="{AA9C0180-F88D-4674-A8C8-28D935A3C665}"/>
    <cellStyle name="CustomCellsOrange 2 2 4 2 11" xfId="4763" xr:uid="{68B9A3DF-0508-4AF3-91C0-3691F9019EE4}"/>
    <cellStyle name="CustomCellsOrange 2 2 4 2 12" xfId="4714" xr:uid="{C5EAD731-AAAB-4722-8926-1ABD584F749E}"/>
    <cellStyle name="CustomCellsOrange 2 2 4 2 13" xfId="5643" xr:uid="{C58DF9F2-EAB0-4472-931F-AA5228731022}"/>
    <cellStyle name="CustomCellsOrange 2 2 4 2 14" xfId="7510" xr:uid="{2C9FB46A-3CC7-422A-A2FA-D29678EC25AC}"/>
    <cellStyle name="CustomCellsOrange 2 2 4 2 15" xfId="6979" xr:uid="{8D1E7ED5-FC18-4924-B2E9-ACEC38AB47C8}"/>
    <cellStyle name="CustomCellsOrange 2 2 4 2 16" xfId="7700" xr:uid="{8E723FA8-FD96-4E5A-92A6-CD3E90755D40}"/>
    <cellStyle name="CustomCellsOrange 2 2 4 2 17" xfId="7022" xr:uid="{69E23425-6408-4859-9F82-8710C3FBDFAE}"/>
    <cellStyle name="CustomCellsOrange 2 2 4 2 18" xfId="9724" xr:uid="{89473274-7208-42A3-8709-DC5AFBD414D8}"/>
    <cellStyle name="CustomCellsOrange 2 2 4 2 19" xfId="9320" xr:uid="{8C17BD26-83AA-4D8F-B816-1BB2D3E9DC32}"/>
    <cellStyle name="CustomCellsOrange 2 2 4 2 2" xfId="1264" xr:uid="{14A01E9C-E057-46AA-AD72-7EB34C6F3AD6}"/>
    <cellStyle name="CustomCellsOrange 2 2 4 2 20" xfId="9351" xr:uid="{C76D7183-7AAA-4E15-807C-6252A2274F99}"/>
    <cellStyle name="CustomCellsOrange 2 2 4 2 21" xfId="9102" xr:uid="{0B601D98-0FB7-47E6-A6E4-E5E5CC24355E}"/>
    <cellStyle name="CustomCellsOrange 2 2 4 2 22" xfId="10624" xr:uid="{D482800F-FF5F-459D-AEEB-991508FEE103}"/>
    <cellStyle name="CustomCellsOrange 2 2 4 2 23" xfId="12143" xr:uid="{03012D64-04A2-4856-8B1F-6424AB3C2A44}"/>
    <cellStyle name="CustomCellsOrange 2 2 4 2 24" xfId="12616" xr:uid="{AE40BA65-35F0-4319-85AB-F6E941434894}"/>
    <cellStyle name="CustomCellsOrange 2 2 4 2 25" xfId="13050" xr:uid="{0702B7D8-F120-46BA-AD27-F90F0022022A}"/>
    <cellStyle name="CustomCellsOrange 2 2 4 2 26" xfId="13487" xr:uid="{3996DE2F-FFEF-4FAC-AAA8-E58314F5EE75}"/>
    <cellStyle name="CustomCellsOrange 2 2 4 2 27" xfId="12953" xr:uid="{67E0DD02-C0DE-4339-B9ED-819C9CAD5774}"/>
    <cellStyle name="CustomCellsOrange 2 2 4 2 28" xfId="13189" xr:uid="{1504EB35-ADAD-44A6-AE2B-4EBF0FC16F29}"/>
    <cellStyle name="CustomCellsOrange 2 2 4 2 29" xfId="11551" xr:uid="{6E98D637-696E-4335-BC3C-BE56B6415C82}"/>
    <cellStyle name="CustomCellsOrange 2 2 4 2 3" xfId="1507" xr:uid="{C2B80DD7-3924-4E63-B091-C2C7076A10BB}"/>
    <cellStyle name="CustomCellsOrange 2 2 4 2 30" xfId="15296" xr:uid="{21277B97-9C14-4269-BBBE-67ADC8133675}"/>
    <cellStyle name="CustomCellsOrange 2 2 4 2 31" xfId="15452" xr:uid="{AF0416F2-FB94-4562-B8D1-25522765AA9D}"/>
    <cellStyle name="CustomCellsOrange 2 2 4 2 32" xfId="15612" xr:uid="{C5C51B25-6303-4FE3-9C71-5858ECB629FE}"/>
    <cellStyle name="CustomCellsOrange 2 2 4 2 33" xfId="16835" xr:uid="{60C9BA54-35BA-4FD0-BF6C-AB107AB3EC17}"/>
    <cellStyle name="CustomCellsOrange 2 2 4 2 34" xfId="16299" xr:uid="{CFCDAA09-4A8E-4865-89BF-389D30AFA4C9}"/>
    <cellStyle name="CustomCellsOrange 2 2 4 2 35" xfId="16188" xr:uid="{F5F2AECC-7721-42FC-8B2A-13B3C4F1B272}"/>
    <cellStyle name="CustomCellsOrange 2 2 4 2 36" xfId="16491" xr:uid="{32361E7E-BCA0-42D5-9B9D-807EDD86130B}"/>
    <cellStyle name="CustomCellsOrange 2 2 4 2 37" xfId="18653" xr:uid="{9594C260-949C-45C4-B32B-79EC0B00859A}"/>
    <cellStyle name="CustomCellsOrange 2 2 4 2 38" xfId="17975" xr:uid="{C2DCB1F3-8697-4690-8530-3C1A54C3C2BA}"/>
    <cellStyle name="CustomCellsOrange 2 2 4 2 39" xfId="18308" xr:uid="{0B1C76FA-E952-4F03-B738-5C1216A2965F}"/>
    <cellStyle name="CustomCellsOrange 2 2 4 2 4" xfId="2612" xr:uid="{88BDDDFA-46A1-41B9-B312-9B29E0B9ADCC}"/>
    <cellStyle name="CustomCellsOrange 2 2 4 2 40" xfId="20172" xr:uid="{B8B308A5-2FD2-4C6A-A848-35145072A8FD}"/>
    <cellStyle name="CustomCellsOrange 2 2 4 2 41" xfId="19379" xr:uid="{382B1F46-2C42-4124-92C5-0E7CBC8F728D}"/>
    <cellStyle name="CustomCellsOrange 2 2 4 2 42" xfId="20288" xr:uid="{2A5A72ED-596A-4DC3-BA58-B66C75EF202A}"/>
    <cellStyle name="CustomCellsOrange 2 2 4 2 43" xfId="21423" xr:uid="{6B328DB8-BBFD-478F-B09C-8EC7633F1E6B}"/>
    <cellStyle name="CustomCellsOrange 2 2 4 2 44" xfId="21617" xr:uid="{5BA03790-FF2E-4ABE-B42A-CBD8641C255A}"/>
    <cellStyle name="CustomCellsOrange 2 2 4 2 45" xfId="21677" xr:uid="{8B9815B2-600E-4959-897A-4964653F65EE}"/>
    <cellStyle name="CustomCellsOrange 2 2 4 2 46" xfId="22350" xr:uid="{0FCAC946-A032-45C6-B902-6E46444CAD20}"/>
    <cellStyle name="CustomCellsOrange 2 2 4 2 47" xfId="22799" xr:uid="{47D0064C-AE79-41B7-99E7-13D7AE58DC14}"/>
    <cellStyle name="CustomCellsOrange 2 2 4 2 48" xfId="23154" xr:uid="{BD5D3BFF-38B4-4B6F-9D0D-8AE6E3EE8A13}"/>
    <cellStyle name="CustomCellsOrange 2 2 4 2 49" xfId="23972" xr:uid="{E8ACCB52-9593-41C7-841B-46678FE6B23F}"/>
    <cellStyle name="CustomCellsOrange 2 2 4 2 5" xfId="2143" xr:uid="{FCEEB548-D333-4217-A301-190DDA159851}"/>
    <cellStyle name="CustomCellsOrange 2 2 4 2 50" xfId="24880" xr:uid="{0EC5871F-2C4D-4B33-B6DF-04C230C12D59}"/>
    <cellStyle name="CustomCellsOrange 2 2 4 2 51" xfId="24187" xr:uid="{29FA2488-7218-4DDE-898F-F5F93546E289}"/>
    <cellStyle name="CustomCellsOrange 2 2 4 2 52" xfId="25796" xr:uid="{6BF25F9C-1E3D-4BF0-928A-C790B7FCB98F}"/>
    <cellStyle name="CustomCellsOrange 2 2 4 2 53" xfId="25473" xr:uid="{486FED01-5AD2-475D-A549-3697CDDF6774}"/>
    <cellStyle name="CustomCellsOrange 2 2 4 2 54" xfId="24522" xr:uid="{F76865AC-5AC5-4BD0-970C-8A289EBE22AD}"/>
    <cellStyle name="CustomCellsOrange 2 2 4 2 55" xfId="27084" xr:uid="{AF888000-6A2D-439A-A7EA-211D72D80924}"/>
    <cellStyle name="CustomCellsOrange 2 2 4 2 56" xfId="27503" xr:uid="{B15677B7-AF64-467A-B2F2-2B15960977E3}"/>
    <cellStyle name="CustomCellsOrange 2 2 4 2 57" xfId="26195" xr:uid="{825AD948-7C2A-448F-A65A-48BB066DAE6D}"/>
    <cellStyle name="CustomCellsOrange 2 2 4 2 58" xfId="28630" xr:uid="{BBCF6B72-A1AD-46FE-8C7C-A7B67C6F4173}"/>
    <cellStyle name="CustomCellsOrange 2 2 4 2 59" xfId="29097" xr:uid="{D29B7284-E6A2-4DA8-963D-7BE5115D4192}"/>
    <cellStyle name="CustomCellsOrange 2 2 4 2 6" xfId="2080" xr:uid="{F2FC0610-6631-4B73-AB29-F42C19E00DE4}"/>
    <cellStyle name="CustomCellsOrange 2 2 4 2 60" xfId="28226" xr:uid="{297A68A0-ED95-4270-86EF-F65918DD1CDB}"/>
    <cellStyle name="CustomCellsOrange 2 2 4 2 61" xfId="29886" xr:uid="{D28DCB15-185D-42FA-9BB2-2C2824EB3299}"/>
    <cellStyle name="CustomCellsOrange 2 2 4 2 62" xfId="30292" xr:uid="{267550ED-631D-4B83-AD6A-238BF55687CA}"/>
    <cellStyle name="CustomCellsOrange 2 2 4 2 63" xfId="30709" xr:uid="{22173065-534B-4DF2-A13E-9AFF2E26010D}"/>
    <cellStyle name="CustomCellsOrange 2 2 4 2 64" xfId="30885" xr:uid="{1DAE57B0-FC4E-418C-93CB-5963F83FDB32}"/>
    <cellStyle name="CustomCellsOrange 2 2 4 2 65" xfId="31325" xr:uid="{0C024517-0C98-4E4F-9FE6-6D002E98BA02}"/>
    <cellStyle name="CustomCellsOrange 2 2 4 2 7" xfId="4108" xr:uid="{50B4AD53-7327-4AD9-9F06-E016B9D12166}"/>
    <cellStyle name="CustomCellsOrange 2 2 4 2 8" xfId="4545" xr:uid="{540B5C5F-FBF4-497C-8E14-EA5CB95E7CDD}"/>
    <cellStyle name="CustomCellsOrange 2 2 4 2 9" xfId="1921" xr:uid="{899ADCD1-184F-401D-B398-AD1227437DD4}"/>
    <cellStyle name="CustomCellsOrange 2 2 4 20" xfId="9374" xr:uid="{A9301209-B9E0-4773-8828-B0BC9B29751E}"/>
    <cellStyle name="CustomCellsOrange 2 2 4 21" xfId="9026" xr:uid="{4E465C32-17D3-434A-8F99-FCF0EE98FFAF}"/>
    <cellStyle name="CustomCellsOrange 2 2 4 22" xfId="9334" xr:uid="{A642D948-707B-48CF-80A6-015048B124F4}"/>
    <cellStyle name="CustomCellsOrange 2 2 4 23" xfId="10349" xr:uid="{7B8B0F49-359B-4095-8447-6C0758A8C9E9}"/>
    <cellStyle name="CustomCellsOrange 2 2 4 24" xfId="11928" xr:uid="{9116D4EC-CE5B-4A92-8718-FEABD2F83ABA}"/>
    <cellStyle name="CustomCellsOrange 2 2 4 25" xfId="12401" xr:uid="{9791813D-EC4B-48FD-87C7-55966A622C59}"/>
    <cellStyle name="CustomCellsOrange 2 2 4 26" xfId="12835" xr:uid="{C6C7F09D-9553-42CF-BCE6-75F4E4D68E6F}"/>
    <cellStyle name="CustomCellsOrange 2 2 4 27" xfId="13272" xr:uid="{CE549301-5063-4A49-87A7-F5020A900373}"/>
    <cellStyle name="CustomCellsOrange 2 2 4 28" xfId="13759" xr:uid="{098163AC-ECD4-4CB1-85DB-DFDAA95C28D8}"/>
    <cellStyle name="CustomCellsOrange 2 2 4 29" xfId="14365" xr:uid="{1289188B-59F9-4FCB-A403-5D3440E3BBC2}"/>
    <cellStyle name="CustomCellsOrange 2 2 4 3" xfId="1058" xr:uid="{356EAA67-41E0-4492-A889-E884B1D3DED3}"/>
    <cellStyle name="CustomCellsOrange 2 2 4 30" xfId="14737" xr:uid="{5E6319C4-9910-481F-AC39-3451505C5798}"/>
    <cellStyle name="CustomCellsOrange 2 2 4 31" xfId="14957" xr:uid="{4EE1264F-5AAE-462E-B212-812C3A67BA42}"/>
    <cellStyle name="CustomCellsOrange 2 2 4 32" xfId="15476" xr:uid="{A2A856AE-3117-4E32-B99F-2D03FC9DD6B9}"/>
    <cellStyle name="CustomCellsOrange 2 2 4 33" xfId="14970" xr:uid="{E024C9CA-8C1D-4CBF-8607-5D203F8A08E5}"/>
    <cellStyle name="CustomCellsOrange 2 2 4 34" xfId="16620" xr:uid="{F0C2C035-AC59-4CE3-8DC4-58677BF57249}"/>
    <cellStyle name="CustomCellsOrange 2 2 4 35" xfId="16480" xr:uid="{1C7BBDEF-3CD0-45F1-9207-55B5CE0CC562}"/>
    <cellStyle name="CustomCellsOrange 2 2 4 36" xfId="16123" xr:uid="{53B79DEF-3FAF-4648-B5D5-FB2522E34647}"/>
    <cellStyle name="CustomCellsOrange 2 2 4 37" xfId="17701" xr:uid="{0BAB9A09-9188-4227-B2DE-7C8B8581C1F5}"/>
    <cellStyle name="CustomCellsOrange 2 2 4 38" xfId="18438" xr:uid="{E3BDF152-0D70-4A1C-8250-6C5A1E3466CE}"/>
    <cellStyle name="CustomCellsOrange 2 2 4 39" xfId="18829" xr:uid="{917BBAE8-6945-4AC0-9FCD-25FB29835EB4}"/>
    <cellStyle name="CustomCellsOrange 2 2 4 4" xfId="1583" xr:uid="{5A2FABDA-4DE9-4ECD-898D-5EF8B36D6B32}"/>
    <cellStyle name="CustomCellsOrange 2 2 4 40" xfId="19234" xr:uid="{25369035-4145-4498-9C09-87DA1BDA452A}"/>
    <cellStyle name="CustomCellsOrange 2 2 4 41" xfId="19957" xr:uid="{AB7F7DE6-35F0-4FAE-BCA5-362BCD43A8FC}"/>
    <cellStyle name="CustomCellsOrange 2 2 4 42" xfId="19816" xr:uid="{5B0ECC57-F262-4E31-AECD-DCF2F4149DF9}"/>
    <cellStyle name="CustomCellsOrange 2 2 4 43" xfId="19773" xr:uid="{CD4AC8F9-392F-4581-9A04-E54280DE0C4C}"/>
    <cellStyle name="CustomCellsOrange 2 2 4 44" xfId="21567" xr:uid="{5EB17B68-5616-435C-89C4-EAC24A2A3C18}"/>
    <cellStyle name="CustomCellsOrange 2 2 4 45" xfId="20339" xr:uid="{FD9EB348-C9A9-47BE-B16A-1733883DD3D8}"/>
    <cellStyle name="CustomCellsOrange 2 2 4 46" xfId="21536" xr:uid="{1B6A3CBA-CA7C-44D8-8E0F-37A2166D7508}"/>
    <cellStyle name="CustomCellsOrange 2 2 4 47" xfId="22754" xr:uid="{F8A68BCA-B499-42DD-8381-3CE7A38E1B56}"/>
    <cellStyle name="CustomCellsOrange 2 2 4 48" xfId="23102" xr:uid="{A9D2B154-2561-4AF2-8712-9370C07EC43F}"/>
    <cellStyle name="CustomCellsOrange 2 2 4 49" xfId="23256" xr:uid="{D687BD39-D4D4-4FCF-AD4D-771A7E77F74C}"/>
    <cellStyle name="CustomCellsOrange 2 2 4 5" xfId="2397" xr:uid="{F29A38B6-87B2-45A7-AFB1-9996475098C6}"/>
    <cellStyle name="CustomCellsOrange 2 2 4 50" xfId="23766" xr:uid="{09742D54-A922-4B56-BF7A-D7DDC1838EDA}"/>
    <cellStyle name="CustomCellsOrange 2 2 4 51" xfId="24665" xr:uid="{6D5E87CB-1A30-482B-8B5D-F167DC5437EC}"/>
    <cellStyle name="CustomCellsOrange 2 2 4 52" xfId="24527" xr:uid="{5DADF8FB-7AA5-4C66-85A6-D12003CFBE20}"/>
    <cellStyle name="CustomCellsOrange 2 2 4 53" xfId="25583" xr:uid="{83B4B881-AB7E-462C-B684-D48A30E11F40}"/>
    <cellStyle name="CustomCellsOrange 2 2 4 54" xfId="26057" xr:uid="{F3252905-2299-453C-9913-A2961A41EBE0}"/>
    <cellStyle name="CustomCellsOrange 2 2 4 55" xfId="26583" xr:uid="{ADEBD120-3B8C-494F-8FEC-8E17BD92952D}"/>
    <cellStyle name="CustomCellsOrange 2 2 4 56" xfId="26873" xr:uid="{EE4D8623-A34D-4B52-B16B-36E89FE51AE9}"/>
    <cellStyle name="CustomCellsOrange 2 2 4 57" xfId="27292" xr:uid="{EF424081-77F3-4AAA-9DF8-BE1B4EA22EB2}"/>
    <cellStyle name="CustomCellsOrange 2 2 4 58" xfId="27685" xr:uid="{8D86BB81-8668-4C18-B62C-1771A562998A}"/>
    <cellStyle name="CustomCellsOrange 2 2 4 59" xfId="28415" xr:uid="{3E260527-6B98-4FB2-8D08-A9261B85FCA1}"/>
    <cellStyle name="CustomCellsOrange 2 2 4 6" xfId="2925" xr:uid="{678D5AE3-CE9C-4BFB-9122-76DBBD4066D0}"/>
    <cellStyle name="CustomCellsOrange 2 2 4 60" xfId="28883" xr:uid="{C7019743-00C2-4310-97D9-EF8E468061A9}"/>
    <cellStyle name="CustomCellsOrange 2 2 4 61" xfId="28071" xr:uid="{A3880313-6C9A-4C0A-921C-91BAFC5281ED}"/>
    <cellStyle name="CustomCellsOrange 2 2 4 62" xfId="29673" xr:uid="{2A150ABB-7D5C-454D-B5CF-3A2C53DB886B}"/>
    <cellStyle name="CustomCellsOrange 2 2 4 63" xfId="30081" xr:uid="{14FBAD04-E374-4872-88B0-50FCB64B3DF4}"/>
    <cellStyle name="CustomCellsOrange 2 2 4 64" xfId="30495" xr:uid="{A5EA0043-6A4F-4AF9-B435-C6CE68986B88}"/>
    <cellStyle name="CustomCellsOrange 2 2 4 65" xfId="30874" xr:uid="{90701542-E7B5-4D16-A952-8C1EE27F557E}"/>
    <cellStyle name="CustomCellsOrange 2 2 4 66" xfId="31119" xr:uid="{8294EFA7-6FAE-40ED-8632-08750A9B3907}"/>
    <cellStyle name="CustomCellsOrange 2 2 4 7" xfId="3584" xr:uid="{286A7899-CF9F-4E45-B93E-D506E137B4F1}"/>
    <cellStyle name="CustomCellsOrange 2 2 4 8" xfId="3893" xr:uid="{8ECA5BC7-7AEE-48F1-9D7E-E486B2EADF86}"/>
    <cellStyle name="CustomCellsOrange 2 2 4 9" xfId="4331" xr:uid="{F61D374C-452D-4BD4-A9BB-E999A556F679}"/>
    <cellStyle name="CustomCellsOrange 2 2 40" xfId="17954" xr:uid="{71C5FFCA-4425-4E8B-BAAD-256E01BAF513}"/>
    <cellStyle name="CustomCellsOrange 2 2 41" xfId="18031" xr:uid="{3AF2A0A0-BE72-4A41-A68F-509099ACFDE4}"/>
    <cellStyle name="CustomCellsOrange 2 2 42" xfId="16542" xr:uid="{4E4B126A-0A2C-4ABB-AC85-BD446D7444A9}"/>
    <cellStyle name="CustomCellsOrange 2 2 43" xfId="19248" xr:uid="{94FAF3C4-2622-4B54-AA89-C2E3F8F175DC}"/>
    <cellStyle name="CustomCellsOrange 2 2 44" xfId="19820" xr:uid="{0F4D9B40-E73C-427B-8DC6-F8531CE0F0AE}"/>
    <cellStyle name="CustomCellsOrange 2 2 45" xfId="20577" xr:uid="{9DCB2D39-9DAF-4F89-ACC6-C7C33F9B0BAF}"/>
    <cellStyle name="CustomCellsOrange 2 2 46" xfId="21030" xr:uid="{CACEA62F-C89B-4630-91C6-4662EE49A3FA}"/>
    <cellStyle name="CustomCellsOrange 2 2 47" xfId="20810" xr:uid="{E1C232C8-EED5-4C1C-9CD7-452DC4FD5B0C}"/>
    <cellStyle name="CustomCellsOrange 2 2 48" xfId="21961" xr:uid="{5FEA12D4-5CE2-4E63-A590-13A0D17CAF40}"/>
    <cellStyle name="CustomCellsOrange 2 2 49" xfId="22392" xr:uid="{065CA9A4-7504-4944-A530-8367C3A5E118}"/>
    <cellStyle name="CustomCellsOrange 2 2 5" xfId="676" xr:uid="{AD6EF736-E706-47C9-B6AE-09F74EC2560C}"/>
    <cellStyle name="CustomCellsOrange 2 2 5 10" xfId="4916" xr:uid="{76312272-AFE4-4BFA-BB94-97879CDC6F1A}"/>
    <cellStyle name="CustomCellsOrange 2 2 5 11" xfId="5324" xr:uid="{D9F8B30A-82ED-4D8E-90C6-C7680C000A60}"/>
    <cellStyle name="CustomCellsOrange 2 2 5 12" xfId="5929" xr:uid="{BEEE8C22-1DA6-44F6-8545-3FB4FD889C2B}"/>
    <cellStyle name="CustomCellsOrange 2 2 5 13" xfId="5838" xr:uid="{3BC3A95C-A0C3-45C2-B535-873E14F2FF05}"/>
    <cellStyle name="CustomCellsOrange 2 2 5 14" xfId="4694" xr:uid="{845B5F47-9AE5-416D-9076-69F5249FCA32}"/>
    <cellStyle name="CustomCellsOrange 2 2 5 15" xfId="7396" xr:uid="{C5A13D5A-CBB4-4BBC-9D16-DEEA60AD8E42}"/>
    <cellStyle name="CustomCellsOrange 2 2 5 16" xfId="7916" xr:uid="{1CC2DBEF-C1AF-48A2-B198-6CAD817DEFE1}"/>
    <cellStyle name="CustomCellsOrange 2 2 5 17" xfId="8636" xr:uid="{A8078B74-9C69-4C65-BE3D-C547A31B7246}"/>
    <cellStyle name="CustomCellsOrange 2 2 5 18" xfId="8716" xr:uid="{742FD959-69A3-43BB-BDDF-842428F8A0CE}"/>
    <cellStyle name="CustomCellsOrange 2 2 5 19" xfId="9610" xr:uid="{87D01066-A392-49E0-BD4F-7FFC0DEEC932}"/>
    <cellStyle name="CustomCellsOrange 2 2 5 2" xfId="890" xr:uid="{3B185886-D5DF-4B1C-AAA8-F7B77EF7A0D8}"/>
    <cellStyle name="CustomCellsOrange 2 2 5 2 10" xfId="5538" xr:uid="{DF6703B6-EBCA-4821-8802-294D7C36B1CE}"/>
    <cellStyle name="CustomCellsOrange 2 2 5 2 11" xfId="6032" xr:uid="{FFC02F4E-E1C7-447F-BAAD-6C77E4D7CFCE}"/>
    <cellStyle name="CustomCellsOrange 2 2 5 2 12" xfId="6391" xr:uid="{3EA650DD-A4BC-4C2F-AEF9-3BBEBB08C0E9}"/>
    <cellStyle name="CustomCellsOrange 2 2 5 2 13" xfId="6729" xr:uid="{63FC736D-E75A-421B-A593-5FB005E5F41A}"/>
    <cellStyle name="CustomCellsOrange 2 2 5 2 14" xfId="7610" xr:uid="{55F21080-C415-4DBC-8F3E-EEED6B336283}"/>
    <cellStyle name="CustomCellsOrange 2 2 5 2 15" xfId="8074" xr:uid="{136B241D-5FB1-4555-ABCF-8D766A8D68C7}"/>
    <cellStyle name="CustomCellsOrange 2 2 5 2 16" xfId="8683" xr:uid="{165B251A-7012-4079-B8EE-176B100797B5}"/>
    <cellStyle name="CustomCellsOrange 2 2 5 2 17" xfId="8942" xr:uid="{E6A617B9-7956-48EC-B19A-5AF6BF623F5B}"/>
    <cellStyle name="CustomCellsOrange 2 2 5 2 18" xfId="9824" xr:uid="{EC18D200-1168-458A-9D81-61A863C9291D}"/>
    <cellStyle name="CustomCellsOrange 2 2 5 2 19" xfId="10293" xr:uid="{479A1B83-D83F-4F54-9067-CB5A29303CDF}"/>
    <cellStyle name="CustomCellsOrange 2 2 5 2 2" xfId="1364" xr:uid="{2382D999-46AE-43C3-9D07-89AD346B63AA}"/>
    <cellStyle name="CustomCellsOrange 2 2 5 2 20" xfId="10687" xr:uid="{F6ABD948-92DE-4D26-86F8-6992B01F74D1}"/>
    <cellStyle name="CustomCellsOrange 2 2 5 2 21" xfId="11036" xr:uid="{B1ED2400-55B4-47CF-9DE9-071CF1A907EC}"/>
    <cellStyle name="CustomCellsOrange 2 2 5 2 22" xfId="11346" xr:uid="{5187A8CE-7A31-47AE-AA32-C70BA3A1997B}"/>
    <cellStyle name="CustomCellsOrange 2 2 5 2 23" xfId="12243" xr:uid="{BEF6151B-E4E9-4A14-A005-1B6E300D19F8}"/>
    <cellStyle name="CustomCellsOrange 2 2 5 2 24" xfId="12716" xr:uid="{526A8A18-03F2-413F-80C1-B45CC6D09F6B}"/>
    <cellStyle name="CustomCellsOrange 2 2 5 2 25" xfId="13150" xr:uid="{AC6B590D-0781-494A-9AB8-41E1195128C5}"/>
    <cellStyle name="CustomCellsOrange 2 2 5 2 26" xfId="13587" xr:uid="{E4FB0A04-A540-4F03-AFA4-D3BB32216795}"/>
    <cellStyle name="CustomCellsOrange 2 2 5 2 27" xfId="14059" xr:uid="{690FE986-0432-4B69-BDBA-4E5541D874B7}"/>
    <cellStyle name="CustomCellsOrange 2 2 5 2 28" xfId="14506" xr:uid="{C2BC1844-D8BC-47AC-A794-D691E5A1F543}"/>
    <cellStyle name="CustomCellsOrange 2 2 5 2 29" xfId="14940" xr:uid="{7C805B03-383A-43F2-B5F6-1E02DCF47967}"/>
    <cellStyle name="CustomCellsOrange 2 2 5 2 3" xfId="1813" xr:uid="{6254AB3B-38F0-4107-9F15-86133CC72E0C}"/>
    <cellStyle name="CustomCellsOrange 2 2 5 2 30" xfId="15410" xr:uid="{4355F20F-9D53-45F1-9437-A59F7CE196BD}"/>
    <cellStyle name="CustomCellsOrange 2 2 5 2 31" xfId="15800" xr:uid="{FCBCE94F-6620-4843-A87C-B471E79DB8AF}"/>
    <cellStyle name="CustomCellsOrange 2 2 5 2 32" xfId="16022" xr:uid="{223478B7-DA61-4A7C-989A-6808329057C2}"/>
    <cellStyle name="CustomCellsOrange 2 2 5 2 33" xfId="16935" xr:uid="{467405CA-D738-427D-96A7-F5985D2EA7E8}"/>
    <cellStyle name="CustomCellsOrange 2 2 5 2 34" xfId="17416" xr:uid="{82F17FF6-D852-4D2A-ACFC-A77105676F49}"/>
    <cellStyle name="CustomCellsOrange 2 2 5 2 35" xfId="17857" xr:uid="{1F581219-37B3-4DE7-B2E6-06D87A4FCBA4}"/>
    <cellStyle name="CustomCellsOrange 2 2 5 2 36" xfId="18332" xr:uid="{9DE86FA5-FB42-4ECB-A866-1805AFC8147E}"/>
    <cellStyle name="CustomCellsOrange 2 2 5 2 37" xfId="18753" xr:uid="{46E8C790-92B9-40C7-86FE-70310706250D}"/>
    <cellStyle name="CustomCellsOrange 2 2 5 2 38" xfId="19140" xr:uid="{FD05FABA-244A-4B36-A424-573F5830267D}"/>
    <cellStyle name="CustomCellsOrange 2 2 5 2 39" xfId="19370" xr:uid="{E1382C60-8968-4AB4-BDCA-041DD3FDDB99}"/>
    <cellStyle name="CustomCellsOrange 2 2 5 2 4" xfId="2712" xr:uid="{04BE3C48-62A4-4946-A3D3-6596C38D0186}"/>
    <cellStyle name="CustomCellsOrange 2 2 5 2 40" xfId="20272" xr:uid="{8E9E1313-ABBE-4A90-B907-99A23D1A93A9}"/>
    <cellStyle name="CustomCellsOrange 2 2 5 2 41" xfId="20765" xr:uid="{3E1DD54F-2F2C-4095-AEB0-38C54FC6532E}"/>
    <cellStyle name="CustomCellsOrange 2 2 5 2 42" xfId="21224" xr:uid="{D4FBBD3A-2FA0-4EBC-947C-36C1296EF9EE}"/>
    <cellStyle name="CustomCellsOrange 2 2 5 2 43" xfId="21716" xr:uid="{16393E71-6FFB-4AFB-97B5-D175812A2B42}"/>
    <cellStyle name="CustomCellsOrange 2 2 5 2 44" xfId="22155" xr:uid="{9D83D26F-78F6-4833-8271-3FEFB5076FA8}"/>
    <cellStyle name="CustomCellsOrange 2 2 5 2 45" xfId="22582" xr:uid="{A46EFF6B-5C5E-4D41-B01F-ACB1ECA4882D}"/>
    <cellStyle name="CustomCellsOrange 2 2 5 2 46" xfId="23027" xr:uid="{95E5B57D-13EF-4A38-BCB5-B30A89281119}"/>
    <cellStyle name="CustomCellsOrange 2 2 5 2 47" xfId="23429" xr:uid="{0E34A520-591E-4234-8BA2-F3F1E7E9255D}"/>
    <cellStyle name="CustomCellsOrange 2 2 5 2 48" xfId="23692" xr:uid="{7C73B8F9-3D80-47D5-8B9F-E16DAF48C407}"/>
    <cellStyle name="CustomCellsOrange 2 2 5 2 49" xfId="24072" xr:uid="{D8493D7A-8820-4FAC-95B4-3A70199571D9}"/>
    <cellStyle name="CustomCellsOrange 2 2 5 2 5" xfId="3232" xr:uid="{4290B091-4A43-41D2-B69C-62B8D9649FC0}"/>
    <cellStyle name="CustomCellsOrange 2 2 5 2 50" xfId="24980" xr:uid="{B027D6B7-BA6A-49F3-8CEA-4F52EED7AFC0}"/>
    <cellStyle name="CustomCellsOrange 2 2 5 2 51" xfId="25468" xr:uid="{D16C2E94-7FF8-4C9A-B0C6-FAEACE0977F9}"/>
    <cellStyle name="CustomCellsOrange 2 2 5 2 52" xfId="25896" xr:uid="{6E0CFFE9-857A-4B8C-8432-95E6E25E76AC}"/>
    <cellStyle name="CustomCellsOrange 2 2 5 2 53" xfId="26334" xr:uid="{A3EC429E-0862-45B3-9C9E-217322E1D101}"/>
    <cellStyle name="CustomCellsOrange 2 2 5 2 54" xfId="26763" xr:uid="{F5B17BD4-8816-4547-A4AF-88F1BCF44EBD}"/>
    <cellStyle name="CustomCellsOrange 2 2 5 2 55" xfId="27184" xr:uid="{59213987-E138-497D-9D8D-24799366FC1B}"/>
    <cellStyle name="CustomCellsOrange 2 2 5 2 56" xfId="27603" xr:uid="{B9833E5F-3151-4AB6-995A-247EB30B7FBC}"/>
    <cellStyle name="CustomCellsOrange 2 2 5 2 57" xfId="27841" xr:uid="{7751F299-0122-4F84-BFE2-283D05E23174}"/>
    <cellStyle name="CustomCellsOrange 2 2 5 2 58" xfId="28730" xr:uid="{6D447EBF-71CE-4259-8C5D-CD26104C3031}"/>
    <cellStyle name="CustomCellsOrange 2 2 5 2 59" xfId="29197" xr:uid="{062B5001-CCE3-4B2F-B889-FF93CBC1A301}"/>
    <cellStyle name="CustomCellsOrange 2 2 5 2 6" xfId="3787" xr:uid="{8DA0334A-13E9-45B1-B4A5-7091F79FB708}"/>
    <cellStyle name="CustomCellsOrange 2 2 5 2 60" xfId="29579" xr:uid="{52ED027D-35D4-4B4A-9E3A-D3ADFA51F9B8}"/>
    <cellStyle name="CustomCellsOrange 2 2 5 2 61" xfId="29986" xr:uid="{F9EBAB49-2674-4138-9DE8-DA94DE5BFCF2}"/>
    <cellStyle name="CustomCellsOrange 2 2 5 2 62" xfId="30392" xr:uid="{8C559DEC-B649-4232-ADB0-3FEE1E3A6485}"/>
    <cellStyle name="CustomCellsOrange 2 2 5 2 63" xfId="30809" xr:uid="{BAD81F63-A847-4FAC-826E-2F631A2F9492}"/>
    <cellStyle name="CustomCellsOrange 2 2 5 2 64" xfId="31054" xr:uid="{AF2680BE-C710-4719-A4E5-7BF060FB9E87}"/>
    <cellStyle name="CustomCellsOrange 2 2 5 2 65" xfId="31425" xr:uid="{F99795AA-8542-46D7-8400-0BE08C2ADA2F}"/>
    <cellStyle name="CustomCellsOrange 2 2 5 2 7" xfId="4208" xr:uid="{67EF01D1-BDF6-4F90-84D9-D69C50185827}"/>
    <cellStyle name="CustomCellsOrange 2 2 5 2 8" xfId="4645" xr:uid="{F1CB8206-8484-468F-BEB9-B28F69B3CC11}"/>
    <cellStyle name="CustomCellsOrange 2 2 5 2 9" xfId="5091" xr:uid="{03DD7EA8-79AC-497C-90AA-AD1DBA9B9F18}"/>
    <cellStyle name="CustomCellsOrange 2 2 5 20" xfId="10130" xr:uid="{305DC9F6-9C19-49AA-BFA5-7FDBCF7D6273}"/>
    <cellStyle name="CustomCellsOrange 2 2 5 21" xfId="10540" xr:uid="{9949BEBE-A462-454E-BA13-DE194111D191}"/>
    <cellStyle name="CustomCellsOrange 2 2 5 22" xfId="9232" xr:uid="{10B1CB58-BB15-4D51-BE80-EBC03BB408FC}"/>
    <cellStyle name="CustomCellsOrange 2 2 5 23" xfId="10930" xr:uid="{293C4CF8-0227-4441-ABA9-7CB8E0B1AE03}"/>
    <cellStyle name="CustomCellsOrange 2 2 5 24" xfId="12029" xr:uid="{E8BF9354-EBAA-4905-8ACD-C11A94F4B434}"/>
    <cellStyle name="CustomCellsOrange 2 2 5 25" xfId="12502" xr:uid="{91BF878C-B2E5-41F2-98F8-85DA8F5BBC66}"/>
    <cellStyle name="CustomCellsOrange 2 2 5 26" xfId="12936" xr:uid="{67EAFE6E-80B8-45FF-A40E-E3AB4228F3F6}"/>
    <cellStyle name="CustomCellsOrange 2 2 5 27" xfId="13373" xr:uid="{80CB71B9-3EA6-49DA-93E1-2999B5BB5F32}"/>
    <cellStyle name="CustomCellsOrange 2 2 5 28" xfId="11356" xr:uid="{2A7792B4-C0AC-4CBF-BCF8-88E5E028898B}"/>
    <cellStyle name="CustomCellsOrange 2 2 5 29" xfId="14131" xr:uid="{A8C5B56A-D130-4F95-B304-9B98498BF711}"/>
    <cellStyle name="CustomCellsOrange 2 2 5 3" xfId="1158" xr:uid="{F68486E1-7118-4078-BD92-2F90E3E49BEE}"/>
    <cellStyle name="CustomCellsOrange 2 2 5 30" xfId="14779" xr:uid="{9E43CD3D-131B-47AC-9465-EF1C587A1AE5}"/>
    <cellStyle name="CustomCellsOrange 2 2 5 31" xfId="13706" xr:uid="{CD660A4D-4323-48E9-830D-6A73D2B6F5F5}"/>
    <cellStyle name="CustomCellsOrange 2 2 5 32" xfId="14988" xr:uid="{884E453A-9F20-4B41-A879-891B440C5285}"/>
    <cellStyle name="CustomCellsOrange 2 2 5 33" xfId="15924" xr:uid="{DA325252-C6E0-4CD7-907D-738984096578}"/>
    <cellStyle name="CustomCellsOrange 2 2 5 34" xfId="16721" xr:uid="{BC5DD1B8-5AB2-48F8-B78D-4FCC49670551}"/>
    <cellStyle name="CustomCellsOrange 2 2 5 35" xfId="17249" xr:uid="{72361B5D-5BAC-4235-8306-18A3210D7AA2}"/>
    <cellStyle name="CustomCellsOrange 2 2 5 36" xfId="17693" xr:uid="{A0FFF1F6-5234-4DCB-9B43-C6B6BFC59390}"/>
    <cellStyle name="CustomCellsOrange 2 2 5 37" xfId="16494" xr:uid="{0AE890E1-9E0C-4EEA-AC6E-D4E20F1470E3}"/>
    <cellStyle name="CustomCellsOrange 2 2 5 38" xfId="18539" xr:uid="{573D6E96-A03D-48ED-832E-A2F69907E995}"/>
    <cellStyle name="CustomCellsOrange 2 2 5 39" xfId="18798" xr:uid="{297B6672-92E3-4479-8FB3-69987167477F}"/>
    <cellStyle name="CustomCellsOrange 2 2 5 4" xfId="1375" xr:uid="{09558129-E268-4CA0-8F28-F5344BA96C94}"/>
    <cellStyle name="CustomCellsOrange 2 2 5 40" xfId="17430" xr:uid="{9192BE65-2B33-4BBD-AC1D-BA4E547200B1}"/>
    <cellStyle name="CustomCellsOrange 2 2 5 41" xfId="20058" xr:uid="{B7931B1C-3CC7-4EB6-BAD3-F69AAFA849AF}"/>
    <cellStyle name="CustomCellsOrange 2 2 5 42" xfId="20599" xr:uid="{7BAAC0C6-FC52-424E-9E2B-95933150078E}"/>
    <cellStyle name="CustomCellsOrange 2 2 5 43" xfId="21054" xr:uid="{1625E149-894F-48DD-8CE9-7E2EF390DFF9}"/>
    <cellStyle name="CustomCellsOrange 2 2 5 44" xfId="20648" xr:uid="{4D5EBD4D-D0E1-4D14-97EE-0BD08E2FBB60}"/>
    <cellStyle name="CustomCellsOrange 2 2 5 45" xfId="21985" xr:uid="{D1532CA6-2551-4473-9CE1-37CC72407D0B}"/>
    <cellStyle name="CustomCellsOrange 2 2 5 46" xfId="22416" xr:uid="{6AE1D7AF-C5CE-4041-93F9-F3D2AA94D0FD}"/>
    <cellStyle name="CustomCellsOrange 2 2 5 47" xfId="22481" xr:uid="{ADD14842-DE1F-415D-85FD-7C8F6957A5D6}"/>
    <cellStyle name="CustomCellsOrange 2 2 5 48" xfId="23070" xr:uid="{B6D9B19C-30C6-4C33-92B3-6314B772415A}"/>
    <cellStyle name="CustomCellsOrange 2 2 5 49" xfId="23001" xr:uid="{DCFFF6FE-FA14-409F-8F95-F3659C0217E2}"/>
    <cellStyle name="CustomCellsOrange 2 2 5 5" xfId="2498" xr:uid="{D3E0D247-D211-4BF5-A655-6B9D874707CE}"/>
    <cellStyle name="CustomCellsOrange 2 2 5 50" xfId="23866" xr:uid="{83EE201E-ED1C-4C25-AC90-82AD17D8047A}"/>
    <cellStyle name="CustomCellsOrange 2 2 5 51" xfId="24766" xr:uid="{F8A607FC-BE00-4A4C-B5D5-533ACC6AF878}"/>
    <cellStyle name="CustomCellsOrange 2 2 5 52" xfId="25308" xr:uid="{0831CE1B-D6A1-484B-9F88-E02AA1F09818}"/>
    <cellStyle name="CustomCellsOrange 2 2 5 53" xfId="25684" xr:uid="{7D711AF4-385C-4C0C-9AF1-8B57036013E0}"/>
    <cellStyle name="CustomCellsOrange 2 2 5 54" xfId="24996" xr:uid="{7FA3BB88-7495-4A95-8F50-BC807CDC334C}"/>
    <cellStyle name="CustomCellsOrange 2 2 5 55" xfId="26475" xr:uid="{AE00F77C-F24B-45ED-AE30-97C4A1115DB6}"/>
    <cellStyle name="CustomCellsOrange 2 2 5 56" xfId="26974" xr:uid="{933DDA77-6ADA-4246-BED0-0A91AFE103B1}"/>
    <cellStyle name="CustomCellsOrange 2 2 5 57" xfId="27393" xr:uid="{6AB60126-41BD-4081-974E-4AFC403A19D9}"/>
    <cellStyle name="CustomCellsOrange 2 2 5 58" xfId="27742" xr:uid="{A1478354-948A-40E5-933C-3B8B680B05B8}"/>
    <cellStyle name="CustomCellsOrange 2 2 5 59" xfId="28516" xr:uid="{7017A32F-4C63-4F6B-A346-B43A9A9802F9}"/>
    <cellStyle name="CustomCellsOrange 2 2 5 6" xfId="1993" xr:uid="{1BBD01C5-BD93-482F-BF12-9FAEF9EF81F3}"/>
    <cellStyle name="CustomCellsOrange 2 2 5 60" xfId="28984" xr:uid="{2FFBA214-4D33-4EA5-9799-74E3BFBC03B7}"/>
    <cellStyle name="CustomCellsOrange 2 2 5 61" xfId="29430" xr:uid="{A72039DB-DDCA-40CB-A0E0-BB4FEFD9C83E}"/>
    <cellStyle name="CustomCellsOrange 2 2 5 62" xfId="29774" xr:uid="{4FBC8324-7A65-406B-9D69-328A82DEA7FE}"/>
    <cellStyle name="CustomCellsOrange 2 2 5 63" xfId="30181" xr:uid="{7D466EC6-AAF4-45C5-B558-5180288FB085}"/>
    <cellStyle name="CustomCellsOrange 2 2 5 64" xfId="30596" xr:uid="{3DCE979E-C7F9-46EF-8277-573DED920995}"/>
    <cellStyle name="CustomCellsOrange 2 2 5 65" xfId="31012" xr:uid="{E56F418E-57BF-4C58-89BB-EA0AE9D41DE8}"/>
    <cellStyle name="CustomCellsOrange 2 2 5 66" xfId="31219" xr:uid="{10813742-FC21-42C0-8C3D-C57EEE5D1011}"/>
    <cellStyle name="CustomCellsOrange 2 2 5 7" xfId="3737" xr:uid="{4A2D26AC-4F0C-4070-BBE1-4E2C0B4593F2}"/>
    <cellStyle name="CustomCellsOrange 2 2 5 8" xfId="3994" xr:uid="{F0111376-6542-4F16-A617-73D1135FE40F}"/>
    <cellStyle name="CustomCellsOrange 2 2 5 9" xfId="4432" xr:uid="{DDC99D3D-4CFC-45C6-BA4F-1795DF174801}"/>
    <cellStyle name="CustomCellsOrange 2 2 50" xfId="22857" xr:uid="{ACE2B86E-44C1-4146-8C04-AFE52A72B73A}"/>
    <cellStyle name="CustomCellsOrange 2 2 51" xfId="21646" xr:uid="{85CE34A4-D83E-46A2-A614-CE097AA5A078}"/>
    <cellStyle name="CustomCellsOrange 2 2 52" xfId="23652" xr:uid="{CD50363D-3335-4B2C-B334-9670D92D0F95}"/>
    <cellStyle name="CustomCellsOrange 2 2 53" xfId="23162" xr:uid="{055EB8D9-EFA2-4BE0-BB37-A5A7EC368B1F}"/>
    <cellStyle name="CustomCellsOrange 2 2 54" xfId="24531" xr:uid="{8F447FA7-3978-463A-BB62-582EB82653F6}"/>
    <cellStyle name="CustomCellsOrange 2 2 55" xfId="25285" xr:uid="{E43A3371-18AF-4083-BEF3-57272CCB82EB}"/>
    <cellStyle name="CustomCellsOrange 2 2 56" xfId="25159" xr:uid="{684F7432-A654-4E92-91AE-B252119F1D03}"/>
    <cellStyle name="CustomCellsOrange 2 2 57" xfId="26160" xr:uid="{799E07BB-1E67-4E6D-A2F0-0DBF183F002D}"/>
    <cellStyle name="CustomCellsOrange 2 2 58" xfId="25987" xr:uid="{9F06BC79-8A61-4F30-98D1-7AD8071E5480}"/>
    <cellStyle name="CustomCellsOrange 2 2 59" xfId="26767" xr:uid="{0DA138A0-5049-4CDD-8E16-71EA821B041F}"/>
    <cellStyle name="CustomCellsOrange 2 2 6" xfId="983" xr:uid="{08949393-0845-40DC-8E7B-88218493B908}"/>
    <cellStyle name="CustomCellsOrange 2 2 60" xfId="24311" xr:uid="{04A78698-F78D-47B4-8A0F-81CCE378CB6D}"/>
    <cellStyle name="CustomCellsOrange 2 2 61" xfId="27717" xr:uid="{62AC7B22-E5FA-40FB-8C79-441A04756708}"/>
    <cellStyle name="CustomCellsOrange 2 2 62" xfId="28290" xr:uid="{CAB6B06E-100F-42E6-8285-A175837DAF83}"/>
    <cellStyle name="CustomCellsOrange 2 2 63" xfId="28752" xr:uid="{BA00E0BE-C1E1-4292-8D6C-B5EE7E7FCDDA}"/>
    <cellStyle name="CustomCellsOrange 2 2 64" xfId="29413" xr:uid="{3F6E0145-A197-499B-A8A7-487F527EFB8D}"/>
    <cellStyle name="CustomCellsOrange 2 2 65" xfId="29515" xr:uid="{F28966E6-F45A-4ED5-9AC9-659A52D3667A}"/>
    <cellStyle name="CustomCellsOrange 2 2 66" xfId="29366" xr:uid="{95E2B125-E25C-417F-9828-47560A1ACCBE}"/>
    <cellStyle name="CustomCellsOrange 2 2 67" xfId="29507" xr:uid="{42AA7F8E-F3F5-46BE-9CD6-587F397EF904}"/>
    <cellStyle name="CustomCellsOrange 2 2 68" xfId="28133" xr:uid="{7E8EE413-02E1-4BC7-AC75-13E41515216E}"/>
    <cellStyle name="CustomCellsOrange 2 2 69" xfId="29526" xr:uid="{C57CD66E-D5D4-463E-B262-8CBB6964DD96}"/>
    <cellStyle name="CustomCellsOrange 2 2 7" xfId="1676" xr:uid="{38B6C08C-224A-4818-B070-41E56117A571}"/>
    <cellStyle name="CustomCellsOrange 2 2 8" xfId="2260" xr:uid="{08B7F691-7756-454E-8F6C-86408E7336AD}"/>
    <cellStyle name="CustomCellsOrange 2 2 9" xfId="3040" xr:uid="{36D964C7-1ED3-4327-8FAD-E01E50932C96}"/>
    <cellStyle name="CustomCellsOrange 3" xfId="273" xr:uid="{B46DB08A-F0D9-4532-8D2E-F1E8BAF62251}"/>
    <cellStyle name="CustomCellsOrange 3 10" xfId="3452" xr:uid="{4D971FE7-BC12-464D-8744-907874B3AE92}"/>
    <cellStyle name="CustomCellsOrange 3 11" xfId="3117" xr:uid="{4C1E76BA-3023-4180-A573-B86DE8C54CEF}"/>
    <cellStyle name="CustomCellsOrange 3 12" xfId="3152" xr:uid="{45476034-6ABB-4BC2-A979-2A622C54FBC7}"/>
    <cellStyle name="CustomCellsOrange 3 13" xfId="1826" xr:uid="{33824F39-4803-4C41-BD5A-9F9F75AE1D85}"/>
    <cellStyle name="CustomCellsOrange 3 14" xfId="2751" xr:uid="{777F79B6-C3B4-4B80-9A37-02A3149CF8EE}"/>
    <cellStyle name="CustomCellsOrange 3 15" xfId="4745" xr:uid="{2AB75446-DCF8-4EF8-8664-352903952C85}"/>
    <cellStyle name="CustomCellsOrange 3 16" xfId="6239" xr:uid="{B2DABC96-E37C-4EAA-8869-153566146BDC}"/>
    <cellStyle name="CustomCellsOrange 3 17" xfId="6576" xr:uid="{1C319413-6ECF-4489-BABA-02D3DE161765}"/>
    <cellStyle name="CustomCellsOrange 3 18" xfId="7003" xr:uid="{149BBBE3-5961-47A2-B81F-18B04B1ADD46}"/>
    <cellStyle name="CustomCellsOrange 3 19" xfId="7633" xr:uid="{48D54D43-94BA-4A4F-B379-011069EB5207}"/>
    <cellStyle name="CustomCellsOrange 3 2" xfId="612" xr:uid="{9284A752-E1E3-4975-8A0B-512B08788A80}"/>
    <cellStyle name="CustomCellsOrange 3 2 10" xfId="4777" xr:uid="{F85C545B-96C5-4B2B-8E26-F98C5C81DF05}"/>
    <cellStyle name="CustomCellsOrange 3 2 11" xfId="5260" xr:uid="{9938FAFF-F97E-4913-B317-4356454ADB49}"/>
    <cellStyle name="CustomCellsOrange 3 2 12" xfId="4964" xr:uid="{EE43E4CF-9924-425A-8749-439025C3F4CA}"/>
    <cellStyle name="CustomCellsOrange 3 2 13" xfId="4880" xr:uid="{91A1DAD3-120C-4A07-B2DD-6C5293A95478}"/>
    <cellStyle name="CustomCellsOrange 3 2 14" xfId="6654" xr:uid="{97F14E20-BE6F-426B-BC58-CC769684D914}"/>
    <cellStyle name="CustomCellsOrange 3 2 15" xfId="7332" xr:uid="{3A24AD2D-BF14-4686-8A01-C1D2BE9B078E}"/>
    <cellStyle name="CustomCellsOrange 3 2 16" xfId="7869" xr:uid="{B9F63C40-4C1C-49FA-B503-7832E7385C25}"/>
    <cellStyle name="CustomCellsOrange 3 2 17" xfId="7673" xr:uid="{92498C17-4E71-41AE-8FC4-050858060DCA}"/>
    <cellStyle name="CustomCellsOrange 3 2 18" xfId="8863" xr:uid="{4F49A4BA-860C-4820-93B7-57B711FA0C34}"/>
    <cellStyle name="CustomCellsOrange 3 2 19" xfId="9546" xr:uid="{E609A864-0C4B-4895-AF49-34CFFCEDFB29}"/>
    <cellStyle name="CustomCellsOrange 3 2 2" xfId="827" xr:uid="{6640F02C-9456-4DCC-BCC1-CD589AF180FB}"/>
    <cellStyle name="CustomCellsOrange 3 2 2 10" xfId="5475" xr:uid="{84FCDA40-DE16-4C8F-BAF1-F9A58935E38A}"/>
    <cellStyle name="CustomCellsOrange 3 2 2 11" xfId="4682" xr:uid="{D5ED3761-A9FA-4CBD-8F38-DFF24AB72F08}"/>
    <cellStyle name="CustomCellsOrange 3 2 2 12" xfId="4661" xr:uid="{A2857C66-E69D-4FAC-AD09-1593D7335BC6}"/>
    <cellStyle name="CustomCellsOrange 3 2 2 13" xfId="6581" xr:uid="{D5DC8E6F-D40B-4DA3-B017-37FE341C7901}"/>
    <cellStyle name="CustomCellsOrange 3 2 2 14" xfId="7547" xr:uid="{7B4B9830-A4C2-42F4-883D-A59D4825A57B}"/>
    <cellStyle name="CustomCellsOrange 3 2 2 15" xfId="6869" xr:uid="{38A41BD5-2F61-4366-8602-B81176AD0223}"/>
    <cellStyle name="CustomCellsOrange 3 2 2 16" xfId="8193" xr:uid="{DB1DECAB-7BD4-47AD-B3E1-BC023D8A7F0E}"/>
    <cellStyle name="CustomCellsOrange 3 2 2 17" xfId="8637" xr:uid="{FF4FA140-8629-401A-99A9-5C9D2DD305A9}"/>
    <cellStyle name="CustomCellsOrange 3 2 2 18" xfId="9761" xr:uid="{CD8E00ED-360C-4854-96AF-7F95A9310A16}"/>
    <cellStyle name="CustomCellsOrange 3 2 2 19" xfId="9355" xr:uid="{C4ECDA98-A1E6-44F9-98BD-F44964A89F72}"/>
    <cellStyle name="CustomCellsOrange 3 2 2 2" xfId="1301" xr:uid="{62BFC60C-FD5B-4390-BC29-D542D9717156}"/>
    <cellStyle name="CustomCellsOrange 3 2 2 20" xfId="9395" xr:uid="{D1C0C421-A5EE-4816-AE40-D41E9C0763E5}"/>
    <cellStyle name="CustomCellsOrange 3 2 2 21" xfId="9428" xr:uid="{6C681C00-5D45-432D-9420-FA863DB825C5}"/>
    <cellStyle name="CustomCellsOrange 3 2 2 22" xfId="11251" xr:uid="{DF5EAA50-831F-41FC-8816-9DE1631370F9}"/>
    <cellStyle name="CustomCellsOrange 3 2 2 23" xfId="12180" xr:uid="{57C73FC8-BF8E-4B3C-9B32-AEAD3F3DDE52}"/>
    <cellStyle name="CustomCellsOrange 3 2 2 24" xfId="12653" xr:uid="{694F3C98-68C6-4CA0-B7D9-D707F7763B27}"/>
    <cellStyle name="CustomCellsOrange 3 2 2 25" xfId="13087" xr:uid="{54486740-D3D8-4CFD-A2B2-94E4C75C12D1}"/>
    <cellStyle name="CustomCellsOrange 3 2 2 26" xfId="13524" xr:uid="{0528B9CF-20B3-44F7-BA08-E84D6C2D3F70}"/>
    <cellStyle name="CustomCellsOrange 3 2 2 27" xfId="11796" xr:uid="{70E9A40A-9134-413C-B93A-FB67602E3724}"/>
    <cellStyle name="CustomCellsOrange 3 2 2 28" xfId="12281" xr:uid="{63FE1CAA-B109-4DB8-9AB9-32C44171CC02}"/>
    <cellStyle name="CustomCellsOrange 3 2 2 29" xfId="13919" xr:uid="{4B9C01A4-F668-42A1-A7C5-09648A64824C}"/>
    <cellStyle name="CustomCellsOrange 3 2 2 3" xfId="1502" xr:uid="{678DBD40-343D-473A-8EB1-A8AD09F1A1BF}"/>
    <cellStyle name="CustomCellsOrange 3 2 2 30" xfId="13621" xr:uid="{3C48A8F7-964F-4A08-93AE-B1ED4914E56C}"/>
    <cellStyle name="CustomCellsOrange 3 2 2 31" xfId="15632" xr:uid="{FDF18304-DD45-479C-9510-148562282506}"/>
    <cellStyle name="CustomCellsOrange 3 2 2 32" xfId="14872" xr:uid="{43C6B07F-5597-405B-B8E1-C1D0E10362FF}"/>
    <cellStyle name="CustomCellsOrange 3 2 2 33" xfId="16872" xr:uid="{688C2C71-2D52-443F-9483-D5F19558335A}"/>
    <cellStyle name="CustomCellsOrange 3 2 2 34" xfId="16185" xr:uid="{D1FDBDAC-4921-4EC8-85AE-1D259197CA07}"/>
    <cellStyle name="CustomCellsOrange 3 2 2 35" xfId="16504" xr:uid="{A58407A0-B5F9-4C07-9382-D95785E6FDCF}"/>
    <cellStyle name="CustomCellsOrange 3 2 2 36" xfId="17923" xr:uid="{F94B327B-4D60-4E94-8637-FB8409140340}"/>
    <cellStyle name="CustomCellsOrange 3 2 2 37" xfId="18690" xr:uid="{ACAD9367-54D8-4771-A1B2-76F760194C17}"/>
    <cellStyle name="CustomCellsOrange 3 2 2 38" xfId="17333" xr:uid="{D24FC465-5299-4AF9-A48D-46C7EE6E8964}"/>
    <cellStyle name="CustomCellsOrange 3 2 2 39" xfId="16262" xr:uid="{CD2DA3F6-BFD9-4647-BC65-E39C5C22A9E0}"/>
    <cellStyle name="CustomCellsOrange 3 2 2 4" xfId="2649" xr:uid="{9DC209A9-AB7B-4D03-A9D5-1CBB1C618E97}"/>
    <cellStyle name="CustomCellsOrange 3 2 2 40" xfId="20209" xr:uid="{ADB907D6-AA96-4AEF-874E-78293BD23AF7}"/>
    <cellStyle name="CustomCellsOrange 3 2 2 41" xfId="19374" xr:uid="{DEF80FB5-2EAC-439B-9869-3B5EB39B5668}"/>
    <cellStyle name="CustomCellsOrange 3 2 2 42" xfId="19554" xr:uid="{9D9C2BC1-CF34-49EB-99AF-EEC4DD16806D}"/>
    <cellStyle name="CustomCellsOrange 3 2 2 43" xfId="21272" xr:uid="{2DF70891-D332-445A-86F6-D0429A0BD014}"/>
    <cellStyle name="CustomCellsOrange 3 2 2 44" xfId="21664" xr:uid="{3943FDCF-B391-4A1D-8998-E17DD4989251}"/>
    <cellStyle name="CustomCellsOrange 3 2 2 45" xfId="19834" xr:uid="{B3F2D1D1-217D-406A-9F10-599F1D132EAB}"/>
    <cellStyle name="CustomCellsOrange 3 2 2 46" xfId="21338" xr:uid="{A00888F8-B9EB-4488-9EE7-4AD96C98B658}"/>
    <cellStyle name="CustomCellsOrange 3 2 2 47" xfId="20896" xr:uid="{BB48E6A7-6CF1-463D-B492-DF595A994EF2}"/>
    <cellStyle name="CustomCellsOrange 3 2 2 48" xfId="23287" xr:uid="{A8F5D869-CAB9-4AAC-A5B1-EDF7224A46AD}"/>
    <cellStyle name="CustomCellsOrange 3 2 2 49" xfId="24009" xr:uid="{1C1008A5-D07D-4B01-890C-413A2D0DCDBC}"/>
    <cellStyle name="CustomCellsOrange 3 2 2 5" xfId="2042" xr:uid="{82515E53-7DE5-4980-BB57-2AD92C34C564}"/>
    <cellStyle name="CustomCellsOrange 3 2 2 50" xfId="24917" xr:uid="{9295E6A6-62B4-4B2D-94B8-7CD3373022ED}"/>
    <cellStyle name="CustomCellsOrange 3 2 2 51" xfId="24328" xr:uid="{E58CEBFD-FBAE-4677-9EBF-72EAF9C73B4F}"/>
    <cellStyle name="CustomCellsOrange 3 2 2 52" xfId="25833" xr:uid="{6E212BEB-4B89-408D-9115-A38F5832D706}"/>
    <cellStyle name="CustomCellsOrange 3 2 2 53" xfId="24131" xr:uid="{62AD89E1-5D59-4D51-9642-C5330D6104A2}"/>
    <cellStyle name="CustomCellsOrange 3 2 2 54" xfId="26014" xr:uid="{FED25E77-ACCA-4179-869C-511D0F44E63C}"/>
    <cellStyle name="CustomCellsOrange 3 2 2 55" xfId="27121" xr:uid="{24A58062-17D9-4124-93CE-6D8B1875A69E}"/>
    <cellStyle name="CustomCellsOrange 3 2 2 56" xfId="27540" xr:uid="{12725CFE-6993-4FB5-8040-F9DE8DCF2419}"/>
    <cellStyle name="CustomCellsOrange 3 2 2 57" xfId="26780" xr:uid="{642977DE-0B15-4C53-B7C8-F9AFBBEF9237}"/>
    <cellStyle name="CustomCellsOrange 3 2 2 58" xfId="28667" xr:uid="{77D91953-48EE-4139-B645-125120E3DC26}"/>
    <cellStyle name="CustomCellsOrange 3 2 2 59" xfId="29134" xr:uid="{2262ABF6-4A2E-4D6D-A7D2-3EF77D87B9F0}"/>
    <cellStyle name="CustomCellsOrange 3 2 2 6" xfId="3412" xr:uid="{0CC845A1-58B6-4A7F-B000-9B85DB5031D5}"/>
    <cellStyle name="CustomCellsOrange 3 2 2 60" xfId="28307" xr:uid="{8C3BD8E7-7FCA-483C-BDBA-743637B9B8B5}"/>
    <cellStyle name="CustomCellsOrange 3 2 2 61" xfId="29923" xr:uid="{252A83C3-75BA-437C-9F14-5A40C954A3D6}"/>
    <cellStyle name="CustomCellsOrange 3 2 2 62" xfId="30329" xr:uid="{C59A83F8-CE8F-460B-9525-4DA17C86EB8B}"/>
    <cellStyle name="CustomCellsOrange 3 2 2 63" xfId="30746" xr:uid="{0E99EB0D-BA56-46BB-901B-962473D52BC8}"/>
    <cellStyle name="CustomCellsOrange 3 2 2 64" xfId="29444" xr:uid="{4BF41DD5-FB12-4B7F-89B6-A3396D001BFA}"/>
    <cellStyle name="CustomCellsOrange 3 2 2 65" xfId="31362" xr:uid="{CEF208A9-2D13-4ACA-8D29-FC91F3C82026}"/>
    <cellStyle name="CustomCellsOrange 3 2 2 7" xfId="4145" xr:uid="{74E3BFD1-2A28-46DB-9EA9-74CCCE8AADDA}"/>
    <cellStyle name="CustomCellsOrange 3 2 2 8" xfId="4582" xr:uid="{27F2D462-DF6E-4EE7-9EC3-D2C48901791F}"/>
    <cellStyle name="CustomCellsOrange 3 2 2 9" xfId="4244" xr:uid="{36FA5BA9-75BC-42FB-8B2C-A645E537E49E}"/>
    <cellStyle name="CustomCellsOrange 3 2 20" xfId="10083" xr:uid="{5C5F7069-01CF-480B-94F8-893A3E8DAC6E}"/>
    <cellStyle name="CustomCellsOrange 3 2 21" xfId="10498" xr:uid="{3F6F319C-007E-410E-9C0C-236966E8D6EE}"/>
    <cellStyle name="CustomCellsOrange 3 2 22" xfId="10791" xr:uid="{CD15ED63-626F-4440-84FC-0C9C4558ECC4}"/>
    <cellStyle name="CustomCellsOrange 3 2 23" xfId="9230" xr:uid="{4102AFD1-1B41-462E-89CB-4027B726B893}"/>
    <cellStyle name="CustomCellsOrange 3 2 24" xfId="11965" xr:uid="{3A7C5871-EF44-4537-BE77-55AEF8DA76D1}"/>
    <cellStyle name="CustomCellsOrange 3 2 25" xfId="12438" xr:uid="{B7FF70FC-2493-46EC-8E06-3E853FF06329}"/>
    <cellStyle name="CustomCellsOrange 3 2 26" xfId="12872" xr:uid="{C3FA02D6-78D0-4BF5-816C-3D6858569077}"/>
    <cellStyle name="CustomCellsOrange 3 2 27" xfId="13309" xr:uid="{9572EC8B-E3A6-416E-9FA0-8352C0B75664}"/>
    <cellStyle name="CustomCellsOrange 3 2 28" xfId="13761" xr:uid="{A0FFD597-F679-43C5-8D42-91EC5E81DA58}"/>
    <cellStyle name="CustomCellsOrange 3 2 29" xfId="14349" xr:uid="{FE17EEC1-3DDD-4AEA-8F90-F8CCAC1744AD}"/>
    <cellStyle name="CustomCellsOrange 3 2 3" xfId="1095" xr:uid="{7959D67D-C5DC-4879-9F7D-BA810F108F85}"/>
    <cellStyle name="CustomCellsOrange 3 2 30" xfId="14621" xr:uid="{321CE2E8-0F59-4D89-92A8-212F91D22224}"/>
    <cellStyle name="CustomCellsOrange 3 2 31" xfId="14376" xr:uid="{D8C580F0-1997-438E-A971-E0FEAFC2A5DF}"/>
    <cellStyle name="CustomCellsOrange 3 2 32" xfId="14288" xr:uid="{AE5A8345-44F5-4486-8259-2ED5E385FC08}"/>
    <cellStyle name="CustomCellsOrange 3 2 33" xfId="15898" xr:uid="{A3D09974-24E3-4A27-AA69-16B28AC4D968}"/>
    <cellStyle name="CustomCellsOrange 3 2 34" xfId="16657" xr:uid="{F497BF4B-1FCF-4296-A9CF-8E18CF654C1E}"/>
    <cellStyle name="CustomCellsOrange 3 2 35" xfId="17201" xr:uid="{CDBBC79C-70CB-425A-91B6-DDA9CD32E21E}"/>
    <cellStyle name="CustomCellsOrange 3 2 36" xfId="17647" xr:uid="{0816263C-EE88-47F7-95F1-5E3ECA2E8C80}"/>
    <cellStyle name="CustomCellsOrange 3 2 37" xfId="16096" xr:uid="{CE77012C-D216-4914-8530-62F44789A96F}"/>
    <cellStyle name="CustomCellsOrange 3 2 38" xfId="18475" xr:uid="{18D5B2FB-6B1E-4F02-90AC-494C7790A5EC}"/>
    <cellStyle name="CustomCellsOrange 3 2 39" xfId="17953" xr:uid="{595ACE34-6A39-416C-A82B-1486C6B79854}"/>
    <cellStyle name="CustomCellsOrange 3 2 4" xfId="1755" xr:uid="{BCD820F2-9EA3-4CB8-A4EE-033C326CA99A}"/>
    <cellStyle name="CustomCellsOrange 3 2 40" xfId="17948" xr:uid="{585D0195-E5CC-4C18-B2A9-5366ED866AE4}"/>
    <cellStyle name="CustomCellsOrange 3 2 41" xfId="19994" xr:uid="{20BE59AA-8390-4137-8228-AC5694360EFA}"/>
    <cellStyle name="CustomCellsOrange 3 2 42" xfId="20554" xr:uid="{E210DEE0-47B9-466B-BB5A-8188655F02B4}"/>
    <cellStyle name="CustomCellsOrange 3 2 43" xfId="21007" xr:uid="{0C4A8CC7-2612-4A61-BD89-12C6BFDA56CE}"/>
    <cellStyle name="CustomCellsOrange 3 2 44" xfId="21634" xr:uid="{DEBE1086-D85B-415E-BC3F-9AF3370D329A}"/>
    <cellStyle name="CustomCellsOrange 3 2 45" xfId="21938" xr:uid="{E95E6437-AED7-4337-90E7-55BD8C21CFC7}"/>
    <cellStyle name="CustomCellsOrange 3 2 46" xfId="22370" xr:uid="{BE8587EE-2A8F-437A-98BD-836218B1EF8F}"/>
    <cellStyle name="CustomCellsOrange 3 2 47" xfId="22756" xr:uid="{1645A1AC-132F-4060-9B0C-9E6C4414DA87}"/>
    <cellStyle name="CustomCellsOrange 3 2 48" xfId="22541" xr:uid="{6A024040-9C36-43C4-92AC-DC07EB59FE98}"/>
    <cellStyle name="CustomCellsOrange 3 2 49" xfId="23325" xr:uid="{39AF3061-2C26-4901-B3D3-365B4C32F691}"/>
    <cellStyle name="CustomCellsOrange 3 2 5" xfId="2434" xr:uid="{AA2C6947-A41A-4C50-81E9-CD23B739FFBD}"/>
    <cellStyle name="CustomCellsOrange 3 2 50" xfId="23803" xr:uid="{9160BE05-4380-4248-A2BE-1F4B0903EEEB}"/>
    <cellStyle name="CustomCellsOrange 3 2 51" xfId="24702" xr:uid="{51A3FD98-1CE6-415B-8911-4CF5651D11A6}"/>
    <cellStyle name="CustomCellsOrange 3 2 52" xfId="25262" xr:uid="{8901479D-4DCC-4293-9DE5-BAF1251F8A12}"/>
    <cellStyle name="CustomCellsOrange 3 2 53" xfId="25620" xr:uid="{74616FDC-2243-49FE-BA90-048A9630F333}"/>
    <cellStyle name="CustomCellsOrange 3 2 54" xfId="26060" xr:uid="{757B1E17-0D4D-4A6C-AD7D-C0E1019DCB37}"/>
    <cellStyle name="CustomCellsOrange 3 2 55" xfId="25145" xr:uid="{9A98426A-5261-4461-BA51-28C02B0CA79A}"/>
    <cellStyle name="CustomCellsOrange 3 2 56" xfId="26910" xr:uid="{67A9C6F4-A25A-4D56-8C36-8CD00F53692E}"/>
    <cellStyle name="CustomCellsOrange 3 2 57" xfId="27329" xr:uid="{3E3EAD1D-BFC7-4210-9A8E-8740F9C36DCC}"/>
    <cellStyle name="CustomCellsOrange 3 2 58" xfId="27764" xr:uid="{6B75B24A-B307-4FC8-A5B7-B6E983C87C09}"/>
    <cellStyle name="CustomCellsOrange 3 2 59" xfId="28452" xr:uid="{23C3E867-DDC1-4BEE-982C-4BF2647FDF8F}"/>
    <cellStyle name="CustomCellsOrange 3 2 6" xfId="2928" xr:uid="{E317297A-60CF-40F9-A734-A6A6E145240C}"/>
    <cellStyle name="CustomCellsOrange 3 2 60" xfId="28920" xr:uid="{692A0476-3196-4A7E-87BF-C2EBE3AA6E38}"/>
    <cellStyle name="CustomCellsOrange 3 2 61" xfId="29393" xr:uid="{FBE2BA74-9115-47E1-8A4E-44A999B02325}"/>
    <cellStyle name="CustomCellsOrange 3 2 62" xfId="29710" xr:uid="{F021CE5A-CE33-4ED7-8219-F5F09E8C8F5C}"/>
    <cellStyle name="CustomCellsOrange 3 2 63" xfId="30118" xr:uid="{7FFF3EC6-3940-4358-A079-E00F0E20FE68}"/>
    <cellStyle name="CustomCellsOrange 3 2 64" xfId="30532" xr:uid="{320D1977-8221-42EF-8EC3-26A4D7299DF1}"/>
    <cellStyle name="CustomCellsOrange 3 2 65" xfId="29454" xr:uid="{C41C4C04-B161-47C7-9679-40CB2CD4413C}"/>
    <cellStyle name="CustomCellsOrange 3 2 66" xfId="31156" xr:uid="{1786D1DC-5920-4E5C-B166-3B14E18CF11F}"/>
    <cellStyle name="CustomCellsOrange 3 2 7" xfId="3526" xr:uid="{02582F95-6BD9-4431-A42F-A7507E14816E}"/>
    <cellStyle name="CustomCellsOrange 3 2 8" xfId="3930" xr:uid="{B15F5B10-5A59-4D0D-BCF5-E5017A86C0C5}"/>
    <cellStyle name="CustomCellsOrange 3 2 9" xfId="4368" xr:uid="{E3F1B337-B296-4010-BA21-EA18794BBD79}"/>
    <cellStyle name="CustomCellsOrange 3 20" xfId="8085" xr:uid="{B777108F-6CB4-4965-A8A4-D89F495A91B0}"/>
    <cellStyle name="CustomCellsOrange 3 21" xfId="8903" xr:uid="{81F4E45C-0015-4BC1-BC90-3B7022DDBE97}"/>
    <cellStyle name="CustomCellsOrange 3 22" xfId="9217" xr:uid="{1B9526A7-F68E-4069-8932-F9FB5156F210}"/>
    <cellStyle name="CustomCellsOrange 3 23" xfId="9843" xr:uid="{BEDFF92D-15C5-4DE4-97B4-FE2072CD5FE8}"/>
    <cellStyle name="CustomCellsOrange 3 24" xfId="9293" xr:uid="{B88F4991-A212-4AA0-9255-BC94FC73A273}"/>
    <cellStyle name="CustomCellsOrange 3 25" xfId="10621" xr:uid="{20E1D01D-2F30-4C6C-AD46-E3EAB7968F15}"/>
    <cellStyle name="CustomCellsOrange 3 26" xfId="10396" xr:uid="{632A69EF-93B5-4049-8A2B-657DC5EEE7B6}"/>
    <cellStyle name="CustomCellsOrange 3 27" xfId="11629" xr:uid="{5BEBBF45-17A9-4214-A2DB-D1DF6C7DBC9F}"/>
    <cellStyle name="CustomCellsOrange 3 28" xfId="11766" xr:uid="{06D7C87C-059B-4E7D-BF2D-F6AA3C5CB36D}"/>
    <cellStyle name="CustomCellsOrange 3 29" xfId="11728" xr:uid="{011C0071-4EB3-4D70-9694-8F0991E6661B}"/>
    <cellStyle name="CustomCellsOrange 3 3" xfId="545" xr:uid="{66DB7E48-0FA5-46FC-BBD9-D2BAD618C92C}"/>
    <cellStyle name="CustomCellsOrange 3 3 10" xfId="4723" xr:uid="{9A6EEA95-AEE2-4D5F-9686-F449510F1712}"/>
    <cellStyle name="CustomCellsOrange 3 3 11" xfId="5193" xr:uid="{98397654-6CBB-4913-92FC-7A75A32C1E5E}"/>
    <cellStyle name="CustomCellsOrange 3 3 12" xfId="4798" xr:uid="{AE6B6815-9848-4D0E-8664-42A192BB3BBF}"/>
    <cellStyle name="CustomCellsOrange 3 3 13" xfId="5618" xr:uid="{8A6F0739-F651-4AE9-A3E4-7C48134B3A58}"/>
    <cellStyle name="CustomCellsOrange 3 3 14" xfId="6665" xr:uid="{8C5ACDD9-8934-4BEE-88DC-EC97C4B3135E}"/>
    <cellStyle name="CustomCellsOrange 3 3 15" xfId="7265" xr:uid="{36C7E14E-3C74-43DB-9776-099A43C211A5}"/>
    <cellStyle name="CustomCellsOrange 3 3 16" xfId="7697" xr:uid="{9E5ED5B4-FA6C-45E3-81A9-F16C7CB7A781}"/>
    <cellStyle name="CustomCellsOrange 3 3 17" xfId="7693" xr:uid="{A27147FB-C0E9-4CB6-8A2D-1E89BC5A7391}"/>
    <cellStyle name="CustomCellsOrange 3 3 18" xfId="8471" xr:uid="{79075C14-12EA-4336-8C08-0EE8DC83D9A8}"/>
    <cellStyle name="CustomCellsOrange 3 3 19" xfId="9479" xr:uid="{289D7FA5-320C-4F02-AEB0-001F44E10F5A}"/>
    <cellStyle name="CustomCellsOrange 3 3 2" xfId="760" xr:uid="{79B3952F-E060-4F1A-AC1F-EE7BF5C56043}"/>
    <cellStyle name="CustomCellsOrange 3 3 2 10" xfId="5408" xr:uid="{085187A1-020A-44DF-8F86-34E0814368F3}"/>
    <cellStyle name="CustomCellsOrange 3 3 2 11" xfId="2269" xr:uid="{96171B2B-4FF8-4334-91C5-203C94990061}"/>
    <cellStyle name="CustomCellsOrange 3 3 2 12" xfId="5029" xr:uid="{A210C1FF-2540-43A0-95D9-B859A7D466D8}"/>
    <cellStyle name="CustomCellsOrange 3 3 2 13" xfId="6474" xr:uid="{E1A1782D-DD1D-47D8-B335-F337960C4A65}"/>
    <cellStyle name="CustomCellsOrange 3 3 2 14" xfId="7480" xr:uid="{018B1331-4674-4975-9871-6DAA81D28227}"/>
    <cellStyle name="CustomCellsOrange 3 3 2 15" xfId="7197" xr:uid="{2887A26F-B4E3-4C37-B570-1AC1F502F8B7}"/>
    <cellStyle name="CustomCellsOrange 3 3 2 16" xfId="8370" xr:uid="{03D23686-A74F-48F0-A727-40E6562700CB}"/>
    <cellStyle name="CustomCellsOrange 3 3 2 17" xfId="8873" xr:uid="{72ECED37-23A7-4562-AE59-09D308D0E57A}"/>
    <cellStyle name="CustomCellsOrange 3 3 2 18" xfId="9694" xr:uid="{1FBF55B2-FD1D-4BB7-88BC-1C7267CB2986}"/>
    <cellStyle name="CustomCellsOrange 3 3 2 19" xfId="9410" xr:uid="{59892BBF-11F6-447D-AD3D-0DC93ED8B435}"/>
    <cellStyle name="CustomCellsOrange 3 3 2 2" xfId="1234" xr:uid="{539C94DA-6CE2-4B29-A288-8A07C2FF6F32}"/>
    <cellStyle name="CustomCellsOrange 3 3 2 20" xfId="9829" xr:uid="{DF85C558-63D9-4460-BD9A-C0516981CF69}"/>
    <cellStyle name="CustomCellsOrange 3 3 2 21" xfId="10071" xr:uid="{E6D05515-37D7-4EEA-A09B-02D30ECAFA23}"/>
    <cellStyle name="CustomCellsOrange 3 3 2 22" xfId="11180" xr:uid="{C5ECA778-4BA5-4E24-B78D-4A18346DFA88}"/>
    <cellStyle name="CustomCellsOrange 3 3 2 23" xfId="12113" xr:uid="{AD8A8EBC-51C9-4F90-9AE2-36F357911B79}"/>
    <cellStyle name="CustomCellsOrange 3 3 2 24" xfId="12586" xr:uid="{78A4159E-248A-47A6-AE31-BE1C89369F84}"/>
    <cellStyle name="CustomCellsOrange 3 3 2 25" xfId="13020" xr:uid="{80153770-6BB3-471E-ACAB-F764EDC6B4CC}"/>
    <cellStyle name="CustomCellsOrange 3 3 2 26" xfId="13457" xr:uid="{21AC8E5A-99B3-4497-ACF8-6A8563A0CCB7}"/>
    <cellStyle name="CustomCellsOrange 3 3 2 27" xfId="11815" xr:uid="{9FD42935-F768-4EFB-BEF3-204629A16D05}"/>
    <cellStyle name="CustomCellsOrange 3 3 2 28" xfId="13812" xr:uid="{04A5BB76-4E69-41B9-BBC2-52CB48B55554}"/>
    <cellStyle name="CustomCellsOrange 3 3 2 29" xfId="14142" xr:uid="{009386F4-D125-4397-820D-FBE710631DE0}"/>
    <cellStyle name="CustomCellsOrange 3 3 2 3" xfId="1756" xr:uid="{6622E19C-2597-4A70-B44B-1F56F4B37582}"/>
    <cellStyle name="CustomCellsOrange 3 3 2 30" xfId="15007" xr:uid="{A8AE2228-AE80-459E-B47F-800EB69BA4BF}"/>
    <cellStyle name="CustomCellsOrange 3 3 2 31" xfId="13588" xr:uid="{399EED74-7F5D-4DF5-A6BF-1C8BA9C439A4}"/>
    <cellStyle name="CustomCellsOrange 3 3 2 32" xfId="15704" xr:uid="{7B14075A-A481-44EB-9124-6709F5B7810B}"/>
    <cellStyle name="CustomCellsOrange 3 3 2 33" xfId="16805" xr:uid="{BBCF0164-6885-4730-8D8F-C22ECFD9F6C9}"/>
    <cellStyle name="CustomCellsOrange 3 3 2 34" xfId="16519" xr:uid="{2179FD1A-518A-47BA-B91A-66F8FA800B70}"/>
    <cellStyle name="CustomCellsOrange 3 3 2 35" xfId="16942" xr:uid="{21A27265-54DF-4DA6-AAF2-59464AE26DEC}"/>
    <cellStyle name="CustomCellsOrange 3 3 2 36" xfId="17651" xr:uid="{06EDC44A-2176-4B56-80C4-FE02AA644742}"/>
    <cellStyle name="CustomCellsOrange 3 3 2 37" xfId="18623" xr:uid="{FB3C8471-9F63-43B3-8ED3-4E68364D7BEE}"/>
    <cellStyle name="CustomCellsOrange 3 3 2 38" xfId="18978" xr:uid="{DDBB5C88-8B13-4F38-B386-B68D4782395E}"/>
    <cellStyle name="CustomCellsOrange 3 3 2 39" xfId="19143" xr:uid="{A41CEB3A-47BB-4863-A95C-0385CBC4849C}"/>
    <cellStyle name="CustomCellsOrange 3 3 2 4" xfId="2582" xr:uid="{C4A23EDB-8122-46E0-9B01-2ED153BF4110}"/>
    <cellStyle name="CustomCellsOrange 3 3 2 40" xfId="20142" xr:uid="{6A06F2A9-F9C6-4854-9679-DDBE1ACBE314}"/>
    <cellStyle name="CustomCellsOrange 3 3 2 41" xfId="19855" xr:uid="{D1892B2E-C0BC-44C4-9463-32B981FD37E1}"/>
    <cellStyle name="CustomCellsOrange 3 3 2 42" xfId="20378" xr:uid="{00F789FA-4496-41BE-8160-EE3FE227C29B}"/>
    <cellStyle name="CustomCellsOrange 3 3 2 43" xfId="21472" xr:uid="{58081305-13BD-4936-83FA-D44D258D91C6}"/>
    <cellStyle name="CustomCellsOrange 3 3 2 44" xfId="21150" xr:uid="{0774B2E3-75DE-4643-BC43-63EF401A7F9B}"/>
    <cellStyle name="CustomCellsOrange 3 3 2 45" xfId="20397" xr:uid="{8B926EA7-33EC-43B3-8F69-E8E933C31C46}"/>
    <cellStyle name="CustomCellsOrange 3 3 2 46" xfId="22049" xr:uid="{0813E3C6-76A9-44A8-B7C8-604BAB303582}"/>
    <cellStyle name="CustomCellsOrange 3 3 2 47" xfId="23265" xr:uid="{E7667965-0707-4641-92E3-33CCC26DCC11}"/>
    <cellStyle name="CustomCellsOrange 3 3 2 48" xfId="23305" xr:uid="{81341451-3979-447F-962B-45A590FE04CB}"/>
    <cellStyle name="CustomCellsOrange 3 3 2 49" xfId="23942" xr:uid="{6589D950-657B-4A9F-94D6-B4784C0ED1ED}"/>
    <cellStyle name="CustomCellsOrange 3 3 2 5" xfId="2734" xr:uid="{40569FCD-772E-4A2B-968D-F58010BA4872}"/>
    <cellStyle name="CustomCellsOrange 3 3 2 50" xfId="24850" xr:uid="{DED5C0F2-3C80-474A-AB6E-611D7F7566E3}"/>
    <cellStyle name="CustomCellsOrange 3 3 2 51" xfId="24558" xr:uid="{E5152C3D-8D8D-49D8-B605-837F3E6F7875}"/>
    <cellStyle name="CustomCellsOrange 3 3 2 52" xfId="25766" xr:uid="{424BFAE6-B64F-4E72-A24C-E98C64DC22E3}"/>
    <cellStyle name="CustomCellsOrange 3 3 2 53" xfId="25041" xr:uid="{CE7FAB3E-2431-49DF-91D6-C6ED6C1302DD}"/>
    <cellStyle name="CustomCellsOrange 3 3 2 54" xfId="26599" xr:uid="{C1BECFE1-F256-4BF7-AF3B-D6B4CD38303C}"/>
    <cellStyle name="CustomCellsOrange 3 3 2 55" xfId="27054" xr:uid="{4B11AFA3-7469-48FA-8AC7-0735F70BB93D}"/>
    <cellStyle name="CustomCellsOrange 3 3 2 56" xfId="27473" xr:uid="{C3CFDBF8-ACDE-46E3-AE29-CD2F23F73528}"/>
    <cellStyle name="CustomCellsOrange 3 3 2 57" xfId="26197" xr:uid="{B6871221-9DA3-48A8-AEFC-BCC8E2B62909}"/>
    <cellStyle name="CustomCellsOrange 3 3 2 58" xfId="28600" xr:uid="{BEECE1FA-C495-4851-8C57-DF7B48389C77}"/>
    <cellStyle name="CustomCellsOrange 3 3 2 59" xfId="29067" xr:uid="{D5B369D0-D767-4A9E-B0BF-29908336D472}"/>
    <cellStyle name="CustomCellsOrange 3 3 2 6" xfId="2273" xr:uid="{FED06B1E-7402-435D-A4CF-EEEF0EF40B14}"/>
    <cellStyle name="CustomCellsOrange 3 3 2 60" xfId="27996" xr:uid="{CCB1A5E0-EB6F-4887-9E3B-3842F2D6BE14}"/>
    <cellStyle name="CustomCellsOrange 3 3 2 61" xfId="29856" xr:uid="{1BB09A3F-0908-4056-A899-5412F957F2CE}"/>
    <cellStyle name="CustomCellsOrange 3 3 2 62" xfId="30262" xr:uid="{8C2A5B88-D184-43E0-88E8-AAB3C0F12304}"/>
    <cellStyle name="CustomCellsOrange 3 3 2 63" xfId="30679" xr:uid="{2C8E81D3-E50C-431D-95FB-3C046CB4B685}"/>
    <cellStyle name="CustomCellsOrange 3 3 2 64" xfId="30406" xr:uid="{73565796-3E65-4B1E-90B8-9056C7C4EFD1}"/>
    <cellStyle name="CustomCellsOrange 3 3 2 65" xfId="31295" xr:uid="{373E0C95-EAB6-4EDF-83F2-4F1ED33210DC}"/>
    <cellStyle name="CustomCellsOrange 3 3 2 7" xfId="4078" xr:uid="{7FDB6926-0DDE-4C72-A284-94B6CA10BFEC}"/>
    <cellStyle name="CustomCellsOrange 3 3 2 8" xfId="4515" xr:uid="{50F67D99-8ACF-4466-8F18-A10DC6209908}"/>
    <cellStyle name="CustomCellsOrange 3 3 2 9" xfId="4238" xr:uid="{FE80F10B-D82D-4F35-8BC1-FF5FFAE6408B}"/>
    <cellStyle name="CustomCellsOrange 3 3 20" xfId="9912" xr:uid="{7225F082-1FB0-4BCF-8B56-672937799AF1}"/>
    <cellStyle name="CustomCellsOrange 3 3 21" xfId="10343" xr:uid="{9F07E3AC-80B5-4C5C-B99F-5DD2BF304B94}"/>
    <cellStyle name="CustomCellsOrange 3 3 22" xfId="10846" xr:uid="{D191595D-C268-4EC6-AFBB-0CDAB2753591}"/>
    <cellStyle name="CustomCellsOrange 3 3 23" xfId="10306" xr:uid="{6D036B3D-896E-46E0-B9FD-8824FCAF1C65}"/>
    <cellStyle name="CustomCellsOrange 3 3 24" xfId="11898" xr:uid="{BF1B7FA0-33CF-414D-845E-C272E92FA050}"/>
    <cellStyle name="CustomCellsOrange 3 3 25" xfId="12371" xr:uid="{0E0B0B7D-3433-4263-BAB3-B27021D9AF97}"/>
    <cellStyle name="CustomCellsOrange 3 3 26" xfId="12805" xr:uid="{0E913469-6FF9-42A1-8CF9-EB3C768349B1}"/>
    <cellStyle name="CustomCellsOrange 3 3 27" xfId="13242" xr:uid="{369B3CC7-7E67-4AA7-BA7A-CF4901418592}"/>
    <cellStyle name="CustomCellsOrange 3 3 28" xfId="13703" xr:uid="{1E71A659-FCDE-43D0-BA7D-D3BAF63A1EE3}"/>
    <cellStyle name="CustomCellsOrange 3 3 29" xfId="14415" xr:uid="{A83A8537-6463-4141-B5B0-91433BC1AA25}"/>
    <cellStyle name="CustomCellsOrange 3 3 3" xfId="1028" xr:uid="{92C6D0A0-A2DC-43D3-A90B-6BB65139BE89}"/>
    <cellStyle name="CustomCellsOrange 3 3 30" xfId="14693" xr:uid="{09111644-71D8-4C23-A0AA-7A388C8EB646}"/>
    <cellStyle name="CustomCellsOrange 3 3 31" xfId="14721" xr:uid="{A74E3471-6798-4520-8E43-5B064607BC3C}"/>
    <cellStyle name="CustomCellsOrange 3 3 32" xfId="14550" xr:uid="{F8A1465C-7F81-4CF9-9DDB-E963CE4C6C54}"/>
    <cellStyle name="CustomCellsOrange 3 3 33" xfId="15807" xr:uid="{C03A80A6-C4C6-4750-8F12-879F9EC96B5A}"/>
    <cellStyle name="CustomCellsOrange 3 3 34" xfId="16590" xr:uid="{F2D5C976-9DDB-459C-8FC9-1A23A2990FFA}"/>
    <cellStyle name="CustomCellsOrange 3 3 35" xfId="17025" xr:uid="{37834991-AD7B-47F5-8B8C-EB38F5080849}"/>
    <cellStyle name="CustomCellsOrange 3 3 36" xfId="17472" xr:uid="{2EA14ADE-9A77-4B3A-9763-A2295E3E669F}"/>
    <cellStyle name="CustomCellsOrange 3 3 37" xfId="18092" xr:uid="{2C876C4D-8797-449E-AC5A-B68B9AA28D4E}"/>
    <cellStyle name="CustomCellsOrange 3 3 38" xfId="18408" xr:uid="{41D9387A-5EEA-42EF-B96B-C746B3461C8A}"/>
    <cellStyle name="CustomCellsOrange 3 3 39" xfId="18343" xr:uid="{6DCDB4C7-DD86-4EAF-83B5-739178ECE714}"/>
    <cellStyle name="CustomCellsOrange 3 3 4" xfId="1461" xr:uid="{71325798-D382-4C3D-9706-28939F4E1CBD}"/>
    <cellStyle name="CustomCellsOrange 3 3 40" xfId="19028" xr:uid="{E7FF3184-337B-4911-9AA8-2169B7FFB75E}"/>
    <cellStyle name="CustomCellsOrange 3 3 41" xfId="19927" xr:uid="{497883F5-2AC2-4ED3-88C3-396DAFFA2A9E}"/>
    <cellStyle name="CustomCellsOrange 3 3 42" xfId="20376" xr:uid="{10B49AA9-9A79-4E4B-8927-8BABFFE7495B}"/>
    <cellStyle name="CustomCellsOrange 3 3 43" xfId="20830" xr:uid="{0E5A9663-8D1E-4E1F-9CA9-184B542CC81D}"/>
    <cellStyle name="CustomCellsOrange 3 3 44" xfId="19589" xr:uid="{EF723F9B-0DA8-4622-8D9F-9A50CE8DBE6B}"/>
    <cellStyle name="CustomCellsOrange 3 3 45" xfId="21762" xr:uid="{464113E1-7353-4CFC-A678-B6B862C798D7}"/>
    <cellStyle name="CustomCellsOrange 3 3 46" xfId="22201" xr:uid="{D2C0A112-211E-4D0C-A9FF-41DE422CEDB2}"/>
    <cellStyle name="CustomCellsOrange 3 3 47" xfId="22700" xr:uid="{BC42E2B1-9750-4005-8ABA-F52EA537B1E8}"/>
    <cellStyle name="CustomCellsOrange 3 3 48" xfId="22800" xr:uid="{B1FAC09F-BA9A-46A3-8AB8-3646C727632D}"/>
    <cellStyle name="CustomCellsOrange 3 3 49" xfId="23587" xr:uid="{0C9531B5-59CE-4150-859C-0864E18931EC}"/>
    <cellStyle name="CustomCellsOrange 3 3 5" xfId="2367" xr:uid="{7C38C3C2-5F64-4E7B-B0E1-BE745FFB8E13}"/>
    <cellStyle name="CustomCellsOrange 3 3 50" xfId="23736" xr:uid="{4AC047B6-4A24-491C-93AF-852276C8A211}"/>
    <cellStyle name="CustomCellsOrange 3 3 51" xfId="24635" xr:uid="{6E346D98-EBC0-4AA2-8754-A38E5E2B8444}"/>
    <cellStyle name="CustomCellsOrange 3 3 52" xfId="25087" xr:uid="{652B9582-D83E-4081-8BBE-2352B36C0259}"/>
    <cellStyle name="CustomCellsOrange 3 3 53" xfId="25553" xr:uid="{F9034BD9-7C37-46E2-ADFC-7BE855FF76EC}"/>
    <cellStyle name="CustomCellsOrange 3 3 54" xfId="26005" xr:uid="{C6F5CD9C-2702-4D28-98F0-FB43575FD028}"/>
    <cellStyle name="CustomCellsOrange 3 3 55" xfId="26401" xr:uid="{BCAEADC0-9B8C-4520-A265-AEB5105B5D6D}"/>
    <cellStyle name="CustomCellsOrange 3 3 56" xfId="26843" xr:uid="{EFCB9F86-8EB4-4DF6-AA1C-82EE1C48E7AF}"/>
    <cellStyle name="CustomCellsOrange 3 3 57" xfId="27262" xr:uid="{6DB77D21-F6D2-44B5-B95B-F07D2B3A0A9B}"/>
    <cellStyle name="CustomCellsOrange 3 3 58" xfId="27632" xr:uid="{55384023-B9E9-4C91-8877-71BEF5EDD0E1}"/>
    <cellStyle name="CustomCellsOrange 3 3 59" xfId="28385" xr:uid="{997DF7C2-B826-4644-BCB7-F1E8828A7221}"/>
    <cellStyle name="CustomCellsOrange 3 3 6" xfId="2868" xr:uid="{C0BD6C16-4D5B-4E3A-A4F7-4AA5CF752044}"/>
    <cellStyle name="CustomCellsOrange 3 3 60" xfId="28853" xr:uid="{95777BD6-0DD2-48DD-81D1-EA75D4C00D7C}"/>
    <cellStyle name="CustomCellsOrange 3 3 61" xfId="29242" xr:uid="{767CBD32-AEB7-4CA0-A307-B7215863F6FE}"/>
    <cellStyle name="CustomCellsOrange 3 3 62" xfId="29643" xr:uid="{E2F0DAB9-9F58-401E-B080-FED26E484BB9}"/>
    <cellStyle name="CustomCellsOrange 3 3 63" xfId="30051" xr:uid="{33627A5A-F446-4FE7-91D6-96A7E76276F1}"/>
    <cellStyle name="CustomCellsOrange 3 3 64" xfId="30465" xr:uid="{2458B687-820D-46E1-8A05-DB7B3C09BA21}"/>
    <cellStyle name="CustomCellsOrange 3 3 65" xfId="31016" xr:uid="{328636B0-B5EF-4740-9C96-344B75263C99}"/>
    <cellStyle name="CustomCellsOrange 3 3 66" xfId="31089" xr:uid="{DDED265A-9210-4138-957A-E78FF3612C81}"/>
    <cellStyle name="CustomCellsOrange 3 3 7" xfId="2069" xr:uid="{DC137FAA-2B19-4FA2-88ED-F11B2EE02F4A}"/>
    <cellStyle name="CustomCellsOrange 3 3 8" xfId="3863" xr:uid="{C7D192BB-981A-401D-A246-74A2A7C3CAFA}"/>
    <cellStyle name="CustomCellsOrange 3 3 9" xfId="4301" xr:uid="{CD2271D6-9C04-43F5-BDE5-D86F425C5E5E}"/>
    <cellStyle name="CustomCellsOrange 3 30" xfId="12293" xr:uid="{8EC31270-14FB-4C5B-A243-98425BBC8293}"/>
    <cellStyle name="CustomCellsOrange 3 31" xfId="13994" xr:uid="{2A78CDF5-1692-40AC-B9E5-BCA0C6DDE012}"/>
    <cellStyle name="CustomCellsOrange 3 32" xfId="13792" xr:uid="{D3405585-AE01-460A-87E4-BF688A514903}"/>
    <cellStyle name="CustomCellsOrange 3 33" xfId="11493" xr:uid="{7CF1772B-B5D6-4571-9BBA-C5014ADEAD80}"/>
    <cellStyle name="CustomCellsOrange 3 34" xfId="14568" xr:uid="{8845C498-33EE-4148-A382-A6BA3DE35623}"/>
    <cellStyle name="CustomCellsOrange 3 35" xfId="15694" xr:uid="{D8FA5CF5-A698-4FE1-BE5A-A7E2E5339F0F}"/>
    <cellStyle name="CustomCellsOrange 3 36" xfId="14586" xr:uid="{CA84A2C6-5D42-42B5-81FB-5B672FBB70D4}"/>
    <cellStyle name="CustomCellsOrange 3 37" xfId="16324" xr:uid="{A4042BDC-D6DD-47EC-969A-875D1F7BC65F}"/>
    <cellStyle name="CustomCellsOrange 3 38" xfId="16959" xr:uid="{5C3E502F-CB74-47B0-9155-C9C31B32D148}"/>
    <cellStyle name="CustomCellsOrange 3 39" xfId="16108" xr:uid="{FAFD4471-F413-43F6-96B5-F7B8C00458C9}"/>
    <cellStyle name="CustomCellsOrange 3 4" xfId="558" xr:uid="{DFB20C87-2AE0-4352-8447-D5E437290F71}"/>
    <cellStyle name="CustomCellsOrange 3 4 10" xfId="4218" xr:uid="{6796F529-3B4F-490C-A1AC-BFCCAAA5083E}"/>
    <cellStyle name="CustomCellsOrange 3 4 11" xfId="5206" xr:uid="{4AEFD9D0-0813-46D3-98E4-456F07CAA462}"/>
    <cellStyle name="CustomCellsOrange 3 4 12" xfId="5731" xr:uid="{0334AAFF-0A96-4D80-8510-8D1757420163}"/>
    <cellStyle name="CustomCellsOrange 3 4 13" xfId="6167" xr:uid="{82BFEBCD-3A00-403E-BE8A-D8F53C25BE11}"/>
    <cellStyle name="CustomCellsOrange 3 4 14" xfId="4266" xr:uid="{36F61422-86B8-4D77-A6A3-7D7564751370}"/>
    <cellStyle name="CustomCellsOrange 3 4 15" xfId="7278" xr:uid="{E02790A5-E354-410F-8418-6C6605DDE9D1}"/>
    <cellStyle name="CustomCellsOrange 3 4 16" xfId="7927" xr:uid="{91017441-E522-4BC7-B779-45E7268A3B45}"/>
    <cellStyle name="CustomCellsOrange 3 4 17" xfId="7807" xr:uid="{8320FCA8-C9D8-45F3-BE4F-42D746AD9697}"/>
    <cellStyle name="CustomCellsOrange 3 4 18" xfId="8697" xr:uid="{36081843-4503-41D4-B294-B5C951BA87E2}"/>
    <cellStyle name="CustomCellsOrange 3 4 19" xfId="9492" xr:uid="{CE5DA3C9-E534-43A3-81F6-68B04FF7C423}"/>
    <cellStyle name="CustomCellsOrange 3 4 2" xfId="773" xr:uid="{8C47A215-F1FB-45A7-92CF-FAD03AE41B26}"/>
    <cellStyle name="CustomCellsOrange 3 4 2 10" xfId="5421" xr:uid="{2B0CC5D0-DE40-45C8-8DE9-5AF281EAD01F}"/>
    <cellStyle name="CustomCellsOrange 3 4 2 11" xfId="5954" xr:uid="{589E00F5-FE5D-44F0-8759-2D4891A7350C}"/>
    <cellStyle name="CustomCellsOrange 3 4 2 12" xfId="6035" xr:uid="{F2971CB5-BE1B-4EAF-A1BE-24F8596418B7}"/>
    <cellStyle name="CustomCellsOrange 3 4 2 13" xfId="5109" xr:uid="{56DC7646-D16F-4D19-86BB-7EDFA4AD3C02}"/>
    <cellStyle name="CustomCellsOrange 3 4 2 14" xfId="7493" xr:uid="{1C23F555-9CAA-4D19-9AC3-C53582AF1055}"/>
    <cellStyle name="CustomCellsOrange 3 4 2 15" xfId="7094" xr:uid="{12A57AD3-91A7-4AD5-BD90-66EFEA9CE3BE}"/>
    <cellStyle name="CustomCellsOrange 3 4 2 16" xfId="7170" xr:uid="{DE5C6480-84C7-4CC9-B462-BC44F0C97E70}"/>
    <cellStyle name="CustomCellsOrange 3 4 2 17" xfId="8844" xr:uid="{C38CB589-E213-41BC-AB59-78176E1045AC}"/>
    <cellStyle name="CustomCellsOrange 3 4 2 18" xfId="9707" xr:uid="{0E8B868C-7A80-4C0C-9D26-1F887402DB1A}"/>
    <cellStyle name="CustomCellsOrange 3 4 2 19" xfId="9307" xr:uid="{E30407C8-CC99-4D44-A8D3-6F0D3A96DB11}"/>
    <cellStyle name="CustomCellsOrange 3 4 2 2" xfId="1247" xr:uid="{550C9A66-D853-4046-832F-7468D44BDBD7}"/>
    <cellStyle name="CustomCellsOrange 3 4 2 20" xfId="9932" xr:uid="{1BA4C895-4AAC-4041-BD92-B3FBE1409527}"/>
    <cellStyle name="CustomCellsOrange 3 4 2 21" xfId="9105" xr:uid="{6C060D75-B94A-446D-9A5F-4DE8753A02A5}"/>
    <cellStyle name="CustomCellsOrange 3 4 2 22" xfId="8974" xr:uid="{EEF6A536-9E0B-41FF-BACA-A19B8509D8E5}"/>
    <cellStyle name="CustomCellsOrange 3 4 2 23" xfId="12126" xr:uid="{F81873C3-32BE-462C-9953-EC3C7BFF93DF}"/>
    <cellStyle name="CustomCellsOrange 3 4 2 24" xfId="12599" xr:uid="{5A0CBBAB-19F0-40AF-B0A7-17A1354F859A}"/>
    <cellStyle name="CustomCellsOrange 3 4 2 25" xfId="13033" xr:uid="{4A979A53-F718-48D4-AF7C-C239F9EA428D}"/>
    <cellStyle name="CustomCellsOrange 3 4 2 26" xfId="13470" xr:uid="{7550A0CF-32BD-40EA-B4B1-FEC861DA358E}"/>
    <cellStyle name="CustomCellsOrange 3 4 2 27" xfId="13612" xr:uid="{349FFA5C-2D60-4D44-90E0-93F36299AD24}"/>
    <cellStyle name="CustomCellsOrange 3 4 2 28" xfId="13605" xr:uid="{AE4C28DD-27FC-40E2-9299-98487987961C}"/>
    <cellStyle name="CustomCellsOrange 3 4 2 29" xfId="13944" xr:uid="{1C304F15-F42E-4B85-84F4-21C015C19B8C}"/>
    <cellStyle name="CustomCellsOrange 3 4 2 3" xfId="1430" xr:uid="{660D0E89-F3C8-4D63-8823-001B86300B3E}"/>
    <cellStyle name="CustomCellsOrange 3 4 2 30" xfId="15035" xr:uid="{0089F053-0DFF-4F11-953D-7E376E74E5DE}"/>
    <cellStyle name="CustomCellsOrange 3 4 2 31" xfId="13641" xr:uid="{4D569A49-A6CD-45A5-86D3-86B71A6EF987}"/>
    <cellStyle name="CustomCellsOrange 3 4 2 32" xfId="15657" xr:uid="{28BE9743-7188-4CC5-AE7A-4993500CB8F4}"/>
    <cellStyle name="CustomCellsOrange 3 4 2 33" xfId="16818" xr:uid="{6912052C-2B37-4C8E-AE55-7D36CD059C22}"/>
    <cellStyle name="CustomCellsOrange 3 4 2 34" xfId="16416" xr:uid="{D45FB990-52F5-4987-BC36-9528CDB16233}"/>
    <cellStyle name="CustomCellsOrange 3 4 2 35" xfId="17046" xr:uid="{4A30B2E0-A0EB-435C-9773-92DFE8F705DF}"/>
    <cellStyle name="CustomCellsOrange 3 4 2 36" xfId="17225" xr:uid="{090D0D56-AF27-4C36-9C4B-72B278554E1D}"/>
    <cellStyle name="CustomCellsOrange 3 4 2 37" xfId="18636" xr:uid="{19EABBBA-D1EA-4E0B-AE9A-277B4D138A9A}"/>
    <cellStyle name="CustomCellsOrange 3 4 2 38" xfId="17582" xr:uid="{E853DBB0-8D97-40B3-91C5-1EE5C321DC03}"/>
    <cellStyle name="CustomCellsOrange 3 4 2 39" xfId="19168" xr:uid="{F7FC6E96-6822-433C-8201-2D84A529183F}"/>
    <cellStyle name="CustomCellsOrange 3 4 2 4" xfId="2595" xr:uid="{5701E7B4-7393-4866-8B2A-664CF327AEB7}"/>
    <cellStyle name="CustomCellsOrange 3 4 2 40" xfId="20155" xr:uid="{7C28B9C9-B9FA-4576-889F-28F54E291332}"/>
    <cellStyle name="CustomCellsOrange 3 4 2 41" xfId="19751" xr:uid="{D72BF176-8551-4246-8C3C-83568D94FC36}"/>
    <cellStyle name="CustomCellsOrange 3 4 2 42" xfId="20607" xr:uid="{16CE7CF0-56E1-48EE-B6A9-0401D0ED7ED9}"/>
    <cellStyle name="CustomCellsOrange 3 4 2 43" xfId="21302" xr:uid="{B2BDFF43-8538-4C34-8A88-C6C8D3F7C52F}"/>
    <cellStyle name="CustomCellsOrange 3 4 2 44" xfId="21522" xr:uid="{5E60576A-1521-4F35-B420-B4A76C997470}"/>
    <cellStyle name="CustomCellsOrange 3 4 2 45" xfId="21333" xr:uid="{B44ED62A-B862-4534-9DD2-37202F53B5AE}"/>
    <cellStyle name="CustomCellsOrange 3 4 2 46" xfId="22621" xr:uid="{35DD5F4E-B8BA-4E0D-9B9D-07480A1478D4}"/>
    <cellStyle name="CustomCellsOrange 3 4 2 47" xfId="22474" xr:uid="{77DE54FC-7D55-4ABA-B3CB-FF90CD7A12F5}"/>
    <cellStyle name="CustomCellsOrange 3 4 2 48" xfId="23430" xr:uid="{5FD12114-1589-45CB-B040-44B5CADD2FB4}"/>
    <cellStyle name="CustomCellsOrange 3 4 2 49" xfId="23955" xr:uid="{B344084F-8DD4-49EB-B297-403E91A22605}"/>
    <cellStyle name="CustomCellsOrange 3 4 2 5" xfId="2779" xr:uid="{1E9CE9C3-AD42-409A-A656-092E10B5A57C}"/>
    <cellStyle name="CustomCellsOrange 3 4 2 50" xfId="24863" xr:uid="{496C3508-1B21-4524-9B64-F37EE0377394}"/>
    <cellStyle name="CustomCellsOrange 3 4 2 51" xfId="24244" xr:uid="{3C5CAB05-60E8-4DA8-BBD9-DFFB8DF1ABD9}"/>
    <cellStyle name="CustomCellsOrange 3 4 2 52" xfId="25779" xr:uid="{7CA49C38-337E-437E-9FAF-9AFD67B6391F}"/>
    <cellStyle name="CustomCellsOrange 3 4 2 53" xfId="25925" xr:uid="{1450E994-F4A8-44E4-84C0-5F9FF95A3C37}"/>
    <cellStyle name="CustomCellsOrange 3 4 2 54" xfId="25939" xr:uid="{33813D18-D0D0-4218-87D9-92275241B313}"/>
    <cellStyle name="CustomCellsOrange 3 4 2 55" xfId="27067" xr:uid="{BA310C10-9F7F-465E-A30C-2E059D766FAA}"/>
    <cellStyle name="CustomCellsOrange 3 4 2 56" xfId="27486" xr:uid="{3CD972FA-4B49-44C2-A5CD-5BA0E27C0B4F}"/>
    <cellStyle name="CustomCellsOrange 3 4 2 57" xfId="26770" xr:uid="{021FA56E-B674-4CD0-801A-25F869E797EB}"/>
    <cellStyle name="CustomCellsOrange 3 4 2 58" xfId="28613" xr:uid="{93BB9E5F-B537-430F-BBB6-69733E2ACA30}"/>
    <cellStyle name="CustomCellsOrange 3 4 2 59" xfId="29080" xr:uid="{2BE0B39F-F81E-4411-9273-98C73A3F0AEE}"/>
    <cellStyle name="CustomCellsOrange 3 4 2 6" xfId="1877" xr:uid="{7BD2947D-63A0-44CE-AE68-F5559418FCAB}"/>
    <cellStyle name="CustomCellsOrange 3 4 2 60" xfId="28254" xr:uid="{31C5B11D-2A3A-493A-8506-E8BD7EDB64E1}"/>
    <cellStyle name="CustomCellsOrange 3 4 2 61" xfId="29869" xr:uid="{6E1DF844-8E8F-4C11-9F0C-57BF154682E2}"/>
    <cellStyle name="CustomCellsOrange 3 4 2 62" xfId="30275" xr:uid="{870D65CC-B433-43DA-939E-107DA83C6775}"/>
    <cellStyle name="CustomCellsOrange 3 4 2 63" xfId="30692" xr:uid="{55E58E16-3032-423A-86AB-AEB58EB70F05}"/>
    <cellStyle name="CustomCellsOrange 3 4 2 64" xfId="30003" xr:uid="{9928F66E-1BB9-4219-AD40-F5AE9FC33C38}"/>
    <cellStyle name="CustomCellsOrange 3 4 2 65" xfId="31308" xr:uid="{9DE3FED2-7779-4410-ACA1-4211F0C4F713}"/>
    <cellStyle name="CustomCellsOrange 3 4 2 7" xfId="4091" xr:uid="{259D1A03-98B1-4AA1-945E-E3A91FE5301E}"/>
    <cellStyle name="CustomCellsOrange 3 4 2 8" xfId="4528" xr:uid="{2D5FBF86-3292-4401-9FDB-6DA0E5F2D2C9}"/>
    <cellStyle name="CustomCellsOrange 3 4 2 9" xfId="4455" xr:uid="{90399D20-C3C0-4576-B842-B6263A7EA669}"/>
    <cellStyle name="CustomCellsOrange 3 4 20" xfId="10140" xr:uid="{FB9C3027-EDEB-4EF9-B8A5-B26213B76DA8}"/>
    <cellStyle name="CustomCellsOrange 3 4 21" xfId="10550" xr:uid="{29BC38D0-62A9-456F-A7DA-B55AAB654C64}"/>
    <cellStyle name="CustomCellsOrange 3 4 22" xfId="10502" xr:uid="{5B00F86A-6ABF-4CAB-A3C0-F20FA837A7B5}"/>
    <cellStyle name="CustomCellsOrange 3 4 23" xfId="11163" xr:uid="{AE4A86D0-94F2-45CC-825D-D20DAE930A81}"/>
    <cellStyle name="CustomCellsOrange 3 4 24" xfId="11911" xr:uid="{8B3FF3A8-29F7-4EF7-BF0A-E5DB8A57F39C}"/>
    <cellStyle name="CustomCellsOrange 3 4 25" xfId="12384" xr:uid="{ED21CF89-4F43-48D4-93A7-E5FE5B547D9B}"/>
    <cellStyle name="CustomCellsOrange 3 4 26" xfId="12818" xr:uid="{85349968-1F62-4992-A153-421AEFBD6C42}"/>
    <cellStyle name="CustomCellsOrange 3 4 27" xfId="13255" xr:uid="{C6F5C2A3-E7C6-4C3C-A81C-3780605CA656}"/>
    <cellStyle name="CustomCellsOrange 3 4 28" xfId="11409" xr:uid="{5928676E-506C-48FA-BFCB-7752D62EF999}"/>
    <cellStyle name="CustomCellsOrange 3 4 29" xfId="13811" xr:uid="{A2978A78-A3F1-49AA-9046-0887C18447B1}"/>
    <cellStyle name="CustomCellsOrange 3 4 3" xfId="1041" xr:uid="{E6BCC2BF-2A9F-43F9-B671-0E599EC4C5EE}"/>
    <cellStyle name="CustomCellsOrange 3 4 30" xfId="14866" xr:uid="{DDEDC628-7D04-4447-9296-335DDFB4E67A}"/>
    <cellStyle name="CustomCellsOrange 3 4 31" xfId="12738" xr:uid="{C566DC1B-B429-4670-B07C-D6A4946AC594}"/>
    <cellStyle name="CustomCellsOrange 3 4 32" xfId="15645" xr:uid="{32860B8B-33E3-4A3F-B303-21F1AAFC022D}"/>
    <cellStyle name="CustomCellsOrange 3 4 33" xfId="15933" xr:uid="{B79322A8-ACB5-483C-BFD0-0E4155D0CC48}"/>
    <cellStyle name="CustomCellsOrange 3 4 34" xfId="16603" xr:uid="{94180561-CAF8-4675-963C-6557628CDA6B}"/>
    <cellStyle name="CustomCellsOrange 3 4 35" xfId="17260" xr:uid="{25A34CDE-ABC5-480C-A267-DED5CC76A1C0}"/>
    <cellStyle name="CustomCellsOrange 3 4 36" xfId="17704" xr:uid="{37B22313-61A7-403C-8FBD-FEE996AA68BF}"/>
    <cellStyle name="CustomCellsOrange 3 4 37" xfId="18051" xr:uid="{EF50FCD0-A9EF-4C82-8403-0DC761ABE7EC}"/>
    <cellStyle name="CustomCellsOrange 3 4 38" xfId="18421" xr:uid="{F03E6030-DC00-47CF-8815-2386DD55300A}"/>
    <cellStyle name="CustomCellsOrange 3 4 39" xfId="18772" xr:uid="{F1D8CE88-5F93-470E-95B4-E886A3D506A0}"/>
    <cellStyle name="CustomCellsOrange 3 4 4" xfId="1731" xr:uid="{9DFD7FB4-F6C0-4BA1-ADC5-7D2F196FC65E}"/>
    <cellStyle name="CustomCellsOrange 3 4 40" xfId="18088" xr:uid="{8B14A7EB-A949-43C7-8A63-04452197C917}"/>
    <cellStyle name="CustomCellsOrange 3 4 41" xfId="19940" xr:uid="{B7EBA761-F27E-40D8-802B-BEE2E5663200}"/>
    <cellStyle name="CustomCellsOrange 3 4 42" xfId="20610" xr:uid="{31B17C24-DB73-4413-AC56-90E51F4220A6}"/>
    <cellStyle name="CustomCellsOrange 3 4 43" xfId="21065" xr:uid="{E31C2B08-D1F3-4EFA-8B2D-4322E597B7DD}"/>
    <cellStyle name="CustomCellsOrange 3 4 44" xfId="21232" xr:uid="{C0CE3E5A-163D-4F51-9C4A-72D150C24CF4}"/>
    <cellStyle name="CustomCellsOrange 3 4 45" xfId="21996" xr:uid="{1C42A8A8-DA7F-48B2-8E29-E041251ADEC4}"/>
    <cellStyle name="CustomCellsOrange 3 4 46" xfId="22427" xr:uid="{4B9D4985-071D-4612-AB3D-BAB5CE6C8D1D}"/>
    <cellStyle name="CustomCellsOrange 3 4 47" xfId="22330" xr:uid="{B36B7323-7F5B-4C49-A32E-85FA28B95978}"/>
    <cellStyle name="CustomCellsOrange 3 4 48" xfId="23042" xr:uid="{05A294FB-1F28-4252-8CC6-1B402C53D786}"/>
    <cellStyle name="CustomCellsOrange 3 4 49" xfId="20777" xr:uid="{08A749DC-EA67-4950-91DB-A0FB14A34099}"/>
    <cellStyle name="CustomCellsOrange 3 4 5" xfId="2380" xr:uid="{B5076841-4C78-499C-AA9B-721E416D3A4E}"/>
    <cellStyle name="CustomCellsOrange 3 4 50" xfId="23749" xr:uid="{44FC8EC0-024F-4D3D-8249-257A368201D6}"/>
    <cellStyle name="CustomCellsOrange 3 4 51" xfId="24648" xr:uid="{AFC786AC-F94E-4156-9105-84BA6C464DC6}"/>
    <cellStyle name="CustomCellsOrange 3 4 52" xfId="25318" xr:uid="{C169D6AC-8D29-4997-A877-36E29126FF76}"/>
    <cellStyle name="CustomCellsOrange 3 4 53" xfId="25566" xr:uid="{87029610-D3E5-4429-B62D-EFED388690D2}"/>
    <cellStyle name="CustomCellsOrange 3 4 54" xfId="25007" xr:uid="{BB0F0746-7BED-44EE-A6AC-A5924DE52975}"/>
    <cellStyle name="CustomCellsOrange 3 4 55" xfId="26104" xr:uid="{97996257-C8DF-4F60-AC7C-AFD2495EED43}"/>
    <cellStyle name="CustomCellsOrange 3 4 56" xfId="26856" xr:uid="{415BC9BA-780A-44AB-A4F6-5A5FBDF7E44A}"/>
    <cellStyle name="CustomCellsOrange 3 4 57" xfId="27275" xr:uid="{D010DB8D-18EB-4D60-9C8D-594F65C1228B}"/>
    <cellStyle name="CustomCellsOrange 3 4 58" xfId="26170" xr:uid="{A3B41E92-0356-4D4B-9081-C3F2E1B681A8}"/>
    <cellStyle name="CustomCellsOrange 3 4 59" xfId="28398" xr:uid="{FCF3E3E6-E3A9-427F-B6AF-97C31D145859}"/>
    <cellStyle name="CustomCellsOrange 3 4 6" xfId="2052" xr:uid="{05338CF7-0D44-46DC-BD2E-A844BCA23E0F}"/>
    <cellStyle name="CustomCellsOrange 3 4 60" xfId="28866" xr:uid="{B24E5FBB-CA5C-412C-91B4-47AF9AC4E36C}"/>
    <cellStyle name="CustomCellsOrange 3 4 61" xfId="29440" xr:uid="{A13BF938-0D5D-484A-94BE-D52B11BB5905}"/>
    <cellStyle name="CustomCellsOrange 3 4 62" xfId="29656" xr:uid="{F3792D1C-8C8E-4324-933B-0172947AE4C0}"/>
    <cellStyle name="CustomCellsOrange 3 4 63" xfId="30064" xr:uid="{C226B538-C05F-4083-9825-0BE55A3C43C0}"/>
    <cellStyle name="CustomCellsOrange 3 4 64" xfId="30478" xr:uid="{CA82D441-3221-4EEA-A0B9-B3801FB47F33}"/>
    <cellStyle name="CustomCellsOrange 3 4 65" xfId="31009" xr:uid="{EBD7A809-C5FC-4E37-A7F9-96EEE70CF62B}"/>
    <cellStyle name="CustomCellsOrange 3 4 66" xfId="31102" xr:uid="{3417F68D-A7CE-48CD-82CF-396EEE76F51E}"/>
    <cellStyle name="CustomCellsOrange 3 4 7" xfId="3253" xr:uid="{1F410478-CA73-4036-93F8-9BB40D4901EE}"/>
    <cellStyle name="CustomCellsOrange 3 4 8" xfId="3876" xr:uid="{9B081B3A-6B8F-4650-AFB0-ADFD414B4488}"/>
    <cellStyle name="CustomCellsOrange 3 4 9" xfId="4314" xr:uid="{714A3E6C-47D1-4FCB-9616-72E426E3F148}"/>
    <cellStyle name="CustomCellsOrange 3 40" xfId="18271" xr:uid="{5CAF3068-C150-466D-9319-F746CCFC0030}"/>
    <cellStyle name="CustomCellsOrange 3 41" xfId="17780" xr:uid="{9A8856FC-BE11-4573-94B1-87B2B7AF9D5A}"/>
    <cellStyle name="CustomCellsOrange 3 42" xfId="19095" xr:uid="{DE9FD80F-9F08-454B-8004-1023B2C5F643}"/>
    <cellStyle name="CustomCellsOrange 3 43" xfId="16135" xr:uid="{74EB782F-D797-4E83-A349-F7233750867A}"/>
    <cellStyle name="CustomCellsOrange 3 44" xfId="19657" xr:uid="{495DCF99-A23E-4C66-8AC0-1F2F171C4BDC}"/>
    <cellStyle name="CustomCellsOrange 3 45" xfId="20306" xr:uid="{025BA14F-BF6B-47B3-A3DC-67D2AFB28E85}"/>
    <cellStyle name="CustomCellsOrange 3 46" xfId="20325" xr:uid="{2545D789-04D9-42A1-8F95-1F610052F8DC}"/>
    <cellStyle name="CustomCellsOrange 3 47" xfId="21650" xr:uid="{C32E7B5F-5C90-4435-A556-D6600668DABC}"/>
    <cellStyle name="CustomCellsOrange 3 48" xfId="21062" xr:uid="{655A1BBC-9815-4E34-82A9-274DD5889C0E}"/>
    <cellStyle name="CustomCellsOrange 3 49" xfId="21734" xr:uid="{4C1DBFB8-CDEE-4BBE-B940-6097EE5C2333}"/>
    <cellStyle name="CustomCellsOrange 3 5" xfId="698" xr:uid="{0BAD9F6D-2003-4D19-82FF-6AA7AA69633A}"/>
    <cellStyle name="CustomCellsOrange 3 5 2" xfId="5346" xr:uid="{57DCFCE1-6517-40D0-90E4-2DBF860AD499}"/>
    <cellStyle name="CustomCellsOrange 3 5 3" xfId="18861" xr:uid="{40EF2B4E-4CFA-4B3D-B74D-2DFBF59AF467}"/>
    <cellStyle name="CustomCellsOrange 3 5 4" xfId="20080" xr:uid="{F5DF76F4-48BB-455F-8403-CC3B9F094BEE}"/>
    <cellStyle name="CustomCellsOrange 3 5 5" xfId="24788" xr:uid="{D95DA874-51F3-4567-B3E8-AD6654D6858C}"/>
    <cellStyle name="CustomCellsOrange 3 50" xfId="22965" xr:uid="{21017581-C894-4B63-8DC8-18C9BE86E4EE}"/>
    <cellStyle name="CustomCellsOrange 3 51" xfId="23371" xr:uid="{58EF4480-A5D0-40CC-8750-A63C118DE1A0}"/>
    <cellStyle name="CustomCellsOrange 3 52" xfId="21870" xr:uid="{A6897117-BA43-4D90-A621-B338A9374B42}"/>
    <cellStyle name="CustomCellsOrange 3 53" xfId="23330" xr:uid="{57B2FE59-AFA6-43DC-A689-667D74EC362B}"/>
    <cellStyle name="CustomCellsOrange 3 54" xfId="24377" xr:uid="{6A767F9C-891F-46FB-8A78-71D59FD6DD3E}"/>
    <cellStyle name="CustomCellsOrange 3 55" xfId="25029" xr:uid="{34A1A533-F37E-4B7F-B3CB-9988EBA9DAF4}"/>
    <cellStyle name="CustomCellsOrange 3 56" xfId="25142" xr:uid="{CB37EFCC-10CB-46A6-9CD1-B0055546F120}"/>
    <cellStyle name="CustomCellsOrange 3 57" xfId="25956" xr:uid="{91F4D6D9-6EF5-4090-B464-A280C474E5FC}"/>
    <cellStyle name="CustomCellsOrange 3 58" xfId="24994" xr:uid="{CFB675BF-B6A2-4B51-AC0E-6FAF3DBD2A5F}"/>
    <cellStyle name="CustomCellsOrange 3 59" xfId="26422" xr:uid="{F0FDB235-CF79-4672-8703-3F6C0651029F}"/>
    <cellStyle name="CustomCellsOrange 3 6" xfId="950" xr:uid="{7690B3D0-A6A2-4728-97CD-26AE61EEBC33}"/>
    <cellStyle name="CustomCellsOrange 3 60" xfId="26488" xr:uid="{91A7EFAD-8CC8-4C81-90CC-A849E8ED53B7}"/>
    <cellStyle name="CustomCellsOrange 3 61" xfId="25294" xr:uid="{BFF3C18A-54EC-4774-A012-8F2DCC668D5F}"/>
    <cellStyle name="CustomCellsOrange 3 62" xfId="28148" xr:uid="{2CE0EE9C-8BA9-414F-8912-56D47AD466DA}"/>
    <cellStyle name="CustomCellsOrange 3 63" xfId="28533" xr:uid="{55253B5B-4810-4D0B-8DC2-DE3A794B1429}"/>
    <cellStyle name="CustomCellsOrange 3 64" xfId="28348" xr:uid="{0560409C-2520-4794-B23E-FC787C50ACB9}"/>
    <cellStyle name="CustomCellsOrange 3 65" xfId="28163" xr:uid="{77AC9627-09A6-4C6A-A710-E327DD78E574}"/>
    <cellStyle name="CustomCellsOrange 3 66" xfId="29215" xr:uid="{31F2FB00-2385-4EC5-8B0C-FF94EC37E64F}"/>
    <cellStyle name="CustomCellsOrange 3 67" xfId="28799" xr:uid="{DA1E5057-9BBC-40B1-B6CF-AB0E4D78F6FC}"/>
    <cellStyle name="CustomCellsOrange 3 68" xfId="29996" xr:uid="{76187D21-1FD8-45FB-A044-B96A81EF5B86}"/>
    <cellStyle name="CustomCellsOrange 3 69" xfId="30887" xr:uid="{7156B1EF-E69A-4E9A-8860-0C0B10C81A16}"/>
    <cellStyle name="CustomCellsOrange 3 7" xfId="1531" xr:uid="{6C0D69CD-3E8A-42BB-AF0B-57DBB61F4DFE}"/>
    <cellStyle name="CustomCellsOrange 3 8" xfId="2097" xr:uid="{8A1EF1B6-B3D8-4704-B7DC-A216FB1032C1}"/>
    <cellStyle name="CustomCellsOrange 3 9" xfId="3165" xr:uid="{C7F0DD96-D2F2-4DB1-AAE0-FBA5F255BF03}"/>
    <cellStyle name="CustomizationCells" xfId="18" xr:uid="{BB1BF6A0-41DF-4ECB-B37E-C587182EDBE9}"/>
    <cellStyle name="CustomizationCells 2" xfId="416" xr:uid="{7B2B2E70-3683-4C50-AC50-40F5A32EEFC2}"/>
    <cellStyle name="CustomizationCells 2 2" xfId="439" xr:uid="{5DD9343C-0046-4073-995C-93F641632190}"/>
    <cellStyle name="CustomizationCells 2 2 10" xfId="1975" xr:uid="{E8B082DF-5CB2-4BCD-81B8-18381096675B}"/>
    <cellStyle name="CustomizationCells 2 2 11" xfId="2245" xr:uid="{4B1CF3E3-AEF8-4D4E-B98B-043D5E1BDF1E}"/>
    <cellStyle name="CustomizationCells 2 2 12" xfId="3399" xr:uid="{D86ACC3F-A140-45D8-8883-859FF2BB12D2}"/>
    <cellStyle name="CustomizationCells 2 2 13" xfId="4765" xr:uid="{2E253FCD-4457-4E1C-A686-F808EE7DFBDF}"/>
    <cellStyle name="CustomizationCells 2 2 14" xfId="5093" xr:uid="{5B7AA4A4-41F1-4456-B2BC-C0EABB258D73}"/>
    <cellStyle name="CustomizationCells 2 2 15" xfId="5102" xr:uid="{56AE28F1-C720-4E82-9ED4-44C95FF25819}"/>
    <cellStyle name="CustomizationCells 2 2 16" xfId="5780" xr:uid="{C28BE80E-171C-4020-A8E8-6EAE534E07F7}"/>
    <cellStyle name="CustomizationCells 2 2 17" xfId="6512" xr:uid="{55C27C79-0F0A-434A-97BF-301180019857}"/>
    <cellStyle name="CustomizationCells 2 2 18" xfId="7164" xr:uid="{9633B38F-EFF8-4403-837F-356EF71D3A34}"/>
    <cellStyle name="CustomizationCells 2 2 19" xfId="7923" xr:uid="{CAB0BD3E-E39F-478C-852F-E753322EA677}"/>
    <cellStyle name="CustomizationCells 2 2 2" xfId="509" xr:uid="{9B3AD15B-07C6-4128-A0BA-72C4796F7B78}"/>
    <cellStyle name="CustomizationCells 2 2 2 2" xfId="675" xr:uid="{26DE474B-833E-4BAA-896E-4FAB67DD4634}"/>
    <cellStyle name="CustomizationCells 2 2 2 2 10" xfId="4888" xr:uid="{50EFFDF9-CE05-4E91-97DA-D220E98AA1F6}"/>
    <cellStyle name="CustomizationCells 2 2 2 2 11" xfId="5323" xr:uid="{AB54CE61-E6B8-4081-8696-9493F060C987}"/>
    <cellStyle name="CustomizationCells 2 2 2 2 12" xfId="1973" xr:uid="{DD0089F5-F3B1-4F35-9E44-54A79BB9FD77}"/>
    <cellStyle name="CustomizationCells 2 2 2 2 13" xfId="6139" xr:uid="{E16543FC-FD8F-4D2D-A0F5-2C12EB943815}"/>
    <cellStyle name="CustomizationCells 2 2 2 2 14" xfId="6344" xr:uid="{4DBAE090-BF4C-4B1F-AC89-DC859F8F837D}"/>
    <cellStyle name="CustomizationCells 2 2 2 2 15" xfId="7395" xr:uid="{120D26E9-4C7E-4744-A0F9-B52D25AC02FB}"/>
    <cellStyle name="CustomizationCells 2 2 2 2 16" xfId="7889" xr:uid="{3D5B75B2-6467-433D-A632-1B6F6C8FAB93}"/>
    <cellStyle name="CustomizationCells 2 2 2 2 17" xfId="7619" xr:uid="{EE88FF73-2FFE-4FF1-8993-D14659FD4680}"/>
    <cellStyle name="CustomizationCells 2 2 2 2 18" xfId="8386" xr:uid="{FD1813D7-31FF-400E-B5F8-B528E7936E30}"/>
    <cellStyle name="CustomizationCells 2 2 2 2 19" xfId="9609" xr:uid="{D06C566A-B83A-4D47-8879-D5CD58BC8580}"/>
    <cellStyle name="CustomizationCells 2 2 2 2 2" xfId="889" xr:uid="{3983CAD1-B8BC-4387-A7C1-9F8D670E6DAA}"/>
    <cellStyle name="CustomizationCells 2 2 2 2 2 10" xfId="5537" xr:uid="{FC552A47-4FB1-4390-ADA4-78944837A2C4}"/>
    <cellStyle name="CustomizationCells 2 2 2 2 2 11" xfId="6031" xr:uid="{BA70E067-45E5-4FDB-9DCC-4F588EEBE7D9}"/>
    <cellStyle name="CustomizationCells 2 2 2 2 2 12" xfId="6390" xr:uid="{C92EC1A8-B5AD-4C1A-A814-6A71A25CB742}"/>
    <cellStyle name="CustomizationCells 2 2 2 2 2 13" xfId="6728" xr:uid="{7A5764B0-FE70-4ACB-A558-9607F2B9A055}"/>
    <cellStyle name="CustomizationCells 2 2 2 2 2 14" xfId="7609" xr:uid="{F8C0FC46-A219-46B9-AEF6-CB4AB157CBF0}"/>
    <cellStyle name="CustomizationCells 2 2 2 2 2 15" xfId="8073" xr:uid="{00D0780F-6A38-43C0-B905-6EBB18E45846}"/>
    <cellStyle name="CustomizationCells 2 2 2 2 2 16" xfId="8682" xr:uid="{4A2A45AF-2395-4184-832D-B2152510D747}"/>
    <cellStyle name="CustomizationCells 2 2 2 2 2 17" xfId="8941" xr:uid="{B565A183-335C-46A4-81B4-BB9134D7B29D}"/>
    <cellStyle name="CustomizationCells 2 2 2 2 2 18" xfId="9823" xr:uid="{65724E45-9BA1-4B44-8F0B-4389107EA6D0}"/>
    <cellStyle name="CustomizationCells 2 2 2 2 2 19" xfId="10292" xr:uid="{4C1E26E4-F677-4960-BA9A-5B8A036AC278}"/>
    <cellStyle name="CustomizationCells 2 2 2 2 2 2" xfId="1363" xr:uid="{49F68B3D-A270-4B79-9C76-D39EC8503213}"/>
    <cellStyle name="CustomizationCells 2 2 2 2 2 20" xfId="10686" xr:uid="{B596DCC3-B7EF-4BCC-805B-ACF9BE726AF8}"/>
    <cellStyle name="CustomizationCells 2 2 2 2 2 21" xfId="11035" xr:uid="{7E3D04DF-C637-4D48-BE91-CF5ECD9D4E8C}"/>
    <cellStyle name="CustomizationCells 2 2 2 2 2 22" xfId="11345" xr:uid="{C0E3CCF0-19B5-4203-A622-B0491814BBFC}"/>
    <cellStyle name="CustomizationCells 2 2 2 2 2 23" xfId="12242" xr:uid="{D16A0E45-CAD5-46AE-AC12-A6D50674FE6A}"/>
    <cellStyle name="CustomizationCells 2 2 2 2 2 24" xfId="12715" xr:uid="{48235199-E201-4CE7-BFD7-90875F9B013B}"/>
    <cellStyle name="CustomizationCells 2 2 2 2 2 25" xfId="13149" xr:uid="{BE3E4572-7FE7-4F7F-A64B-81AE63CB754B}"/>
    <cellStyle name="CustomizationCells 2 2 2 2 2 26" xfId="13586" xr:uid="{26A3CD5B-826C-495D-BCCC-CFA7D364788A}"/>
    <cellStyle name="CustomizationCells 2 2 2 2 2 27" xfId="14058" xr:uid="{04AEFD42-8DF9-4D6E-B77B-CFF071430361}"/>
    <cellStyle name="CustomizationCells 2 2 2 2 2 28" xfId="14505" xr:uid="{5868572E-0B3C-46ED-AE43-6261645EB611}"/>
    <cellStyle name="CustomizationCells 2 2 2 2 2 29" xfId="14939" xr:uid="{3D588865-8330-4A7F-8A4B-FDFFA969DF51}"/>
    <cellStyle name="CustomizationCells 2 2 2 2 2 3" xfId="1812" xr:uid="{09066744-BFBE-427C-B791-3BDB896CE92B}"/>
    <cellStyle name="CustomizationCells 2 2 2 2 2 30" xfId="15409" xr:uid="{D49AAFF0-AE82-4384-8D23-CF6E82C20111}"/>
    <cellStyle name="CustomizationCells 2 2 2 2 2 31" xfId="15799" xr:uid="{E4A3E7CB-E8D9-4460-B12B-F2EB7D65BB8A}"/>
    <cellStyle name="CustomizationCells 2 2 2 2 2 32" xfId="16021" xr:uid="{8139E355-CF2F-4E8E-A0A3-F982870306C7}"/>
    <cellStyle name="CustomizationCells 2 2 2 2 2 33" xfId="16934" xr:uid="{B47E1C92-8BCC-421A-82A0-53FA0098E41B}"/>
    <cellStyle name="CustomizationCells 2 2 2 2 2 34" xfId="17415" xr:uid="{33723146-63AD-4A88-AD65-08620E496FDC}"/>
    <cellStyle name="CustomizationCells 2 2 2 2 2 35" xfId="17856" xr:uid="{0C59EAAD-FE20-40F5-8AF8-08CAC726698D}"/>
    <cellStyle name="CustomizationCells 2 2 2 2 2 36" xfId="18331" xr:uid="{E551E95B-82CA-474C-9605-B254CB33072A}"/>
    <cellStyle name="CustomizationCells 2 2 2 2 2 37" xfId="18752" xr:uid="{64EBA32F-F158-42D8-BBA9-3C0C1506D59B}"/>
    <cellStyle name="CustomizationCells 2 2 2 2 2 38" xfId="19139" xr:uid="{8ADCDA0F-1447-4E7E-ABAF-3D50C48E4754}"/>
    <cellStyle name="CustomizationCells 2 2 2 2 2 39" xfId="19369" xr:uid="{B2665758-AD92-4199-BB05-59FC044DBC35}"/>
    <cellStyle name="CustomizationCells 2 2 2 2 2 4" xfId="2711" xr:uid="{6CB2372C-975D-429E-8AF6-958B64300339}"/>
    <cellStyle name="CustomizationCells 2 2 2 2 2 40" xfId="20271" xr:uid="{608580CF-E950-4BC1-8480-D10D0FB878B0}"/>
    <cellStyle name="CustomizationCells 2 2 2 2 2 41" xfId="20764" xr:uid="{7E7E4B4C-0B77-412D-BB1D-45918B5AC9DF}"/>
    <cellStyle name="CustomizationCells 2 2 2 2 2 42" xfId="21223" xr:uid="{1649C339-E63D-4FA2-B60D-02881B9F8A18}"/>
    <cellStyle name="CustomizationCells 2 2 2 2 2 43" xfId="21715" xr:uid="{FB2860C1-DD68-4ACD-A725-CA5E4C0000C7}"/>
    <cellStyle name="CustomizationCells 2 2 2 2 2 44" xfId="22154" xr:uid="{45B2E133-3E48-49FB-B5E2-F4F5B8A35372}"/>
    <cellStyle name="CustomizationCells 2 2 2 2 2 45" xfId="22581" xr:uid="{5C0C0933-4084-4658-B7E8-69AE1B224BA5}"/>
    <cellStyle name="CustomizationCells 2 2 2 2 2 46" xfId="23026" xr:uid="{74F42189-2626-40A0-BFF2-942AF8A68EEF}"/>
    <cellStyle name="CustomizationCells 2 2 2 2 2 47" xfId="23428" xr:uid="{8B438147-80DA-418C-80FD-CE55133EEF1E}"/>
    <cellStyle name="CustomizationCells 2 2 2 2 2 48" xfId="23691" xr:uid="{5E01E989-46E7-4FBD-902E-B95ABF14CC4D}"/>
    <cellStyle name="CustomizationCells 2 2 2 2 2 49" xfId="24071" xr:uid="{504A3C02-D6B9-4912-964F-0172F42466F5}"/>
    <cellStyle name="CustomizationCells 2 2 2 2 2 5" xfId="3231" xr:uid="{07BF588A-7B06-474E-8B36-CD6ECC2136C2}"/>
    <cellStyle name="CustomizationCells 2 2 2 2 2 50" xfId="24979" xr:uid="{26334B7F-001D-4900-A6F1-5463F4A121B1}"/>
    <cellStyle name="CustomizationCells 2 2 2 2 2 51" xfId="25467" xr:uid="{2C9931F3-959A-4E6E-ACAE-13DFF9FDEB27}"/>
    <cellStyle name="CustomizationCells 2 2 2 2 2 52" xfId="25895" xr:uid="{73DBF5C1-EAF2-4851-88B4-B0784A13599E}"/>
    <cellStyle name="CustomizationCells 2 2 2 2 2 53" xfId="26333" xr:uid="{3D2F7798-78CC-429F-BD5E-419D7796EA40}"/>
    <cellStyle name="CustomizationCells 2 2 2 2 2 54" xfId="26762" xr:uid="{5CE560FD-49F2-4ECC-AA4D-42EC2EC3E09B}"/>
    <cellStyle name="CustomizationCells 2 2 2 2 2 55" xfId="27183" xr:uid="{E52B49E3-0E72-4E08-950E-87F01402E150}"/>
    <cellStyle name="CustomizationCells 2 2 2 2 2 56" xfId="27602" xr:uid="{21E819AF-2D47-4E4D-9FFB-19A083BFBE06}"/>
    <cellStyle name="CustomizationCells 2 2 2 2 2 57" xfId="27840" xr:uid="{21654A82-AD8B-469D-AD4C-04ADECC7A76D}"/>
    <cellStyle name="CustomizationCells 2 2 2 2 2 58" xfId="28729" xr:uid="{527CEB9D-F8F8-48ED-9425-2F1210B6202F}"/>
    <cellStyle name="CustomizationCells 2 2 2 2 2 59" xfId="29196" xr:uid="{8F0F1E6F-0530-43E2-955A-4D88D2CA03D3}"/>
    <cellStyle name="CustomizationCells 2 2 2 2 2 6" xfId="3786" xr:uid="{FAEC2241-E639-49BB-BE80-E1FA0FA89E61}"/>
    <cellStyle name="CustomizationCells 2 2 2 2 2 60" xfId="29578" xr:uid="{650922A2-BBD9-49A5-B380-81076702D9A2}"/>
    <cellStyle name="CustomizationCells 2 2 2 2 2 61" xfId="29985" xr:uid="{651E5891-9922-49DC-9BDF-1EAD5DA91394}"/>
    <cellStyle name="CustomizationCells 2 2 2 2 2 62" xfId="30391" xr:uid="{A22DC689-D14C-40E6-8421-EAA8FB0BD267}"/>
    <cellStyle name="CustomizationCells 2 2 2 2 2 63" xfId="30808" xr:uid="{720B2A0A-0167-47B0-926F-5C4DF0A7145A}"/>
    <cellStyle name="CustomizationCells 2 2 2 2 2 64" xfId="31053" xr:uid="{89FE55CA-65BD-4151-91B1-8366B3BBE086}"/>
    <cellStyle name="CustomizationCells 2 2 2 2 2 65" xfId="31424" xr:uid="{22D52BA2-6C91-4894-B3B3-394866666CFF}"/>
    <cellStyle name="CustomizationCells 2 2 2 2 2 7" xfId="4207" xr:uid="{D51A6699-CF49-487E-88C6-56DFA49E35E7}"/>
    <cellStyle name="CustomizationCells 2 2 2 2 2 8" xfId="4644" xr:uid="{240BB34D-01FD-4ACD-B7F0-5C764DC1B611}"/>
    <cellStyle name="CustomizationCells 2 2 2 2 2 9" xfId="5090" xr:uid="{C94554B6-2BFA-4007-8BA8-D60A3A0C6FA9}"/>
    <cellStyle name="CustomizationCells 2 2 2 2 20" xfId="10102" xr:uid="{B4929D52-D0BD-42A6-87E6-03ED892235B3}"/>
    <cellStyle name="CustomizationCells 2 2 2 2 21" xfId="10518" xr:uid="{37244940-5E6B-4A3A-83ED-E671BA79881A}"/>
    <cellStyle name="CustomizationCells 2 2 2 2 22" xfId="10737" xr:uid="{AD85B5F2-D08A-4EB3-8975-88B536FA28EB}"/>
    <cellStyle name="CustomizationCells 2 2 2 2 23" xfId="10935" xr:uid="{855E7270-2CD0-4781-9F51-E9C48C6A8940}"/>
    <cellStyle name="CustomizationCells 2 2 2 2 24" xfId="12028" xr:uid="{0A38C064-9BDA-4649-BFFD-68EF132325D7}"/>
    <cellStyle name="CustomizationCells 2 2 2 2 25" xfId="12501" xr:uid="{E243531B-C72C-4D22-AFC7-FB0D076684D8}"/>
    <cellStyle name="CustomizationCells 2 2 2 2 26" xfId="12935" xr:uid="{D04F9DB2-5005-4353-BEDC-1E3C9CAAD056}"/>
    <cellStyle name="CustomizationCells 2 2 2 2 27" xfId="13372" xr:uid="{330678A9-EB6C-4711-ADD8-E0C023BB3FA8}"/>
    <cellStyle name="CustomizationCells 2 2 2 2 28" xfId="13731" xr:uid="{284566B3-BA49-4F17-8B71-4FC4884E2A3E}"/>
    <cellStyle name="CustomizationCells 2 2 2 2 29" xfId="14327" xr:uid="{263739E8-C23F-4C04-AC76-90991812F4C5}"/>
    <cellStyle name="CustomizationCells 2 2 2 2 3" xfId="1157" xr:uid="{F275D878-7520-43CC-A687-16178C62691B}"/>
    <cellStyle name="CustomizationCells 2 2 2 2 30" xfId="14752" xr:uid="{C403BC4A-32F9-456F-8EC8-64501EDAD051}"/>
    <cellStyle name="CustomizationCells 2 2 2 2 31" xfId="15056" xr:uid="{60B9A895-F508-4456-97F1-9985B257AB59}"/>
    <cellStyle name="CustomizationCells 2 2 2 2 32" xfId="13753" xr:uid="{58ADC85B-4F65-4191-8939-2002219DDF22}"/>
    <cellStyle name="CustomizationCells 2 2 2 2 33" xfId="15912" xr:uid="{B9EDE7DC-9C2B-4C49-B399-1DEBA908DB3A}"/>
    <cellStyle name="CustomizationCells 2 2 2 2 34" xfId="16720" xr:uid="{45C099DB-07F4-4A0D-9F98-712C0A1309D2}"/>
    <cellStyle name="CustomizationCells 2 2 2 2 35" xfId="17221" xr:uid="{798AB9B1-3086-41F4-8EE6-A6FC0599DA77}"/>
    <cellStyle name="CustomizationCells 2 2 2 2 36" xfId="17666" xr:uid="{3CD5C56B-20B1-4CB2-BB19-9C8D3D916541}"/>
    <cellStyle name="CustomizationCells 2 2 2 2 37" xfId="18153" xr:uid="{FC210B34-04D2-4630-90B7-499E3760AAAD}"/>
    <cellStyle name="CustomizationCells 2 2 2 2 38" xfId="18538" xr:uid="{4D4F6968-2BD9-4EAF-BE17-BAA032D9F87E}"/>
    <cellStyle name="CustomizationCells 2 2 2 2 39" xfId="17920" xr:uid="{75E65480-4C1A-42EA-83D2-4ED2272BC595}"/>
    <cellStyle name="CustomizationCells 2 2 2 2 4" xfId="1373" xr:uid="{961B170B-A677-4873-ACC2-DBBA2CB9E02D}"/>
    <cellStyle name="CustomizationCells 2 2 2 2 40" xfId="19331" xr:uid="{3182676A-FFD9-47BB-8816-9EC7A3FEAE70}"/>
    <cellStyle name="CustomizationCells 2 2 2 2 41" xfId="20057" xr:uid="{DE726873-6FD2-4A39-BB20-D188F3E93796}"/>
    <cellStyle name="CustomizationCells 2 2 2 2 42" xfId="20574" xr:uid="{5D64F8F8-70E3-4A46-B81C-79856EBC8F11}"/>
    <cellStyle name="CustomizationCells 2 2 2 2 43" xfId="21027" xr:uid="{EDE34666-7EC2-41F7-B821-27878121C09D}"/>
    <cellStyle name="CustomizationCells 2 2 2 2 44" xfId="21540" xr:uid="{52E0D8B6-6D57-4276-9569-77BB4C541A1A}"/>
    <cellStyle name="CustomizationCells 2 2 2 2 45" xfId="21958" xr:uid="{D1628D5B-D28F-4A66-A2D8-A6AC4B94087D}"/>
    <cellStyle name="CustomizationCells 2 2 2 2 46" xfId="22389" xr:uid="{75AD711C-F040-44F0-9AFF-E1840A1BE25D}"/>
    <cellStyle name="CustomizationCells 2 2 2 2 47" xfId="22727" xr:uid="{DD7DF0AA-AF14-49DC-8168-9858EDA9C9E0}"/>
    <cellStyle name="CustomizationCells 2 2 2 2 48" xfId="21231" xr:uid="{D0785C88-389D-4153-9D1A-585DFD01FA33}"/>
    <cellStyle name="CustomizationCells 2 2 2 2 49" xfId="23355" xr:uid="{913566AB-872A-4C7B-B60C-BFAD36D7CC6B}"/>
    <cellStyle name="CustomizationCells 2 2 2 2 5" xfId="2497" xr:uid="{815E66CE-8C45-49A1-B468-D7BDCD0ACD27}"/>
    <cellStyle name="CustomizationCells 2 2 2 2 50" xfId="23865" xr:uid="{3A486A71-041B-498B-8D2A-4CE202504AE8}"/>
    <cellStyle name="CustomizationCells 2 2 2 2 51" xfId="24765" xr:uid="{E31B142B-E0F7-44F3-9E11-0AD11B0CC48F}"/>
    <cellStyle name="CustomizationCells 2 2 2 2 52" xfId="25282" xr:uid="{3F0BACEB-B295-48D4-926C-4B091E974510}"/>
    <cellStyle name="CustomizationCells 2 2 2 2 53" xfId="25683" xr:uid="{8EF10229-4F49-4CEE-B615-848E0CDAFE51}"/>
    <cellStyle name="CustomizationCells 2 2 2 2 54" xfId="26031" xr:uid="{744F4835-586D-4DD4-AF10-A7A38B04CEB6}"/>
    <cellStyle name="CustomizationCells 2 2 2 2 55" xfId="25240" xr:uid="{89E58C54-466F-43AC-A8D1-1B10ACF72A45}"/>
    <cellStyle name="CustomizationCells 2 2 2 2 56" xfId="26973" xr:uid="{DA0A9541-D6D4-468A-93E2-4BAFADE20C1D}"/>
    <cellStyle name="CustomizationCells 2 2 2 2 57" xfId="27392" xr:uid="{F1F56BE0-F861-49CD-90D3-8432D847C51D}"/>
    <cellStyle name="CustomizationCells 2 2 2 2 58" xfId="24270" xr:uid="{948A0405-0E2B-4395-8C32-F0E16F0B58B4}"/>
    <cellStyle name="CustomizationCells 2 2 2 2 59" xfId="28515" xr:uid="{9E059394-C4ED-436C-A3FF-E833343AA007}"/>
    <cellStyle name="CustomizationCells 2 2 2 2 6" xfId="2896" xr:uid="{E1BCA042-453F-430D-9515-D63806C7149D}"/>
    <cellStyle name="CustomizationCells 2 2 2 2 60" xfId="28983" xr:uid="{9E6E4415-F7E3-4521-9E58-63E40EB5D365}"/>
    <cellStyle name="CustomizationCells 2 2 2 2 61" xfId="29410" xr:uid="{41FCB234-5F35-49AF-9ABE-0C9443D662E2}"/>
    <cellStyle name="CustomizationCells 2 2 2 2 62" xfId="29773" xr:uid="{FEEA52CA-680E-47FF-AA9E-E4782077CE49}"/>
    <cellStyle name="CustomizationCells 2 2 2 2 63" xfId="30180" xr:uid="{ADE1250A-38CD-4294-B7AB-854ABC0133D3}"/>
    <cellStyle name="CustomizationCells 2 2 2 2 64" xfId="30595" xr:uid="{292EC000-39D4-4083-8770-E0CDCA2931D4}"/>
    <cellStyle name="CustomizationCells 2 2 2 2 65" xfId="30902" xr:uid="{2B49D25D-D3AF-4CB2-9781-958D7D20E70E}"/>
    <cellStyle name="CustomizationCells 2 2 2 2 66" xfId="31218" xr:uid="{51ADCA7B-9AD6-491A-BCD0-17E7C1DEDF85}"/>
    <cellStyle name="CustomizationCells 2 2 2 2 7" xfId="2826" xr:uid="{EE88DD43-197A-426F-A4A6-B981D35F1E73}"/>
    <cellStyle name="CustomizationCells 2 2 2 2 8" xfId="3993" xr:uid="{06838B93-203A-4806-A9F4-78D20A1EB4E5}"/>
    <cellStyle name="CustomizationCells 2 2 2 2 9" xfId="4431" xr:uid="{0C7043E5-D7ED-4AAB-AFFA-208C8ADD06F9}"/>
    <cellStyle name="CustomizationCells 2 2 20" xfId="7668" xr:uid="{C6ECF1B7-CA07-49F8-BC80-1AC906DD7636}"/>
    <cellStyle name="CustomizationCells 2 2 21" xfId="7996" xr:uid="{2F45EE5D-F7B0-4F26-9FEC-F1261F95E194}"/>
    <cellStyle name="CustomizationCells 2 2 22" xfId="9379" xr:uid="{0AEC5CA4-7419-4BE9-B988-BB5BFDF95C9F}"/>
    <cellStyle name="CustomizationCells 2 2 23" xfId="10137" xr:uid="{84EF811E-8E5E-491F-BF9B-EAB2F01AEAB0}"/>
    <cellStyle name="CustomizationCells 2 2 24" xfId="10547" xr:uid="{4F2E6395-A4FC-4211-ABC6-D583B717866F}"/>
    <cellStyle name="CustomizationCells 2 2 25" xfId="10018" xr:uid="{C057E6E8-D6BB-4EFC-8540-8BE829161B3D}"/>
    <cellStyle name="CustomizationCells 2 2 26" xfId="10790" xr:uid="{14242432-F216-4A17-B227-C9E4ADA867B7}"/>
    <cellStyle name="CustomizationCells 2 2 27" xfId="11792" xr:uid="{93F96321-7D57-4813-94F1-6BC850CDB3B2}"/>
    <cellStyle name="CustomizationCells 2 2 28" xfId="12266" xr:uid="{CF3E0A51-3B2E-4D47-AA77-78D2DA88EF70}"/>
    <cellStyle name="CustomizationCells 2 2 29" xfId="11371" xr:uid="{F777AAFA-0D07-4229-87E8-BD8A3C66ECDD}"/>
    <cellStyle name="CustomizationCells 2 2 3" xfId="658" xr:uid="{C5A2AD11-AACC-4C4E-9F18-42F7DBA9699F}"/>
    <cellStyle name="CustomizationCells 2 2 3 10" xfId="4987" xr:uid="{54CB82FC-6E52-4E8C-A78E-6D4D95D91FBB}"/>
    <cellStyle name="CustomizationCells 2 2 3 11" xfId="5306" xr:uid="{C4A9E412-2162-4CE2-BC23-FB791768A328}"/>
    <cellStyle name="CustomizationCells 2 2 3 12" xfId="4912" xr:uid="{5B0E3929-6E51-4884-9A86-023563BC1BFC}"/>
    <cellStyle name="CustomizationCells 2 2 3 13" xfId="5950" xr:uid="{E37EEC61-B7F2-4630-B5F5-EEAC680C9845}"/>
    <cellStyle name="CustomizationCells 2 2 3 14" xfId="6626" xr:uid="{723B9F98-8A18-41E9-A572-40A80731E6DD}"/>
    <cellStyle name="CustomizationCells 2 2 3 15" xfId="7378" xr:uid="{62311638-F3F0-4AA0-9F88-D3EEFA430ECF}"/>
    <cellStyle name="CustomizationCells 2 2 3 16" xfId="7747" xr:uid="{0D6B3024-6FD7-4660-A128-03D72F630DA3}"/>
    <cellStyle name="CustomizationCells 2 2 3 17" xfId="8081" xr:uid="{274F45BA-E55D-4C0B-86DE-2D85493CB4BF}"/>
    <cellStyle name="CustomizationCells 2 2 3 18" xfId="8139" xr:uid="{DBC01BF2-5406-45FD-AAB8-320609BEDECF}"/>
    <cellStyle name="CustomizationCells 2 2 3 19" xfId="9592" xr:uid="{A18F2DFC-C1F7-4D5F-A214-DA725E5AD2F4}"/>
    <cellStyle name="CustomizationCells 2 2 3 2" xfId="873" xr:uid="{BE49B008-6FF1-4F3B-8137-FAD9623928EF}"/>
    <cellStyle name="CustomizationCells 2 2 3 2 10" xfId="5521" xr:uid="{01905FB9-EB63-41A6-B0F8-BB7BA158673E}"/>
    <cellStyle name="CustomizationCells 2 2 3 2 11" xfId="6015" xr:uid="{F9A2C439-F965-4648-BBB2-52B0623001F3}"/>
    <cellStyle name="CustomizationCells 2 2 3 2 12" xfId="6374" xr:uid="{EAADF7C9-4ACB-482B-AC58-598B15637943}"/>
    <cellStyle name="CustomizationCells 2 2 3 2 13" xfId="6712" xr:uid="{AA55A6E5-BC87-4183-BD01-E56433CA84BF}"/>
    <cellStyle name="CustomizationCells 2 2 3 2 14" xfId="7593" xr:uid="{4D4448D8-8B2C-429A-8958-E25CC0444D67}"/>
    <cellStyle name="CustomizationCells 2 2 3 2 15" xfId="8057" xr:uid="{441A8FCC-6251-4132-B0B6-0CEAB1F6A218}"/>
    <cellStyle name="CustomizationCells 2 2 3 2 16" xfId="8666" xr:uid="{14E741EF-8B07-4880-B64C-41D886A73F9F}"/>
    <cellStyle name="CustomizationCells 2 2 3 2 17" xfId="8925" xr:uid="{9D86F5F0-638A-46F6-8207-08D55B8337F5}"/>
    <cellStyle name="CustomizationCells 2 2 3 2 18" xfId="9807" xr:uid="{A5C8AA62-63A0-44D6-8865-688661BFBFF1}"/>
    <cellStyle name="CustomizationCells 2 2 3 2 19" xfId="10276" xr:uid="{C5477E81-9797-4A3D-86DD-9A47814F7B50}"/>
    <cellStyle name="CustomizationCells 2 2 3 2 2" xfId="1347" xr:uid="{245D3C0E-56FC-4765-BF25-97863CB039E2}"/>
    <cellStyle name="CustomizationCells 2 2 3 2 20" xfId="10670" xr:uid="{F3EA2709-FC1C-44BA-9CE2-95C57F7F3584}"/>
    <cellStyle name="CustomizationCells 2 2 3 2 21" xfId="11019" xr:uid="{D16ADC01-DB7F-4338-BB80-2D4F7FF34054}"/>
    <cellStyle name="CustomizationCells 2 2 3 2 22" xfId="11329" xr:uid="{628F12ED-1A4C-46BD-9DBB-17D9A1E834DE}"/>
    <cellStyle name="CustomizationCells 2 2 3 2 23" xfId="12226" xr:uid="{46FCBE61-5F5F-444E-AC00-96A097E79FFA}"/>
    <cellStyle name="CustomizationCells 2 2 3 2 24" xfId="12699" xr:uid="{39A9BB89-2C02-4133-A962-1EE6B0A983F3}"/>
    <cellStyle name="CustomizationCells 2 2 3 2 25" xfId="13133" xr:uid="{772DAD65-B244-4263-AC75-369970D3CD8B}"/>
    <cellStyle name="CustomizationCells 2 2 3 2 26" xfId="13570" xr:uid="{BF463C18-A49F-4876-9259-7CC4C11C1C6A}"/>
    <cellStyle name="CustomizationCells 2 2 3 2 27" xfId="14042" xr:uid="{171989A7-C6EF-4A90-B917-7E7BD5870549}"/>
    <cellStyle name="CustomizationCells 2 2 3 2 28" xfId="14489" xr:uid="{70917439-B1D0-49FC-A279-6FEF86A76BFE}"/>
    <cellStyle name="CustomizationCells 2 2 3 2 29" xfId="14923" xr:uid="{9B78E6B6-6C8B-4274-9F72-749D21123D5C}"/>
    <cellStyle name="CustomizationCells 2 2 3 2 3" xfId="1796" xr:uid="{C6659A90-86EB-4A7E-9E01-06C46842325B}"/>
    <cellStyle name="CustomizationCells 2 2 3 2 30" xfId="15393" xr:uid="{C2AE859A-8258-4497-B49E-DE87C12B0B27}"/>
    <cellStyle name="CustomizationCells 2 2 3 2 31" xfId="15783" xr:uid="{413DD07F-F4FB-4504-A8DB-F07ACF16FC6A}"/>
    <cellStyle name="CustomizationCells 2 2 3 2 32" xfId="16005" xr:uid="{460C72A3-6D09-4B08-84A4-C7AF0208A48E}"/>
    <cellStyle name="CustomizationCells 2 2 3 2 33" xfId="16918" xr:uid="{FC4A257B-6679-434A-8149-032871FEA5C2}"/>
    <cellStyle name="CustomizationCells 2 2 3 2 34" xfId="17399" xr:uid="{5B1805BC-A827-4631-92CC-952C57CFC138}"/>
    <cellStyle name="CustomizationCells 2 2 3 2 35" xfId="17840" xr:uid="{C01E1B92-A336-4578-96BC-B29AA002CD75}"/>
    <cellStyle name="CustomizationCells 2 2 3 2 36" xfId="18315" xr:uid="{36015858-17CB-4CBA-AB54-BCCDF940301C}"/>
    <cellStyle name="CustomizationCells 2 2 3 2 37" xfId="18736" xr:uid="{A6C1924C-D1DF-4ED5-B9A7-D1F9558FB7FA}"/>
    <cellStyle name="CustomizationCells 2 2 3 2 38" xfId="19123" xr:uid="{04CEA15C-83B8-4903-B0BA-89948C8E110C}"/>
    <cellStyle name="CustomizationCells 2 2 3 2 39" xfId="19353" xr:uid="{BB99F999-3C8F-4CD5-93D4-25041FD6B6C1}"/>
    <cellStyle name="CustomizationCells 2 2 3 2 4" xfId="2695" xr:uid="{71D0BD5E-008B-4553-A148-84E0FBC2CC3A}"/>
    <cellStyle name="CustomizationCells 2 2 3 2 40" xfId="20255" xr:uid="{6EB563A4-D2D5-4CEF-99E2-7F1FF3BBD8B5}"/>
    <cellStyle name="CustomizationCells 2 2 3 2 41" xfId="20748" xr:uid="{87A2183B-F5C6-4CB1-8D28-F05B3E828B07}"/>
    <cellStyle name="CustomizationCells 2 2 3 2 42" xfId="21207" xr:uid="{691444BA-3A3F-4439-98A7-62A51B9910FA}"/>
    <cellStyle name="CustomizationCells 2 2 3 2 43" xfId="21699" xr:uid="{689ED483-BBEF-4F45-A7E3-617436609C8F}"/>
    <cellStyle name="CustomizationCells 2 2 3 2 44" xfId="22138" xr:uid="{705CB9EF-5939-46FE-81F8-0A43433564D9}"/>
    <cellStyle name="CustomizationCells 2 2 3 2 45" xfId="22565" xr:uid="{989732FE-CE53-4BDD-BDD4-98BA38C9A6F3}"/>
    <cellStyle name="CustomizationCells 2 2 3 2 46" xfId="23010" xr:uid="{39AEE52C-DADF-47D9-AA25-DC6C1649FC42}"/>
    <cellStyle name="CustomizationCells 2 2 3 2 47" xfId="23412" xr:uid="{0C381B8E-E03B-4F5C-8696-BC84441269D5}"/>
    <cellStyle name="CustomizationCells 2 2 3 2 48" xfId="23675" xr:uid="{04D871A8-547E-4CA9-B6E6-4DFF1C90E88A}"/>
    <cellStyle name="CustomizationCells 2 2 3 2 49" xfId="24055" xr:uid="{7C89934D-DC84-4E3D-B8A2-E432AEA35EA5}"/>
    <cellStyle name="CustomizationCells 2 2 3 2 5" xfId="3215" xr:uid="{399BF22F-AE25-4A92-84EA-5A91386EADF1}"/>
    <cellStyle name="CustomizationCells 2 2 3 2 50" xfId="24963" xr:uid="{1D013045-4278-42F5-A4BA-E6BE332EB142}"/>
    <cellStyle name="CustomizationCells 2 2 3 2 51" xfId="25451" xr:uid="{CB374391-F533-48B0-B49A-15AE66EC1547}"/>
    <cellStyle name="CustomizationCells 2 2 3 2 52" xfId="25879" xr:uid="{2F39A4C3-33CD-40DF-B3D3-3147C3F271C3}"/>
    <cellStyle name="CustomizationCells 2 2 3 2 53" xfId="26317" xr:uid="{FB40BE26-0C3F-448D-973F-8114CB226937}"/>
    <cellStyle name="CustomizationCells 2 2 3 2 54" xfId="26746" xr:uid="{77D9C22C-9C20-4D15-9E56-E5455CE40561}"/>
    <cellStyle name="CustomizationCells 2 2 3 2 55" xfId="27167" xr:uid="{EA77F411-CDF6-4734-BF71-6FAEF65EE1D0}"/>
    <cellStyle name="CustomizationCells 2 2 3 2 56" xfId="27586" xr:uid="{566F97DB-1743-4A9A-8805-AA655B21619D}"/>
    <cellStyle name="CustomizationCells 2 2 3 2 57" xfId="25146" xr:uid="{0A710F30-4525-4A2D-8F2F-BBF2B4331AF9}"/>
    <cellStyle name="CustomizationCells 2 2 3 2 58" xfId="28713" xr:uid="{3054C385-E867-48AA-8992-868B3175CD93}"/>
    <cellStyle name="CustomizationCells 2 2 3 2 59" xfId="29180" xr:uid="{A7B735E4-9587-4565-8A6D-F193EEC009C8}"/>
    <cellStyle name="CustomizationCells 2 2 3 2 6" xfId="3770" xr:uid="{68900520-BAEE-44B6-AA36-D0519B7E215B}"/>
    <cellStyle name="CustomizationCells 2 2 3 2 60" xfId="29562" xr:uid="{54309508-8622-422D-B905-77F6FED68646}"/>
    <cellStyle name="CustomizationCells 2 2 3 2 61" xfId="29969" xr:uid="{7A5222B6-11FA-4F07-91D6-BD5611142EDB}"/>
    <cellStyle name="CustomizationCells 2 2 3 2 62" xfId="30375" xr:uid="{88E637C3-2A61-45F6-9EA6-EDFE08BDBE3B}"/>
    <cellStyle name="CustomizationCells 2 2 3 2 63" xfId="30792" xr:uid="{E4440256-A881-43CD-9163-0FD8E825F790}"/>
    <cellStyle name="CustomizationCells 2 2 3 2 64" xfId="31037" xr:uid="{F4BF7E59-3DBF-41D0-BEE2-9DEB4D5B6780}"/>
    <cellStyle name="CustomizationCells 2 2 3 2 65" xfId="31408" xr:uid="{E01B7509-86E5-411F-AFDB-AC9A85BF0C2C}"/>
    <cellStyle name="CustomizationCells 2 2 3 2 7" xfId="4191" xr:uid="{CCED6A7D-7D18-4D86-9C60-9740B246D799}"/>
    <cellStyle name="CustomizationCells 2 2 3 2 8" xfId="4628" xr:uid="{B49BEFF6-07D1-494F-9E12-D8DA8E229B89}"/>
    <cellStyle name="CustomizationCells 2 2 3 2 9" xfId="5074" xr:uid="{10581E06-D5A6-44FE-B6F5-DDE6783EAF53}"/>
    <cellStyle name="CustomizationCells 2 2 3 20" xfId="9961" xr:uid="{5ECA05CD-3099-4F4E-B27B-C5A99E8CC7C1}"/>
    <cellStyle name="CustomizationCells 2 2 3 21" xfId="10390" xr:uid="{33AEB5AF-DD11-4E90-BB6B-5219E9077BD9}"/>
    <cellStyle name="CustomizationCells 2 2 3 22" xfId="10179" xr:uid="{A48072A9-2DE8-4EF0-891C-0EBC7BB4D491}"/>
    <cellStyle name="CustomizationCells 2 2 3 23" xfId="10369" xr:uid="{66382753-FA84-4684-8203-B26282505A87}"/>
    <cellStyle name="CustomizationCells 2 2 3 24" xfId="12011" xr:uid="{FF28B5F0-CF18-49F6-A132-F22A02177D71}"/>
    <cellStyle name="CustomizationCells 2 2 3 25" xfId="12484" xr:uid="{FABE8F72-30A9-45A0-BD84-ED9CA0C863DD}"/>
    <cellStyle name="CustomizationCells 2 2 3 26" xfId="12918" xr:uid="{D8351904-5D43-4AA2-8516-21CD451E405C}"/>
    <cellStyle name="CustomizationCells 2 2 3 27" xfId="13355" xr:uid="{08C58C42-43EF-4C53-8D20-7C3B2B5E9304}"/>
    <cellStyle name="CustomizationCells 2 2 3 28" xfId="13987" xr:uid="{4CA315C3-9F7D-4A72-AE9D-ACE30FBEE535}"/>
    <cellStyle name="CustomizationCells 2 2 3 29" xfId="14202" xr:uid="{F724C25A-7383-489E-BB03-E9E362DB7018}"/>
    <cellStyle name="CustomizationCells 2 2 3 3" xfId="1141" xr:uid="{A664F385-E248-4634-940A-4A35E203A5DD}"/>
    <cellStyle name="CustomizationCells 2 2 3 30" xfId="14613" xr:uid="{62A0C386-845E-446B-9726-AAD7319C138E}"/>
    <cellStyle name="CustomizationCells 2 2 3 31" xfId="14769" xr:uid="{009854EB-F7EE-49A5-859C-38C869CE38A7}"/>
    <cellStyle name="CustomizationCells 2 2 3 32" xfId="14087" xr:uid="{D102F0C4-5F15-442B-AEBA-446442E0E983}"/>
    <cellStyle name="CustomizationCells 2 2 3 33" xfId="15832" xr:uid="{98DD6874-7F23-4A75-8112-58E7DE478428}"/>
    <cellStyle name="CustomizationCells 2 2 3 34" xfId="16703" xr:uid="{CF1C64C0-97B5-47B2-AA23-BCA665B93FA0}"/>
    <cellStyle name="CustomizationCells 2 2 3 35" xfId="17076" xr:uid="{AD92D047-7CA5-49DC-832B-4E4A4EF4F5BE}"/>
    <cellStyle name="CustomizationCells 2 2 3 36" xfId="17523" xr:uid="{13A716E5-A55E-4994-B31D-3E72FB4B2766}"/>
    <cellStyle name="CustomizationCells 2 2 3 37" xfId="17513" xr:uid="{BB9A1D8B-DB89-41AE-A75C-985D7000946E}"/>
    <cellStyle name="CustomizationCells 2 2 3 38" xfId="18521" xr:uid="{387ADF3F-1108-4C4E-B9E1-D2A947122173}"/>
    <cellStyle name="CustomizationCells 2 2 3 39" xfId="16979" xr:uid="{2BBD8F2C-58EB-4EB4-9FC0-F89786F5A965}"/>
    <cellStyle name="CustomizationCells 2 2 3 4" xfId="1518" xr:uid="{650CABC6-59FC-40B2-B6EC-165A832F5EF8}"/>
    <cellStyle name="CustomizationCells 2 2 3 40" xfId="18804" xr:uid="{4BFCDF71-7A06-4CC7-9782-DA6F3EDC6C06}"/>
    <cellStyle name="CustomizationCells 2 2 3 41" xfId="20040" xr:uid="{BF3F962F-4C0D-4D92-85D0-7F299D5DE718}"/>
    <cellStyle name="CustomizationCells 2 2 3 42" xfId="20429" xr:uid="{40BEAB07-0F9E-49E3-BBAE-4D85BB8B01AA}"/>
    <cellStyle name="CustomizationCells 2 2 3 43" xfId="20881" xr:uid="{95EFEA6C-EB76-46CE-9B66-979804DFFF0D}"/>
    <cellStyle name="CustomizationCells 2 2 3 44" xfId="19551" xr:uid="{87FF8D6A-1AED-4406-B4A5-A85C775EE55C}"/>
    <cellStyle name="CustomizationCells 2 2 3 45" xfId="21813" xr:uid="{F9591279-9808-4EFF-8B53-B97730015A53}"/>
    <cellStyle name="CustomizationCells 2 2 3 46" xfId="22248" xr:uid="{E950758E-70B0-4221-B279-5C274FB02785}"/>
    <cellStyle name="CustomizationCells 2 2 3 47" xfId="22959" xr:uid="{F4247E24-3547-4EC0-9D0A-108E5F76800F}"/>
    <cellStyle name="CustomizationCells 2 2 3 48" xfId="22977" xr:uid="{E95DD85F-6F9C-4732-A135-2733D793FF0A}"/>
    <cellStyle name="CustomizationCells 2 2 3 49" xfId="23238" xr:uid="{DFA62F8D-4D2E-4056-8461-C2DC68C0B1E5}"/>
    <cellStyle name="CustomizationCells 2 2 3 5" xfId="2480" xr:uid="{08BF51A4-5868-424C-9EF7-666403B02141}"/>
    <cellStyle name="CustomizationCells 2 2 3 50" xfId="23849" xr:uid="{592391CC-1E28-4165-9046-18F0C06906B6}"/>
    <cellStyle name="CustomizationCells 2 2 3 51" xfId="24748" xr:uid="{420867B2-F4C7-4E55-858C-E747FA658FD4}"/>
    <cellStyle name="CustomizationCells 2 2 3 52" xfId="25136" xr:uid="{C104F893-FDD4-4DD3-AD67-B2661449C181}"/>
    <cellStyle name="CustomizationCells 2 2 3 53" xfId="25666" xr:uid="{402384B2-2565-4BA5-A66F-F924238E96E0}"/>
    <cellStyle name="CustomizationCells 2 2 3 54" xfId="26266" xr:uid="{BBE00607-8F6C-4F4F-86C1-4C6EBAB1739B}"/>
    <cellStyle name="CustomizationCells 2 2 3 55" xfId="26172" xr:uid="{9413C74B-0AC9-459A-9ACF-DC2E081614B2}"/>
    <cellStyle name="CustomizationCells 2 2 3 56" xfId="26956" xr:uid="{3CAF1A66-2FB6-43EF-B601-394D325015CF}"/>
    <cellStyle name="CustomizationCells 2 2 3 57" xfId="27375" xr:uid="{78E77D0B-9A72-4FDF-AA21-FC7BE212DDED}"/>
    <cellStyle name="CustomizationCells 2 2 3 58" xfId="25954" xr:uid="{F43F2223-4DA0-41E7-8699-8B4EE90B1B47}"/>
    <cellStyle name="CustomizationCells 2 2 3 59" xfId="28498" xr:uid="{08084593-BBD6-441F-A410-1271DBF678C4}"/>
    <cellStyle name="CustomizationCells 2 2 3 6" xfId="3158" xr:uid="{8906F643-E147-4D84-9FDC-2599DC392D92}"/>
    <cellStyle name="CustomizationCells 2 2 3 60" xfId="28966" xr:uid="{0F5A5E2B-4877-4A71-B3D4-FCD9F7FCDBC9}"/>
    <cellStyle name="CustomizationCells 2 2 3 61" xfId="29288" xr:uid="{A42EC2F4-43C5-44B6-B052-AC57ECCD234E}"/>
    <cellStyle name="CustomizationCells 2 2 3 62" xfId="29756" xr:uid="{B7392D1D-3504-4600-B9D6-1151C844F536}"/>
    <cellStyle name="CustomizationCells 2 2 3 63" xfId="30164" xr:uid="{C9C512AD-F996-4D15-BF98-FC1BC77968B7}"/>
    <cellStyle name="CustomizationCells 2 2 3 64" xfId="30578" xr:uid="{7EAA1821-EC3B-4094-BD7D-B156720FE9DB}"/>
    <cellStyle name="CustomizationCells 2 2 3 65" xfId="30892" xr:uid="{678E4025-CD98-4395-9BA4-37BCAFEA38DF}"/>
    <cellStyle name="CustomizationCells 2 2 3 66" xfId="31202" xr:uid="{0DAF110C-17DA-4EAD-8985-A27591725BCA}"/>
    <cellStyle name="CustomizationCells 2 2 3 7" xfId="3020" xr:uid="{75631E94-988F-4C01-8DBF-FFDF1CFB5B63}"/>
    <cellStyle name="CustomizationCells 2 2 3 8" xfId="3976" xr:uid="{3DF9B85D-497C-48F5-ACB7-BE312C6F1B46}"/>
    <cellStyle name="CustomizationCells 2 2 3 9" xfId="4414" xr:uid="{774E4E8E-B2DE-46E4-9D27-390631D0B3D9}"/>
    <cellStyle name="CustomizationCells 2 2 30" xfId="11710" xr:uid="{E4B5C5BD-CF34-43AB-8CBF-0F68048EB7C8}"/>
    <cellStyle name="CustomizationCells 2 2 31" xfId="11758" xr:uid="{BFE8DE34-24CA-4E4E-AB0C-8048C42F184C}"/>
    <cellStyle name="CustomizationCells 2 2 32" xfId="14410" xr:uid="{A823F871-E5B3-43B7-BBAC-6B1580B2CF21}"/>
    <cellStyle name="CustomizationCells 2 2 33" xfId="14887" xr:uid="{0A463913-3806-4086-9441-4CE3A0722124}"/>
    <cellStyle name="CustomizationCells 2 2 34" xfId="15228" xr:uid="{724EBF44-9932-4511-8AA6-62095B041E8B}"/>
    <cellStyle name="CustomizationCells 2 2 35" xfId="15653" xr:uid="{B348E8B6-46EE-4F0C-A6AD-EEE2C01202DA}"/>
    <cellStyle name="CustomizationCells 2 2 36" xfId="15931" xr:uid="{BA7F9F43-3E56-4479-B64B-BA34D34735B6}"/>
    <cellStyle name="CustomizationCells 2 2 37" xfId="16485" xr:uid="{8439CBE1-9605-40E8-816D-B4126A790E40}"/>
    <cellStyle name="CustomizationCells 2 2 38" xfId="17256" xr:uid="{0D6D0E28-50FE-4C3D-ACB4-6B7D5088CFEA}"/>
    <cellStyle name="CustomizationCells 2 2 39" xfId="17700" xr:uid="{570D55A7-006C-4DDF-8764-1B5967D59801}"/>
    <cellStyle name="CustomizationCells 2 2 4" xfId="521" xr:uid="{5BCC20F8-D790-4E0C-B598-95763B251E10}"/>
    <cellStyle name="CustomizationCells 2 2 4 10" xfId="4744" xr:uid="{1E2BC784-6F57-4182-94CF-DD1A0A2D00C2}"/>
    <cellStyle name="CustomizationCells 2 2 4 11" xfId="5169" xr:uid="{8A4D1017-6E8E-4D1F-8F08-FC42B41568C4}"/>
    <cellStyle name="CustomizationCells 2 2 4 12" xfId="5099" xr:uid="{0A4A2DFD-5255-49F9-A1BF-E31D09D59F3B}"/>
    <cellStyle name="CustomizationCells 2 2 4 13" xfId="4816" xr:uid="{DC3BA8B6-F96F-4CB2-88BD-A6168198BCE8}"/>
    <cellStyle name="CustomizationCells 2 2 4 14" xfId="6649" xr:uid="{897E7C27-592E-4D9E-8C29-EBE6AC8C68AB}"/>
    <cellStyle name="CustomizationCells 2 2 4 15" xfId="7241" xr:uid="{F5C7D655-05B8-4F29-BFA8-859E07DE5D92}"/>
    <cellStyle name="CustomizationCells 2 2 4 16" xfId="7808" xr:uid="{851ABAFF-247D-4771-8D3B-B77C30F2074F}"/>
    <cellStyle name="CustomizationCells 2 2 4 17" xfId="7850" xr:uid="{07CBEB1C-59AB-49CC-B64C-1D47A4AF9723}"/>
    <cellStyle name="CustomizationCells 2 2 4 18" xfId="8737" xr:uid="{FA30BB7A-E632-4C7E-B73A-02E42329FAF1}"/>
    <cellStyle name="CustomizationCells 2 2 4 19" xfId="9455" xr:uid="{E7E73631-8854-4B5F-BC06-3DE3BA1BF5A5}"/>
    <cellStyle name="CustomizationCells 2 2 4 2" xfId="736" xr:uid="{84CAECDF-A8D8-464A-ADC5-141A25E7412D}"/>
    <cellStyle name="CustomizationCells 2 2 4 2 10" xfId="5384" xr:uid="{0EFE76BD-6D77-42DC-9F1B-5AACEA604C38}"/>
    <cellStyle name="CustomizationCells 2 2 4 2 11" xfId="4957" xr:uid="{3378D444-86A1-4634-B884-5C51F59E5FB4}"/>
    <cellStyle name="CustomizationCells 2 2 4 2 12" xfId="6250" xr:uid="{EE5BF130-05C3-4A19-B003-118D58007E5F}"/>
    <cellStyle name="CustomizationCells 2 2 4 2 13" xfId="5703" xr:uid="{9E90A811-EFEF-49FB-BC39-C12DFBDD3EE0}"/>
    <cellStyle name="CustomizationCells 2 2 4 2 14" xfId="7456" xr:uid="{9F52B034-238E-4540-B49C-5BBC2689A501}"/>
    <cellStyle name="CustomizationCells 2 2 4 2 15" xfId="7192" xr:uid="{F1A52491-9DA9-4AB6-85BD-BA0A01098DBA}"/>
    <cellStyle name="CustomizationCells 2 2 4 2 16" xfId="7725" xr:uid="{930BDD07-AB05-4081-ABCB-429E2BD322E0}"/>
    <cellStyle name="CustomizationCells 2 2 4 2 17" xfId="8715" xr:uid="{87972460-882D-454E-9108-F3D4E6398D1B}"/>
    <cellStyle name="CustomizationCells 2 2 4 2 18" xfId="9670" xr:uid="{114D787C-DD92-4585-9F82-B4C790A0264B}"/>
    <cellStyle name="CustomizationCells 2 2 4 2 19" xfId="9405" xr:uid="{EC87CF81-3EAC-4278-93C3-852D5993A8EB}"/>
    <cellStyle name="CustomizationCells 2 2 4 2 2" xfId="1210" xr:uid="{9B2F23BE-4C1C-4158-A699-71C4178959B3}"/>
    <cellStyle name="CustomizationCells 2 2 4 2 20" xfId="9918" xr:uid="{B6172386-0665-4984-971E-0C4615B36A5C}"/>
    <cellStyle name="CustomizationCells 2 2 4 2 21" xfId="10807" xr:uid="{63D0DC41-F6AE-43D6-A96F-26D58F146DFD}"/>
    <cellStyle name="CustomizationCells 2 2 4 2 22" xfId="10503" xr:uid="{D32DF92E-A688-4877-AE45-0695510BD097}"/>
    <cellStyle name="CustomizationCells 2 2 4 2 23" xfId="12089" xr:uid="{967A92B6-6243-47DC-A9D3-9E9D3251AE2B}"/>
    <cellStyle name="CustomizationCells 2 2 4 2 24" xfId="12562" xr:uid="{C615056B-0893-437B-B286-56B48AC77CEE}"/>
    <cellStyle name="CustomizationCells 2 2 4 2 25" xfId="12996" xr:uid="{C77F6C98-DD6B-48AE-A816-04A9013EA1CC}"/>
    <cellStyle name="CustomizationCells 2 2 4 2 26" xfId="13433" xr:uid="{FD6453FA-E600-4116-AE1E-93B81BAEEF2D}"/>
    <cellStyle name="CustomizationCells 2 2 4 2 27" xfId="11501" xr:uid="{37B7AEFC-293B-4DF6-8273-E8032F3F9546}"/>
    <cellStyle name="CustomizationCells 2 2 4 2 28" xfId="11823" xr:uid="{919C2DBA-45BF-47DD-BD71-43EE9B161053}"/>
    <cellStyle name="CustomizationCells 2 2 4 2 29" xfId="14147" xr:uid="{821B7F96-9F50-48B8-82F4-1B8DBC4F2057}"/>
    <cellStyle name="CustomizationCells 2 2 4 2 3" xfId="1489" xr:uid="{F6ADE442-F943-46F3-B30A-EE576FF1EF6F}"/>
    <cellStyle name="CustomizationCells 2 2 4 2 30" xfId="14763" xr:uid="{4C465D7C-4B05-4178-874F-2F755ACFCF4A}"/>
    <cellStyle name="CustomizationCells 2 2 4 2 31" xfId="14837" xr:uid="{17054EA0-909A-4B47-9694-FEB6B21A2423}"/>
    <cellStyle name="CustomizationCells 2 2 4 2 32" xfId="15565" xr:uid="{9CA2EEC7-DE08-41FC-8DB7-F1145DC05785}"/>
    <cellStyle name="CustomizationCells 2 2 4 2 33" xfId="16781" xr:uid="{A256D509-E839-4082-BF57-D0101EF735D1}"/>
    <cellStyle name="CustomizationCells 2 2 4 2 34" xfId="16514" xr:uid="{B72765D2-6F00-4E64-A217-5397AF322490}"/>
    <cellStyle name="CustomizationCells 2 2 4 2 35" xfId="17032" xr:uid="{984A4B43-7CD3-4A52-A384-DE5ADF3A2F7C}"/>
    <cellStyle name="CustomizationCells 2 2 4 2 36" xfId="17569" xr:uid="{CC5F9A92-2AB8-4E28-9E2A-3B56898B8E71}"/>
    <cellStyle name="CustomizationCells 2 2 4 2 37" xfId="18599" xr:uid="{AB298D3E-3B22-430A-BB2B-10E9A0558DC1}"/>
    <cellStyle name="CustomizationCells 2 2 4 2 38" xfId="18796" xr:uid="{016DFD27-8292-4D86-ABDA-E2946610525C}"/>
    <cellStyle name="CustomizationCells 2 2 4 2 39" xfId="18995" xr:uid="{A392BD52-41D5-45A8-BB37-1128952B4126}"/>
    <cellStyle name="CustomizationCells 2 2 4 2 4" xfId="2558" xr:uid="{D2500B71-CCE9-4F0C-A48D-3955D89D6B8F}"/>
    <cellStyle name="CustomizationCells 2 2 4 2 40" xfId="20118" xr:uid="{BECB8B9A-0EBB-4B18-95B9-A4157C29FCFB}"/>
    <cellStyle name="CustomizationCells 2 2 4 2 41" xfId="19850" xr:uid="{86E446D7-4040-4F16-89EA-DD0B67616AE2}"/>
    <cellStyle name="CustomizationCells 2 2 4 2 42" xfId="19433" xr:uid="{102B2F02-5114-4F57-8772-ED7A080766C6}"/>
    <cellStyle name="CustomizationCells 2 2 4 2 43" xfId="20855" xr:uid="{30DD9A69-2BCC-406A-BBE2-6E4B9334C506}"/>
    <cellStyle name="CustomizationCells 2 2 4 2 44" xfId="19701" xr:uid="{77ED6E16-5380-4829-976E-DCB14E1FAC52}"/>
    <cellStyle name="CustomizationCells 2 2 4 2 45" xfId="21919" xr:uid="{B5AC2420-54FE-457D-9F7C-E8F58031327D}"/>
    <cellStyle name="CustomizationCells 2 2 4 2 46" xfId="21541" xr:uid="{EF5AF2CB-B31E-40C2-B170-67964C26D41F}"/>
    <cellStyle name="CustomizationCells 2 2 4 2 47" xfId="23068" xr:uid="{FBD20078-9FEA-4F63-AEFA-8B7E95855250}"/>
    <cellStyle name="CustomizationCells 2 2 4 2 48" xfId="23589" xr:uid="{9DD822D4-092E-4EEB-8B36-BE4859CC335C}"/>
    <cellStyle name="CustomizationCells 2 2 4 2 49" xfId="23918" xr:uid="{E9D84326-00E6-4F13-882F-03EA9CDBB64C}"/>
    <cellStyle name="CustomizationCells 2 2 4 2 5" xfId="2022" xr:uid="{F3839563-0193-43E7-94A2-71FBBB23D45D}"/>
    <cellStyle name="CustomizationCells 2 2 4 2 50" xfId="24826" xr:uid="{4F8D3F9E-C56A-427C-A29F-237F5351B563}"/>
    <cellStyle name="CustomizationCells 2 2 4 2 51" xfId="24423" xr:uid="{FB82410B-4AEF-4C23-A4B2-3655433B85B0}"/>
    <cellStyle name="CustomizationCells 2 2 4 2 52" xfId="25742" xr:uid="{48D3A0AD-796E-4908-BD31-D7F2F3B0AEDD}"/>
    <cellStyle name="CustomizationCells 2 2 4 2 53" xfId="24394" xr:uid="{8292A76C-DE9A-4458-B565-C1206D2F2E7A}"/>
    <cellStyle name="CustomizationCells 2 2 4 2 54" xfId="26537" xr:uid="{5523758B-38F8-461B-AD65-4923BD21F914}"/>
    <cellStyle name="CustomizationCells 2 2 4 2 55" xfId="27030" xr:uid="{1249F104-48F8-49CB-A424-8043C0E1F73E}"/>
    <cellStyle name="CustomizationCells 2 2 4 2 56" xfId="27449" xr:uid="{7E112F5A-D51F-4BA1-9C49-D98BA4B7D4CC}"/>
    <cellStyle name="CustomizationCells 2 2 4 2 57" xfId="27769" xr:uid="{177EDB30-ACCA-4A6F-BAC1-9B2144744A6F}"/>
    <cellStyle name="CustomizationCells 2 2 4 2 58" xfId="28576" xr:uid="{4198C4A2-E770-48AC-A996-96CA6B56AFE0}"/>
    <cellStyle name="CustomizationCells 2 2 4 2 59" xfId="29043" xr:uid="{9DF1BB71-4AB0-41E4-A7A9-79AA3B5F3451}"/>
    <cellStyle name="CustomizationCells 2 2 4 2 6" xfId="3174" xr:uid="{EFF5D156-A2C9-4815-8F79-1845FEFB0BE2}"/>
    <cellStyle name="CustomizationCells 2 2 4 2 60" xfId="27997" xr:uid="{EB8EE8C8-9C95-443B-B9CE-898B09F13D14}"/>
    <cellStyle name="CustomizationCells 2 2 4 2 61" xfId="29832" xr:uid="{C68E9CB9-3FEB-4D9F-9332-ECB84D6A4637}"/>
    <cellStyle name="CustomizationCells 2 2 4 2 62" xfId="30238" xr:uid="{C715B919-00EC-41FA-B977-2515009E2D34}"/>
    <cellStyle name="CustomizationCells 2 2 4 2 63" xfId="30655" xr:uid="{99DBF12F-FB8F-4941-B3D6-F46D90CC4D39}"/>
    <cellStyle name="CustomizationCells 2 2 4 2 64" xfId="29453" xr:uid="{993C97CB-0F54-4C24-9D1A-B83F57670A73}"/>
    <cellStyle name="CustomizationCells 2 2 4 2 65" xfId="31271" xr:uid="{5233C4E0-7FAF-4602-8BF4-CCFC74692374}"/>
    <cellStyle name="CustomizationCells 2 2 4 2 7" xfId="4054" xr:uid="{F391B52E-50FD-46C8-A796-C988426C9F06}"/>
    <cellStyle name="CustomizationCells 2 2 4 2 8" xfId="4491" xr:uid="{5AB46E2B-2966-45E3-8DD1-D6ED26CF81F6}"/>
    <cellStyle name="CustomizationCells 2 2 4 2 9" xfId="2823" xr:uid="{019A4ACD-D2F6-4088-969D-523B60497DF3}"/>
    <cellStyle name="CustomizationCells 2 2 4 20" xfId="10021" xr:uid="{C5F7425E-3CAE-4C31-AA44-D1FEBE72AFF9}"/>
    <cellStyle name="CustomizationCells 2 2 4 21" xfId="10443" xr:uid="{8CC58441-61AE-48C0-B546-F24FE90D80F7}"/>
    <cellStyle name="CustomizationCells 2 2 4 22" xfId="10787" xr:uid="{77D33ED6-B440-4A0A-A44E-04253E0203CF}"/>
    <cellStyle name="CustomizationCells 2 2 4 23" xfId="10908" xr:uid="{A193F112-CBE3-42C9-9DC0-E2CEE94CCF67}"/>
    <cellStyle name="CustomizationCells 2 2 4 24" xfId="11874" xr:uid="{4B5FA707-CCCC-4A67-9AA2-17BCD4FCA0D8}"/>
    <cellStyle name="CustomizationCells 2 2 4 25" xfId="12347" xr:uid="{1A0FD839-27EC-4ED4-A909-BBA1BED8E942}"/>
    <cellStyle name="CustomizationCells 2 2 4 26" xfId="12781" xr:uid="{F8218D19-218E-48B5-8115-7E250625C76F}"/>
    <cellStyle name="CustomizationCells 2 2 4 27" xfId="13218" xr:uid="{C52E0AF3-33A3-4F00-9DCD-9926372EF710}"/>
    <cellStyle name="CustomizationCells 2 2 4 28" xfId="13737" xr:uid="{579C8A5D-0EC4-460B-B028-6AB5D5F6A286}"/>
    <cellStyle name="CustomizationCells 2 2 4 29" xfId="14346" xr:uid="{39899E06-EAD1-4177-9D55-3EC933545CDA}"/>
    <cellStyle name="CustomizationCells 2 2 4 3" xfId="1004" xr:uid="{B3453A63-953D-4B68-9940-7A71C7F6C5DC}"/>
    <cellStyle name="CustomizationCells 2 2 4 30" xfId="14595" xr:uid="{1D1E5ADE-CDEC-43F4-8E2F-6FE33CE4C433}"/>
    <cellStyle name="CustomizationCells 2 2 4 31" xfId="14677" xr:uid="{C7392CCF-869D-4474-A461-7DA58049B698}"/>
    <cellStyle name="CustomizationCells 2 2 4 32" xfId="15727" xr:uid="{CF7E663E-7495-41E0-8F02-71F409606D44}"/>
    <cellStyle name="CustomizationCells 2 2 4 33" xfId="15862" xr:uid="{4F0325B8-94FB-407B-A20A-3ADC20C18E85}"/>
    <cellStyle name="CustomizationCells 2 2 4 34" xfId="16566" xr:uid="{C09C2653-3684-4FE2-B8C8-C9483804C8BA}"/>
    <cellStyle name="CustomizationCells 2 2 4 35" xfId="17138" xr:uid="{EA055BCC-05EC-4D5A-A268-C30EFD17C7B3}"/>
    <cellStyle name="CustomizationCells 2 2 4 36" xfId="17585" xr:uid="{CAB6F49E-6FED-4A0A-A81A-FA46212766D6}"/>
    <cellStyle name="CustomizationCells 2 2 4 37" xfId="17299" xr:uid="{C861024A-D388-4E33-97CF-4BD1634B5937}"/>
    <cellStyle name="CustomizationCells 2 2 4 38" xfId="18384" xr:uid="{F0F92A07-671E-44E2-80F2-6F076124E5FB}"/>
    <cellStyle name="CustomizationCells 2 2 4 39" xfId="18843" xr:uid="{F88BB07F-73C4-4853-A3BF-D6DE18C79AD0}"/>
    <cellStyle name="CustomizationCells 2 2 4 4" xfId="1597" xr:uid="{3E0FA8F5-3A73-4C97-B5C7-7E65E8D1A3A8}"/>
    <cellStyle name="CustomizationCells 2 2 4 40" xfId="19220" xr:uid="{DED9AFD6-6511-4DB9-BDD2-D39AABA8A9EC}"/>
    <cellStyle name="CustomizationCells 2 2 4 41" xfId="19903" xr:uid="{210C64C0-92D0-4B9A-9F72-5AF474C68798}"/>
    <cellStyle name="CustomizationCells 2 2 4 42" xfId="20491" xr:uid="{C952F6D0-97B8-484D-9946-E958956364A3}"/>
    <cellStyle name="CustomizationCells 2 2 4 43" xfId="20945" xr:uid="{F55C5E5E-A005-4FD5-B2AD-3FED277B9C83}"/>
    <cellStyle name="CustomizationCells 2 2 4 44" xfId="20972" xr:uid="{9F356DEC-9A89-4608-A557-4C2304F7B31C}"/>
    <cellStyle name="CustomizationCells 2 2 4 45" xfId="21874" xr:uid="{C7B2AC3C-B26A-48C0-9F6A-4C8232DB25AB}"/>
    <cellStyle name="CustomizationCells 2 2 4 46" xfId="22310" xr:uid="{F8B4A62E-A740-4F3F-A81E-42395B818CED}"/>
    <cellStyle name="CustomizationCells 2 2 4 47" xfId="22732" xr:uid="{AE43F551-F5AC-4F70-B545-8DB6EEAA8363}"/>
    <cellStyle name="CustomizationCells 2 2 4 48" xfId="23120" xr:uid="{0496723E-37FB-4043-BA49-F319F415F342}"/>
    <cellStyle name="CustomizationCells 2 2 4 49" xfId="22254" xr:uid="{DE54CAEE-C73E-46F1-94F1-4DDFD971C3CE}"/>
    <cellStyle name="CustomizationCells 2 2 4 5" xfId="2343" xr:uid="{3232135F-FEA3-4766-A424-D014968874ED}"/>
    <cellStyle name="CustomizationCells 2 2 4 50" xfId="23712" xr:uid="{29293D9C-4988-4185-9EE7-A1BB18A389C4}"/>
    <cellStyle name="CustomizationCells 2 2 4 51" xfId="24611" xr:uid="{1AA8A786-0EE7-45DB-B4A0-5F24927D5D7F}"/>
    <cellStyle name="CustomizationCells 2 2 4 52" xfId="25199" xr:uid="{EED1AFDF-0671-45B6-AE94-602D1612E171}"/>
    <cellStyle name="CustomizationCells 2 2 4 53" xfId="25529" xr:uid="{876B1A2F-4E52-4F7E-B71B-D2433826B57E}"/>
    <cellStyle name="CustomizationCells 2 2 4 54" xfId="26037" xr:uid="{FFE9ECDB-5829-41BF-9DEC-7B9433114081}"/>
    <cellStyle name="CustomizationCells 2 2 4 55" xfId="26601" xr:uid="{A5247DED-0348-4ECF-9FEF-C8BD68E43371}"/>
    <cellStyle name="CustomizationCells 2 2 4 56" xfId="26819" xr:uid="{07522820-5F3E-447C-83F5-87BC0DBB6060}"/>
    <cellStyle name="CustomizationCells 2 2 4 57" xfId="27238" xr:uid="{251E4F87-B1EE-41F1-A397-C601F16236DF}"/>
    <cellStyle name="CustomizationCells 2 2 4 58" xfId="27643" xr:uid="{941CD39B-7501-4CAD-9928-C73D7459C4CD}"/>
    <cellStyle name="CustomizationCells 2 2 4 59" xfId="28361" xr:uid="{F5FC0ECA-B527-4E97-8A9D-67B14E8B8DB3}"/>
    <cellStyle name="CustomizationCells 2 2 4 6" xfId="2902" xr:uid="{24CC1FAF-5433-4AC3-80A1-B3FDE6967F3D}"/>
    <cellStyle name="CustomizationCells 2 2 4 60" xfId="28829" xr:uid="{CED81A43-7F2B-4C39-9025-F1824887D854}"/>
    <cellStyle name="CustomizationCells 2 2 4 61" xfId="29342" xr:uid="{661DE1B6-EB73-454B-ADD5-7249E2BA135B}"/>
    <cellStyle name="CustomizationCells 2 2 4 62" xfId="29619" xr:uid="{7D78A7DC-699A-4158-8F0C-401A737EADDA}"/>
    <cellStyle name="CustomizationCells 2 2 4 63" xfId="30027" xr:uid="{C9E5D591-FFA5-4EED-9BAA-9116D2354C8C}"/>
    <cellStyle name="CustomizationCells 2 2 4 64" xfId="30441" xr:uid="{1A5B333B-EE78-46EF-9FF2-4B013F87CA5C}"/>
    <cellStyle name="CustomizationCells 2 2 4 65" xfId="31015" xr:uid="{44FADE3D-1821-4294-86AD-22CE3A196496}"/>
    <cellStyle name="CustomizationCells 2 2 4 66" xfId="31065" xr:uid="{61332349-F242-4C92-9753-8D9A4A5C41C0}"/>
    <cellStyle name="CustomizationCells 2 2 4 7" xfId="3522" xr:uid="{07F92DDB-4D49-483A-8949-0AD80D4C9C2B}"/>
    <cellStyle name="CustomizationCells 2 2 4 8" xfId="3839" xr:uid="{5FDA7DED-1A47-4956-B4F5-DCBF5C389D41}"/>
    <cellStyle name="CustomizationCells 2 2 4 9" xfId="4277" xr:uid="{8D2013CD-D31C-4F03-BAE8-0199F15C02CE}"/>
    <cellStyle name="CustomizationCells 2 2 40" xfId="17791" xr:uid="{353505B0-20CB-4AEA-A86A-C5F75042517A}"/>
    <cellStyle name="CustomizationCells 2 2 41" xfId="18011" xr:uid="{CFA2F880-A269-4F0A-A2A7-9AEFA702D618}"/>
    <cellStyle name="CustomizationCells 2 2 42" xfId="17429" xr:uid="{7C4D439B-4B66-4E24-B0A7-CF6A5A6679EF}"/>
    <cellStyle name="CustomizationCells 2 2 43" xfId="19115" xr:uid="{3D5A7D8D-526A-4C61-838F-C22597BF5388}"/>
    <cellStyle name="CustomizationCells 2 2 44" xfId="19821" xr:uid="{5F0E8FAB-30D1-4FFC-97D0-A5768DB93C0F}"/>
    <cellStyle name="CustomizationCells 2 2 45" xfId="20606" xr:uid="{AB5DBF7F-5867-4BB1-A018-8B0B140E800C}"/>
    <cellStyle name="CustomizationCells 2 2 46" xfId="21061" xr:uid="{D1E7E290-CF5F-42E8-AB6B-80E9A72348AF}"/>
    <cellStyle name="CustomizationCells 2 2 47" xfId="21501" xr:uid="{6DE69F6C-10AA-4E4B-9463-FE80C54537D4}"/>
    <cellStyle name="CustomizationCells 2 2 48" xfId="21992" xr:uid="{61806386-3E6E-4695-8024-B3F32F459FE5}"/>
    <cellStyle name="CustomizationCells 2 2 49" xfId="22423" xr:uid="{544E2F85-11F6-4B92-BC4E-0A55D1AC0062}"/>
    <cellStyle name="CustomizationCells 2 2 5" xfId="677" xr:uid="{0D7D558B-8FDB-43D6-8315-E827514C825B}"/>
    <cellStyle name="CustomizationCells 2 2 5 10" xfId="4713" xr:uid="{930A2B10-1D02-482B-9BCB-A2B89F7B1EF6}"/>
    <cellStyle name="CustomizationCells 2 2 5 11" xfId="5325" xr:uid="{DF65F6BB-CA71-4562-A509-05824DC3CCC7}"/>
    <cellStyle name="CustomizationCells 2 2 5 12" xfId="5975" xr:uid="{92CE75C5-7206-41DA-B4DB-E4018390E967}"/>
    <cellStyle name="CustomizationCells 2 2 5 13" xfId="6342" xr:uid="{F5903F05-8CEC-4790-8856-74D8810A2A76}"/>
    <cellStyle name="CustomizationCells 2 2 5 14" xfId="6695" xr:uid="{1D1F8F1C-7950-489D-89E9-A718609FD38F}"/>
    <cellStyle name="CustomizationCells 2 2 5 15" xfId="7397" xr:uid="{D3FD4233-8962-492E-9D17-A5FAA423C104}"/>
    <cellStyle name="CustomizationCells 2 2 5 16" xfId="7710" xr:uid="{07DD44CB-9A8F-4C86-80BD-9B545AB0764F}"/>
    <cellStyle name="CustomizationCells 2 2 5 17" xfId="6847" xr:uid="{A032267E-52C0-4DA1-ACA6-DD88CA61F563}"/>
    <cellStyle name="CustomizationCells 2 2 5 18" xfId="8908" xr:uid="{1EF187FA-450A-4261-8305-AB9DB31F34AC}"/>
    <cellStyle name="CustomizationCells 2 2 5 19" xfId="9611" xr:uid="{E8C3E89F-8501-4733-A673-4FB424AE87C5}"/>
    <cellStyle name="CustomizationCells 2 2 5 2" xfId="891" xr:uid="{9B795696-3D11-4B8E-8065-A2138B20FF91}"/>
    <cellStyle name="CustomizationCells 2 2 5 2 2" xfId="7611" xr:uid="{C14B227A-DEC6-4CAD-A1A2-4165351CD6A8}"/>
    <cellStyle name="CustomizationCells 2 2 5 2 3" xfId="8075" xr:uid="{7D13F96C-7EF7-4842-909A-34FA969CBB36}"/>
    <cellStyle name="CustomizationCells 2 2 5 2 4" xfId="16936" xr:uid="{460DA702-7231-451D-AD2E-3036118B7591}"/>
    <cellStyle name="CustomizationCells 2 2 5 2 5" xfId="17417" xr:uid="{ECBD4238-9F69-4D2D-A07C-BA74BA9E75AE}"/>
    <cellStyle name="CustomizationCells 2 2 5 2 6" xfId="17858" xr:uid="{CBEC4CA6-9075-4BBB-B4C4-101541C5823A}"/>
    <cellStyle name="CustomizationCells 2 2 5 2 7" xfId="27842" xr:uid="{607E7536-981E-419B-90FF-1A0F251F6D88}"/>
    <cellStyle name="CustomizationCells 2 2 5 20" xfId="9924" xr:uid="{C14F99DB-F114-46AB-80B0-1C844D356FE9}"/>
    <cellStyle name="CustomizationCells 2 2 5 21" xfId="10355" xr:uid="{A156783F-12C6-49CA-AB0E-813DBF796261}"/>
    <cellStyle name="CustomizationCells 2 2 5 22" xfId="10900" xr:uid="{1FC86B4E-6044-4130-ACE3-3BDFAF51BB03}"/>
    <cellStyle name="CustomizationCells 2 2 5 23" xfId="11312" xr:uid="{C8BA9F4D-14E5-4833-848B-BD1E805F5A54}"/>
    <cellStyle name="CustomizationCells 2 2 5 24" xfId="12030" xr:uid="{91CB6BA2-F4C7-4713-89E8-679A7C7FE984}"/>
    <cellStyle name="CustomizationCells 2 2 5 25" xfId="12503" xr:uid="{46CEC920-9600-41D8-B0EB-540BC1C6B937}"/>
    <cellStyle name="CustomizationCells 2 2 5 26" xfId="12937" xr:uid="{44C13C4A-EF79-446D-8B4A-14ECD3244D15}"/>
    <cellStyle name="CustomizationCells 2 2 5 27" xfId="13374" xr:uid="{1CB58A86-72FC-4639-8EA3-E2E1C6374637}"/>
    <cellStyle name="CustomizationCells 2 2 5 28" xfId="14011" xr:uid="{7EF2A2F1-99D8-40B4-9385-D161FEB4E612}"/>
    <cellStyle name="CustomizationCells 2 2 5 29" xfId="13888" xr:uid="{C70B9259-D153-4EB9-A9E3-ECB183EFB423}"/>
    <cellStyle name="CustomizationCells 2 2 5 3" xfId="1159" xr:uid="{5DB35EED-8545-4D45-B6D7-0541341BDA97}"/>
    <cellStyle name="CustomizationCells 2 2 5 30" xfId="14576" xr:uid="{63435323-9762-4460-A0F2-382EEFBB365A}"/>
    <cellStyle name="CustomizationCells 2 2 5 31" xfId="15356" xr:uid="{6CF1D10D-C965-4161-94FD-296E8B3BCC36}"/>
    <cellStyle name="CustomizationCells 2 2 5 32" xfId="15302" xr:uid="{CCC2DE9A-7777-425F-B496-C50F8C9710BC}"/>
    <cellStyle name="CustomizationCells 2 2 5 33" xfId="15812" xr:uid="{2A3E26B0-A4CB-4F48-9B2D-C6FB8B87476F}"/>
    <cellStyle name="CustomizationCells 2 2 5 34" xfId="16722" xr:uid="{1F677558-9B12-4A4D-A125-2C58BB01D36A}"/>
    <cellStyle name="CustomizationCells 2 2 5 35" xfId="17038" xr:uid="{1364C66D-F49F-4897-AF6F-80A7FE2C174B}"/>
    <cellStyle name="CustomizationCells 2 2 5 36" xfId="17486" xr:uid="{8906A6EC-87D1-4D1F-9476-D002349F85F2}"/>
    <cellStyle name="CustomizationCells 2 2 5 37" xfId="18287" xr:uid="{C956AD42-A0FF-4907-A8FF-2DB067D1F958}"/>
    <cellStyle name="CustomizationCells 2 2 5 38" xfId="18540" xr:uid="{1ED6E378-0723-45B6-8ECB-6634DF5E17F7}"/>
    <cellStyle name="CustomizationCells 2 2 5 39" xfId="19102" xr:uid="{17FAD56B-EC40-4BFC-B513-115E3B1D84B5}"/>
    <cellStyle name="CustomizationCells 2 2 5 4" xfId="1413" xr:uid="{8B1A3BBC-3D42-484D-BF49-D3EBA0FB62DC}"/>
    <cellStyle name="CustomizationCells 2 2 5 40" xfId="19245" xr:uid="{ABB69040-2ECA-478E-AA1B-AE7398E6C3A4}"/>
    <cellStyle name="CustomizationCells 2 2 5 41" xfId="20059" xr:uid="{8A2B7AFB-3F9C-4EB7-970E-8EDBA0E68FE0}"/>
    <cellStyle name="CustomizationCells 2 2 5 42" xfId="20390" xr:uid="{2FD61544-722C-46F1-A778-FF561CCA4957}"/>
    <cellStyle name="CustomizationCells 2 2 5 43" xfId="20843" xr:uid="{33594C2E-838C-4B4A-80DB-5D401820EBF3}"/>
    <cellStyle name="CustomizationCells 2 2 5 44" xfId="21668" xr:uid="{765C34BC-E2B6-44A1-962B-94BA36E02A10}"/>
    <cellStyle name="CustomizationCells 2 2 5 45" xfId="21776" xr:uid="{0AC83B3E-60B7-489F-8323-9155EBC640F4}"/>
    <cellStyle name="CustomizationCells 2 2 5 46" xfId="22213" xr:uid="{6C574CD0-A924-4C1A-B244-0DBC2B74E7AC}"/>
    <cellStyle name="CustomizationCells 2 2 5 47" xfId="22981" xr:uid="{ED3B9D55-058F-424F-A2C1-4D7F16DDF146}"/>
    <cellStyle name="CustomizationCells 2 2 5 48" xfId="23386" xr:uid="{3DF32B73-79F4-4AD2-8795-4FD6EED26350}"/>
    <cellStyle name="CustomizationCells 2 2 5 49" xfId="23469" xr:uid="{BEB3B9F4-0620-4DD3-98A2-6EC12707A899}"/>
    <cellStyle name="CustomizationCells 2 2 5 5" xfId="2499" xr:uid="{2FDED83C-24F1-4CE2-AA32-625F7E9B0FAE}"/>
    <cellStyle name="CustomizationCells 2 2 5 50" xfId="23867" xr:uid="{876BFD2F-34BC-4FD0-9211-BBCE36AC83BF}"/>
    <cellStyle name="CustomizationCells 2 2 5 51" xfId="24767" xr:uid="{546641E8-D056-4F29-86E0-0AB680EDB4F5}"/>
    <cellStyle name="CustomizationCells 2 2 5 52" xfId="25100" xr:uid="{F96E9431-9AAD-4D30-94BC-8832E03553D2}"/>
    <cellStyle name="CustomizationCells 2 2 5 53" xfId="25685" xr:uid="{C60AB3DC-4617-4571-9554-942B4896EEF8}"/>
    <cellStyle name="CustomizationCells 2 2 5 54" xfId="26289" xr:uid="{FAA4318D-E5C5-4681-A346-D9BF05A90E6C}"/>
    <cellStyle name="CustomizationCells 2 2 5 55" xfId="26396" xr:uid="{EA02385E-4D65-49CC-BB5B-BBC956B80CB4}"/>
    <cellStyle name="CustomizationCells 2 2 5 56" xfId="26975" xr:uid="{0F72D7C0-3F12-4B29-AAC5-2BFE28CC4E6F}"/>
    <cellStyle name="CustomizationCells 2 2 5 57" xfId="27394" xr:uid="{BD19DDC6-7D71-459C-9364-B9E00535D0C0}"/>
    <cellStyle name="CustomizationCells 2 2 5 58" xfId="27620" xr:uid="{F4B6813E-5FCA-4AF0-AF99-29DFB9B7322D}"/>
    <cellStyle name="CustomizationCells 2 2 5 59" xfId="28517" xr:uid="{7BFB408C-3368-4EA6-9267-EFF24EA8AC42}"/>
    <cellStyle name="CustomizationCells 2 2 5 6" xfId="3183" xr:uid="{9B154396-4132-460D-8CD2-6C7144F5C507}"/>
    <cellStyle name="CustomizationCells 2 2 5 60" xfId="28985" xr:uid="{413E4797-F5A8-4691-87D5-EDF31C24CFC7}"/>
    <cellStyle name="CustomizationCells 2 2 5 61" xfId="29254" xr:uid="{8EEF40DE-DC6B-41B7-8BA4-BC2D5F124606}"/>
    <cellStyle name="CustomizationCells 2 2 5 62" xfId="29775" xr:uid="{F0648F08-04BB-4257-8C16-6D23F9B7FEA9}"/>
    <cellStyle name="CustomizationCells 2 2 5 63" xfId="30182" xr:uid="{D774A657-B647-4EBC-882B-D30B3D600AA3}"/>
    <cellStyle name="CustomizationCells 2 2 5 64" xfId="30597" xr:uid="{541FAB00-CC97-4A16-B279-E8981FFF6971}"/>
    <cellStyle name="CustomizationCells 2 2 5 65" xfId="30896" xr:uid="{7E98B170-223C-44ED-B29D-B705023154CC}"/>
    <cellStyle name="CustomizationCells 2 2 5 66" xfId="31220" xr:uid="{2E8DD605-C732-4F5D-8447-51E60BDF6D2D}"/>
    <cellStyle name="CustomizationCells 2 2 5 7" xfId="3534" xr:uid="{B7084D0F-FEDB-4EB3-B07D-52F40F3E6BDD}"/>
    <cellStyle name="CustomizationCells 2 2 5 8" xfId="3995" xr:uid="{A26BD3CF-5015-4D60-891A-933331A86032}"/>
    <cellStyle name="CustomizationCells 2 2 5 9" xfId="4433" xr:uid="{B76395CF-C192-42AF-A0C4-EF6EFC4B843A}"/>
    <cellStyle name="CustomizationCells 2 2 50" xfId="21859" xr:uid="{5F1D1416-872A-44F2-BCEF-A991B1558AE1}"/>
    <cellStyle name="CustomizationCells 2 2 51" xfId="21995" xr:uid="{90FC378E-D14C-4373-A647-CADCEFF8E050}"/>
    <cellStyle name="CustomizationCells 2 2 52" xfId="22660" xr:uid="{75E56643-9A98-435F-8F0D-C6661F1F25A4}"/>
    <cellStyle name="CustomizationCells 2 2 53" xfId="23629" xr:uid="{E9F82B6E-E2CA-46EF-B06C-147FF9B8DAA4}"/>
    <cellStyle name="CustomizationCells 2 2 54" xfId="24532" xr:uid="{5A8382B0-7975-4EE0-B5BB-B86E34C3F212}"/>
    <cellStyle name="CustomizationCells 2 2 55" xfId="25315" xr:uid="{5F475B60-8690-45D5-AB76-EE34473A0B49}"/>
    <cellStyle name="CustomizationCells 2 2 56" xfId="24472" xr:uid="{214BBA7F-4C46-4404-AA45-E7FB5F3D3B3B}"/>
    <cellStyle name="CustomizationCells 2 2 57" xfId="24513" xr:uid="{3D91DD4B-75ED-43C7-A7FD-8814D9542F71}"/>
    <cellStyle name="CustomizationCells 2 2 58" xfId="25143" xr:uid="{10ABE85E-7E0D-4319-BB7C-7A7D3FFBE5F9}"/>
    <cellStyle name="CustomizationCells 2 2 59" xfId="26768" xr:uid="{07B9F4DC-66FF-4CE2-A167-035E31853369}"/>
    <cellStyle name="CustomizationCells 2 2 6" xfId="984" xr:uid="{A6C6411F-75F7-4DEA-93DB-D59300354727}"/>
    <cellStyle name="CustomizationCells 2 2 60" xfId="26409" xr:uid="{4CF9CEEC-B8F9-4D58-BEB7-DD022CCE01AA}"/>
    <cellStyle name="CustomizationCells 2 2 61" xfId="27738" xr:uid="{7C2FB5D7-0DD0-4F71-972D-5AB4A4142A84}"/>
    <cellStyle name="CustomizationCells 2 2 62" xfId="28291" xr:uid="{1B80B4B0-EF09-4849-AE95-BB6DB30C71C1}"/>
    <cellStyle name="CustomizationCells 2 2 63" xfId="28753" xr:uid="{0B0395EB-A565-4D63-B77F-5500547D729B}"/>
    <cellStyle name="CustomizationCells 2 2 64" xfId="29437" xr:uid="{65C7DC70-AF7C-4CF7-8E65-D9868F87B9A4}"/>
    <cellStyle name="CustomizationCells 2 2 65" xfId="29279" xr:uid="{2BC44C4F-D59A-451F-AA1C-AA87281AD9F2}"/>
    <cellStyle name="CustomizationCells 2 2 66" xfId="28247" xr:uid="{AD54C4C3-760E-447C-B08B-014845D28E57}"/>
    <cellStyle name="CustomizationCells 2 2 67" xfId="29268" xr:uid="{9EB189FC-B342-4BFD-A7F9-9168D4C13B0D}"/>
    <cellStyle name="CustomizationCells 2 2 68" xfId="30009" xr:uid="{912B3531-EA23-4DC9-AD99-2CC5A1BEE6D2}"/>
    <cellStyle name="CustomizationCells 2 2 69" xfId="29529" xr:uid="{7AB2E23B-8BB9-44DD-972D-E195C2DB3120}"/>
    <cellStyle name="CustomizationCells 2 2 7" xfId="1707" xr:uid="{898217E4-020E-468C-A3BD-6C195A184291}"/>
    <cellStyle name="CustomizationCells 2 2 8" xfId="2261" xr:uid="{1AC9D26A-AA03-4268-A253-B08251B0DA39}"/>
    <cellStyle name="CustomizationCells 2 2 9" xfId="1827" xr:uid="{25BDF7BE-063D-493E-8DCD-A4705C18F6F5}"/>
    <cellStyle name="CustomizationCells 3" xfId="274" xr:uid="{F19D93EC-0137-4DD6-B11B-E039CE3951BA}"/>
    <cellStyle name="CustomizationCells 3 10" xfId="3736" xr:uid="{523767CC-5E34-45C9-9410-7C112694A528}"/>
    <cellStyle name="CustomizationCells 3 11" xfId="3661" xr:uid="{D04F06C6-44AC-4DB0-840B-63B25F48A8EF}"/>
    <cellStyle name="CustomizationCells 3 12" xfId="2082" xr:uid="{33CE6961-833E-462B-8245-A07A4BC022F0}"/>
    <cellStyle name="CustomizationCells 3 13" xfId="3677" xr:uid="{D1E1B7E0-6122-426E-86B1-A6DC372E85A6}"/>
    <cellStyle name="CustomizationCells 3 14" xfId="4942" xr:uid="{6B6CCF38-AF5B-4930-B83C-4F6577E6F13F}"/>
    <cellStyle name="CustomizationCells 3 15" xfId="5893" xr:uid="{99EAEAD4-EA56-448A-91B3-3F006BA8D2B6}"/>
    <cellStyle name="CustomizationCells 3 16" xfId="6074" xr:uid="{ED5FCB7D-EE91-448A-AA5B-6C51D04F8BD4}"/>
    <cellStyle name="CustomizationCells 3 17" xfId="6694" xr:uid="{5CF6B241-9B2D-49B3-9239-DCAD3CE0937A}"/>
    <cellStyle name="CustomizationCells 3 18" xfId="7004" xr:uid="{1F3B94ED-D4E9-42E2-8368-3EBC7F76D9C0}"/>
    <cellStyle name="CustomizationCells 3 19" xfId="7641" xr:uid="{21955150-D9DB-4D10-ABF3-B7B346224FD6}"/>
    <cellStyle name="CustomizationCells 3 2" xfId="613" xr:uid="{1701FFC5-1036-4DA6-A9F8-59686DB57C09}"/>
    <cellStyle name="CustomizationCells 3 2 10" xfId="4937" xr:uid="{E943678D-A8D0-4180-B3D5-8D66BF6DBC4A}"/>
    <cellStyle name="CustomizationCells 3 2 11" xfId="5261" xr:uid="{6631672D-6B61-4844-850B-DA6D72CAF70D}"/>
    <cellStyle name="CustomizationCells 3 2 12" xfId="5872" xr:uid="{C98D5A1B-84BF-42CE-BCD4-4D6EC0E4CEE6}"/>
    <cellStyle name="CustomizationCells 3 2 13" xfId="5967" xr:uid="{8B892EFD-BB32-41F5-8D62-4064E9AA36DE}"/>
    <cellStyle name="CustomizationCells 3 2 14" xfId="6553" xr:uid="{ADA6DEED-B71A-4F88-BFE7-C5ED4A59DE61}"/>
    <cellStyle name="CustomizationCells 3 2 15" xfId="7333" xr:uid="{239DB809-6992-4A91-8049-2755E8C430F3}"/>
    <cellStyle name="CustomizationCells 3 2 16" xfId="7960" xr:uid="{2D2A0391-E9E8-42A3-ADC1-1196E23B5B76}"/>
    <cellStyle name="CustomizationCells 3 2 17" xfId="6921" xr:uid="{BD483C22-6661-4D11-99E3-101695492B5F}"/>
    <cellStyle name="CustomizationCells 3 2 18" xfId="7943" xr:uid="{2DB5C7BD-A6F7-44DE-B477-19B3E02A92A9}"/>
    <cellStyle name="CustomizationCells 3 2 19" xfId="9547" xr:uid="{A2013875-4E43-487A-80E4-67AFCDF66D5D}"/>
    <cellStyle name="CustomizationCells 3 2 2" xfId="828" xr:uid="{F6A3F8F3-2A15-49B1-95CB-49B92EB85635}"/>
    <cellStyle name="CustomizationCells 3 2 2 10" xfId="5476" xr:uid="{E57A1734-D3E3-49B1-A17A-CABF63AC2EFF}"/>
    <cellStyle name="CustomizationCells 3 2 2 11" xfId="5628" xr:uid="{6660593F-7850-4DE2-8C14-FC33D4CE4222}"/>
    <cellStyle name="CustomizationCells 3 2 2 12" xfId="5038" xr:uid="{F24D1572-048A-42DF-BFEB-C7D093CE6F43}"/>
    <cellStyle name="CustomizationCells 3 2 2 13" xfId="6666" xr:uid="{7F365F67-E296-4BD7-951F-5AA300A56FB6}"/>
    <cellStyle name="CustomizationCells 3 2 2 14" xfId="7548" xr:uid="{02ECF751-901B-4B69-90B5-116479271035}"/>
    <cellStyle name="CustomizationCells 3 2 2 15" xfId="6982" xr:uid="{823A228E-FA1D-4BC7-854A-E8BF599F2835}"/>
    <cellStyle name="CustomizationCells 3 2 2 16" xfId="8333" xr:uid="{6380880B-4BE3-4F0C-BB2D-C9367D35C73A}"/>
    <cellStyle name="CustomizationCells 3 2 2 17" xfId="8274" xr:uid="{C03A97DA-AABF-4D29-9E05-C5C626DC7A55}"/>
    <cellStyle name="CustomizationCells 3 2 2 18" xfId="9762" xr:uid="{728864AE-8A13-4410-9823-CEC7B0806600}"/>
    <cellStyle name="CustomizationCells 3 2 2 19" xfId="9323" xr:uid="{B4372885-8BC4-4A4A-9A78-FDCF57EBBD43}"/>
    <cellStyle name="CustomizationCells 3 2 2 2" xfId="1302" xr:uid="{23F0990B-249E-4C6D-B08A-BC7FC26A4274}"/>
    <cellStyle name="CustomizationCells 3 2 2 20" xfId="9858" xr:uid="{BC02F724-2F4E-4772-A2F1-F042518115D5}"/>
    <cellStyle name="CustomizationCells 3 2 2 21" xfId="9973" xr:uid="{ABDFE182-CAD3-4C94-85BE-6C8CC46F8685}"/>
    <cellStyle name="CustomizationCells 3 2 2 22" xfId="11146" xr:uid="{3F2ACA89-3D1B-4878-AFD9-8CF66E51743D}"/>
    <cellStyle name="CustomizationCells 3 2 2 23" xfId="12181" xr:uid="{6F58C743-9F0B-4765-AA01-C4F8B7ABE4C5}"/>
    <cellStyle name="CustomizationCells 3 2 2 24" xfId="12654" xr:uid="{07354566-4C36-4D8C-A1FE-1883EAE6A4F3}"/>
    <cellStyle name="CustomizationCells 3 2 2 25" xfId="13088" xr:uid="{08065DBD-B6E9-4D6C-86FB-4BBD030A7E5A}"/>
    <cellStyle name="CustomizationCells 3 2 2 26" xfId="13525" xr:uid="{E244775A-FF42-43B3-8A56-0F8959D43D77}"/>
    <cellStyle name="CustomizationCells 3 2 2 27" xfId="13159" xr:uid="{FD05CBE4-512A-4BD2-A6E6-19C1C2DEA77B}"/>
    <cellStyle name="CustomizationCells 3 2 2 28" xfId="12960" xr:uid="{D077A15B-8761-473A-ADB8-E8CACE5D3709}"/>
    <cellStyle name="CustomizationCells 3 2 2 29" xfId="14081" xr:uid="{F3A1EB27-3EED-4E5B-ABE2-EDC9BDEF0B1D}"/>
    <cellStyle name="CustomizationCells 3 2 2 3" xfId="1554" xr:uid="{5D5955AF-3E36-4C35-8F54-BB7F1D623E75}"/>
    <cellStyle name="CustomizationCells 3 2 2 30" xfId="15221" xr:uid="{A76FC85A-20BB-496A-B28C-576E4D0811A1}"/>
    <cellStyle name="CustomizationCells 3 2 2 31" xfId="15550" xr:uid="{0D03DCC9-931F-41FB-B8C4-D3CCEEB734B6}"/>
    <cellStyle name="CustomizationCells 3 2 2 32" xfId="15517" xr:uid="{EB5B60CC-8D40-4FB2-A64A-5716F1C8E993}"/>
    <cellStyle name="CustomizationCells 3 2 2 33" xfId="16873" xr:uid="{D9139020-AC99-40E8-8E55-4F918EA15965}"/>
    <cellStyle name="CustomizationCells 3 2 2 34" xfId="16302" xr:uid="{2D462A6F-6EEA-4483-8D3B-141D9F5DE71F}"/>
    <cellStyle name="CustomizationCells 3 2 2 35" xfId="16242" xr:uid="{519D4D9A-E3E5-4E29-BE17-04AFAF830A0A}"/>
    <cellStyle name="CustomizationCells 3 2 2 36" xfId="17462" xr:uid="{2C88663B-DAF9-46F1-BBFC-580F347C0D03}"/>
    <cellStyle name="CustomizationCells 3 2 2 37" xfId="18691" xr:uid="{97497326-0DD1-41C0-B4BC-44023A096773}"/>
    <cellStyle name="CustomizationCells 3 2 2 38" xfId="18135" xr:uid="{C7981332-DD11-4D6E-A403-5FB414026E3A}"/>
    <cellStyle name="CustomizationCells 3 2 2 39" xfId="17785" xr:uid="{1FFA3B95-2B2D-4D34-8544-EE7A46E0480C}"/>
    <cellStyle name="CustomizationCells 3 2 2 4" xfId="2650" xr:uid="{0BAF8C55-029C-4F2C-882C-5ED9BCA360BA}"/>
    <cellStyle name="CustomizationCells 3 2 2 40" xfId="20210" xr:uid="{91DB21EB-FD57-46CC-9FC7-6031851AA11E}"/>
    <cellStyle name="CustomizationCells 3 2 2 41" xfId="19632" xr:uid="{92CDD1C4-DB69-432A-9785-F92C8ADB3626}"/>
    <cellStyle name="CustomizationCells 3 2 2 42" xfId="20305" xr:uid="{32B777B3-E471-4774-98EB-1F5155FB8BE5}"/>
    <cellStyle name="CustomizationCells 3 2 2 43" xfId="21292" xr:uid="{1897CEFA-0030-4623-A3A0-EACD23AA66B5}"/>
    <cellStyle name="CustomizationCells 3 2 2 44" xfId="19559" xr:uid="{F21E6B64-41E9-4969-9110-0E7632C23B9B}"/>
    <cellStyle name="CustomizationCells 3 2 2 45" xfId="21084" xr:uid="{4AF5C3B5-FB2C-4235-8A33-AE3E6457A1D6}"/>
    <cellStyle name="CustomizationCells 3 2 2 46" xfId="21802" xr:uid="{562A7D96-B3F5-4D7C-8C06-DD142C77BA3B}"/>
    <cellStyle name="CustomizationCells 3 2 2 47" xfId="22813" xr:uid="{C28FAFA1-4727-4B26-8564-B242598E874C}"/>
    <cellStyle name="CustomizationCells 3 2 2 48" xfId="22814" xr:uid="{4E355422-D54A-48A5-832B-570BC92661D4}"/>
    <cellStyle name="CustomizationCells 3 2 2 49" xfId="24010" xr:uid="{57E08943-A61C-4FF6-AE40-36FBBA897242}"/>
    <cellStyle name="CustomizationCells 3 2 2 5" xfId="2276" xr:uid="{A25AEB75-5A2A-48DA-B72F-021D108AD4C4}"/>
    <cellStyle name="CustomizationCells 3 2 2 50" xfId="24918" xr:uid="{B6D1CCE0-881E-4668-B916-E5CF50B7BEE4}"/>
    <cellStyle name="CustomizationCells 3 2 2 51" xfId="24190" xr:uid="{EB9C5D46-92BF-4B27-9134-C183E678B96C}"/>
    <cellStyle name="CustomizationCells 3 2 2 52" xfId="25834" xr:uid="{D03DF0C3-23AE-4903-BEE3-10DF9B14B87F}"/>
    <cellStyle name="CustomizationCells 3 2 2 53" xfId="24536" xr:uid="{A18517F7-B954-4160-BE2E-52DF3189BE02}"/>
    <cellStyle name="CustomizationCells 3 2 2 54" xfId="26534" xr:uid="{61A55680-FE82-4CB4-9A2F-AFAC126074F5}"/>
    <cellStyle name="CustomizationCells 3 2 2 55" xfId="27122" xr:uid="{E8950B38-ADAF-4218-80D4-8480919A271F}"/>
    <cellStyle name="CustomizationCells 3 2 2 56" xfId="27541" xr:uid="{D60D2A8D-7206-4620-9390-96E534FC3A35}"/>
    <cellStyle name="CustomizationCells 3 2 2 57" xfId="26653" xr:uid="{70413B9E-9B6C-4B87-8829-0005CE360655}"/>
    <cellStyle name="CustomizationCells 3 2 2 58" xfId="28668" xr:uid="{CEA1C316-8C24-4E2D-B824-AF351BEB7B64}"/>
    <cellStyle name="CustomizationCells 3 2 2 59" xfId="29135" xr:uid="{0AE9FF2C-F6BC-4B2F-84F6-44B05C51F55A}"/>
    <cellStyle name="CustomizationCells 3 2 2 6" xfId="3291" xr:uid="{777E98FF-2564-4FDD-BF27-ACC394A10675}"/>
    <cellStyle name="CustomizationCells 3 2 2 60" xfId="27893" xr:uid="{1C46172F-6299-4E5E-98EC-5DD6B89DCC57}"/>
    <cellStyle name="CustomizationCells 3 2 2 61" xfId="29924" xr:uid="{EE3FFAA3-7C65-4DC6-8796-0EADA333294C}"/>
    <cellStyle name="CustomizationCells 3 2 2 62" xfId="30330" xr:uid="{1FF0BC8C-6EA5-4910-AC54-1A08C42D130B}"/>
    <cellStyle name="CustomizationCells 3 2 2 63" xfId="30747" xr:uid="{2F1BBCF9-BBDF-4994-A8E0-45A5C04A2D09}"/>
    <cellStyle name="CustomizationCells 3 2 2 64" xfId="30924" xr:uid="{A4623C25-C63E-427B-97EA-7E493B035DF0}"/>
    <cellStyle name="CustomizationCells 3 2 2 65" xfId="31363" xr:uid="{B4BDC3CA-5A2B-423A-8574-E3A73C2A4BEB}"/>
    <cellStyle name="CustomizationCells 3 2 2 7" xfId="4146" xr:uid="{B1E9A258-E148-47EF-8887-A2F8A9EB06A7}"/>
    <cellStyle name="CustomizationCells 3 2 2 8" xfId="4583" xr:uid="{F35DD776-4F98-4C90-A26B-C64C8A997957}"/>
    <cellStyle name="CustomizationCells 3 2 2 9" xfId="2246" xr:uid="{09F4E890-E032-46D7-9925-1F7350967D40}"/>
    <cellStyle name="CustomizationCells 3 2 20" xfId="10174" xr:uid="{E4A95F07-71D3-4E1F-B7E3-79A393F1ED2C}"/>
    <cellStyle name="CustomizationCells 3 2 21" xfId="10581" xr:uid="{F0CE0C75-B6B3-45BF-BDC9-271C64ADF952}"/>
    <cellStyle name="CustomizationCells 3 2 22" xfId="10990" xr:uid="{18C6128B-4E24-4FCA-90E5-4EBC10AC7E26}"/>
    <cellStyle name="CustomizationCells 3 2 23" xfId="10810" xr:uid="{3EBFCC56-2CEB-4C87-A912-9CA0A40401DA}"/>
    <cellStyle name="CustomizationCells 3 2 24" xfId="11966" xr:uid="{246BF2CF-1C6D-4777-AF7A-85D0C0B82BD1}"/>
    <cellStyle name="CustomizationCells 3 2 25" xfId="12439" xr:uid="{0B244DA1-B5D5-48BA-A4E3-0D4A83BAC622}"/>
    <cellStyle name="CustomizationCells 3 2 26" xfId="12873" xr:uid="{4A235B4A-90D8-44B4-9E26-60D40DA8067F}"/>
    <cellStyle name="CustomizationCells 3 2 27" xfId="13310" xr:uid="{FAC88547-83B9-416F-B705-8A9DFCFAD028}"/>
    <cellStyle name="CustomizationCells 3 2 28" xfId="12258" xr:uid="{D9319490-66BE-4B5D-9DEF-63BBAC4F8C8F}"/>
    <cellStyle name="CustomizationCells 3 2 29" xfId="14152" xr:uid="{200FECF7-4884-43A2-A735-E9A986BD3BF6}"/>
    <cellStyle name="CustomizationCells 3 2 3" xfId="1096" xr:uid="{B0559107-19E5-4873-A41D-8546F7979D63}"/>
    <cellStyle name="CustomizationCells 3 2 30" xfId="14799" xr:uid="{10CF9BB1-5A1C-4E98-8A45-B3B3B908E043}"/>
    <cellStyle name="CustomizationCells 3 2 31" xfId="14967" xr:uid="{E09463F5-075F-4234-9BA5-45DFD7CED2B6}"/>
    <cellStyle name="CustomizationCells 3 2 32" xfId="15351" xr:uid="{ED2DE24D-1666-49F9-955B-2CF672E3DCBE}"/>
    <cellStyle name="CustomizationCells 3 2 33" xfId="15948" xr:uid="{D8B69400-483D-4028-B9D4-0A418310E0EA}"/>
    <cellStyle name="CustomizationCells 3 2 34" xfId="16658" xr:uid="{780E4A34-BB1D-46F1-AF86-5215E5B287F9}"/>
    <cellStyle name="CustomizationCells 3 2 35" xfId="17295" xr:uid="{F9D8B58F-54DB-48EA-B393-53C2E42F69E2}"/>
    <cellStyle name="CustomizationCells 3 2 36" xfId="17738" xr:uid="{C4A9DC99-A1E0-4CB1-B002-CBE4963E1785}"/>
    <cellStyle name="CustomizationCells 3 2 37" xfId="18048" xr:uid="{CA2BDC13-0C45-4662-B0C2-81AF162A073D}"/>
    <cellStyle name="CustomizationCells 3 2 38" xfId="18476" xr:uid="{9404DC2C-2C44-4A73-BCCB-75103C7E1A64}"/>
    <cellStyle name="CustomizationCells 3 2 39" xfId="17952" xr:uid="{FE16ACF8-EEBE-4A4E-A4FF-E0DC36F3993B}"/>
    <cellStyle name="CustomizationCells 3 2 4" xfId="1664" xr:uid="{E306DA8F-EC71-40C9-AA7F-37849510F2EC}"/>
    <cellStyle name="CustomizationCells 3 2 40" xfId="19213" xr:uid="{A86AA0CE-6639-4217-A2D7-422E5213F3C0}"/>
    <cellStyle name="CustomizationCells 3 2 41" xfId="19995" xr:uid="{23932F15-32A8-4393-B3B6-F9EE4BE6220A}"/>
    <cellStyle name="CustomizationCells 3 2 42" xfId="20645" xr:uid="{8B580E47-4E27-4612-B020-4D01A735A12B}"/>
    <cellStyle name="CustomizationCells 3 2 43" xfId="21101" xr:uid="{9CB31EA6-0E3F-424D-89EA-CB3BDB9BC7BC}"/>
    <cellStyle name="CustomizationCells 3 2 44" xfId="20343" xr:uid="{409E12C9-F6E9-4197-85A6-1A73E4A4EF63}"/>
    <cellStyle name="CustomizationCells 3 2 45" xfId="22032" xr:uid="{1CC016F0-DC80-477E-A0BC-811D8F0F816B}"/>
    <cellStyle name="CustomizationCells 3 2 46" xfId="22462" xr:uid="{C0337E7A-F7DF-4000-A135-3F103B7A85DB}"/>
    <cellStyle name="CustomizationCells 3 2 47" xfId="22583" xr:uid="{F70F2015-EB3E-4AB0-B53F-46EC568EC423}"/>
    <cellStyle name="CustomizationCells 3 2 48" xfId="22399" xr:uid="{4307301A-D4E7-43EF-B8C2-4F46BDF18FCA}"/>
    <cellStyle name="CustomizationCells 3 2 49" xfId="23541" xr:uid="{0FCEC3E5-724E-46B0-8CB1-A5E87C0BA1D1}"/>
    <cellStyle name="CustomizationCells 3 2 5" xfId="2435" xr:uid="{C81CD8B5-9D8C-48C9-B293-4761119B860B}"/>
    <cellStyle name="CustomizationCells 3 2 50" xfId="23804" xr:uid="{06B33626-B213-4420-AD53-1D0F9473E856}"/>
    <cellStyle name="CustomizationCells 3 2 51" xfId="24703" xr:uid="{B95D1CB8-40DD-4ED5-8C5C-4EC81F32E9BA}"/>
    <cellStyle name="CustomizationCells 3 2 52" xfId="25349" xr:uid="{F32B5E74-FF7A-4206-8CE9-7CB8F803E8D0}"/>
    <cellStyle name="CustomizationCells 3 2 53" xfId="25621" xr:uid="{6BB511FC-B41E-472C-B42B-56FBE6DAFB57}"/>
    <cellStyle name="CustomizationCells 3 2 54" xfId="24238" xr:uid="{6E70E40E-C70B-44A9-8D18-6C8A70BAF6E1}"/>
    <cellStyle name="CustomizationCells 3 2 55" xfId="26352" xr:uid="{9660E481-D1C2-43DD-9F92-749E35943F5E}"/>
    <cellStyle name="CustomizationCells 3 2 56" xfId="26911" xr:uid="{ADC356DB-03E2-4668-81E7-D938CDC90A3F}"/>
    <cellStyle name="CustomizationCells 3 2 57" xfId="27330" xr:uid="{83A16B17-6FE0-49DD-AF84-A8F36ED4BABC}"/>
    <cellStyle name="CustomizationCells 3 2 58" xfId="27642" xr:uid="{CB39C004-7AF5-476A-8F82-386A39AE511D}"/>
    <cellStyle name="CustomizationCells 3 2 59" xfId="28453" xr:uid="{8D999A38-BA6D-476F-9CE0-0323EFBA1A98}"/>
    <cellStyle name="CustomizationCells 3 2 6" xfId="1951" xr:uid="{BC6426A0-66A8-4902-83C4-5EA75518D4F2}"/>
    <cellStyle name="CustomizationCells 3 2 60" xfId="28921" xr:uid="{45912551-D0D4-49BF-B6F9-F1A779B5182E}"/>
    <cellStyle name="CustomizationCells 3 2 61" xfId="29473" xr:uid="{57782AA1-BDE6-4B06-9B2A-FBC26DC93173}"/>
    <cellStyle name="CustomizationCells 3 2 62" xfId="29711" xr:uid="{7EA18429-11A0-42BB-87A2-DD2F2D31D9B6}"/>
    <cellStyle name="CustomizationCells 3 2 63" xfId="30119" xr:uid="{73693F0D-7DDE-4AB1-99DF-AA8954BF09D5}"/>
    <cellStyle name="CustomizationCells 3 2 64" xfId="30533" xr:uid="{8BE69BBD-EED8-4ED3-AC26-25E955169CAC}"/>
    <cellStyle name="CustomizationCells 3 2 65" xfId="28330" xr:uid="{9EA0C283-9E6B-4C57-B4C3-944BB2C3CEAD}"/>
    <cellStyle name="CustomizationCells 3 2 66" xfId="31157" xr:uid="{BF70D943-5752-40EB-B6CF-98632FA5A070}"/>
    <cellStyle name="CustomizationCells 3 2 7" xfId="3469" xr:uid="{EC599A91-1926-4C02-B65D-7DFA038508AD}"/>
    <cellStyle name="CustomizationCells 3 2 8" xfId="3931" xr:uid="{EFA7ED2A-6DF1-4EF7-BFDE-4203D36820A7}"/>
    <cellStyle name="CustomizationCells 3 2 9" xfId="4369" xr:uid="{B0E17878-146C-45A1-BC6A-18A3286C11BA}"/>
    <cellStyle name="CustomizationCells 3 20" xfId="8635" xr:uid="{F0D89606-5549-4AF0-8599-0C7A5FDBA8B7}"/>
    <cellStyle name="CustomizationCells 3 21" xfId="8729" xr:uid="{4D6C9EB7-1458-4EE0-92CC-EA8001AE3D0B}"/>
    <cellStyle name="CustomizationCells 3 22" xfId="9218" xr:uid="{CEB1BA98-8556-4B60-9829-ED317E972256}"/>
    <cellStyle name="CustomizationCells 3 23" xfId="9851" xr:uid="{18EBD831-E445-4F9E-8919-012A509541B9}"/>
    <cellStyle name="CustomizationCells 3 24" xfId="9338" xr:uid="{426F43F4-C511-40D9-91FB-0C5FCC6D4C27}"/>
    <cellStyle name="CustomizationCells 3 25" xfId="10797" xr:uid="{D1711C92-10A8-4A6F-B131-BE7822D0E8CB}"/>
    <cellStyle name="CustomizationCells 3 26" xfId="11311" xr:uid="{51E67DFA-CC23-4E02-91D0-BCDBAEBF2909}"/>
    <cellStyle name="CustomizationCells 3 27" xfId="11630" xr:uid="{A89D4D57-9370-483D-95A2-D7053B6A23C2}"/>
    <cellStyle name="CustomizationCells 3 28" xfId="11479" xr:uid="{EC2C661C-9509-4CB9-9FCF-55A08CB21A03}"/>
    <cellStyle name="CustomizationCells 3 29" xfId="11517" xr:uid="{DC42602E-4FE0-4CDA-89D6-587D46FEB24D}"/>
    <cellStyle name="CustomizationCells 3 3" xfId="640" xr:uid="{1E3C21A3-C638-4BF6-82DC-8F7F54F187BF}"/>
    <cellStyle name="CustomizationCells 3 3 10" xfId="2885" xr:uid="{9BDE82AE-9483-4C98-8127-B48551C84FA1}"/>
    <cellStyle name="CustomizationCells 3 3 11" xfId="5288" xr:uid="{5BEDB95A-E0E3-48F9-A12B-87E972CC7022}"/>
    <cellStyle name="CustomizationCells 3 3 12" xfId="5768" xr:uid="{E56357C7-4E0D-4397-A1EB-B8219EC669B6}"/>
    <cellStyle name="CustomizationCells 3 3 13" xfId="5727" xr:uid="{7A69AFDC-16B4-4E11-A6C4-9C46901417AE}"/>
    <cellStyle name="CustomizationCells 3 3 14" xfId="6463" xr:uid="{3C55AFC2-097F-4D9D-8583-39AD1EEEFFCE}"/>
    <cellStyle name="CustomizationCells 3 3 15" xfId="7360" xr:uid="{C915D8B7-F148-4C1E-AFFA-AE5DE67818B6}"/>
    <cellStyle name="CustomizationCells 3 3 16" xfId="7988" xr:uid="{6DB0B609-0785-451A-A10E-6ACFBDF92F31}"/>
    <cellStyle name="CustomizationCells 3 3 17" xfId="7652" xr:uid="{72E6FDAB-98EB-45DF-B414-E1E3E6AD9D0D}"/>
    <cellStyle name="CustomizationCells 3 3 18" xfId="8194" xr:uid="{382992D7-D8E1-426E-801F-843A731C2245}"/>
    <cellStyle name="CustomizationCells 3 3 19" xfId="9574" xr:uid="{8CCBFFB0-33BF-4E0D-B6F6-03FCCB954311}"/>
    <cellStyle name="CustomizationCells 3 3 2" xfId="855" xr:uid="{65789945-C564-47EC-B5AB-1CF095AC9F12}"/>
    <cellStyle name="CustomizationCells 3 3 2 10" xfId="5503" xr:uid="{C7574D9E-8CE2-42D4-9E3E-7D9C48C3FBEC}"/>
    <cellStyle name="CustomizationCells 3 3 2 11" xfId="4877" xr:uid="{7FE0D9EF-C1E9-4053-93AB-5D160CC02053}"/>
    <cellStyle name="CustomizationCells 3 3 2 12" xfId="6204" xr:uid="{F344E434-15B4-47D4-A8F5-8259B9E9CA47}"/>
    <cellStyle name="CustomizationCells 3 3 2 13" xfId="6612" xr:uid="{3A0BEE35-8A67-42B6-913C-A8D838BD0B4B}"/>
    <cellStyle name="CustomizationCells 3 3 2 14" xfId="7575" xr:uid="{5B4C3336-9EA1-4C51-92AC-5BCE16B800FF}"/>
    <cellStyle name="CustomizationCells 3 3 2 15" xfId="7086" xr:uid="{4F26F091-3CDB-4EA7-B17A-CD8320B890F0}"/>
    <cellStyle name="CustomizationCells 3 3 2 16" xfId="8428" xr:uid="{180F33D3-58BF-44F7-9CF6-83E1F8F7C47B}"/>
    <cellStyle name="CustomizationCells 3 3 2 17" xfId="8756" xr:uid="{26BB873E-9FCF-4548-A9BA-35B88BC5AE32}"/>
    <cellStyle name="CustomizationCells 3 3 2 18" xfId="9789" xr:uid="{B5F64FD4-12BE-41FB-9734-F921829E93FF}"/>
    <cellStyle name="CustomizationCells 3 3 2 19" xfId="9300" xr:uid="{B48118E2-93AC-4B87-8A45-F9CD6CFA765C}"/>
    <cellStyle name="CustomizationCells 3 3 2 2" xfId="1329" xr:uid="{FA0F35BC-3E47-4B9E-90CA-832926DE968E}"/>
    <cellStyle name="CustomizationCells 3 3 2 20" xfId="9969" xr:uid="{9D866C11-7FF1-4472-AD58-24840D920F1F}"/>
    <cellStyle name="CustomizationCells 3 3 2 21" xfId="10854" xr:uid="{31345B92-7143-4643-A398-D0588EE044D6}"/>
    <cellStyle name="CustomizationCells 3 3 2 22" xfId="10771" xr:uid="{32EB7AFC-B3C5-4D0F-96DF-0B2D93588964}"/>
    <cellStyle name="CustomizationCells 3 3 2 23" xfId="12208" xr:uid="{1DF593B1-8867-4394-A087-5348E9A60322}"/>
    <cellStyle name="CustomizationCells 3 3 2 24" xfId="12681" xr:uid="{87B797A8-4BD6-45BC-BF06-7820E1618C13}"/>
    <cellStyle name="CustomizationCells 3 3 2 25" xfId="13115" xr:uid="{7C34811A-CD90-4097-989F-A74E7B74E3B2}"/>
    <cellStyle name="CustomizationCells 3 3 2 26" xfId="13552" xr:uid="{11060A50-0C46-46CB-B2E3-5E368A5B4EB5}"/>
    <cellStyle name="CustomizationCells 3 3 2 27" xfId="13755" xr:uid="{0A737F19-CCE3-411D-B341-B0B0E1A8DF3D}"/>
    <cellStyle name="CustomizationCells 3 3 2 28" xfId="14471" xr:uid="{D369F71A-0940-4027-AED4-A60C665841A9}"/>
    <cellStyle name="CustomizationCells 3 3 2 29" xfId="14219" xr:uid="{D1FCCC4B-8999-405C-A83C-5DFF403FD9B1}"/>
    <cellStyle name="CustomizationCells 3 3 2 3" xfId="1778" xr:uid="{A231156E-7727-41E6-8EBA-040ACA831E9C}"/>
    <cellStyle name="CustomizationCells 3 3 2 30" xfId="14695" xr:uid="{C5ADD909-8236-4709-9322-196DAECA8E81}"/>
    <cellStyle name="CustomizationCells 3 3 2 31" xfId="15326" xr:uid="{7E95E673-01AE-4336-877B-8F6A1CBB13D1}"/>
    <cellStyle name="CustomizationCells 3 3 2 32" xfId="15234" xr:uid="{FF31CB18-4A0F-4A11-B5EF-97704D0B92C4}"/>
    <cellStyle name="CustomizationCells 3 3 2 33" xfId="16900" xr:uid="{5AC5FC46-EF58-4E68-BCCB-F76C60185027}"/>
    <cellStyle name="CustomizationCells 3 3 2 34" xfId="16408" xr:uid="{F5F69960-73B0-45C1-B1D9-0B67B4F03B66}"/>
    <cellStyle name="CustomizationCells 3 3 2 35" xfId="17085" xr:uid="{02D1277A-0CA3-4540-903A-DA88FBB18625}"/>
    <cellStyle name="CustomizationCells 3 3 2 36" xfId="18061" xr:uid="{A060D66C-EAFD-4B83-A491-C4650F3BA307}"/>
    <cellStyle name="CustomizationCells 3 3 2 37" xfId="18718" xr:uid="{5EFD4968-3EA2-41BF-BFE2-7D4FE96CCEEA}"/>
    <cellStyle name="CustomizationCells 3 3 2 38" xfId="17448" xr:uid="{F00B9521-AC71-489E-BF63-6065A1A73AF9}"/>
    <cellStyle name="CustomizationCells 3 3 2 39" xfId="19231" xr:uid="{62BC0D9D-1DF9-4F1D-8C01-C950233ECA23}"/>
    <cellStyle name="CustomizationCells 3 3 2 4" xfId="2677" xr:uid="{D7E4771C-B750-461B-AF71-33EA96668288}"/>
    <cellStyle name="CustomizationCells 3 3 2 40" xfId="20237" xr:uid="{3324E61D-EDB5-44B4-9765-6EFADF4D786B}"/>
    <cellStyle name="CustomizationCells 3 3 2 41" xfId="19743" xr:uid="{767E198E-36E9-4DDE-A06E-0AF05A5BC9AC}"/>
    <cellStyle name="CustomizationCells 3 3 2 42" xfId="20370" xr:uid="{6355A9E5-B5DF-4BFD-AD69-F0C968AB5541}"/>
    <cellStyle name="CustomizationCells 3 3 2 43" xfId="21575" xr:uid="{5B012490-AF9F-4542-B3F3-9EB58FABA36C}"/>
    <cellStyle name="CustomizationCells 3 3 2 44" xfId="20796" xr:uid="{0D61596A-27CE-4D2E-989B-34D081E44FF9}"/>
    <cellStyle name="CustomizationCells 3 3 2 45" xfId="20611" xr:uid="{F525171A-0B1C-4E99-9B6A-B978A3ACFD8E}"/>
    <cellStyle name="CustomizationCells 3 3 2 46" xfId="22750" xr:uid="{B9D74AF2-7348-4B11-9C6C-14C06888DFE7}"/>
    <cellStyle name="CustomizationCells 3 3 2 47" xfId="22855" xr:uid="{4EF710A4-5A0D-4D0C-85AE-0FAA2519E53C}"/>
    <cellStyle name="CustomizationCells 3 3 2 48" xfId="23609" xr:uid="{D0BA94C0-AFDF-4DEA-9E47-AA6C62D26809}"/>
    <cellStyle name="CustomizationCells 3 3 2 49" xfId="24037" xr:uid="{4F0D135E-6E24-452D-B7EB-6F92804E7D04}"/>
    <cellStyle name="CustomizationCells 3 3 2 5" xfId="2921" xr:uid="{0F26EF0C-0477-4F65-B16D-7B8D68F4C436}"/>
    <cellStyle name="CustomizationCells 3 3 2 50" xfId="24945" xr:uid="{D26A9CF1-E86E-450E-81FC-324369461860}"/>
    <cellStyle name="CustomizationCells 3 3 2 51" xfId="24571" xr:uid="{598BCAE3-5DF8-4CE1-AFBD-52922F5C51CD}"/>
    <cellStyle name="CustomizationCells 3 3 2 52" xfId="25861" xr:uid="{521EDA6E-D04B-443C-88A8-B40240B65EDA}"/>
    <cellStyle name="CustomizationCells 3 3 2 53" xfId="25990" xr:uid="{D208BB0F-FD40-40DC-9B43-64B12F6E4F48}"/>
    <cellStyle name="CustomizationCells 3 3 2 54" xfId="26728" xr:uid="{1C595A62-C0D6-4C40-9702-3876D77C05DA}"/>
    <cellStyle name="CustomizationCells 3 3 2 55" xfId="27149" xr:uid="{E6C3F39F-5CBA-40EA-9AC8-B2C0AE4B6766}"/>
    <cellStyle name="CustomizationCells 3 3 2 56" xfId="27568" xr:uid="{7341F549-8546-4008-8674-81D0FC267CE4}"/>
    <cellStyle name="CustomizationCells 3 3 2 57" xfId="27215" xr:uid="{45AC3C3D-9F18-4292-8243-1D37F68E6530}"/>
    <cellStyle name="CustomizationCells 3 3 2 58" xfId="28695" xr:uid="{E6E6B608-3FAC-4DFD-AA3E-2A86BC420D8A}"/>
    <cellStyle name="CustomizationCells 3 3 2 59" xfId="29162" xr:uid="{9577250D-3EA0-4C95-81CB-5BF503573DF5}"/>
    <cellStyle name="CustomizationCells 3 3 2 6" xfId="2139" xr:uid="{E4E1D889-0C6F-4BA1-86CF-1B520BA8AA7C}"/>
    <cellStyle name="CustomizationCells 3 3 2 60" xfId="28802" xr:uid="{69C00370-39D9-4E05-B289-5554623C197F}"/>
    <cellStyle name="CustomizationCells 3 3 2 61" xfId="29951" xr:uid="{3B041AC8-7965-436D-A042-B7375A54725C}"/>
    <cellStyle name="CustomizationCells 3 3 2 62" xfId="30357" xr:uid="{C5BBBADB-E04B-4652-B9B1-75C877DCFDFD}"/>
    <cellStyle name="CustomizationCells 3 3 2 63" xfId="30774" xr:uid="{1674BBE2-FFCE-49A0-9339-64317CA6EDC0}"/>
    <cellStyle name="CustomizationCells 3 3 2 64" xfId="29332" xr:uid="{7BA83085-D65A-483B-873B-7B9748991D6B}"/>
    <cellStyle name="CustomizationCells 3 3 2 65" xfId="31390" xr:uid="{30015A3C-D4D9-4E1A-A65B-4CFBE8474366}"/>
    <cellStyle name="CustomizationCells 3 3 2 7" xfId="4173" xr:uid="{06D733C6-FD3C-4837-AB9B-3DEF75544CF1}"/>
    <cellStyle name="CustomizationCells 3 3 2 8" xfId="4610" xr:uid="{2C047390-4C36-41D5-BB48-ECD9AED699CD}"/>
    <cellStyle name="CustomizationCells 3 3 2 9" xfId="5056" xr:uid="{A49A6D6F-0FDB-456C-83C0-37EC63E0865E}"/>
    <cellStyle name="CustomizationCells 3 3 20" xfId="10204" xr:uid="{D8C53196-D56E-4925-90E9-57BD25A67701}"/>
    <cellStyle name="CustomizationCells 3 3 21" xfId="10608" xr:uid="{35CE2458-B858-4887-9D35-2A2896FFA58B}"/>
    <cellStyle name="CustomizationCells 3 3 22" xfId="10191" xr:uid="{A31BAB2E-F966-4C83-9DD0-CBFF441E2FEF}"/>
    <cellStyle name="CustomizationCells 3 3 23" xfId="11218" xr:uid="{0EBCE989-ADB8-4EE1-8935-6B24EFB95B7F}"/>
    <cellStyle name="CustomizationCells 3 3 24" xfId="11993" xr:uid="{6595BFBA-9643-468D-A54D-63F5A5A7624F}"/>
    <cellStyle name="CustomizationCells 3 3 25" xfId="12466" xr:uid="{415DEDCA-A81F-4209-ABF2-B26561BB56B4}"/>
    <cellStyle name="CustomizationCells 3 3 26" xfId="12900" xr:uid="{C1671AEC-9D0E-4552-8D8F-44C7BD3A14A1}"/>
    <cellStyle name="CustomizationCells 3 3 27" xfId="13337" xr:uid="{BB629A75-9077-4195-B69D-D15D8D6A690D}"/>
    <cellStyle name="CustomizationCells 3 3 28" xfId="11524" xr:uid="{55FAA695-9363-4927-8E7D-C6ACC5BCF3F8}"/>
    <cellStyle name="CustomizationCells 3 3 29" xfId="13604" xr:uid="{F841A69F-6B5A-4AF8-93D3-C5C1DC0016FF}"/>
    <cellStyle name="CustomizationCells 3 3 3" xfId="1123" xr:uid="{57DDA8D3-3057-461A-8D47-5AF576475652}"/>
    <cellStyle name="CustomizationCells 3 3 30" xfId="14154" xr:uid="{CFA9AF5D-A74F-4400-8015-3C350E3B7476}"/>
    <cellStyle name="CustomizationCells 3 3 31" xfId="14968" xr:uid="{78B8042F-149E-478B-B619-AB00AF7EC856}"/>
    <cellStyle name="CustomizationCells 3 3 32" xfId="15588" xr:uid="{CFEB2AB3-B67A-4704-8C00-E3016D310BE5}"/>
    <cellStyle name="CustomizationCells 3 3 33" xfId="15967" xr:uid="{9EC623A7-06A7-4CDF-BC31-FE8FC1613F21}"/>
    <cellStyle name="CustomizationCells 3 3 34" xfId="16685" xr:uid="{8926D54D-2169-4E5D-A666-64F6A99275E4}"/>
    <cellStyle name="CustomizationCells 3 3 35" xfId="17325" xr:uid="{2BE035A6-2038-47FF-B76D-BB26FADEADF1}"/>
    <cellStyle name="CustomizationCells 3 3 36" xfId="17768" xr:uid="{23BEA725-05DD-4333-9749-AB58D812C63C}"/>
    <cellStyle name="CustomizationCells 3 3 37" xfId="17050" xr:uid="{F306B8DD-A334-4753-8EB1-4A0225A20C20}"/>
    <cellStyle name="CustomizationCells 3 3 38" xfId="18503" xr:uid="{D3B24E03-0198-4D95-AADC-6799FA6179D7}"/>
    <cellStyle name="CustomizationCells 3 3 39" xfId="18234" xr:uid="{C68E0819-254B-4663-9498-8DE8C9838A44}"/>
    <cellStyle name="CustomizationCells 3 3 4" xfId="1689" xr:uid="{FED1209F-6250-4B0B-9105-4BB2586FB06D}"/>
    <cellStyle name="CustomizationCells 3 3 40" xfId="19062" xr:uid="{F25376DF-8444-4C0C-B52D-F4FCAD832C3B}"/>
    <cellStyle name="CustomizationCells 3 3 41" xfId="20022" xr:uid="{3FE751AB-0302-49B3-BE7A-DAD53D3028EB}"/>
    <cellStyle name="CustomizationCells 3 3 42" xfId="20676" xr:uid="{B819B0DD-D9AA-4832-B07F-F94FEC013B6D}"/>
    <cellStyle name="CustomizationCells 3 3 43" xfId="21132" xr:uid="{6D3F4D54-45A0-47FF-B703-27704591868F}"/>
    <cellStyle name="CustomizationCells 3 3 44" xfId="21165" xr:uid="{19E59189-5682-4250-AFE5-49ED6113422D}"/>
    <cellStyle name="CustomizationCells 3 3 45" xfId="22064" xr:uid="{3F9A290D-83E5-459C-B863-D4E47AB73453}"/>
    <cellStyle name="CustomizationCells 3 3 46" xfId="22492" xr:uid="{CB62185D-DEC3-4924-9AA9-482B2CBC3A36}"/>
    <cellStyle name="CustomizationCells 3 3 47" xfId="21689" xr:uid="{A462064F-E9BE-4691-86BA-97C9A19976B9}"/>
    <cellStyle name="CustomizationCells 3 3 48" xfId="22948" xr:uid="{7DD0D94E-6275-4407-AC38-8A1DACAB0BBB}"/>
    <cellStyle name="CustomizationCells 3 3 49" xfId="22301" xr:uid="{33125025-F1DB-498B-ABD3-266A3E7FD9DF}"/>
    <cellStyle name="CustomizationCells 3 3 5" xfId="2462" xr:uid="{7391C4D4-8BCD-4D2A-8F2E-77EA552BDBDF}"/>
    <cellStyle name="CustomizationCells 3 3 50" xfId="23831" xr:uid="{034F7376-342C-4F64-B679-29BDB65BBEB3}"/>
    <cellStyle name="CustomizationCells 3 3 51" xfId="24730" xr:uid="{4CE36B66-8F8A-484A-9927-30DD44BBEBB6}"/>
    <cellStyle name="CustomizationCells 3 3 52" xfId="25379" xr:uid="{59FB9824-A328-451C-A466-C1A8A66D0CBA}"/>
    <cellStyle name="CustomizationCells 3 3 53" xfId="25648" xr:uid="{E9CA5175-ECFC-4423-9C2C-5D1499D1D9C5}"/>
    <cellStyle name="CustomizationCells 3 3 54" xfId="24360" xr:uid="{F0B5D830-D773-45DC-AFB3-E53F566F5FB1}"/>
    <cellStyle name="CustomizationCells 3 3 55" xfId="24433" xr:uid="{4451145E-B139-460C-9EBC-89364E7E296D}"/>
    <cellStyle name="CustomizationCells 3 3 56" xfId="26938" xr:uid="{F0DEAB67-4A44-4F48-BF1C-9D7167DA5D08}"/>
    <cellStyle name="CustomizationCells 3 3 57" xfId="27357" xr:uid="{BB885C41-678B-414B-86EA-EAE68F964629}"/>
    <cellStyle name="CustomizationCells 3 3 58" xfId="27729" xr:uid="{9C4F0516-9EAD-4257-87E3-45A4699B469E}"/>
    <cellStyle name="CustomizationCells 3 3 59" xfId="28480" xr:uid="{B80F9F8B-A224-4AC9-8BFB-29AC15A38B55}"/>
    <cellStyle name="CustomizationCells 3 3 6" xfId="2048" xr:uid="{AC7EDC02-39C6-4FC1-94DD-0F63947952A6}"/>
    <cellStyle name="CustomizationCells 3 3 60" xfId="28948" xr:uid="{37798A89-E1DA-4B38-8DD7-035F761CF2A1}"/>
    <cellStyle name="CustomizationCells 3 3 61" xfId="29501" xr:uid="{EB4D061B-D3B5-4A12-AC01-EA9E7AC79668}"/>
    <cellStyle name="CustomizationCells 3 3 62" xfId="29738" xr:uid="{4F44248A-8D3F-4484-9C97-DC0BA42C5CA4}"/>
    <cellStyle name="CustomizationCells 3 3 63" xfId="30146" xr:uid="{9F6C1A2E-7D34-4517-9073-2613A9A6B3A9}"/>
    <cellStyle name="CustomizationCells 3 3 64" xfId="30560" xr:uid="{23DABEA3-5DCE-463E-A704-895D4DE44559}"/>
    <cellStyle name="CustomizationCells 3 3 65" xfId="28339" xr:uid="{97C3E227-7807-49F0-9EA8-9E6AE1A5E88C}"/>
    <cellStyle name="CustomizationCells 3 3 66" xfId="31184" xr:uid="{FD30F047-1F9E-40F6-B5BF-BF0C9B761CE6}"/>
    <cellStyle name="CustomizationCells 3 3 7" xfId="2319" xr:uid="{69EB41CC-8B33-4345-A5D9-287A9EFE0E93}"/>
    <cellStyle name="CustomizationCells 3 3 8" xfId="3958" xr:uid="{EE855558-0944-4B96-9B88-E8716EB06BC0}"/>
    <cellStyle name="CustomizationCells 3 3 9" xfId="4396" xr:uid="{F6A14BA7-7BB1-4D6C-B96A-C4B228C7F062}"/>
    <cellStyle name="CustomizationCells 3 30" xfId="11586" xr:uid="{3DFB93B9-DD74-4F1D-A0F6-42B7D7CC861D}"/>
    <cellStyle name="CustomizationCells 3 31" xfId="13650" xr:uid="{0B35A6B6-7869-4D7E-A4E6-E49F66AC347E}"/>
    <cellStyle name="CustomizationCells 3 32" xfId="13718" xr:uid="{F8DB0A67-5ACA-4ADB-BC1C-4A45A93CD2E1}"/>
    <cellStyle name="CustomizationCells 3 33" xfId="13367" xr:uid="{5A3A01EA-0187-40B6-8E89-183D3C8FD607}"/>
    <cellStyle name="CustomizationCells 3 34" xfId="14873" xr:uid="{90797766-A8CC-48A2-B522-91DF849083B9}"/>
    <cellStyle name="CustomizationCells 3 35" xfId="15101" xr:uid="{9603F25D-0573-4F4A-98DE-7FC7C9CA6DF4}"/>
    <cellStyle name="CustomizationCells 3 36" xfId="15209" xr:uid="{B982297E-4008-4EE4-A7AB-DF7B1873B861}"/>
    <cellStyle name="CustomizationCells 3 37" xfId="16325" xr:uid="{7EC3F07C-2C2C-40DA-99C8-411FDB1DAF65}"/>
    <cellStyle name="CustomizationCells 3 38" xfId="16967" xr:uid="{9BA91523-E9BB-4F4E-AA99-AB0B4A1623F7}"/>
    <cellStyle name="CustomizationCells 3 39" xfId="17418" xr:uid="{4E16CAC2-03A8-4DB0-AE64-C882E9CC166A}"/>
    <cellStyle name="CustomizationCells 3 4" xfId="560" xr:uid="{91D562E2-5125-428C-926B-E30244BC208A}"/>
    <cellStyle name="CustomizationCells 3 4 10" xfId="4012" xr:uid="{D9A468ED-31FE-409E-825A-8F44B0EA15EF}"/>
    <cellStyle name="CustomizationCells 3 4 11" xfId="5208" xr:uid="{4F61281F-20A5-4160-8C8B-0233675CAFC1}"/>
    <cellStyle name="CustomizationCells 3 4 12" xfId="5677" xr:uid="{7CDFADF1-936B-4EB8-9E80-D57A04287DD7}"/>
    <cellStyle name="CustomizationCells 3 4 13" xfId="5828" xr:uid="{4DB85FE7-38EF-4B21-9F37-E5338CF13418}"/>
    <cellStyle name="CustomizationCells 3 4 14" xfId="6184" xr:uid="{CC4E8AAC-751E-4F82-B962-D6C82982051A}"/>
    <cellStyle name="CustomizationCells 3 4 15" xfId="7280" xr:uid="{FBE068BE-1D48-4CB8-BB1A-5C55785F6B57}"/>
    <cellStyle name="CustomizationCells 3 4 16" xfId="7999" xr:uid="{2EA464DE-D136-4DFF-9C9E-BAE3CAD2034A}"/>
    <cellStyle name="CustomizationCells 3 4 17" xfId="8373" xr:uid="{7F3F6DA9-2CD6-44AF-9C3B-073296A7C681}"/>
    <cellStyle name="CustomizationCells 3 4 18" xfId="8787" xr:uid="{6E2BE22A-859A-4C1F-A8E3-564DD15FBB08}"/>
    <cellStyle name="CustomizationCells 3 4 19" xfId="9494" xr:uid="{CDC953C6-A4D1-4DF3-B6F8-AFC82C938E76}"/>
    <cellStyle name="CustomizationCells 3 4 2" xfId="775" xr:uid="{5B462857-72CE-4A6C-8722-0720E4C213AD}"/>
    <cellStyle name="CustomizationCells 3 4 2 10" xfId="5423" xr:uid="{9FAD9E6D-3200-473D-A2DE-2A139D530556}"/>
    <cellStyle name="CustomizationCells 3 4 2 11" xfId="5601" xr:uid="{4AC744E0-D9BC-4132-B105-A4DA13DF251A}"/>
    <cellStyle name="CustomizationCells 3 4 2 12" xfId="5728" xr:uid="{5D12C024-F787-4FD4-8CCD-B4F1EF9ECD83}"/>
    <cellStyle name="CustomizationCells 3 4 2 13" xfId="6084" xr:uid="{59CB72A7-EB5E-4A7B-822C-E97397560E4E}"/>
    <cellStyle name="CustomizationCells 3 4 2 14" xfId="7495" xr:uid="{9ED000B8-4994-4030-B8CE-CA715D4DF587}"/>
    <cellStyle name="CustomizationCells 3 4 2 15" xfId="6732" xr:uid="{40432F41-9377-4B8F-97C7-857C815E3EE3}"/>
    <cellStyle name="CustomizationCells 3 4 2 16" xfId="8378" xr:uid="{3378A0D0-54CC-4E3A-98F3-88474B414ACD}"/>
    <cellStyle name="CustomizationCells 3 4 2 17" xfId="8874" xr:uid="{BBFF2361-F5FF-4E83-928A-42A7182E895A}"/>
    <cellStyle name="CustomizationCells 3 4 2 18" xfId="9709" xr:uid="{8990987E-D25A-4667-B40F-C4C0541917CE}"/>
    <cellStyle name="CustomizationCells 3 4 2 19" xfId="8945" xr:uid="{06137C4B-FDE1-44C4-9BAD-6D88CD46198D}"/>
    <cellStyle name="CustomizationCells 3 4 2 2" xfId="1249" xr:uid="{860CF881-19E1-41F5-B254-84BF4A260FA9}"/>
    <cellStyle name="CustomizationCells 3 4 2 20" xfId="9149" xr:uid="{D9A7EDEF-C594-4B73-BD17-BDA76FAA559A}"/>
    <cellStyle name="CustomizationCells 3 4 2 21" xfId="10580" xr:uid="{5628CE0C-F93A-43CF-8AF8-6E27CC25E865}"/>
    <cellStyle name="CustomizationCells 3 4 2 22" xfId="10841" xr:uid="{2D8CEFDC-64A0-4B18-A0E0-8069F2B6546A}"/>
    <cellStyle name="CustomizationCells 3 4 2 23" xfId="12128" xr:uid="{3C65AEFD-E4B8-4BB2-9C16-AA5FB01C86AA}"/>
    <cellStyle name="CustomizationCells 3 4 2 24" xfId="12601" xr:uid="{853BF1B3-038A-4EA3-A791-52F26B8E4F56}"/>
    <cellStyle name="CustomizationCells 3 4 2 25" xfId="13035" xr:uid="{6448E90D-10BC-4E42-875F-249F6DCE8549}"/>
    <cellStyle name="CustomizationCells 3 4 2 26" xfId="13472" xr:uid="{183A7035-871D-419F-A93F-B79F3D29C575}"/>
    <cellStyle name="CustomizationCells 3 4 2 27" xfId="12751" xr:uid="{CF132BBB-5854-47C6-87E1-1BEE02FEB9E0}"/>
    <cellStyle name="CustomizationCells 3 4 2 28" xfId="12767" xr:uid="{4BAC02AA-6544-462A-8961-14A644A0F822}"/>
    <cellStyle name="CustomizationCells 3 4 2 29" xfId="14134" xr:uid="{9A98FD06-5853-4315-96C6-A9C0919A8905}"/>
    <cellStyle name="CustomizationCells 3 4 2 3" xfId="1429" xr:uid="{DB82E4D9-9340-4BE2-BF9D-FA454EC13C57}"/>
    <cellStyle name="CustomizationCells 3 4 2 30" xfId="15182" xr:uid="{12890769-2891-4568-A451-E66E5CDEE970}"/>
    <cellStyle name="CustomizationCells 3 4 2 31" xfId="15371" xr:uid="{AA4D6D5B-DEA9-4FEB-9806-4B33F4C622D9}"/>
    <cellStyle name="CustomizationCells 3 4 2 32" xfId="11599" xr:uid="{0EF1BFBB-3493-4CAB-9FF6-8D19F90646BE}"/>
    <cellStyle name="CustomizationCells 3 4 2 33" xfId="16820" xr:uid="{7820E8A7-C05B-44BF-81E2-B610013FE2BA}"/>
    <cellStyle name="CustomizationCells 3 4 2 34" xfId="16040" xr:uid="{649D3B9F-6E1F-43D6-8809-3032C4F20C60}"/>
    <cellStyle name="CustomizationCells 3 4 2 35" xfId="16134" xr:uid="{CC9DAC18-01C7-4199-96FB-1C565F60F98A}"/>
    <cellStyle name="CustomizationCells 3 4 2 36" xfId="17520" xr:uid="{CE3D35DF-D8D7-4BA1-B386-EBF4333F940A}"/>
    <cellStyle name="CustomizationCells 3 4 2 37" xfId="18638" xr:uid="{7C335BB1-2881-4EDE-A597-A6D023612552}"/>
    <cellStyle name="CustomizationCells 3 4 2 38" xfId="18977" xr:uid="{F35B099D-2225-426B-9294-5D447713C296}"/>
    <cellStyle name="CustomizationCells 3 4 2 39" xfId="17314" xr:uid="{C5C4E009-13B8-419D-9ADA-0AC8B37A4FB2}"/>
    <cellStyle name="CustomizationCells 3 4 2 4" xfId="2597" xr:uid="{FE34D14D-73D3-47D4-9D42-278B0C35BC8E}"/>
    <cellStyle name="CustomizationCells 3 4 2 40" xfId="20157" xr:uid="{36BF6E51-6D2C-4A36-9111-13B1CA3CE847}"/>
    <cellStyle name="CustomizationCells 3 4 2 41" xfId="19373" xr:uid="{87C513D6-3297-462D-A3D0-73B8F1ED36E2}"/>
    <cellStyle name="CustomizationCells 3 4 2 42" xfId="19416" xr:uid="{C89FA551-0867-47CE-AE08-99E5441E4ACE}"/>
    <cellStyle name="CustomizationCells 3 4 2 43" xfId="21473" xr:uid="{92DA6DC6-89D6-4667-9F1E-B4B7952DDB48}"/>
    <cellStyle name="CustomizationCells 3 4 2 44" xfId="21688" xr:uid="{A7CE419D-56FC-4768-BF4A-5C535E9F309D}"/>
    <cellStyle name="CustomizationCells 3 4 2 45" xfId="22127" xr:uid="{F3B8EF0B-ED1B-4BD4-BC78-464BCF8AFB33}"/>
    <cellStyle name="CustomizationCells 3 4 2 46" xfId="21420" xr:uid="{73D7DD78-45AF-4464-80EC-FB24B0CF6056}"/>
    <cellStyle name="CustomizationCells 3 4 2 47" xfId="23264" xr:uid="{AE8959CC-6A60-4DA1-B599-565C73BF2D5F}"/>
    <cellStyle name="CustomizationCells 3 4 2 48" xfId="23260" xr:uid="{64A8C2BF-6ECE-4362-A57C-734AD317BCDF}"/>
    <cellStyle name="CustomizationCells 3 4 2 49" xfId="23957" xr:uid="{3909D36E-7878-4D5A-B12C-23EC8EF61B7B}"/>
    <cellStyle name="CustomizationCells 3 4 2 5" xfId="2039" xr:uid="{465C8BB2-6AC3-434B-9A82-5EF2A465A3F6}"/>
    <cellStyle name="CustomizationCells 3 4 2 50" xfId="24865" xr:uid="{772F07A5-B9B8-4948-B8E1-9675D4C626FD}"/>
    <cellStyle name="CustomizationCells 3 4 2 51" xfId="24334" xr:uid="{4662EF5D-DDC1-4966-8C21-D6BD97DCF8D6}"/>
    <cellStyle name="CustomizationCells 3 4 2 52" xfId="25781" xr:uid="{F3A136FD-3EB2-4A21-85A2-55985E20D051}"/>
    <cellStyle name="CustomizationCells 3 4 2 53" xfId="25924" xr:uid="{0A2E8BE2-D005-4B0F-A1E1-F054A2721B08}"/>
    <cellStyle name="CustomizationCells 3 4 2 54" xfId="26416" xr:uid="{F61FD7D5-6862-4CDF-9629-8C10D37536CF}"/>
    <cellStyle name="CustomizationCells 3 4 2 55" xfId="27069" xr:uid="{9D71B0AD-E995-4321-82A7-3502983F4351}"/>
    <cellStyle name="CustomizationCells 3 4 2 56" xfId="27488" xr:uid="{57A96B9E-ACD1-4F24-875A-727ED2B5F183}"/>
    <cellStyle name="CustomizationCells 3 4 2 57" xfId="26613" xr:uid="{1A800B49-44E5-44BA-A4AD-552B7E18F1AC}"/>
    <cellStyle name="CustomizationCells 3 4 2 58" xfId="28615" xr:uid="{61B71245-710A-4022-B34B-E2792950CCD5}"/>
    <cellStyle name="CustomizationCells 3 4 2 59" xfId="29082" xr:uid="{05839C1D-7F87-4FF0-9A69-8D3CCEC3A254}"/>
    <cellStyle name="CustomizationCells 3 4 2 6" xfId="3571" xr:uid="{07F3B64E-A646-4A38-BA20-2815EEA3AD6F}"/>
    <cellStyle name="CustomizationCells 3 4 2 60" xfId="28175" xr:uid="{3404C6F1-8F0B-44EE-BA60-08AB6D7EEEBA}"/>
    <cellStyle name="CustomizationCells 3 4 2 61" xfId="29871" xr:uid="{362037E5-E0A9-4DC6-8CD5-87B15C86E7E6}"/>
    <cellStyle name="CustomizationCells 3 4 2 62" xfId="30277" xr:uid="{4950DF9B-D624-4B96-81D0-C483B4959EC0}"/>
    <cellStyle name="CustomizationCells 3 4 2 63" xfId="30694" xr:uid="{8C7513AF-B702-4F8C-A222-CAB40C9506EF}"/>
    <cellStyle name="CustomizationCells 3 4 2 64" xfId="29555" xr:uid="{B470639F-ADAE-4C2A-BDEF-476E1221654A}"/>
    <cellStyle name="CustomizationCells 3 4 2 65" xfId="31310" xr:uid="{460F54B1-47AD-4B6A-898C-9D8D5C035F80}"/>
    <cellStyle name="CustomizationCells 3 4 2 7" xfId="4093" xr:uid="{686E9454-65BA-4EDA-8302-1593D5CFDF51}"/>
    <cellStyle name="CustomizationCells 3 4 2 8" xfId="4530" xr:uid="{53951FB5-2E78-4B7A-A5E3-3D77E37FA4FA}"/>
    <cellStyle name="CustomizationCells 3 4 2 9" xfId="3133" xr:uid="{43C0B525-8F86-477A-8655-43A78FACB6C4}"/>
    <cellStyle name="CustomizationCells 3 4 20" xfId="10216" xr:uid="{64AD971C-FC16-404C-A24F-CE27E0B78EA5}"/>
    <cellStyle name="CustomizationCells 3 4 21" xfId="10618" xr:uid="{FA5BD6F0-871D-4445-869D-D511FB7B075D}"/>
    <cellStyle name="CustomizationCells 3 4 22" xfId="10738" xr:uid="{5EDC5F76-CB15-4A11-AAFC-5477460E8A95}"/>
    <cellStyle name="CustomizationCells 3 4 23" xfId="11187" xr:uid="{A11DDEC5-0419-48A4-B2DC-20610375525D}"/>
    <cellStyle name="CustomizationCells 3 4 24" xfId="11913" xr:uid="{17E81043-58C6-40EC-919A-84889499CF01}"/>
    <cellStyle name="CustomizationCells 3 4 25" xfId="12386" xr:uid="{CC52F7E4-3F1D-4A42-B9C6-8C3C9F5BA95C}"/>
    <cellStyle name="CustomizationCells 3 4 26" xfId="12820" xr:uid="{CBFDA444-C021-420C-B9E2-36C79229482D}"/>
    <cellStyle name="CustomizationCells 3 4 27" xfId="13257" xr:uid="{08E8BDC3-74E6-4F67-BBE6-3C4EEC2FEBC6}"/>
    <cellStyle name="CustomizationCells 3 4 28" xfId="13765" xr:uid="{8D4C686D-093B-4C51-B883-F5D1C472C9F7}"/>
    <cellStyle name="CustomizationCells 3 4 29" xfId="13601" xr:uid="{F4D33F8F-CD70-46E5-8B76-E6C080191728}"/>
    <cellStyle name="CustomizationCells 3 4 3" xfId="1043" xr:uid="{1AC51C54-A3FF-4F58-A3D5-BCC632F19EE5}"/>
    <cellStyle name="CustomizationCells 3 4 30" xfId="14165" xr:uid="{F5D7661E-BDC4-4799-AE28-38D7D12FDBBC}"/>
    <cellStyle name="CustomizationCells 3 4 31" xfId="15085" xr:uid="{54B65F7D-165C-4137-8386-A02273D5B9E6}"/>
    <cellStyle name="CustomizationCells 3 4 32" xfId="15412" xr:uid="{168A9C1D-EA8F-4FE8-BBB4-F7BE158D0A62}"/>
    <cellStyle name="CustomizationCells 3 4 33" xfId="15973" xr:uid="{EB2C6E6B-8396-48FB-9158-44B9139ED5E2}"/>
    <cellStyle name="CustomizationCells 3 4 34" xfId="16605" xr:uid="{FF05D491-48E9-4AEF-A590-D3591EAC6482}"/>
    <cellStyle name="CustomizationCells 3 4 35" xfId="17338" xr:uid="{B0B6CD21-79E7-4DE7-A4C9-765E43351016}"/>
    <cellStyle name="CustomizationCells 3 4 36" xfId="17781" xr:uid="{E4EE7EC8-93FD-47F5-84EF-1CE0A9E00141}"/>
    <cellStyle name="CustomizationCells 3 4 37" xfId="17925" xr:uid="{266E4575-79BA-4071-9E29-90D44165C122}"/>
    <cellStyle name="CustomizationCells 3 4 38" xfId="18423" xr:uid="{6FFC0B49-E44B-4DCC-846A-1789A1AAF2EF}"/>
    <cellStyle name="CustomizationCells 3 4 39" xfId="18144" xr:uid="{71D80971-30B2-48AC-9D9C-136EBFE9397E}"/>
    <cellStyle name="CustomizationCells 3 4 4" xfId="1526" xr:uid="{9F771F35-8C7D-423B-9C79-570847791553}"/>
    <cellStyle name="CustomizationCells 3 4 40" xfId="18957" xr:uid="{9C47E58B-4DDB-4A96-9856-23405D661B42}"/>
    <cellStyle name="CustomizationCells 3 4 41" xfId="19942" xr:uid="{AC5D6370-A5E6-4D6C-A25E-AE34E8796D46}"/>
    <cellStyle name="CustomizationCells 3 4 42" xfId="20689" xr:uid="{9E01B9F0-CA7F-4419-A3B4-20DF0A1B7317}"/>
    <cellStyle name="CustomizationCells 3 4 43" xfId="21145" xr:uid="{56C651FB-6D61-4B38-B0F2-105F977D51C3}"/>
    <cellStyle name="CustomizationCells 3 4 44" xfId="21576" xr:uid="{DA50A5AB-1FE9-4EDB-847F-6DE4601BE62C}"/>
    <cellStyle name="CustomizationCells 3 4 45" xfId="22077" xr:uid="{568FDB7E-AE7A-4A09-B85B-87464CC28250}"/>
    <cellStyle name="CustomizationCells 3 4 46" xfId="22504" xr:uid="{C186E1BF-CBF6-4A16-A13C-34F83E81D201}"/>
    <cellStyle name="CustomizationCells 3 4 47" xfId="22759" xr:uid="{1F63AFAE-0D36-4F60-9AB3-0054BE8E1538}"/>
    <cellStyle name="CustomizationCells 3 4 48" xfId="22868" xr:uid="{FCA7DF92-5580-4D54-A45C-2A60C25832D5}"/>
    <cellStyle name="CustomizationCells 3 4 49" xfId="23246" xr:uid="{1858D7B9-B382-457B-B591-5C59E25D6134}"/>
    <cellStyle name="CustomizationCells 3 4 5" xfId="2382" xr:uid="{687C0E85-0AF2-4A4E-BC3C-40D498F78625}"/>
    <cellStyle name="CustomizationCells 3 4 50" xfId="23751" xr:uid="{00BE0C12-55A4-45B0-A74D-6ED00BA14C9B}"/>
    <cellStyle name="CustomizationCells 3 4 51" xfId="24650" xr:uid="{2266AE0B-3EFF-47DB-BA07-478A44BCA232}"/>
    <cellStyle name="CustomizationCells 3 4 52" xfId="25391" xr:uid="{6F7C8DAA-5FF8-4BEC-AAED-36E385A3870E}"/>
    <cellStyle name="CustomizationCells 3 4 53" xfId="25568" xr:uid="{A06FA2F7-99D0-4D30-A6D3-6EA42E29E561}"/>
    <cellStyle name="CustomizationCells 3 4 54" xfId="26064" xr:uid="{6670EDC1-D0B3-4CE4-AEF4-59FF08729582}"/>
    <cellStyle name="CustomizationCells 3 4 55" xfId="26572" xr:uid="{3E977586-7C93-4E61-8C81-8F3C3016C6CE}"/>
    <cellStyle name="CustomizationCells 3 4 56" xfId="26858" xr:uid="{EC5471A1-EEB8-497A-8264-51099FEE0E7C}"/>
    <cellStyle name="CustomizationCells 3 4 57" xfId="27277" xr:uid="{72E6C56D-7A44-4B7F-935A-55054A4267F9}"/>
    <cellStyle name="CustomizationCells 3 4 58" xfId="27704" xr:uid="{F433078D-B366-452F-94B2-92FAA7F6C013}"/>
    <cellStyle name="CustomizationCells 3 4 59" xfId="28400" xr:uid="{4C9CD117-99A6-467D-A4E6-CFBB9C9FF0E1}"/>
    <cellStyle name="CustomizationCells 3 4 6" xfId="2932" xr:uid="{6F31DDBF-415C-4D06-B094-3EC503B4FF80}"/>
    <cellStyle name="CustomizationCells 3 4 60" xfId="28868" xr:uid="{B5A7D3D7-EC20-4C69-A1D0-5860B5DB2808}"/>
    <cellStyle name="CustomizationCells 3 4 61" xfId="29510" xr:uid="{877B4F87-FB5E-489F-B1B6-A77BC58195DD}"/>
    <cellStyle name="CustomizationCells 3 4 62" xfId="29658" xr:uid="{3174752D-4C81-4390-8621-C5508FCFBA1B}"/>
    <cellStyle name="CustomizationCells 3 4 63" xfId="30066" xr:uid="{A4AE0DF3-D79B-444B-AA7E-054206D77DAF}"/>
    <cellStyle name="CustomizationCells 3 4 64" xfId="30480" xr:uid="{C57E2A3B-8BDC-4A7C-A824-2EFB0138484E}"/>
    <cellStyle name="CustomizationCells 3 4 65" xfId="28280" xr:uid="{F35A6034-5236-47AD-B4C8-5CD6DE3E3BEC}"/>
    <cellStyle name="CustomizationCells 3 4 66" xfId="31104" xr:uid="{2618F02F-65A7-4AA5-B14B-F3A759542350}"/>
    <cellStyle name="CustomizationCells 3 4 7" xfId="2978" xr:uid="{25977C84-91F9-4157-A055-321A2F393A3A}"/>
    <cellStyle name="CustomizationCells 3 4 8" xfId="3878" xr:uid="{C47A2CBD-21D6-4A7F-89F6-0EE75A18FDF7}"/>
    <cellStyle name="CustomizationCells 3 4 9" xfId="4316" xr:uid="{63770412-3C6D-4F76-8B24-10F2407EAEB3}"/>
    <cellStyle name="CustomizationCells 3 40" xfId="16452" xr:uid="{B1954D2A-4FF8-4E91-B4CA-308F1A48DBFC}"/>
    <cellStyle name="CustomizationCells 3 41" xfId="17498" xr:uid="{6C7C40E2-F801-4B49-B2E2-4BEFBBE53F60}"/>
    <cellStyle name="CustomizationCells 3 42" xfId="18923" xr:uid="{76FA6473-6A24-414C-A31B-A88791E14F73}"/>
    <cellStyle name="CustomizationCells 3 43" xfId="19315" xr:uid="{39455C60-19A9-4523-90DB-9B42D9C98FE4}"/>
    <cellStyle name="CustomizationCells 3 44" xfId="19658" xr:uid="{DFAE080F-B3A6-431B-9D3E-8F68C202E25E}"/>
    <cellStyle name="CustomizationCells 3 45" xfId="20314" xr:uid="{EA808313-8B1C-421D-BF9B-99E7C133C6FE}"/>
    <cellStyle name="CustomizationCells 3 46" xfId="20770" xr:uid="{A518CBFD-A913-4193-9FFE-2C7B7E353267}"/>
    <cellStyle name="CustomizationCells 3 47" xfId="21516" xr:uid="{283B3FE3-92F8-48C8-B3F4-3343594FF895}"/>
    <cellStyle name="CustomizationCells 3 48" xfId="21578" xr:uid="{C4CE5A26-1393-4F03-9935-35C3A03EC6D5}"/>
    <cellStyle name="CustomizationCells 3 49" xfId="21736" xr:uid="{B800F3A9-6F30-4A69-9F29-2DD57A923C41}"/>
    <cellStyle name="CustomizationCells 3 5" xfId="699" xr:uid="{F344A04A-2392-4DF5-BEBC-8CED27A7AFF7}"/>
    <cellStyle name="CustomizationCells 3 5 2" xfId="5347" xr:uid="{FB23E2B8-9602-4BF5-A8D3-0094BAC8DC70}"/>
    <cellStyle name="CustomizationCells 3 5 3" xfId="18130" xr:uid="{09D90FBC-F12B-406B-ABEA-B58FCB219690}"/>
    <cellStyle name="CustomizationCells 3 5 4" xfId="20081" xr:uid="{7E63E980-F145-4F54-A1E4-B0E147A7BDD0}"/>
    <cellStyle name="CustomizationCells 3 5 5" xfId="24789" xr:uid="{3603D6BD-0978-4C5F-B623-1BD9E1AD8191}"/>
    <cellStyle name="CustomizationCells 3 50" xfId="22654" xr:uid="{2E0CA44B-B758-4B7D-9BBA-E23FC7CC8D16}"/>
    <cellStyle name="CustomizationCells 3 51" xfId="23205" xr:uid="{EF84008A-F21E-416B-BA8A-B92117CC56DE}"/>
    <cellStyle name="CustomizationCells 3 52" xfId="23224" xr:uid="{C1D84C33-E6BD-4F1D-8B3C-27F6B4A6DD31}"/>
    <cellStyle name="CustomizationCells 3 53" xfId="23472" xr:uid="{4B12416B-D0D5-4F3D-BE88-589AE6BCBB2F}"/>
    <cellStyle name="CustomizationCells 3 54" xfId="24378" xr:uid="{72378142-637B-4AF0-8A95-323559963FDF}"/>
    <cellStyle name="CustomizationCells 3 55" xfId="25002" xr:uid="{1BFEF042-98D7-4FAD-AD45-ADFF2A39A5D0}"/>
    <cellStyle name="CustomizationCells 3 56" xfId="25411" xr:uid="{408E6FFB-92EE-4EED-9DC4-7C948A2CC6D9}"/>
    <cellStyle name="CustomizationCells 3 57" xfId="26288" xr:uid="{D99F1D9B-8E90-4A76-A093-D3893910A4F0}"/>
    <cellStyle name="CustomizationCells 3 58" xfId="26608" xr:uid="{7944A27F-3267-4504-85D2-DD513AF10CA1}"/>
    <cellStyle name="CustomizationCells 3 59" xfId="26290" xr:uid="{640B7CB5-6890-4E62-9EF6-0DE674AA62A9}"/>
    <cellStyle name="CustomizationCells 3 6" xfId="951" xr:uid="{6A24F8C3-4845-4B2F-822D-8A21D6C743CC}"/>
    <cellStyle name="CustomizationCells 3 60" xfId="26529" xr:uid="{9430FB7C-0F8D-4CEF-882B-BEF9BB70019F}"/>
    <cellStyle name="CustomizationCells 3 61" xfId="26805" xr:uid="{D5A3B0BF-7D1B-4991-B79C-9AD5054A2942}"/>
    <cellStyle name="CustomizationCells 3 62" xfId="28149" xr:uid="{C77DDD19-6460-4CE8-B3EB-1BDFBBEF918D}"/>
    <cellStyle name="CustomizationCells 3 63" xfId="28265" xr:uid="{3F162910-1ED7-41D2-BC0F-DA4845BD6736}"/>
    <cellStyle name="CustomizationCells 3 64" xfId="28349" xr:uid="{811274B1-65C9-45C2-ADB3-86E8ABE3C045}"/>
    <cellStyle name="CustomizationCells 3 65" xfId="29319" xr:uid="{67095B3F-BB5B-42CA-9DF3-D3801FB05CDC}"/>
    <cellStyle name="CustomizationCells 3 66" xfId="29330" xr:uid="{97DA6D0F-8812-4CD3-A5C7-8D5A9E1F8C0F}"/>
    <cellStyle name="CustomizationCells 3 67" xfId="30201" xr:uid="{C420A40D-F858-45B1-AB75-EABD6D3FB3CB}"/>
    <cellStyle name="CustomizationCells 3 68" xfId="29540" xr:uid="{8929D2E5-DC80-4219-BF03-44DA1A5F83F9}"/>
    <cellStyle name="CustomizationCells 3 69" xfId="31004" xr:uid="{50E3C045-97CF-4DE0-B659-948AD1EC0EDB}"/>
    <cellStyle name="CustomizationCells 3 7" xfId="1468" xr:uid="{3B6FD13A-DBC8-40F4-8E76-624BBA373067}"/>
    <cellStyle name="CustomizationCells 3 8" xfId="2098" xr:uid="{E3F57AF9-F126-497C-A534-AB13ABA4E280}"/>
    <cellStyle name="CustomizationCells 3 9" xfId="2816" xr:uid="{2A925CD5-4F5E-402F-8D98-E7511E885B26}"/>
    <cellStyle name="CustomizationCells 4" xfId="71" xr:uid="{8E077B7C-BC71-4975-AAE2-BB7BF91CCE8D}"/>
    <cellStyle name="CustomizationCells 4 2" xfId="3085" xr:uid="{854C7E19-07C7-4750-B7F2-8102F73A675D}"/>
    <cellStyle name="CustomizationCells 4 3" xfId="18068" xr:uid="{0B8BB4F3-D653-4C7C-80C7-135C569D943F}"/>
    <cellStyle name="CustomizationCells 4 4" xfId="19456" xr:uid="{79D23207-F9B0-49E3-BB94-E68721439E53}"/>
    <cellStyle name="CustomizationCells 4 5" xfId="24177" xr:uid="{E2FDAC99-ECF8-4458-B3C8-2F4414EC3661}"/>
    <cellStyle name="CustomizationGreenCells" xfId="134" xr:uid="{2C3A333A-1BE1-41E9-A6F1-DF652E2DC317}"/>
    <cellStyle name="CustomizationGreenCells 2" xfId="417" xr:uid="{E5B0F81B-6472-4C6E-9FDE-7DF95CBC69A8}"/>
    <cellStyle name="CustomizationGreenCells 2 2" xfId="3504" xr:uid="{ADAC87E0-7A4A-4629-BA98-D1B950E710BE}"/>
    <cellStyle name="CustomizationGreenCells 2 3" xfId="18764" xr:uid="{94212B73-DE2F-4F94-BC99-E1AE25906418}"/>
    <cellStyle name="CustomizationGreenCells 3" xfId="275" xr:uid="{355192BD-3DC2-41F0-9CC6-412CF953249E}"/>
    <cellStyle name="CustomizationGreenCells 3 10" xfId="3275" xr:uid="{AD5BC51F-C0FC-4169-8942-D9035305A2C7}"/>
    <cellStyle name="CustomizationGreenCells 3 11" xfId="3595" xr:uid="{23880F4B-3274-4515-87F1-AAF3769AC9E1}"/>
    <cellStyle name="CustomizationGreenCells 3 12" xfId="2111" xr:uid="{069C793C-FE5C-4AED-B79A-AEEF0A63047E}"/>
    <cellStyle name="CustomizationGreenCells 3 13" xfId="3813" xr:uid="{218333C5-5A30-4A3B-93C8-5AB2F464AF1C}"/>
    <cellStyle name="CustomizationGreenCells 3 14" xfId="5012" xr:uid="{96DA2388-34C3-4D1C-A601-DCF742DB4433}"/>
    <cellStyle name="CustomizationGreenCells 3 15" xfId="5156" xr:uid="{9F0E3A10-D8F4-4546-9EB4-B32BE536008F}"/>
    <cellStyle name="CustomizationGreenCells 3 16" xfId="3235" xr:uid="{A86CD456-363D-4EA6-9610-87363F8BA472}"/>
    <cellStyle name="CustomizationGreenCells 3 17" xfId="6445" xr:uid="{AC1ABC52-5E8A-41AF-8295-696EA756C8E4}"/>
    <cellStyle name="CustomizationGreenCells 3 18" xfId="7005" xr:uid="{6506C06E-46F9-4407-9942-613D3DD46A12}"/>
    <cellStyle name="CustomizationGreenCells 3 19" xfId="7618" xr:uid="{FBAABD14-DCAA-4D68-88EA-AA5011DD36D7}"/>
    <cellStyle name="CustomizationGreenCells 3 2" xfId="614" xr:uid="{6108A7E4-1F19-4773-8010-A179C2BFF0E8}"/>
    <cellStyle name="CustomizationGreenCells 3 2 10" xfId="4735" xr:uid="{4291A8D5-FDB9-4055-8357-5EB306170C37}"/>
    <cellStyle name="CustomizationGreenCells 3 2 11" xfId="5262" xr:uid="{7EA6D89A-3E74-4E98-AE0B-ED2F3168500E}"/>
    <cellStyle name="CustomizationGreenCells 3 2 12" xfId="5949" xr:uid="{D15B84B5-C174-4F0D-AA75-2AEF5F79EAAC}"/>
    <cellStyle name="CustomizationGreenCells 3 2 13" xfId="4683" xr:uid="{328971B7-8417-4148-80F6-09BF79173DA6}"/>
    <cellStyle name="CustomizationGreenCells 3 2 14" xfId="5811" xr:uid="{86FBC630-7D45-4BCF-80F5-BB1C539B54DE}"/>
    <cellStyle name="CustomizationGreenCells 3 2 15" xfId="7334" xr:uid="{712B6151-59A7-4511-8A08-A3A598522268}"/>
    <cellStyle name="CustomizationGreenCells 3 2 16" xfId="7755" xr:uid="{E14E5C2C-427E-4160-9EFB-C6DA53AA9ED2}"/>
    <cellStyle name="CustomizationGreenCells 3 2 17" xfId="6757" xr:uid="{3396878E-F122-421B-88A7-2860C5BD1A66}"/>
    <cellStyle name="CustomizationGreenCells 3 2 18" xfId="8875" xr:uid="{7EE7C334-EFA1-4030-83F3-8D65731C3492}"/>
    <cellStyle name="CustomizationGreenCells 3 2 19" xfId="9548" xr:uid="{F339235A-C083-48F6-9CB2-AFB5013C1B81}"/>
    <cellStyle name="CustomizationGreenCells 3 2 2" xfId="829" xr:uid="{F92F991F-A9BF-49D5-8BB2-8495BC694C99}"/>
    <cellStyle name="CustomizationGreenCells 3 2 2 10" xfId="5477" xr:uid="{D1086815-6A62-4AD2-AA91-86D1AB3A6B8B}"/>
    <cellStyle name="CustomizationGreenCells 3 2 2 11" xfId="2749" xr:uid="{6539BCA4-9662-481D-8E37-98841AFF8BCB}"/>
    <cellStyle name="CustomizationGreenCells 3 2 2 12" xfId="5909" xr:uid="{946A6272-9C3A-4306-BEDC-CA6731002146}"/>
    <cellStyle name="CustomizationGreenCells 3 2 2 13" xfId="6511" xr:uid="{F7BAEBE3-9E7A-4B32-8A1E-8C6BF82D39A3}"/>
    <cellStyle name="CustomizationGreenCells 3 2 2 14" xfId="7549" xr:uid="{F44178AE-8669-4EBC-BCFF-B2920A5212BA}"/>
    <cellStyle name="CustomizationGreenCells 3 2 2 15" xfId="7922" xr:uid="{FB703CDD-E779-44CE-8626-8462DD843C73}"/>
    <cellStyle name="CustomizationGreenCells 3 2 2 16" xfId="8429" xr:uid="{D9892F65-EEAB-4B8B-BD34-B0F63479BDF2}"/>
    <cellStyle name="CustomizationGreenCells 3 2 2 17" xfId="8146" xr:uid="{A100E64F-0834-4CCA-907D-06E19096AC49}"/>
    <cellStyle name="CustomizationGreenCells 3 2 2 18" xfId="9763" xr:uid="{989D8B29-F0FA-44D7-BF95-B3A89A08BAA8}"/>
    <cellStyle name="CustomizationGreenCells 3 2 2 19" xfId="10136" xr:uid="{84ECBCDF-39DD-494C-A43E-6AF9F69E9AC3}"/>
    <cellStyle name="CustomizationGreenCells 3 2 2 2" xfId="1303" xr:uid="{50ABCD36-2CA1-4B4D-90A4-B1F4FBA5A6E1}"/>
    <cellStyle name="CustomizationGreenCells 3 2 2 20" xfId="10546" xr:uid="{3ECE9492-4DAF-4503-93F2-CAC2483174DB}"/>
    <cellStyle name="CustomizationGreenCells 3 2 2 21" xfId="10616" xr:uid="{55334A34-7F2D-4008-BF3E-A40A6F83511D}"/>
    <cellStyle name="CustomizationGreenCells 3 2 2 22" xfId="11138" xr:uid="{F90847BD-0BA1-4FF7-81C4-A28ED0BD3D29}"/>
    <cellStyle name="CustomizationGreenCells 3 2 2 23" xfId="12182" xr:uid="{A3D6352F-682D-4C98-B972-454610F3F052}"/>
    <cellStyle name="CustomizationGreenCells 3 2 2 24" xfId="12655" xr:uid="{B51BF37A-A977-49B0-9983-C6DE2176C0BA}"/>
    <cellStyle name="CustomizationGreenCells 3 2 2 25" xfId="13089" xr:uid="{A3124D02-32C8-42A5-A5B8-A57370CF7F79}"/>
    <cellStyle name="CustomizationGreenCells 3 2 2 26" xfId="13526" xr:uid="{4869E997-F9EF-4B01-8B6C-9CAD996FEC43}"/>
    <cellStyle name="CustomizationGreenCells 3 2 2 27" xfId="11351" xr:uid="{D79D8781-A416-448D-9FAF-A2E4058E582D}"/>
    <cellStyle name="CustomizationGreenCells 3 2 2 28" xfId="14005" xr:uid="{DF9841FD-2A9A-4973-A7B7-6E74D965F6AA}"/>
    <cellStyle name="CustomizationGreenCells 3 2 2 29" xfId="14784" xr:uid="{B6FE6F9E-47EF-4166-B206-660C44E7C64C}"/>
    <cellStyle name="CustomizationGreenCells 3 2 2 3" xfId="1501" xr:uid="{A27ADCA1-A056-4284-A42D-8495D620E95C}"/>
    <cellStyle name="CustomizationGreenCells 3 2 2 30" xfId="15230" xr:uid="{C6439A02-29A6-48B4-B61C-8495519E51B9}"/>
    <cellStyle name="CustomizationGreenCells 3 2 2 31" xfId="15708" xr:uid="{5D9E159E-CF4A-41E7-ABFB-A9B87A53BBCD}"/>
    <cellStyle name="CustomizationGreenCells 3 2 2 32" xfId="15930" xr:uid="{A98D4D98-6129-416E-A9D5-D93A58BC6AE0}"/>
    <cellStyle name="CustomizationGreenCells 3 2 2 33" xfId="16874" xr:uid="{7117C194-ACB9-4EF6-AF2F-05CA8D0BC2C1}"/>
    <cellStyle name="CustomizationGreenCells 3 2 2 34" xfId="17255" xr:uid="{BAD9AF36-432A-4A77-B8DA-7EE6A84BC291}"/>
    <cellStyle name="CustomizationGreenCells 3 2 2 35" xfId="17699" xr:uid="{4B65626F-ECAD-4F96-83BF-04208830BB60}"/>
    <cellStyle name="CustomizationGreenCells 3 2 2 36" xfId="18168" xr:uid="{4AB121D8-2842-43E9-8C49-0396238AF6D6}"/>
    <cellStyle name="CustomizationGreenCells 3 2 2 37" xfId="18692" xr:uid="{6DA2D74C-B8D3-46F7-B8F6-E85098B5EC19}"/>
    <cellStyle name="CustomizationGreenCells 3 2 2 38" xfId="16417" xr:uid="{B296FC83-8CF8-4637-B2C7-E2DD8F787AE3}"/>
    <cellStyle name="CustomizationGreenCells 3 2 2 39" xfId="17588" xr:uid="{8ECA1A90-A59D-4537-9762-3A69BFD56481}"/>
    <cellStyle name="CustomizationGreenCells 3 2 2 4" xfId="2651" xr:uid="{F59C6490-07C3-462D-88DE-CD2513635DE5}"/>
    <cellStyle name="CustomizationGreenCells 3 2 2 40" xfId="20211" xr:uid="{70B0D87E-ECBE-4D7D-9D5D-A3C41E40E817}"/>
    <cellStyle name="CustomizationGreenCells 3 2 2 41" xfId="20605" xr:uid="{D769D214-A8BF-4E82-AD79-7B64E5E63A1C}"/>
    <cellStyle name="CustomizationGreenCells 3 2 2 42" xfId="21060" xr:uid="{7FF50310-A737-4944-8D16-407375F72286}"/>
    <cellStyle name="CustomizationGreenCells 3 2 2 43" xfId="19826" xr:uid="{71EE3971-402F-4C4D-B3CA-0290B6A7225F}"/>
    <cellStyle name="CustomizationGreenCells 3 2 2 44" xfId="21991" xr:uid="{553665CC-0E10-4926-91E6-EBAA826C29ED}"/>
    <cellStyle name="CustomizationGreenCells 3 2 2 45" xfId="22422" xr:uid="{F27F836D-4345-4190-9330-0FF47E28BEFB}"/>
    <cellStyle name="CustomizationGreenCells 3 2 2 46" xfId="21585" xr:uid="{AE2BAF64-0F91-47AA-A668-463CE6380D0E}"/>
    <cellStyle name="CustomizationGreenCells 3 2 2 47" xfId="22220" xr:uid="{C7DF6354-7105-4F96-B488-A05002615B3D}"/>
    <cellStyle name="CustomizationGreenCells 3 2 2 48" xfId="23041" xr:uid="{F7CE9329-E5DE-491B-968D-2D55E360E06A}"/>
    <cellStyle name="CustomizationGreenCells 3 2 2 49" xfId="24011" xr:uid="{1E43F653-B2D2-47DA-AE8B-C7032BCC0FAC}"/>
    <cellStyle name="CustomizationGreenCells 3 2 2 5" xfId="2290" xr:uid="{745BFD43-185F-4C6B-8F4E-287894725E54}"/>
    <cellStyle name="CustomizationGreenCells 3 2 2 50" xfId="24919" xr:uid="{A6477D16-5C43-4717-B1A9-3FE0781CEB9B}"/>
    <cellStyle name="CustomizationGreenCells 3 2 2 51" xfId="25314" xr:uid="{7003E77A-DC74-48FE-A2DA-01574B22EFC6}"/>
    <cellStyle name="CustomizationGreenCells 3 2 2 52" xfId="25835" xr:uid="{7674C63E-506A-47AE-9CCC-2D60883A5ED8}"/>
    <cellStyle name="CustomizationGreenCells 3 2 2 53" xfId="25488" xr:uid="{F5B7DF7B-5E64-44D8-82FC-CE5D6B1A48AE}"/>
    <cellStyle name="CustomizationGreenCells 3 2 2 54" xfId="26391" xr:uid="{942AFC39-593E-4DE0-928A-8DA912FA9783}"/>
    <cellStyle name="CustomizationGreenCells 3 2 2 55" xfId="27123" xr:uid="{87B0B390-05F4-41B9-9C32-0E1702E0F137}"/>
    <cellStyle name="CustomizationGreenCells 3 2 2 56" xfId="27542" xr:uid="{148D5F45-0261-43A9-AB05-1CC71177C8E6}"/>
    <cellStyle name="CustomizationGreenCells 3 2 2 57" xfId="25385" xr:uid="{13590FA7-3B7A-4905-8A1D-381F273F3CEB}"/>
    <cellStyle name="CustomizationGreenCells 3 2 2 58" xfId="28669" xr:uid="{D4AE626D-6863-4981-B32D-D6AEF35F8DF5}"/>
    <cellStyle name="CustomizationGreenCells 3 2 2 59" xfId="29136" xr:uid="{35E182F3-CC58-4514-8D09-B82F0F737E03}"/>
    <cellStyle name="CustomizationGreenCells 3 2 2 6" xfId="2894" xr:uid="{10582BDB-97D9-418B-BAEC-1944AE93B11F}"/>
    <cellStyle name="CustomizationGreenCells 3 2 2 60" xfId="29436" xr:uid="{2CDD7653-D73E-492C-9966-791E48B949A2}"/>
    <cellStyle name="CustomizationGreenCells 3 2 2 61" xfId="29925" xr:uid="{0BB47C78-8AD8-4921-92C6-959E1C9C4E75}"/>
    <cellStyle name="CustomizationGreenCells 3 2 2 62" xfId="30331" xr:uid="{18D461F1-6B18-4C4C-93F9-B76D46DEB798}"/>
    <cellStyle name="CustomizationGreenCells 3 2 2 63" xfId="30748" xr:uid="{2514AA34-9A1E-4CDC-9D0D-DA45ED8AB0F6}"/>
    <cellStyle name="CustomizationGreenCells 3 2 2 64" xfId="30948" xr:uid="{850E99C8-A05E-4E99-B773-60BFA3CC95BA}"/>
    <cellStyle name="CustomizationGreenCells 3 2 2 65" xfId="31364" xr:uid="{81312857-78E9-46BE-A88E-A3ABCBB1A49E}"/>
    <cellStyle name="CustomizationGreenCells 3 2 2 7" xfId="4147" xr:uid="{6C5926CC-B60D-42A7-87A5-BB983F4C2245}"/>
    <cellStyle name="CustomizationGreenCells 3 2 2 8" xfId="4584" xr:uid="{2D6F48DA-E558-4121-8F0B-D83AD7DE1FDD}"/>
    <cellStyle name="CustomizationGreenCells 3 2 2 9" xfId="3280" xr:uid="{26B70D19-642F-4793-BD72-5A60E94305A8}"/>
    <cellStyle name="CustomizationGreenCells 3 2 20" xfId="9968" xr:uid="{E9C1D739-290B-4FBA-8727-B319686C3BAC}"/>
    <cellStyle name="CustomizationGreenCells 3 2 21" xfId="10397" xr:uid="{43683611-4CCF-4B2B-BF9C-45885BC80727}"/>
    <cellStyle name="CustomizationGreenCells 3 2 22" xfId="10986" xr:uid="{7EC6FBDD-9D91-4F06-8A64-51767AC42168}"/>
    <cellStyle name="CustomizationGreenCells 3 2 23" xfId="11160" xr:uid="{BDB5F311-FE29-4F33-AC37-731AE20B4F33}"/>
    <cellStyle name="CustomizationGreenCells 3 2 24" xfId="11967" xr:uid="{B0A1C5F3-1608-4072-8F0B-70EE9D023926}"/>
    <cellStyle name="CustomizationGreenCells 3 2 25" xfId="12440" xr:uid="{E4A28A19-4404-4729-94E0-6D5A319D9AA2}"/>
    <cellStyle name="CustomizationGreenCells 3 2 26" xfId="12874" xr:uid="{449F273E-5D97-4A4F-824C-34F52641C3E9}"/>
    <cellStyle name="CustomizationGreenCells 3 2 27" xfId="13311" xr:uid="{23FAE649-9DB1-4EE4-A194-593795AA62A8}"/>
    <cellStyle name="CustomizationGreenCells 3 2 28" xfId="11542" xr:uid="{18BC4DD9-3521-410B-961A-E3246D83EBC1}"/>
    <cellStyle name="CustomizationGreenCells 3 2 29" xfId="14401" xr:uid="{51FDF649-5FE9-44A5-8851-3F01F8BD0262}"/>
    <cellStyle name="CustomizationGreenCells 3 2 3" xfId="1097" xr:uid="{EE60D360-FD07-4B06-A23B-080B6B059B38}"/>
    <cellStyle name="CustomizationGreenCells 3 2 30" xfId="14597" xr:uid="{6DCD035E-CDA5-4E9A-86B7-5C46D9439E62}"/>
    <cellStyle name="CustomizationGreenCells 3 2 31" xfId="15135" xr:uid="{7FDD44AB-6D02-4790-B442-10DD11BD2945}"/>
    <cellStyle name="CustomizationGreenCells 3 2 32" xfId="15466" xr:uid="{0B94B6C1-99B6-429B-BECB-3A32D83B1F21}"/>
    <cellStyle name="CustomizationGreenCells 3 2 33" xfId="15837" xr:uid="{EAA9E339-23F2-4336-AE94-9526092F0DFA}"/>
    <cellStyle name="CustomizationGreenCells 3 2 34" xfId="16659" xr:uid="{E823E632-18D2-47F2-A41A-0C4FE88AA559}"/>
    <cellStyle name="CustomizationGreenCells 3 2 35" xfId="17084" xr:uid="{4180CC51-9B43-4A51-A682-F22C1B9B4599}"/>
    <cellStyle name="CustomizationGreenCells 3 2 36" xfId="17531" xr:uid="{13059BB6-E978-41CC-BB28-8597D4D9E9F0}"/>
    <cellStyle name="CustomizationGreenCells 3 2 37" xfId="18214" xr:uid="{6CBC9811-8D4A-4D6C-A167-BBF6F028CF5E}"/>
    <cellStyle name="CustomizationGreenCells 3 2 38" xfId="18477" xr:uid="{D5E51ECC-C3F3-4B57-937A-D6CF3D9FBFEC}"/>
    <cellStyle name="CustomizationGreenCells 3 2 39" xfId="19045" xr:uid="{45497A25-15E8-4C35-B7F9-2DC99DE59E15}"/>
    <cellStyle name="CustomizationGreenCells 3 2 4" xfId="1748" xr:uid="{360DF4A0-96ED-4E02-B737-9A0C3926FD60}"/>
    <cellStyle name="CustomizationGreenCells 3 2 40" xfId="19330" xr:uid="{D33F3E05-4979-4B0F-BC97-F282A269174C}"/>
    <cellStyle name="CustomizationGreenCells 3 2 41" xfId="19996" xr:uid="{8675C3D8-1D77-4929-89BC-C8300ACC577C}"/>
    <cellStyle name="CustomizationGreenCells 3 2 42" xfId="20437" xr:uid="{03C33425-68EC-4B25-B572-8DB3481A7E87}"/>
    <cellStyle name="CustomizationGreenCells 3 2 43" xfId="20889" xr:uid="{871443C8-F7EF-4676-8628-5C9CC3477FE3}"/>
    <cellStyle name="CustomizationGreenCells 3 2 44" xfId="21335" xr:uid="{81652C95-1167-4D3F-B9EC-B46BAD6C1646}"/>
    <cellStyle name="CustomizationGreenCells 3 2 45" xfId="21821" xr:uid="{11A04722-7AC9-4E6B-90FC-660C8C3C9FA0}"/>
    <cellStyle name="CustomizationGreenCells 3 2 46" xfId="22255" xr:uid="{7500C295-BCCC-4D44-ADE3-2A1C770302C2}"/>
    <cellStyle name="CustomizationGreenCells 3 2 47" xfId="22355" xr:uid="{2848B894-59AA-4CDE-A005-11B07F5B8E61}"/>
    <cellStyle name="CustomizationGreenCells 3 2 48" xfId="23322" xr:uid="{C8906529-0E28-4925-B03C-DA7FC81BDE68}"/>
    <cellStyle name="CustomizationGreenCells 3 2 49" xfId="23537" xr:uid="{AC3F4A5F-5650-472B-B48B-E67F305830BF}"/>
    <cellStyle name="CustomizationGreenCells 3 2 5" xfId="2436" xr:uid="{D414DFB6-815D-4685-B673-1FC1DB6FF618}"/>
    <cellStyle name="CustomizationGreenCells 3 2 50" xfId="23805" xr:uid="{FE3E0BBC-EB7E-425E-88C6-AA19FC5918D6}"/>
    <cellStyle name="CustomizationGreenCells 3 2 51" xfId="24704" xr:uid="{510B99FC-DB06-4A1F-8EAD-C5D5C0B6D827}"/>
    <cellStyle name="CustomizationGreenCells 3 2 52" xfId="25144" xr:uid="{B0D40291-B746-484C-A60E-4542FA7487C4}"/>
    <cellStyle name="CustomizationGreenCells 3 2 53" xfId="25622" xr:uid="{2316E350-C23D-4411-A4BA-72B20B0F3553}"/>
    <cellStyle name="CustomizationGreenCells 3 2 54" xfId="25337" xr:uid="{B6EE3779-D192-40BD-BF07-B24C8887297C}"/>
    <cellStyle name="CustomizationGreenCells 3 2 55" xfId="26349" xr:uid="{ECF6A4CF-81A7-4AF7-A179-E21AA4B35759}"/>
    <cellStyle name="CustomizationGreenCells 3 2 56" xfId="26912" xr:uid="{732D7D90-6629-40A3-90AA-7C82FB4DFE47}"/>
    <cellStyle name="CustomizationGreenCells 3 2 57" xfId="27331" xr:uid="{E5FF5729-ECC0-45E0-ACF9-D5A0332E7D33}"/>
    <cellStyle name="CustomizationGreenCells 3 2 58" xfId="27757" xr:uid="{F97BA841-0FC9-4095-B12A-61DCC9668701}"/>
    <cellStyle name="CustomizationGreenCells 3 2 59" xfId="28454" xr:uid="{273A3E97-2BD5-4B09-89EF-170BF6BC85A1}"/>
    <cellStyle name="CustomizationGreenCells 3 2 6" xfId="2149" xr:uid="{8C7C7359-0640-482B-8D2C-3CE967D1D9BB}"/>
    <cellStyle name="CustomizationGreenCells 3 2 60" xfId="28922" xr:uid="{DDAF9C7A-E921-4A77-BEEE-C291E8EF15B9}"/>
    <cellStyle name="CustomizationGreenCells 3 2 61" xfId="29295" xr:uid="{D3638A4F-8940-408B-8F89-2A53614C06CE}"/>
    <cellStyle name="CustomizationGreenCells 3 2 62" xfId="29712" xr:uid="{355B683D-6994-4476-9185-0E3B762CA3AA}"/>
    <cellStyle name="CustomizationGreenCells 3 2 63" xfId="30120" xr:uid="{F2751321-DF35-4EA8-BE26-849BFEB59DBF}"/>
    <cellStyle name="CustomizationGreenCells 3 2 64" xfId="30534" xr:uid="{AF64F13E-43C4-45AF-ABF8-5836AC13320D}"/>
    <cellStyle name="CustomizationGreenCells 3 2 65" xfId="29425" xr:uid="{B473A671-BCFD-4228-9071-B6F54B16D868}"/>
    <cellStyle name="CustomizationGreenCells 3 2 66" xfId="31158" xr:uid="{6F7FE6C0-794B-4386-934F-CC280CE2AE86}"/>
    <cellStyle name="CustomizationGreenCells 3 2 7" xfId="3208" xr:uid="{887EB5CB-29A6-42F9-9442-E59A7ED56C3F}"/>
    <cellStyle name="CustomizationGreenCells 3 2 8" xfId="3932" xr:uid="{9E44AC9B-1F81-4980-AFA8-323934A7FA03}"/>
    <cellStyle name="CustomizationGreenCells 3 2 9" xfId="4370" xr:uid="{6555B008-58E3-4A51-97D7-47E26F123B19}"/>
    <cellStyle name="CustomizationGreenCells 3 20" xfId="6736" xr:uid="{715DA860-D0CA-49EA-A53C-28B0B10FE299}"/>
    <cellStyle name="CustomizationGreenCells 3 21" xfId="8907" xr:uid="{D33FA0DD-3A1E-4481-AF0E-B20AD0446F22}"/>
    <cellStyle name="CustomizationGreenCells 3 22" xfId="9219" xr:uid="{C9758C64-284A-49FC-AB32-3438580F207A}"/>
    <cellStyle name="CustomizationGreenCells 3 23" xfId="9831" xr:uid="{DE5DCF98-AA97-4B7A-8BF0-F287EF7B32EB}"/>
    <cellStyle name="CustomizationGreenCells 3 24" xfId="10157" xr:uid="{2916B1C5-788E-4BEC-BE95-75C9649BB632}"/>
    <cellStyle name="CustomizationGreenCells 3 25" xfId="10905" xr:uid="{1AAAF37B-80B2-436A-A56D-DB3CBC304FDD}"/>
    <cellStyle name="CustomizationGreenCells 3 26" xfId="10914" xr:uid="{24081AA5-8E4E-48A2-84DF-3F1D8796CF39}"/>
    <cellStyle name="CustomizationGreenCells 3 27" xfId="11631" xr:uid="{10FDED83-AB5E-4897-B35C-0A0936B4FCD4}"/>
    <cellStyle name="CustomizationGreenCells 3 28" xfId="11364" xr:uid="{ADD58E68-33C7-45E2-8D0A-80CE04E6C852}"/>
    <cellStyle name="CustomizationGreenCells 3 29" xfId="11778" xr:uid="{4C0620F2-90EF-44F4-9F30-78A2205BED97}"/>
    <cellStyle name="CustomizationGreenCells 3 3" xfId="584" xr:uid="{07B54605-2A2B-4779-9C21-F0226D24A546}"/>
    <cellStyle name="CustomizationGreenCells 3 3 10" xfId="4710" xr:uid="{8F5ABCE8-45F1-4B9B-96B3-575065FDCA33}"/>
    <cellStyle name="CustomizationGreenCells 3 3 11" xfId="5232" xr:uid="{B6DBDC1A-EC4F-4D76-8DAD-4B8C4815B8F3}"/>
    <cellStyle name="CustomizationGreenCells 3 3 12" xfId="3082" xr:uid="{B7FFA331-D622-4440-B0C4-3B9B96A7C0D2}"/>
    <cellStyle name="CustomizationGreenCells 3 3 13" xfId="4845" xr:uid="{5E59BA24-F117-438B-A017-A65FA798C0D6}"/>
    <cellStyle name="CustomizationGreenCells 3 3 14" xfId="6189" xr:uid="{EEC1CD95-5B33-4257-BB16-978E651D13B7}"/>
    <cellStyle name="CustomizationGreenCells 3 3 15" xfId="7304" xr:uid="{517E4DD4-90FE-4B3F-9FEF-496F2A21FB37}"/>
    <cellStyle name="CustomizationGreenCells 3 3 16" xfId="7137" xr:uid="{44AAC5C6-99D1-498F-A0CE-3665DD2D22B1}"/>
    <cellStyle name="CustomizationGreenCells 3 3 17" xfId="6735" xr:uid="{61BECE7E-5C06-483F-817E-0E9A12871360}"/>
    <cellStyle name="CustomizationGreenCells 3 3 18" xfId="7030" xr:uid="{ED2D43D8-D0C9-42C8-9CEA-45D936FBBB9A}"/>
    <cellStyle name="CustomizationGreenCells 3 3 19" xfId="9518" xr:uid="{D377C4B0-6C98-4937-BB0D-3FE2219A22CE}"/>
    <cellStyle name="CustomizationGreenCells 3 3 2" xfId="799" xr:uid="{F9F8D991-1A26-49EB-A40F-E4DDA1C21A04}"/>
    <cellStyle name="CustomizationGreenCells 3 3 2 10" xfId="5447" xr:uid="{CA059C99-CD63-4667-94D4-3D32A0E89FA4}"/>
    <cellStyle name="CustomizationGreenCells 3 3 2 11" xfId="5818" xr:uid="{24537421-A741-4F29-AC19-3880DF044F05}"/>
    <cellStyle name="CustomizationGreenCells 3 3 2 12" xfId="4802" xr:uid="{92A6E27A-60B8-4374-80AA-1AF4B6AA9FBE}"/>
    <cellStyle name="CustomizationGreenCells 3 3 2 13" xfId="5662" xr:uid="{383D192D-44CE-48B6-9555-9F2B1DE1FC54}"/>
    <cellStyle name="CustomizationGreenCells 3 3 2 14" xfId="7519" xr:uid="{5DCBAB03-0A26-4E2B-B4C9-F5E2072EE2B3}"/>
    <cellStyle name="CustomizationGreenCells 3 3 2 15" xfId="7115" xr:uid="{C4BEA7A5-7086-4E2F-B230-7602DE15E123}"/>
    <cellStyle name="CustomizationGreenCells 3 3 2 16" xfId="8018" xr:uid="{ED3A1E64-1337-4480-A045-03BC4E0138F9}"/>
    <cellStyle name="CustomizationGreenCells 3 3 2 17" xfId="8638" xr:uid="{D2C84164-6BCD-483F-8F0A-5E35860FF4BF}"/>
    <cellStyle name="CustomizationGreenCells 3 3 2 18" xfId="9733" xr:uid="{03BE7768-8811-4605-B6D8-77147283D672}"/>
    <cellStyle name="CustomizationGreenCells 3 3 2 19" xfId="9201" xr:uid="{288E2B45-16C1-4E61-92E2-8E7E118F3D45}"/>
    <cellStyle name="CustomizationGreenCells 3 3 2 2" xfId="1273" xr:uid="{58675F23-401D-4B50-A672-56925A1CF2D2}"/>
    <cellStyle name="CustomizationGreenCells 3 3 2 20" xfId="9178" xr:uid="{7F3E924B-6481-4ADC-A886-7439820D37E9}"/>
    <cellStyle name="CustomizationGreenCells 3 3 2 21" xfId="9350" xr:uid="{FA026633-2D5B-45E6-B372-C95A1DC63416}"/>
    <cellStyle name="CustomizationGreenCells 3 3 2 22" xfId="11064" xr:uid="{9532EA83-9041-4793-8B35-7FF0D19D8482}"/>
    <cellStyle name="CustomizationGreenCells 3 3 2 23" xfId="12152" xr:uid="{4544FFE2-A1EB-4D17-8587-70F48F9FD4A4}"/>
    <cellStyle name="CustomizationGreenCells 3 3 2 24" xfId="12625" xr:uid="{A82C6162-E329-4736-A7A5-A8B1E42C81DE}"/>
    <cellStyle name="CustomizationGreenCells 3 3 2 25" xfId="13059" xr:uid="{EF24E178-6A72-482D-8E12-7608C094FFCC}"/>
    <cellStyle name="CustomizationGreenCells 3 3 2 26" xfId="13496" xr:uid="{D8082D95-76F1-4A60-A709-4A7878E9C93F}"/>
    <cellStyle name="CustomizationGreenCells 3 3 2 27" xfId="13726" xr:uid="{A9EB3AA4-1FF2-4286-8C35-2483A2EF2F09}"/>
    <cellStyle name="CustomizationGreenCells 3 3 2 28" xfId="11394" xr:uid="{D7FFDF0E-0AB7-49B7-81FD-9F6A819D71D9}"/>
    <cellStyle name="CustomizationGreenCells 3 3 2 29" xfId="14176" xr:uid="{09A1E5F5-834F-470F-88B1-99F148E85593}"/>
    <cellStyle name="CustomizationGreenCells 3 3 2 3" xfId="1649" xr:uid="{C56329AC-43A2-4D05-B135-E0ECA0482936}"/>
    <cellStyle name="CustomizationGreenCells 3 3 2 30" xfId="14559" xr:uid="{8A192AD8-3357-426A-8AB7-D4C4C6123730}"/>
    <cellStyle name="CustomizationGreenCells 3 3 2 31" xfId="15592" xr:uid="{1D2077E1-5A55-4BDD-8660-DC937D3C6FC6}"/>
    <cellStyle name="CustomizationGreenCells 3 3 2 32" xfId="15369" xr:uid="{74D069C2-776A-4F70-94CF-9B07281A1761}"/>
    <cellStyle name="CustomizationGreenCells 3 3 2 33" xfId="16844" xr:uid="{60A9D925-597A-41A3-BFBC-8B5D6683A586}"/>
    <cellStyle name="CustomizationGreenCells 3 3 2 34" xfId="16437" xr:uid="{60CE5921-2D94-41F4-B12C-A2015E6BBF4B}"/>
    <cellStyle name="CustomizationGreenCells 3 3 2 35" xfId="16991" xr:uid="{C18CE66D-9F84-491A-AD47-7B3AA56ECA64}"/>
    <cellStyle name="CustomizationGreenCells 3 3 2 36" xfId="17275" xr:uid="{E89A3BB6-62A3-4925-B165-6862543F78CA}"/>
    <cellStyle name="CustomizationGreenCells 3 3 2 37" xfId="18662" xr:uid="{03B217DE-9E15-4917-A39B-7F43929EC798}"/>
    <cellStyle name="CustomizationGreenCells 3 3 2 38" xfId="19037" xr:uid="{90257203-65B5-4153-B45E-1B245041B1DF}"/>
    <cellStyle name="CustomizationGreenCells 3 3 2 39" xfId="18078" xr:uid="{A7944DBD-4D97-4EEE-8F2E-66E83A9D04C1}"/>
    <cellStyle name="CustomizationGreenCells 3 3 2 4" xfId="2621" xr:uid="{AC3027C0-274D-48CD-A011-3B6636A5062D}"/>
    <cellStyle name="CustomizationGreenCells 3 3 2 40" xfId="20181" xr:uid="{6F9AB55B-28D5-46C9-9424-43BFAD457583}"/>
    <cellStyle name="CustomizationGreenCells 3 3 2 41" xfId="19769" xr:uid="{383D8109-1514-4915-B8C1-FF25827E6687}"/>
    <cellStyle name="CustomizationGreenCells 3 3 2 42" xfId="20338" xr:uid="{FE896222-0ABA-4D27-9F11-B9E7CAC0906D}"/>
    <cellStyle name="CustomizationGreenCells 3 3 2 43" xfId="19496" xr:uid="{C59196FC-F1D7-4D74-8DF5-0AD754609CF4}"/>
    <cellStyle name="CustomizationGreenCells 3 3 2 44" xfId="21398" xr:uid="{DB3E0C47-608E-4E5C-8EFD-CBC39BF57202}"/>
    <cellStyle name="CustomizationGreenCells 3 3 2 45" xfId="21450" xr:uid="{D367AFC5-148E-474F-9290-D77C2BF621D6}"/>
    <cellStyle name="CustomizationGreenCells 3 3 2 46" xfId="22722" xr:uid="{815651A9-E131-42E6-8ED9-15AD5AC51C02}"/>
    <cellStyle name="CustomizationGreenCells 3 3 2 47" xfId="23314" xr:uid="{2866EED7-B010-4C52-8CC1-A820863F0B6C}"/>
    <cellStyle name="CustomizationGreenCells 3 3 2 48" xfId="23379" xr:uid="{59076220-3A64-49EE-90C7-D9FCA18F6801}"/>
    <cellStyle name="CustomizationGreenCells 3 3 2 49" xfId="23981" xr:uid="{6665ECC3-885C-4BAF-BEF1-3384797A3BA1}"/>
    <cellStyle name="CustomizationGreenCells 3 3 2 5" xfId="2891" xr:uid="{696039FB-314C-4A96-9144-2A0A69CB407A}"/>
    <cellStyle name="CustomizationGreenCells 3 3 2 50" xfId="24889" xr:uid="{DFAA11D1-75DD-42BB-8746-89B48614F108}"/>
    <cellStyle name="CustomizationGreenCells 3 3 2 51" xfId="24315" xr:uid="{81D32FAE-42CC-4EC4-9A72-8A5AEA76F064}"/>
    <cellStyle name="CustomizationGreenCells 3 3 2 52" xfId="25805" xr:uid="{3B378E97-3DAD-46A5-8EEA-C947E8785D9D}"/>
    <cellStyle name="CustomizationGreenCells 3 3 2 53" xfId="26026" xr:uid="{CDF8DFAE-EE79-4217-87EC-5CF39FA7B0B4}"/>
    <cellStyle name="CustomizationGreenCells 3 3 2 54" xfId="26466" xr:uid="{30228582-FE4C-4849-9D28-AA5431752A41}"/>
    <cellStyle name="CustomizationGreenCells 3 3 2 55" xfId="27093" xr:uid="{42E23CE4-FAC2-418B-931C-0C23518CDF4B}"/>
    <cellStyle name="CustomizationGreenCells 3 3 2 56" xfId="27512" xr:uid="{1086EB0C-568B-4B81-8E15-E29736C8419D}"/>
    <cellStyle name="CustomizationGreenCells 3 3 2 57" xfId="26399" xr:uid="{62C4ECB1-174C-4348-9F05-A4DF72CFA99A}"/>
    <cellStyle name="CustomizationGreenCells 3 3 2 58" xfId="28639" xr:uid="{D7CE51E7-2E30-455C-8F72-5AA533DD96A5}"/>
    <cellStyle name="CustomizationGreenCells 3 3 2 59" xfId="29106" xr:uid="{0F052DE2-49B6-448A-8875-AFF82E544EC3}"/>
    <cellStyle name="CustomizationGreenCells 3 3 2 6" xfId="3240" xr:uid="{59726B1A-C568-4B49-8C87-97CD717AE2F9}"/>
    <cellStyle name="CustomizationGreenCells 3 3 2 60" xfId="28313" xr:uid="{FDA7841F-9DFD-4DEC-B00A-C5E64907236E}"/>
    <cellStyle name="CustomizationGreenCells 3 3 2 61" xfId="29895" xr:uid="{E5847583-2934-4B75-A54B-6801677CC841}"/>
    <cellStyle name="CustomizationGreenCells 3 3 2 62" xfId="30301" xr:uid="{45CC9270-F462-494F-9987-45D8877F0A73}"/>
    <cellStyle name="CustomizationGreenCells 3 3 2 63" xfId="30718" xr:uid="{D853725F-9936-4032-950F-EC76FBE08561}"/>
    <cellStyle name="CustomizationGreenCells 3 3 2 64" xfId="27955" xr:uid="{0D3AEF63-8F2F-4A08-B1D2-522D3829FD2A}"/>
    <cellStyle name="CustomizationGreenCells 3 3 2 65" xfId="31334" xr:uid="{4DD8CE61-F9DF-4608-B2E3-8B67189B71F8}"/>
    <cellStyle name="CustomizationGreenCells 3 3 2 7" xfId="4117" xr:uid="{53182425-07A2-41AF-B349-61C7CA68F775}"/>
    <cellStyle name="CustomizationGreenCells 3 3 2 8" xfId="4554" xr:uid="{BD3A5AC7-E0DE-4871-9F51-07ED881D00D6}"/>
    <cellStyle name="CustomizationGreenCells 3 3 2 9" xfId="3120" xr:uid="{9BAF43ED-D968-4573-A69E-512042F131D6}"/>
    <cellStyle name="CustomizationGreenCells 3 3 20" xfId="8982" xr:uid="{F02C6694-32C5-4925-B7E8-ACD926F2B169}"/>
    <cellStyle name="CustomizationGreenCells 3 3 21" xfId="10236" xr:uid="{43D1AAC9-AF30-48D0-A76D-97D9A1FE0BE9}"/>
    <cellStyle name="CustomizationGreenCells 3 3 22" xfId="10321" xr:uid="{C6BE5593-3530-4217-AAE1-D6023C57926F}"/>
    <cellStyle name="CustomizationGreenCells 3 3 23" xfId="11088" xr:uid="{2BDDCE6B-9ABC-4582-9FCF-C29946D87701}"/>
    <cellStyle name="CustomizationGreenCells 3 3 24" xfId="11937" xr:uid="{4A6F43F1-01FC-4E8F-97F9-658674377754}"/>
    <cellStyle name="CustomizationGreenCells 3 3 25" xfId="12410" xr:uid="{89978E38-D597-4C97-8814-84F6EDF728F7}"/>
    <cellStyle name="CustomizationGreenCells 3 3 26" xfId="12844" xr:uid="{4B2EC25A-BAC3-4445-82B5-35C1C464EFF2}"/>
    <cellStyle name="CustomizationGreenCells 3 3 27" xfId="13281" xr:uid="{FED59A30-789D-41D5-9B35-7401DC4AEB7D}"/>
    <cellStyle name="CustomizationGreenCells 3 3 28" xfId="11804" xr:uid="{137BEAA0-D5D8-44E9-82D5-C713919E197B}"/>
    <cellStyle name="CustomizationGreenCells 3 3 29" xfId="13720" xr:uid="{9B239A0A-C4D4-4673-AC89-74C98C617987}"/>
    <cellStyle name="CustomizationGreenCells 3 3 3" xfId="1067" xr:uid="{A9CC69EA-44BE-49A9-896A-9C4B67AC8050}"/>
    <cellStyle name="CustomizationGreenCells 3 3 30" xfId="14689" xr:uid="{0EF18DAD-6D6B-495D-9DDD-49DFBDB8E289}"/>
    <cellStyle name="CustomizationGreenCells 3 3 31" xfId="14542" xr:uid="{CFC467CB-14AD-4CDF-B542-70103A4C94BB}"/>
    <cellStyle name="CustomizationGreenCells 3 3 32" xfId="13628" xr:uid="{880A5820-381B-46D1-8EEF-FEC60EC630C2}"/>
    <cellStyle name="CustomizationGreenCells 3 3 33" xfId="15801" xr:uid="{E32D48D1-E3C6-4850-838E-32D19559E99F}"/>
    <cellStyle name="CustomizationGreenCells 3 3 34" xfId="16629" xr:uid="{99E08CA0-58C9-4392-B902-C8182DFA7FA0}"/>
    <cellStyle name="CustomizationGreenCells 3 3 35" xfId="16460" xr:uid="{05AEC19F-FE06-4793-AD72-E8D5C797DA8A}"/>
    <cellStyle name="CustomizationGreenCells 3 3 36" xfId="17082" xr:uid="{4F0930F1-4BE3-4534-8E3F-1D5170F3E6F6}"/>
    <cellStyle name="CustomizationGreenCells 3 3 37" xfId="18243" xr:uid="{9119F8F3-EB35-442C-9919-9AE0E3E39E86}"/>
    <cellStyle name="CustomizationGreenCells 3 3 38" xfId="18447" xr:uid="{3A51A4F5-B259-42E2-9BA3-300D5248B93A}"/>
    <cellStyle name="CustomizationGreenCells 3 3 39" xfId="16347" xr:uid="{F503CEAE-DAFA-454A-8F70-1EF300CD5EA5}"/>
    <cellStyle name="CustomizationGreenCells 3 3 4" xfId="1729" xr:uid="{18DFFAF3-4595-43BA-9017-76779177FB76}"/>
    <cellStyle name="CustomizationGreenCells 3 3 40" xfId="18877" xr:uid="{E2945CAF-D0DC-4CA8-AEF9-F4AD4FCF2FCA}"/>
    <cellStyle name="CustomizationGreenCells 3 3 41" xfId="19966" xr:uid="{CF21028F-4B05-4F92-BACC-760F358F0413}"/>
    <cellStyle name="CustomizationGreenCells 3 3 42" xfId="20075" xr:uid="{B1202BF7-3EA4-4F21-B954-FDEAD2A3435E}"/>
    <cellStyle name="CustomizationGreenCells 3 3 43" xfId="20420" xr:uid="{BCC09C71-D6F9-47FB-8700-097B65DDF601}"/>
    <cellStyle name="CustomizationGreenCells 3 3 44" xfId="20985" xr:uid="{AA97B78B-E352-4135-8340-1CA1A6A04F7D}"/>
    <cellStyle name="CustomizationGreenCells 3 3 45" xfId="21717" xr:uid="{1B85309F-5901-4CCD-874B-23721F222B32}"/>
    <cellStyle name="CustomizationGreenCells 3 3 46" xfId="22156" xr:uid="{4CDB3DDF-BB61-45EF-AB81-5D7BCDB48748}"/>
    <cellStyle name="CustomizationGreenCells 3 3 47" xfId="21141" xr:uid="{E8ACD661-A442-43F4-A5F2-C1718685A352}"/>
    <cellStyle name="CustomizationGreenCells 3 3 48" xfId="21915" xr:uid="{1DB70EB4-6099-403E-A88B-701365066187}"/>
    <cellStyle name="CustomizationGreenCells 3 3 49" xfId="23339" xr:uid="{BC2D7A4B-390B-4FE7-BCB4-DF8F2F3FDAB5}"/>
    <cellStyle name="CustomizationGreenCells 3 3 5" xfId="2406" xr:uid="{A3CC0FE9-D79E-4CDB-A81A-C7E9F3D1E3D0}"/>
    <cellStyle name="CustomizationGreenCells 3 3 50" xfId="23775" xr:uid="{92A44B0D-8DFB-403A-A1E6-EAA758D5755A}"/>
    <cellStyle name="CustomizationGreenCells 3 3 51" xfId="24674" xr:uid="{4FC0B03E-A68E-4721-BFE4-7848328AB067}"/>
    <cellStyle name="CustomizationGreenCells 3 3 52" xfId="24502" xr:uid="{43213280-F139-4EF6-9D59-93A4D71AF00D}"/>
    <cellStyle name="CustomizationGreenCells 3 3 53" xfId="25592" xr:uid="{0060BB9C-CA4C-4EBB-9CA7-CA78BFF61381}"/>
    <cellStyle name="CustomizationGreenCells 3 3 54" xfId="24353" xr:uid="{4AEBF333-AF68-426F-B6A0-C815D6896372}"/>
    <cellStyle name="CustomizationGreenCells 3 3 55" xfId="26660" xr:uid="{7774D284-D176-4051-AB98-6B160AA6D28E}"/>
    <cellStyle name="CustomizationGreenCells 3 3 56" xfId="26882" xr:uid="{2BBAEE38-C92A-4E11-AA57-F2F3B24A3159}"/>
    <cellStyle name="CustomizationGreenCells 3 3 57" xfId="27301" xr:uid="{10081F88-8F08-45B8-AA41-C89095C519EE}"/>
    <cellStyle name="CustomizationGreenCells 3 3 58" xfId="26471" xr:uid="{EC0F8CC1-66B5-4D56-8BA8-76F36BB319BA}"/>
    <cellStyle name="CustomizationGreenCells 3 3 59" xfId="28424" xr:uid="{EF2D895E-4AD1-4B4A-9C9B-59E35C2E31DE}"/>
    <cellStyle name="CustomizationGreenCells 3 3 6" xfId="2044" xr:uid="{16DBD2A4-EAD4-41F6-BA10-F08044CB4838}"/>
    <cellStyle name="CustomizationGreenCells 3 3 60" xfId="28892" xr:uid="{1A979564-4323-4C91-B3F7-FAEEFD12FF03}"/>
    <cellStyle name="CustomizationGreenCells 3 3 61" xfId="28539" xr:uid="{3BAB2DF7-D8C6-4F48-8714-106A0309B343}"/>
    <cellStyle name="CustomizationGreenCells 3 3 62" xfId="29682" xr:uid="{C7B9AA53-3B2D-44AA-8A43-655E3524F7F1}"/>
    <cellStyle name="CustomizationGreenCells 3 3 63" xfId="30090" xr:uid="{21767A0E-FC63-4418-B721-AC0CF6C678DC}"/>
    <cellStyle name="CustomizationGreenCells 3 3 64" xfId="30504" xr:uid="{454C7365-8215-4CA9-9890-C3476B634C92}"/>
    <cellStyle name="CustomizationGreenCells 3 3 65" xfId="30972" xr:uid="{05CBB301-DBEA-4CEC-8FC4-BEA94869F566}"/>
    <cellStyle name="CustomizationGreenCells 3 3 66" xfId="31128" xr:uid="{FA875D52-8E1F-4EA5-ACDA-D47DED9AF2EB}"/>
    <cellStyle name="CustomizationGreenCells 3 3 7" xfId="2976" xr:uid="{CEAC23BC-8FC6-43EB-96E2-A577F314387F}"/>
    <cellStyle name="CustomizationGreenCells 3 3 8" xfId="3902" xr:uid="{F154578D-11BD-4F49-8932-1887BE03671B}"/>
    <cellStyle name="CustomizationGreenCells 3 3 9" xfId="4340" xr:uid="{B8CB5B95-7D0D-4023-A245-F159967D2D33}"/>
    <cellStyle name="CustomizationGreenCells 3 30" xfId="11590" xr:uid="{5B6965DA-E6F7-4508-96FA-A91E027589AA}"/>
    <cellStyle name="CustomizationGreenCells 3 31" xfId="14010" xr:uid="{1753ED59-D441-416B-843A-4F017BA173FF}"/>
    <cellStyle name="CustomizationGreenCells 3 32" xfId="13179" xr:uid="{75091119-70BA-492C-AA64-8E00EA52DC02}"/>
    <cellStyle name="CustomizationGreenCells 3 33" xfId="14172" xr:uid="{7565E62D-5E13-48E3-88F1-1426454C3022}"/>
    <cellStyle name="CustomizationGreenCells 3 34" xfId="15113" xr:uid="{8E1305D2-6C93-4FB0-AC6C-BD413E87189F}"/>
    <cellStyle name="CustomizationGreenCells 3 35" xfId="15698" xr:uid="{A9B2C7D7-B329-4C59-9697-7014E8F7F100}"/>
    <cellStyle name="CustomizationGreenCells 3 36" xfId="14528" xr:uid="{51795A64-5100-4872-93E4-916AFCC9E087}"/>
    <cellStyle name="CustomizationGreenCells 3 37" xfId="16326" xr:uid="{DF13EA40-3925-41DB-9FF8-AA82E1D1E5E6}"/>
    <cellStyle name="CustomizationGreenCells 3 38" xfId="16944" xr:uid="{37464944-69E4-452A-8BA9-DC8BA27E7333}"/>
    <cellStyle name="CustomizationGreenCells 3 39" xfId="17083" xr:uid="{23690F37-5243-45A1-A17E-C3AFF0B568A4}"/>
    <cellStyle name="CustomizationGreenCells 3 4" xfId="517" xr:uid="{9ECE9F69-FCDB-4ACB-86BA-33AE01D84D86}"/>
    <cellStyle name="CustomizationGreenCells 3 4 10" xfId="4932" xr:uid="{45C3A168-A0B2-42A2-B551-B80B5AFC41FF}"/>
    <cellStyle name="CustomizationGreenCells 3 4 11" xfId="5165" xr:uid="{993453C1-4611-4CBE-9A4A-2A5844E75E63}"/>
    <cellStyle name="CustomizationGreenCells 3 4 12" xfId="5110" xr:uid="{0B636050-80A8-4083-8032-B81E72375C88}"/>
    <cellStyle name="CustomizationGreenCells 3 4 13" xfId="6304" xr:uid="{7EEC1CD6-18D0-4256-8ACE-D9D774B30377}"/>
    <cellStyle name="CustomizationGreenCells 3 4 14" xfId="5992" xr:uid="{26B2E83D-84DE-4003-88BD-EA0328AB6368}"/>
    <cellStyle name="CustomizationGreenCells 3 4 15" xfId="7237" xr:uid="{6DC4669B-6B23-4991-810D-D3CC562C8E33}"/>
    <cellStyle name="CustomizationGreenCells 3 4 16" xfId="7857" xr:uid="{4E08CA7D-ECFF-445B-9D1E-E3AD69D34961}"/>
    <cellStyle name="CustomizationGreenCells 3 4 17" xfId="8249" xr:uid="{36DC6C88-3B0B-4090-A62A-CB7634CB5AA3}"/>
    <cellStyle name="CustomizationGreenCells 3 4 18" xfId="8101" xr:uid="{E3D04541-24DA-46C3-A497-99E145994D81}"/>
    <cellStyle name="CustomizationGreenCells 3 4 19" xfId="9451" xr:uid="{3D7D0920-64F9-4F3D-B132-E8F5D604234B}"/>
    <cellStyle name="CustomizationGreenCells 3 4 2" xfId="732" xr:uid="{17AE64D8-27E4-41D1-9185-7D166140EE7B}"/>
    <cellStyle name="CustomizationGreenCells 3 4 2 10" xfId="5380" xr:uid="{4F8E25FC-DB1D-4E13-8D20-96A905BF354E}"/>
    <cellStyle name="CustomizationGreenCells 3 4 2 11" xfId="5757" xr:uid="{208B54C4-6D10-4F7D-9574-AB75CFE70967}"/>
    <cellStyle name="CustomizationGreenCells 3 4 2 12" xfId="4899" xr:uid="{F069A61A-8DE3-4E83-A7F3-6D4925EA1052}"/>
    <cellStyle name="CustomizationGreenCells 3 4 2 13" xfId="6467" xr:uid="{F1B49EDA-431C-452D-8270-8AB390470519}"/>
    <cellStyle name="CustomizationGreenCells 3 4 2 14" xfId="7452" xr:uid="{56244D2A-80F5-4746-B7A4-04682CB0DFBE}"/>
    <cellStyle name="CustomizationGreenCells 3 4 2 15" xfId="6915" xr:uid="{2153041F-CE2B-4FA3-95B9-AC5CB467366E}"/>
    <cellStyle name="CustomizationGreenCells 3 4 2 16" xfId="8004" xr:uid="{4FEAEC9D-8455-4D38-8837-F6129BF51FD0}"/>
    <cellStyle name="CustomizationGreenCells 3 4 2 17" xfId="8707" xr:uid="{782D2C2C-BF82-4624-AED4-AC736B5E2036}"/>
    <cellStyle name="CustomizationGreenCells 3 4 2 18" xfId="9666" xr:uid="{63BC2F9C-205A-466A-983A-A811155DB1E7}"/>
    <cellStyle name="CustomizationGreenCells 3 4 2 19" xfId="9128" xr:uid="{38664CC3-2C14-48CD-BEBA-3FCB32438987}"/>
    <cellStyle name="CustomizationGreenCells 3 4 2 2" xfId="1206" xr:uid="{E6CB48D7-FD28-4136-9CA9-8EF9A1374A06}"/>
    <cellStyle name="CustomizationGreenCells 3 4 2 20" xfId="9895" xr:uid="{545B8D2B-7865-4EA3-BC7A-E97E05C34646}"/>
    <cellStyle name="CustomizationGreenCells 3 4 2 21" xfId="9978" xr:uid="{B685C56F-CCB7-490D-B100-717D49287960}"/>
    <cellStyle name="CustomizationGreenCells 3 4 2 22" xfId="11257" xr:uid="{94206B8B-BFE7-4C35-9883-6974AC815AF9}"/>
    <cellStyle name="CustomizationGreenCells 3 4 2 23" xfId="12085" xr:uid="{5CFD5559-5B68-427F-882A-14A9792130A3}"/>
    <cellStyle name="CustomizationGreenCells 3 4 2 24" xfId="12558" xr:uid="{2A96498C-3A7C-4352-9C3D-736C0AD97D76}"/>
    <cellStyle name="CustomizationGreenCells 3 4 2 25" xfId="12992" xr:uid="{2B38F0A1-5394-432B-9061-5ED072970A34}"/>
    <cellStyle name="CustomizationGreenCells 3 4 2 26" xfId="13429" xr:uid="{0CD9DA01-2FEB-4BD6-9EF2-5CD2E1734940}"/>
    <cellStyle name="CustomizationGreenCells 3 4 2 27" xfId="12244" xr:uid="{0C8EA68D-2D73-4323-AA98-FB004BD21E19}"/>
    <cellStyle name="CustomizationGreenCells 3 4 2 28" xfId="13818" xr:uid="{1DF593C1-F6D9-4789-8A31-E0337C9C6296}"/>
    <cellStyle name="CustomizationGreenCells 3 4 2 29" xfId="12526" xr:uid="{FA085BEB-8F87-4B30-89FE-17241F5C9EE1}"/>
    <cellStyle name="CustomizationGreenCells 3 4 2 3" xfId="1491" xr:uid="{B495961A-BB26-47B6-9BB7-0D717697FA24}"/>
    <cellStyle name="CustomizationGreenCells 3 4 2 30" xfId="15311" xr:uid="{036A298E-B31B-468B-86F7-6E3177F09E84}"/>
    <cellStyle name="CustomizationGreenCells 3 4 2 31" xfId="15713" xr:uid="{A73FEB36-1956-405D-939B-55177DE55924}"/>
    <cellStyle name="CustomizationGreenCells 3 4 2 32" xfId="15628" xr:uid="{AC77557E-518C-4316-B51C-43FC6EEBAC80}"/>
    <cellStyle name="CustomizationGreenCells 3 4 2 33" xfId="16777" xr:uid="{A5113EBC-9D56-4F20-A505-7EA7DB59385F}"/>
    <cellStyle name="CustomizationGreenCells 3 4 2 34" xfId="16232" xr:uid="{81905F54-C134-4ADE-B6F6-9A446D0CB189}"/>
    <cellStyle name="CustomizationGreenCells 3 4 2 35" xfId="17009" xr:uid="{5AB157DE-C2A6-4C06-96C5-812FCF6F5CCC}"/>
    <cellStyle name="CustomizationGreenCells 3 4 2 36" xfId="18050" xr:uid="{61F96B6D-87FA-4005-AA31-A768309BDFB8}"/>
    <cellStyle name="CustomizationGreenCells 3 4 2 37" xfId="18595" xr:uid="{81352900-4CCA-464C-9F1B-1A5A4E35929D}"/>
    <cellStyle name="CustomizationGreenCells 3 4 2 38" xfId="18787" xr:uid="{9C05A563-80C8-4BAA-9D18-6B7165E7B48E}"/>
    <cellStyle name="CustomizationGreenCells 3 4 2 39" xfId="18133" xr:uid="{E2382032-0BCD-4261-AD4F-EF5C7BFC7C4D}"/>
    <cellStyle name="CustomizationGreenCells 3 4 2 4" xfId="2554" xr:uid="{23B02267-FC0B-44D6-B2D1-19808D44B05A}"/>
    <cellStyle name="CustomizationGreenCells 3 4 2 40" xfId="20114" xr:uid="{19171DF9-494A-429C-8C31-96CE2298BF86}"/>
    <cellStyle name="CustomizationGreenCells 3 4 2 41" xfId="19565" xr:uid="{9D170EC5-890E-45A5-BDDD-04FF34EE0AD8}"/>
    <cellStyle name="CustomizationGreenCells 3 4 2 42" xfId="19521" xr:uid="{8174A68C-19B6-41BF-805A-4E5C5E86C67D}"/>
    <cellStyle name="CustomizationGreenCells 3 4 2 43" xfId="20290" xr:uid="{2C98FEFF-ED47-4FD3-B870-8EBF2A2475CE}"/>
    <cellStyle name="CustomizationGreenCells 3 4 2 44" xfId="20684" xr:uid="{299E2E48-E9BE-476D-8A5A-261939B97E52}"/>
    <cellStyle name="CustomizationGreenCells 3 4 2 45" xfId="21745" xr:uid="{77A8C565-9BA1-4938-B36F-144CE263EFAD}"/>
    <cellStyle name="CustomizationGreenCells 3 4 2 46" xfId="22200" xr:uid="{67197AB3-9ABF-4404-9FC1-E7DA1A45B37F}"/>
    <cellStyle name="CustomizationGreenCells 3 4 2 47" xfId="23059" xr:uid="{2E0D6847-6E67-4CC6-8007-2ABCACB0433B}"/>
    <cellStyle name="CustomizationGreenCells 3 4 2 48" xfId="23550" xr:uid="{BF1A70FD-2FC6-4CF3-991D-C4A8DB5A1754}"/>
    <cellStyle name="CustomizationGreenCells 3 4 2 49" xfId="23914" xr:uid="{23F3F2DC-4F78-4EC4-A431-A68DB267309D}"/>
    <cellStyle name="CustomizationGreenCells 3 4 2 5" xfId="1815" xr:uid="{BDE2F969-6CCA-479B-BC72-E3884FE8BACC}"/>
    <cellStyle name="CustomizationGreenCells 3 4 2 50" xfId="24822" xr:uid="{0A1E5219-E9FD-4C99-95A2-AB247AB2CF45}"/>
    <cellStyle name="CustomizationGreenCells 3 4 2 51" xfId="24286" xr:uid="{20D76290-4CB6-4758-AC85-1D7BECF1FCCF}"/>
    <cellStyle name="CustomizationGreenCells 3 4 2 52" xfId="25738" xr:uid="{FA92E4DE-978A-4E7A-9B16-C4DB0DA9AB9F}"/>
    <cellStyle name="CustomizationGreenCells 3 4 2 53" xfId="25054" xr:uid="{BDB6F257-D307-49AE-AC24-EA86A1FC5B14}"/>
    <cellStyle name="CustomizationGreenCells 3 4 2 54" xfId="26369" xr:uid="{DBD5DCFB-394A-438A-8760-9209E8479FC8}"/>
    <cellStyle name="CustomizationGreenCells 3 4 2 55" xfId="27026" xr:uid="{FB4E5AFA-E90F-4AFD-B376-7C3A9171F499}"/>
    <cellStyle name="CustomizationGreenCells 3 4 2 56" xfId="27445" xr:uid="{897AD3B2-7434-4922-82C5-9F654436A559}"/>
    <cellStyle name="CustomizationGreenCells 3 4 2 57" xfId="27779" xr:uid="{A3BAA042-A614-47D5-AD85-5ACE61A2CC21}"/>
    <cellStyle name="CustomizationGreenCells 3 4 2 58" xfId="28572" xr:uid="{7135439B-0E0E-49FA-AACF-1A3E68C094E8}"/>
    <cellStyle name="CustomizationGreenCells 3 4 2 59" xfId="29039" xr:uid="{658FFE21-71D5-45FB-9A77-807492BC0F95}"/>
    <cellStyle name="CustomizationGreenCells 3 4 2 6" xfId="3342" xr:uid="{1998FB54-89EF-4885-9501-1A047BA58A57}"/>
    <cellStyle name="CustomizationGreenCells 3 4 2 60" xfId="28510" xr:uid="{C38B6422-4581-4D7A-A11D-06C0CD76C032}"/>
    <cellStyle name="CustomizationGreenCells 3 4 2 61" xfId="29828" xr:uid="{5EFD828A-7045-4A8C-A162-4E4D1341CC2B}"/>
    <cellStyle name="CustomizationGreenCells 3 4 2 62" xfId="30234" xr:uid="{F3EC7E17-00BA-4509-999A-D06DB2B80900}"/>
    <cellStyle name="CustomizationGreenCells 3 4 2 63" xfId="30651" xr:uid="{539EA9D8-4DC7-42D7-9B63-A919983DCD0E}"/>
    <cellStyle name="CustomizationGreenCells 3 4 2 64" xfId="29261" xr:uid="{4ADE89E8-12F3-4497-8615-93C8E7F6B462}"/>
    <cellStyle name="CustomizationGreenCells 3 4 2 65" xfId="31267" xr:uid="{36E95BBF-6DF3-4A48-96C2-85AB833CA599}"/>
    <cellStyle name="CustomizationGreenCells 3 4 2 7" xfId="4050" xr:uid="{9AA502D5-739E-4C04-B30A-475161A59684}"/>
    <cellStyle name="CustomizationGreenCells 3 4 2 8" xfId="4487" xr:uid="{A326E2EA-006C-40D7-A09E-890C8960B189}"/>
    <cellStyle name="CustomizationGreenCells 3 4 2 9" xfId="3168" xr:uid="{4BD82A77-5948-4987-8734-5571C4581F76}"/>
    <cellStyle name="CustomizationGreenCells 3 4 20" xfId="10070" xr:uid="{4F64897D-2374-4D5D-9F34-0A4521DF3202}"/>
    <cellStyle name="CustomizationGreenCells 3 4 21" xfId="10487" xr:uid="{B9C325CB-196D-45F3-911C-9FD6D752CBCF}"/>
    <cellStyle name="CustomizationGreenCells 3 4 22" xfId="10980" xr:uid="{ACC4E315-EEE1-462F-9A8F-8CB3432852A6}"/>
    <cellStyle name="CustomizationGreenCells 3 4 23" xfId="9239" xr:uid="{E3CBFABA-7D50-4AE2-939F-E99517E67CF8}"/>
    <cellStyle name="CustomizationGreenCells 3 4 24" xfId="11870" xr:uid="{D47FF6EA-145C-47FC-8F10-6DCFA752A623}"/>
    <cellStyle name="CustomizationGreenCells 3 4 25" xfId="12343" xr:uid="{CF2F7A08-EABA-4DE0-8A18-D70811E6E13B}"/>
    <cellStyle name="CustomizationGreenCells 3 4 26" xfId="12777" xr:uid="{447857EF-D4DA-4472-AEFC-0C2BB2E52DAF}"/>
    <cellStyle name="CustomizationGreenCells 3 4 27" xfId="13214" xr:uid="{F2579478-38E0-4F59-8E4B-AAB2B13ABE3C}"/>
    <cellStyle name="CustomizationGreenCells 3 4 28" xfId="11454" xr:uid="{82586CB6-DFB1-4BB4-8BAD-C7940E8D8CEE}"/>
    <cellStyle name="CustomizationGreenCells 3 4 29" xfId="14146" xr:uid="{6D19F854-8E2C-419B-8CD6-93F390CDEF5F}"/>
    <cellStyle name="CustomizationGreenCells 3 4 3" xfId="1000" xr:uid="{42011DC1-A137-4F33-A1CD-BE2ECDFAE77D}"/>
    <cellStyle name="CustomizationGreenCells 3 4 30" xfId="14585" xr:uid="{94A72B57-09C0-40D2-86E7-2D2F2D0701B1}"/>
    <cellStyle name="CustomizationGreenCells 3 4 31" xfId="14945" xr:uid="{5902674E-70E1-441C-8278-E9EE61BCB794}"/>
    <cellStyle name="CustomizationGreenCells 3 4 32" xfId="14556" xr:uid="{8C6F9EE4-2C5F-4A5A-BC80-4B0C94696F59}"/>
    <cellStyle name="CustomizationGreenCells 3 4 33" xfId="15892" xr:uid="{F7E5127D-DB37-4FA8-A047-BA0D419D875E}"/>
    <cellStyle name="CustomizationGreenCells 3 4 34" xfId="16562" xr:uid="{48F71CC4-1709-4382-B177-F4EECADA33C2}"/>
    <cellStyle name="CustomizationGreenCells 3 4 35" xfId="17187" xr:uid="{DC958944-F50C-4CC3-B08A-72909E5955E6}"/>
    <cellStyle name="CustomizationGreenCells 3 4 36" xfId="17633" xr:uid="{91B0F91F-2408-4061-A3D2-B6DD9D0FF3C9}"/>
    <cellStyle name="CustomizationGreenCells 3 4 37" xfId="17464" xr:uid="{FC4E06D8-4909-4185-BA2B-406373B6B961}"/>
    <cellStyle name="CustomizationGreenCells 3 4 38" xfId="18380" xr:uid="{4B206AA8-7C3A-46CB-8499-BE08B15CDD80}"/>
    <cellStyle name="CustomizationGreenCells 3 4 39" xfId="18053" xr:uid="{88DAB83B-EC5C-4923-A7EB-D2B2B346EC2F}"/>
    <cellStyle name="CustomizationGreenCells 3 4 4" xfId="1680" xr:uid="{13FC4BE2-657B-4DDA-9B89-7D288AE06AA5}"/>
    <cellStyle name="CustomizationGreenCells 3 4 40" xfId="19244" xr:uid="{08F4C826-F11C-4699-86EC-43C994C67B15}"/>
    <cellStyle name="CustomizationGreenCells 3 4 41" xfId="19899" xr:uid="{85840D93-530F-4B7B-853F-0C96B56E302D}"/>
    <cellStyle name="CustomizationGreenCells 3 4 42" xfId="20540" xr:uid="{447F40C0-A92E-4F63-A636-735E8D4F3087}"/>
    <cellStyle name="CustomizationGreenCells 3 4 43" xfId="20993" xr:uid="{91407E57-72B3-432A-810D-C3224FB6FFDA}"/>
    <cellStyle name="CustomizationGreenCells 3 4 44" xfId="19823" xr:uid="{B5E39A94-C579-4CFF-AC08-28183192F0BA}"/>
    <cellStyle name="CustomizationGreenCells 3 4 45" xfId="21924" xr:uid="{F8E2E834-CA1A-4782-9F03-3794AE3B91A2}"/>
    <cellStyle name="CustomizationGreenCells 3 4 46" xfId="22358" xr:uid="{6489ECD9-EAE8-426B-BF5E-9EDB5AD5A3E2}"/>
    <cellStyle name="CustomizationGreenCells 3 4 47" xfId="21754" xr:uid="{E642745D-82BA-419F-B4AE-0918D384D8D1}"/>
    <cellStyle name="CustomizationGreenCells 3 4 48" xfId="22586" xr:uid="{59ABA36B-5A5F-4678-A549-17F863DD3544}"/>
    <cellStyle name="CustomizationGreenCells 3 4 49" xfId="23531" xr:uid="{2335E962-2F1C-4FDA-B613-F833B853E1B6}"/>
    <cellStyle name="CustomizationGreenCells 3 4 5" xfId="2339" xr:uid="{60367D11-6AE5-48AD-942D-4FA3BA3DAA32}"/>
    <cellStyle name="CustomizationGreenCells 3 4 50" xfId="23708" xr:uid="{06155926-B5EA-497B-A5FC-EE782ED928A1}"/>
    <cellStyle name="CustomizationGreenCells 3 4 51" xfId="24607" xr:uid="{CE0E475A-9C6E-454C-B06B-00D22F080AD2}"/>
    <cellStyle name="CustomizationGreenCells 3 4 52" xfId="25248" xr:uid="{DBD67862-0C87-4246-9A72-A5596AC588D5}"/>
    <cellStyle name="CustomizationGreenCells 3 4 53" xfId="25525" xr:uid="{7CDCABAE-383F-419E-92F5-D8A5B1DEE992}"/>
    <cellStyle name="CustomizationGreenCells 3 4 54" xfId="25066" xr:uid="{99A34F51-AB36-4E00-AAE6-3F6F35406D8B}"/>
    <cellStyle name="CustomizationGreenCells 3 4 55" xfId="26042" xr:uid="{D480DEC2-93AE-48F7-BA29-870448F54248}"/>
    <cellStyle name="CustomizationGreenCells 3 4 56" xfId="26815" xr:uid="{A80EF51A-0544-4286-BAAE-8C328D7CB9ED}"/>
    <cellStyle name="CustomizationGreenCells 3 4 57" xfId="27234" xr:uid="{206DB348-9FEA-44F4-AC27-F6188D0DBAE3}"/>
    <cellStyle name="CustomizationGreenCells 3 4 58" xfId="27709" xr:uid="{19C4C121-2E32-4B3E-904A-49D3AED0CEC9}"/>
    <cellStyle name="CustomizationGreenCells 3 4 59" xfId="28357" xr:uid="{8B3DC5BB-4889-4F3E-BB88-0CA8A2CF0AEA}"/>
    <cellStyle name="CustomizationGreenCells 3 4 6" xfId="2024" xr:uid="{C06F9978-DBA6-4040-A943-9507080B5132}"/>
    <cellStyle name="CustomizationGreenCells 3 4 60" xfId="28825" xr:uid="{5967B8D7-8254-4407-967F-82F7715D425F}"/>
    <cellStyle name="CustomizationGreenCells 3 4 61" xfId="29385" xr:uid="{521D72B0-C06C-4795-858C-7F1126D52D61}"/>
    <cellStyle name="CustomizationGreenCells 3 4 62" xfId="29615" xr:uid="{FC793F6C-1158-4978-9E6C-8F9718DE1421}"/>
    <cellStyle name="CustomizationGreenCells 3 4 63" xfId="30023" xr:uid="{FB7324F8-006F-47DB-860E-01D2783F5B71}"/>
    <cellStyle name="CustomizationGreenCells 3 4 64" xfId="30437" xr:uid="{208FC32D-0518-473D-9701-37B309422784}"/>
    <cellStyle name="CustomizationGreenCells 3 4 65" xfId="29391" xr:uid="{EA3FAB0C-2FF1-4D9C-8E51-3AE92ACD2701}"/>
    <cellStyle name="CustomizationGreenCells 3 4 66" xfId="31061" xr:uid="{8123FEDF-797D-4496-BA28-BD564A8848AE}"/>
    <cellStyle name="CustomizationGreenCells 3 4 7" xfId="3108" xr:uid="{233CF129-F4F1-4208-82E4-E714DEC876EF}"/>
    <cellStyle name="CustomizationGreenCells 3 4 8" xfId="3835" xr:uid="{545F7221-FE39-485C-9F9B-136B0AB4DC6C}"/>
    <cellStyle name="CustomizationGreenCells 3 4 9" xfId="4273" xr:uid="{931156DC-9F2F-4F21-B65B-5B5915BE6C81}"/>
    <cellStyle name="CustomizationGreenCells 3 40" xfId="18286" xr:uid="{33716F9D-434E-403B-A7C3-5568B7B7B11B}"/>
    <cellStyle name="CustomizationGreenCells 3 41" xfId="17950" xr:uid="{38D3972B-C3B7-4223-9A08-F5DE1E35CE87}"/>
    <cellStyle name="CustomizationGreenCells 3 42" xfId="19101" xr:uid="{E720578D-DA99-40A7-BA8A-BB1CF037FFC6}"/>
    <cellStyle name="CustomizationGreenCells 3 43" xfId="19235" xr:uid="{16623F2F-623A-42A6-AFEE-AA465681D4EA}"/>
    <cellStyle name="CustomizationGreenCells 3 44" xfId="19659" xr:uid="{D579F2F0-7EC1-4B78-96D5-6F3B3E4D22F0}"/>
    <cellStyle name="CustomizationGreenCells 3 45" xfId="20287" xr:uid="{CFF5C92F-C446-4C02-9806-9295215238C0}"/>
    <cellStyle name="CustomizationGreenCells 3 46" xfId="20644" xr:uid="{36B15E02-8981-4C82-AD44-23E7411AF952}"/>
    <cellStyle name="CustomizationGreenCells 3 47" xfId="21667" xr:uid="{D4469CF6-73F6-4260-B5F1-E171F899D817}"/>
    <cellStyle name="CustomizationGreenCells 3 48" xfId="21336" xr:uid="{6861C2C4-2395-42B6-86B4-27AFA458519E}"/>
    <cellStyle name="CustomizationGreenCells 3 49" xfId="21316" xr:uid="{2A7EA181-0B1A-47B7-808F-C849439B59AB}"/>
    <cellStyle name="CustomizationGreenCells 3 5" xfId="700" xr:uid="{DFA90F83-95EE-4ADF-AB28-864D9D0B1484}"/>
    <cellStyle name="CustomizationGreenCells 3 5 2" xfId="5348" xr:uid="{932FFE8C-B0BF-4F38-A141-ABA9BF482D8F}"/>
    <cellStyle name="CustomizationGreenCells 3 5 3" xfId="19014" xr:uid="{D45F0512-03A5-4770-A053-AAADFFB93DBF}"/>
    <cellStyle name="CustomizationGreenCells 3 50" xfId="22980" xr:uid="{573ABDBF-F9A0-4528-80C7-ECED999C8B26}"/>
    <cellStyle name="CustomizationGreenCells 3 51" xfId="23385" xr:uid="{DE3B3BC1-5D2A-4335-956D-B37C75732989}"/>
    <cellStyle name="CustomizationGreenCells 3 52" xfId="23474" xr:uid="{0B2B4825-7FB0-4071-B51D-95BDF8FF0EB4}"/>
    <cellStyle name="CustomizationGreenCells 3 53" xfId="19407" xr:uid="{D31B33DC-3D79-40CD-8953-2A88F02F32A7}"/>
    <cellStyle name="CustomizationGreenCells 3 54" xfId="24379" xr:uid="{8179E905-8E57-426A-BFF1-5FD89E5ECCB0}"/>
    <cellStyle name="CustomizationGreenCells 3 55" xfId="25028" xr:uid="{F74A7844-6CA7-40BD-A8C8-571E3912BBEE}"/>
    <cellStyle name="CustomizationGreenCells 3 56" xfId="25152" xr:uid="{7514D439-8A5D-4025-8E9C-A21D3A97A534}"/>
    <cellStyle name="CustomizationGreenCells 3 57" xfId="26150" xr:uid="{507D6D7F-A848-4E55-88A1-ACDC74CF611F}"/>
    <cellStyle name="CustomizationGreenCells 3 58" xfId="26094" xr:uid="{DC92846C-29A2-4271-A144-D52B6028E157}"/>
    <cellStyle name="CustomizationGreenCells 3 59" xfId="25340" xr:uid="{C2689C41-4140-42AB-81C9-535C682AC6BD}"/>
    <cellStyle name="CustomizationGreenCells 3 6" xfId="952" xr:uid="{A29D212F-3EA4-46D4-808D-029B882AF930}"/>
    <cellStyle name="CustomizationGreenCells 3 60" xfId="26091" xr:uid="{77A0C549-7DB7-477C-9394-876CADA47AD3}"/>
    <cellStyle name="CustomizationGreenCells 3 61" xfId="26808" xr:uid="{9686D3E7-85C3-4932-8082-7B0F92D06320}"/>
    <cellStyle name="CustomizationGreenCells 3 62" xfId="28150" xr:uid="{B91C90D5-3E52-44D8-A207-598F1057624F}"/>
    <cellStyle name="CustomizationGreenCells 3 63" xfId="28534" xr:uid="{08C84CC3-8CF2-4E3E-A609-49BF8621274B}"/>
    <cellStyle name="CustomizationGreenCells 3 64" xfId="28270" xr:uid="{A5A7AB6B-526C-404F-AE7B-F404D8204C7E}"/>
    <cellStyle name="CustomizationGreenCells 3 65" xfId="28775" xr:uid="{D7E88BCA-9A4C-4E24-8887-35A71BC7DE3D}"/>
    <cellStyle name="CustomizationGreenCells 3 66" xfId="28272" xr:uid="{53FF599A-D49C-43D9-8DAE-7E42802C23B5}"/>
    <cellStyle name="CustomizationGreenCells 3 67" xfId="30014" xr:uid="{2F33171B-4BB4-47FC-992B-3596485AA1BB}"/>
    <cellStyle name="CustomizationGreenCells 3 68" xfId="29336" xr:uid="{443043D9-3C17-4800-95DD-FF6252A98DBE}"/>
    <cellStyle name="CustomizationGreenCells 3 69" xfId="30856" xr:uid="{724FFA99-F4A6-4F35-8959-947897AEB880}"/>
    <cellStyle name="CustomizationGreenCells 3 7" xfId="1584" xr:uid="{FD189033-6091-408E-A692-D83840C6E07D}"/>
    <cellStyle name="CustomizationGreenCells 3 8" xfId="2099" xr:uid="{CBC5F6C9-B53E-406F-8D62-B7162FCF64AC}"/>
    <cellStyle name="CustomizationGreenCells 3 9" xfId="3182" xr:uid="{6BF73046-9E7F-487C-900B-D33EBDD3698F}"/>
    <cellStyle name="DocBox_EmptyRow" xfId="15" xr:uid="{0E983B7B-0025-438A-8AEE-CA3DB5662AD6}"/>
    <cellStyle name="Eingabe" xfId="2" xr:uid="{E0D7D84D-5758-486B-88BE-637DB6BC7FF6}"/>
    <cellStyle name="Eingabe 2" xfId="372" xr:uid="{EAB53CEA-AD2A-4F2F-98D5-A4108CF8A30F}"/>
    <cellStyle name="Eingabe 3" xfId="418" xr:uid="{D1BD14EE-E327-46CF-B4A0-24A5A44517A9}"/>
    <cellStyle name="Eingabe 3 10" xfId="3724" xr:uid="{F9451E32-2568-46CF-B9BC-AD9B7538927F}"/>
    <cellStyle name="Eingabe 3 11" xfId="4705" xr:uid="{C74CF674-F186-41FF-ACD0-CBD7273C3C1F}"/>
    <cellStyle name="Eingabe 3 12" xfId="4947" xr:uid="{60728EDE-8BA8-46DF-8871-825CDCCF2C99}"/>
    <cellStyle name="Eingabe 3 13" xfId="3614" xr:uid="{090D3BCD-CB33-4C9D-B842-90B71FB52A91}"/>
    <cellStyle name="Eingabe 3 14" xfId="6472" xr:uid="{3495FDBC-5CC2-4139-A2EF-2B59F9095E28}"/>
    <cellStyle name="Eingabe 3 15" xfId="7143" xr:uid="{8C5F0FA1-0D43-4D6C-A0FB-6564FBD43487}"/>
    <cellStyle name="Eingabe 3 16" xfId="7827" xr:uid="{B44AB4D7-A989-4281-8952-3761D4589C4E}"/>
    <cellStyle name="Eingabe 3 17" xfId="8604" xr:uid="{7C926E25-8F08-4C8E-AE45-F32B5699FBA4}"/>
    <cellStyle name="Eingabe 3 18" xfId="8719" xr:uid="{362F2C4C-8463-4EB9-82C3-E52E5563CB2F}"/>
    <cellStyle name="Eingabe 3 19" xfId="9358" xr:uid="{64A761F8-BAAB-4DB6-B115-9269056976D2}"/>
    <cellStyle name="Eingabe 3 2" xfId="654" xr:uid="{EF887CAE-2615-4D00-B92C-65EF39A4CB7E}"/>
    <cellStyle name="Eingabe 3 2 10" xfId="4914" xr:uid="{F468C520-2306-4F2C-BB9F-5C9FDD56D1DF}"/>
    <cellStyle name="Eingabe 3 2 11" xfId="5302" xr:uid="{2E398152-78EC-4904-B05F-10EE156D1B78}"/>
    <cellStyle name="Eingabe 3 2 12" xfId="5638" xr:uid="{C3DC84FF-6E9B-4F43-9AD2-1EC3F3D85B64}"/>
    <cellStyle name="Eingabe 3 2 13" xfId="5990" xr:uid="{D661566D-03F7-4E35-8FAF-ACBA999783A8}"/>
    <cellStyle name="Eingabe 3 2 14" xfId="6682" xr:uid="{500DCE59-F494-4D45-9FFA-63A830534180}"/>
    <cellStyle name="Eingabe 3 2 15" xfId="7374" xr:uid="{DF227A81-0067-4300-8970-AA8F0666E572}"/>
    <cellStyle name="Eingabe 3 2 16" xfId="6922" xr:uid="{27073681-E3F3-4D24-9D31-2E8AB6FEE448}"/>
    <cellStyle name="Eingabe 3 2 17" xfId="8098" xr:uid="{B024241C-8DE3-453E-AE2B-FB51EEBEBB2F}"/>
    <cellStyle name="Eingabe 3 2 18" xfId="8843" xr:uid="{2E1AE66B-090F-445E-AA6C-F605C18175B4}"/>
    <cellStyle name="Eingabe 3 2 19" xfId="9588" xr:uid="{A7726EDE-E32C-4591-91E1-1541609B7478}"/>
    <cellStyle name="Eingabe 3 2 2" xfId="869" xr:uid="{50BBFF85-97C3-4C2C-ABED-123DF58B5A75}"/>
    <cellStyle name="Eingabe 3 2 2 10" xfId="5517" xr:uid="{A1057280-8804-4BA7-8405-A1555131890F}"/>
    <cellStyle name="Eingabe 3 2 2 11" xfId="6011" xr:uid="{8641932D-F8DD-4024-B4A0-5C3A7F892325}"/>
    <cellStyle name="Eingabe 3 2 2 12" xfId="6370" xr:uid="{2FA8840C-CFEB-49C4-9242-8FDC2C9C3DF8}"/>
    <cellStyle name="Eingabe 3 2 2 13" xfId="6708" xr:uid="{48473138-BCFC-47D2-9732-998538E8C4B3}"/>
    <cellStyle name="Eingabe 3 2 2 14" xfId="7589" xr:uid="{B84A3465-ED03-4743-8D40-1021DB801352}"/>
    <cellStyle name="Eingabe 3 2 2 15" xfId="8053" xr:uid="{BEDB551D-82BC-49B3-BF64-4896A8D6C853}"/>
    <cellStyle name="Eingabe 3 2 2 16" xfId="8662" xr:uid="{91812A76-69C3-4934-BACD-4EE5C6FDCA51}"/>
    <cellStyle name="Eingabe 3 2 2 17" xfId="8921" xr:uid="{B8711481-F591-42E0-B0D7-9664486233B2}"/>
    <cellStyle name="Eingabe 3 2 2 18" xfId="9803" xr:uid="{35C5938E-2A57-4ECB-AD09-02BC30ACD22B}"/>
    <cellStyle name="Eingabe 3 2 2 19" xfId="10272" xr:uid="{E53F812B-7542-43E3-8A17-86B53DB89E4C}"/>
    <cellStyle name="Eingabe 3 2 2 2" xfId="1343" xr:uid="{ED64EE8E-ABE2-4947-AEFE-F99A8F32921F}"/>
    <cellStyle name="Eingabe 3 2 2 20" xfId="10666" xr:uid="{CE8CE689-0F10-4D09-87BB-CDF6817E64E0}"/>
    <cellStyle name="Eingabe 3 2 2 21" xfId="11015" xr:uid="{E0C9ED9B-CB3A-4B91-9D41-FC14D3495431}"/>
    <cellStyle name="Eingabe 3 2 2 22" xfId="11325" xr:uid="{DA0ED8C4-6E15-47F1-B9D7-F03F1E5197B6}"/>
    <cellStyle name="Eingabe 3 2 2 23" xfId="12222" xr:uid="{177C8103-389A-40E7-AE3A-4ABA15BF6D25}"/>
    <cellStyle name="Eingabe 3 2 2 24" xfId="12695" xr:uid="{2E696FEC-0BC7-489B-979E-14C416F524BE}"/>
    <cellStyle name="Eingabe 3 2 2 25" xfId="13129" xr:uid="{BE9D6D95-5E26-4CA2-9F60-82B1BE3C44A5}"/>
    <cellStyle name="Eingabe 3 2 2 26" xfId="13566" xr:uid="{A9524C0A-5BF4-4BFC-9482-980D61565696}"/>
    <cellStyle name="Eingabe 3 2 2 27" xfId="14038" xr:uid="{F61B3D05-AC01-407B-AF37-D49585DF309D}"/>
    <cellStyle name="Eingabe 3 2 2 28" xfId="14485" xr:uid="{4FD0C637-2CDE-43F6-90B3-0D22C28E6352}"/>
    <cellStyle name="Eingabe 3 2 2 29" xfId="14919" xr:uid="{D621D987-21A4-4241-BA15-C3D6553DB17F}"/>
    <cellStyle name="Eingabe 3 2 2 3" xfId="1792" xr:uid="{700C5427-4664-4538-B2D2-B97736EDCDF7}"/>
    <cellStyle name="Eingabe 3 2 2 30" xfId="15389" xr:uid="{FFC99BF0-899D-461D-8C87-901B5B41F4AC}"/>
    <cellStyle name="Eingabe 3 2 2 31" xfId="15779" xr:uid="{6B32CD64-F185-46BE-8011-B22435121CB0}"/>
    <cellStyle name="Eingabe 3 2 2 32" xfId="16001" xr:uid="{DC688CFC-B3B6-414C-A9BF-A33DE9A5E05D}"/>
    <cellStyle name="Eingabe 3 2 2 33" xfId="16914" xr:uid="{8CB047CD-4C77-44E8-A657-9B5ACE5D939F}"/>
    <cellStyle name="Eingabe 3 2 2 34" xfId="17395" xr:uid="{69E22B0B-CE30-4A63-A288-06DB580CB2BB}"/>
    <cellStyle name="Eingabe 3 2 2 35" xfId="17836" xr:uid="{C95647F1-FB46-4CF2-8427-48FC0C283305}"/>
    <cellStyle name="Eingabe 3 2 2 36" xfId="18311" xr:uid="{A8146135-0233-4D24-91BD-EA03AF7F4677}"/>
    <cellStyle name="Eingabe 3 2 2 37" xfId="18732" xr:uid="{6643CCFB-E1D2-4622-A1CB-77CE6EB357C0}"/>
    <cellStyle name="Eingabe 3 2 2 38" xfId="19119" xr:uid="{324AC385-B29A-40A1-85A7-1A5C39BDBE81}"/>
    <cellStyle name="Eingabe 3 2 2 39" xfId="19349" xr:uid="{77FFF3A5-4D89-47D3-9571-E6D6CE85D3A8}"/>
    <cellStyle name="Eingabe 3 2 2 4" xfId="2691" xr:uid="{D0F423A1-613F-4240-B3E2-56E3A048F47D}"/>
    <cellStyle name="Eingabe 3 2 2 40" xfId="20251" xr:uid="{2DC60B69-688F-4AC9-986B-95EDA7782F58}"/>
    <cellStyle name="Eingabe 3 2 2 41" xfId="20744" xr:uid="{E1D33D28-780D-4348-B7CC-0DA571D8E02F}"/>
    <cellStyle name="Eingabe 3 2 2 42" xfId="21203" xr:uid="{37A9FD6E-3469-48AC-8758-9C8200ADD920}"/>
    <cellStyle name="Eingabe 3 2 2 43" xfId="21695" xr:uid="{7C507A18-841D-40FB-80CD-D2097E343323}"/>
    <cellStyle name="Eingabe 3 2 2 44" xfId="22134" xr:uid="{BA513866-C83A-4463-AF04-C1AF6CA1F676}"/>
    <cellStyle name="Eingabe 3 2 2 45" xfId="22561" xr:uid="{BBF4A049-1CED-4BCD-85EB-AA186E87A29F}"/>
    <cellStyle name="Eingabe 3 2 2 46" xfId="23006" xr:uid="{2862B8A5-F4B6-4E66-822C-70764A66EF5D}"/>
    <cellStyle name="Eingabe 3 2 2 47" xfId="23408" xr:uid="{209B94BC-27B1-4B2A-A693-94E798B301AA}"/>
    <cellStyle name="Eingabe 3 2 2 48" xfId="23671" xr:uid="{F3AED53B-6E97-4AB8-8439-7F69395E920F}"/>
    <cellStyle name="Eingabe 3 2 2 49" xfId="24051" xr:uid="{92A58C15-6C55-438B-9D39-B6F9DC127CD6}"/>
    <cellStyle name="Eingabe 3 2 2 5" xfId="3211" xr:uid="{931FE8D4-C490-4AB6-9B90-1C1D53C55417}"/>
    <cellStyle name="Eingabe 3 2 2 50" xfId="24959" xr:uid="{9596BE4B-FF77-4AAF-A6BE-EC85B52C38F3}"/>
    <cellStyle name="Eingabe 3 2 2 51" xfId="25447" xr:uid="{111FAB0B-2384-4E18-B638-27DF1D5C27CB}"/>
    <cellStyle name="Eingabe 3 2 2 52" xfId="25875" xr:uid="{548D92FF-6AA6-43C2-80CD-0998AA55CC7E}"/>
    <cellStyle name="Eingabe 3 2 2 53" xfId="26313" xr:uid="{8F55A0C1-C90A-4CE1-BC2E-0E783FA6AA35}"/>
    <cellStyle name="Eingabe 3 2 2 54" xfId="26742" xr:uid="{6413C9DC-BAA4-4CC4-B67A-246F46519003}"/>
    <cellStyle name="Eingabe 3 2 2 55" xfId="27163" xr:uid="{A3C1B389-AB9F-43C1-8428-4E929A6FAEC5}"/>
    <cellStyle name="Eingabe 3 2 2 56" xfId="27582" xr:uid="{801C09DF-80F4-4734-B083-E48D632788F5}"/>
    <cellStyle name="Eingabe 3 2 2 57" xfId="25080" xr:uid="{7C61CB8C-9A46-4286-ABBA-EED8B2E3F517}"/>
    <cellStyle name="Eingabe 3 2 2 58" xfId="28709" xr:uid="{861F10F9-F177-4C32-8A12-1D5544D2C514}"/>
    <cellStyle name="Eingabe 3 2 2 59" xfId="29176" xr:uid="{AF63A925-FF95-48D2-8B9C-3CCF7A9524B8}"/>
    <cellStyle name="Eingabe 3 2 2 6" xfId="3766" xr:uid="{06AE26EC-34FE-452A-ACFF-8276782D5993}"/>
    <cellStyle name="Eingabe 3 2 2 60" xfId="29558" xr:uid="{D5E5669C-1331-4EAB-BC4F-BA29B8689AEF}"/>
    <cellStyle name="Eingabe 3 2 2 61" xfId="29965" xr:uid="{05A8E2DE-576F-4FEF-A23C-C5248ACA4E34}"/>
    <cellStyle name="Eingabe 3 2 2 62" xfId="30371" xr:uid="{D2CD8E62-DAA4-4726-9231-2C2CB759254F}"/>
    <cellStyle name="Eingabe 3 2 2 63" xfId="30788" xr:uid="{040C25C3-BCA9-47AD-BA96-E08C99CA89BD}"/>
    <cellStyle name="Eingabe 3 2 2 64" xfId="31033" xr:uid="{8CDBF9D3-5DA7-4A3A-B782-7B1AB3BC65FF}"/>
    <cellStyle name="Eingabe 3 2 2 65" xfId="31404" xr:uid="{F58F25DB-07AB-4C76-A8A8-751CE139C5BD}"/>
    <cellStyle name="Eingabe 3 2 2 7" xfId="4187" xr:uid="{DCE3AC72-5C8E-4C4F-9ADA-8A5CBBF69E92}"/>
    <cellStyle name="Eingabe 3 2 2 8" xfId="4624" xr:uid="{5868CE45-C1F2-4B8B-9C55-D46078D59847}"/>
    <cellStyle name="Eingabe 3 2 2 9" xfId="5070" xr:uid="{48C9C7FD-F4C7-48EC-8FA6-D5C204DAFF21}"/>
    <cellStyle name="Eingabe 3 2 20" xfId="9135" xr:uid="{CAA34F39-109B-46E1-9A33-3B371985270B}"/>
    <cellStyle name="Eingabe 3 2 21" xfId="10256" xr:uid="{0E3DDA4B-9C41-4C89-A91F-A6DBD4A97975}"/>
    <cellStyle name="Eingabe 3 2 22" xfId="9308" xr:uid="{806DDE7B-32F6-4EAE-A5A7-6D36BEA4C306}"/>
    <cellStyle name="Eingabe 3 2 23" xfId="11299" xr:uid="{278CDE4F-C4FE-4F82-BFB5-FC92CB82ED20}"/>
    <cellStyle name="Eingabe 3 2 24" xfId="12007" xr:uid="{F86F8EFC-027E-4866-81BA-47713F79AC29}"/>
    <cellStyle name="Eingabe 3 2 25" xfId="12480" xr:uid="{757A30BA-7627-4F44-B356-424003709D0B}"/>
    <cellStyle name="Eingabe 3 2 26" xfId="12914" xr:uid="{AACE4A0E-08BB-4A87-9B4F-A44672B3AA45}"/>
    <cellStyle name="Eingabe 3 2 27" xfId="13351" xr:uid="{B3FF4D47-99E3-4F3D-A600-CFEE7F7AF2F5}"/>
    <cellStyle name="Eingabe 3 2 28" xfId="11571" xr:uid="{16DC109A-FB93-456A-AAA9-BBC33EBBB9A9}"/>
    <cellStyle name="Eingabe 3 2 29" xfId="14129" xr:uid="{FD58B2A1-B12F-4EB7-8CFE-4892056C9B44}"/>
    <cellStyle name="Eingabe 3 2 3" xfId="1137" xr:uid="{78069D8D-B6EA-4706-A9D6-BF8C404D9185}"/>
    <cellStyle name="Eingabe 3 2 30" xfId="14086" xr:uid="{1D4C92DF-2744-4F40-AA72-D6C724F620BB}"/>
    <cellStyle name="Eingabe 3 2 31" xfId="15078" xr:uid="{9B491536-CF5D-4E48-A2AB-E0F5178486B8}"/>
    <cellStyle name="Eingabe 3 2 32" xfId="14950" xr:uid="{C22C8D8B-4731-4B12-83F3-0666CECBF97F}"/>
    <cellStyle name="Eingabe 3 2 33" xfId="15765" xr:uid="{0D907042-B83B-402B-88C2-7DF675174082}"/>
    <cellStyle name="Eingabe 3 2 34" xfId="16699" xr:uid="{9149FF99-C927-42DD-BDC0-A8052774EE12}"/>
    <cellStyle name="Eingabe 3 2 35" xfId="16239" xr:uid="{33AD5D4A-3676-43A6-8989-C2638E692458}"/>
    <cellStyle name="Eingabe 3 2 36" xfId="17378" xr:uid="{8EFD1C65-2889-4962-8762-0C9468BCA82E}"/>
    <cellStyle name="Eingabe 3 2 37" xfId="18256" xr:uid="{F7936898-9BD5-4B8D-A628-E523471C0066}"/>
    <cellStyle name="Eingabe 3 2 38" xfId="18517" xr:uid="{D34BCF6F-78CB-4BDC-80BF-7154E69617FB}"/>
    <cellStyle name="Eingabe 3 2 39" xfId="19079" xr:uid="{FCC20E61-84DC-4093-9D5C-79A7026222C2}"/>
    <cellStyle name="Eingabe 3 2 4" xfId="1749" xr:uid="{F101BCC8-C4E5-4305-A402-7AB6001C7105}"/>
    <cellStyle name="Eingabe 3 2 40" xfId="17906" xr:uid="{88DC63DB-D2D1-40DD-9E4B-D8E2CCF85DE3}"/>
    <cellStyle name="Eingabe 3 2 41" xfId="20036" xr:uid="{C0631B1D-5729-4CA5-A746-D72A1A8AC5FE}"/>
    <cellStyle name="Eingabe 3 2 42" xfId="19572" xr:uid="{8605F57C-2DB1-41F7-B52E-8E73D38A8B42}"/>
    <cellStyle name="Eingabe 3 2 43" xfId="19584" xr:uid="{FDBBF8CE-A00B-4AA7-8D94-3C3F476F0D2A}"/>
    <cellStyle name="Eingabe 3 2 44" xfId="21117" xr:uid="{DBA4F5A1-AE98-4421-A988-8C38DA9984AE}"/>
    <cellStyle name="Eingabe 3 2 45" xfId="21678" xr:uid="{BB2ED7B4-B535-47CB-9C9E-AF8578060AC7}"/>
    <cellStyle name="Eingabe 3 2 46" xfId="22117" xr:uid="{743D5796-6120-407B-ACC6-B1DF89EDB0FA}"/>
    <cellStyle name="Eingabe 3 2 47" xfId="21342" xr:uid="{942015D2-8510-49EA-BE4D-6B967C3B9AC5}"/>
    <cellStyle name="Eingabe 3 2 48" xfId="23357" xr:uid="{C4A579E6-191E-44BD-820E-A63BB356EC7B}"/>
    <cellStyle name="Eingabe 3 2 49" xfId="23369" xr:uid="{13073AB2-CB6C-4F9F-8AD6-3B5E934BA2A4}"/>
    <cellStyle name="Eingabe 3 2 5" xfId="2476" xr:uid="{CD38B7D4-32E0-4FC4-B3B1-6739302F340E}"/>
    <cellStyle name="Eingabe 3 2 50" xfId="23845" xr:uid="{24E22BFB-FA15-4CB9-A383-722A62350B29}"/>
    <cellStyle name="Eingabe 3 2 51" xfId="24744" xr:uid="{7B716046-F433-47DD-953E-D21768074AF8}"/>
    <cellStyle name="Eingabe 3 2 52" xfId="24293" xr:uid="{08F7F030-2CA4-4F3C-BC79-C1A0A8248A04}"/>
    <cellStyle name="Eingabe 3 2 53" xfId="25662" xr:uid="{BC3AD1D5-A792-4041-A2EA-29D7AE2B785E}"/>
    <cellStyle name="Eingabe 3 2 54" xfId="25320" xr:uid="{840A538F-DA1D-418E-B274-DB78209901E8}"/>
    <cellStyle name="Eingabe 3 2 55" xfId="24482" xr:uid="{6C0EFB54-7A5E-4FC6-B5A6-510E5C986A06}"/>
    <cellStyle name="Eingabe 3 2 56" xfId="26952" xr:uid="{194EBFB9-389A-45CB-BCF0-E956255C3B42}"/>
    <cellStyle name="Eingabe 3 2 57" xfId="27371" xr:uid="{5FD76A48-384B-4D98-9590-76EDA01FB362}"/>
    <cellStyle name="Eingabe 3 2 58" xfId="26565" xr:uid="{F29A738E-1307-4180-B36F-5DC771A427A4}"/>
    <cellStyle name="Eingabe 3 2 59" xfId="28494" xr:uid="{0B223660-1124-41C1-806B-1148C97AE9AC}"/>
    <cellStyle name="Eingabe 3 2 6" xfId="2076" xr:uid="{C49B2C62-56BE-4D7A-A543-EDC5AD250F74}"/>
    <cellStyle name="Eingabe 3 2 60" xfId="28962" xr:uid="{EC3A82DC-D56B-4553-8B30-3AF63BB4352C}"/>
    <cellStyle name="Eingabe 3 2 61" xfId="28088" xr:uid="{AF54D838-08F5-4AA1-B3A5-FB0833418843}"/>
    <cellStyle name="Eingabe 3 2 62" xfId="29752" xr:uid="{81420F78-4CEE-4646-A393-33D624B8A390}"/>
    <cellStyle name="Eingabe 3 2 63" xfId="30160" xr:uid="{A433AE5D-6DD3-4780-B9D4-345963865F62}"/>
    <cellStyle name="Eingabe 3 2 64" xfId="30574" xr:uid="{E2E85ACB-1C9A-4F80-A9C7-86EA40A7A9DB}"/>
    <cellStyle name="Eingabe 3 2 65" xfId="30868" xr:uid="{C8FA2B81-88EC-493A-8807-EA88541640BE}"/>
    <cellStyle name="Eingabe 3 2 66" xfId="31198" xr:uid="{FE43E14D-FF56-44C5-BFCF-92DDBA7B3CAE}"/>
    <cellStyle name="Eingabe 3 2 7" xfId="2937" xr:uid="{1E73BCCF-C10D-4CA3-9A1B-99FFEA26364E}"/>
    <cellStyle name="Eingabe 3 2 8" xfId="3972" xr:uid="{CD21D0E9-6D2A-4ECA-B687-21DDDC4604D1}"/>
    <cellStyle name="Eingabe 3 2 9" xfId="4410" xr:uid="{080B32DA-5668-4ED1-8CED-865050F75F62}"/>
    <cellStyle name="Eingabe 3 20" xfId="10039" xr:uid="{E0986D24-0EC8-4D4A-9AB4-5B21B2A372CC}"/>
    <cellStyle name="Eingabe 3 21" xfId="10876" xr:uid="{BBD29806-CDBE-4905-B250-653268D94921}"/>
    <cellStyle name="Eingabe 3 22" xfId="11771" xr:uid="{4268DD64-BB63-41AA-8E80-3F6FB8F36A5C}"/>
    <cellStyle name="Eingabe 3 23" xfId="12245" xr:uid="{5C7D0111-113A-417D-9966-E5C3D81FD9C1}"/>
    <cellStyle name="Eingabe 3 24" xfId="11350" xr:uid="{C19D0FAE-4CC7-4EB6-B8F5-06FAA09A0DBE}"/>
    <cellStyle name="Eingabe 3 25" xfId="11437" xr:uid="{7C76B7A1-A4CA-4EB5-BC93-08541530C2B5}"/>
    <cellStyle name="Eingabe 3 26" xfId="12522" xr:uid="{C7224FF3-2FA8-4B62-8801-F82F193F19E2}"/>
    <cellStyle name="Eingabe 3 27" xfId="12731" xr:uid="{2DE5773B-FE41-4883-8DE1-D2C9E4AE0A37}"/>
    <cellStyle name="Eingabe 3 28" xfId="15874" xr:uid="{14370EC4-D40A-4923-B847-FE5DBE1812F5}"/>
    <cellStyle name="Eingabe 3 29" xfId="16465" xr:uid="{FCF1D3C4-3680-42D3-9833-EFAF10B2074C}"/>
    <cellStyle name="Eingabe 3 3" xfId="643" xr:uid="{9A973A5C-A347-40AA-9B66-633AF7268A86}"/>
    <cellStyle name="Eingabe 3 3 10" xfId="4951" xr:uid="{CFDF04FC-7224-43EE-B5D6-F899824F0B98}"/>
    <cellStyle name="Eingabe 3 3 11" xfId="5291" xr:uid="{4E1AE41B-FAD6-4AC3-B200-6257F04ACA5D}"/>
    <cellStyle name="Eingabe 3 3 12" xfId="5567" xr:uid="{82A0808D-B86C-4E4C-ADC9-26F2936D5FC9}"/>
    <cellStyle name="Eingabe 3 3 13" xfId="2813" xr:uid="{94201B47-AF66-430C-BAC8-B3FB7800F37B}"/>
    <cellStyle name="Eingabe 3 3 14" xfId="6538" xr:uid="{D119C2F4-84E1-41FF-97A9-55F854A2E9C4}"/>
    <cellStyle name="Eingabe 3 3 15" xfId="7363" xr:uid="{C87D300E-1B44-4FB2-99CD-8DA3CF1C8D31}"/>
    <cellStyle name="Eingabe 3 3 16" xfId="7891" xr:uid="{DB854BEA-02BE-4E14-B11F-1CC4D6669608}"/>
    <cellStyle name="Eingabe 3 3 17" xfId="8543" xr:uid="{423A1D54-0D83-4155-A8D7-4048FC1ED521}"/>
    <cellStyle name="Eingabe 3 3 18" xfId="8864" xr:uid="{0BE0187E-E880-4B41-8D63-4EE4C9A76D7C}"/>
    <cellStyle name="Eingabe 3 3 19" xfId="9577" xr:uid="{0898903B-D2E3-4182-88E4-D2AB68EDFA06}"/>
    <cellStyle name="Eingabe 3 3 2" xfId="858" xr:uid="{13F193EB-297C-435F-B9EA-5B2BF8AFFD5F}"/>
    <cellStyle name="Eingabe 3 3 2 10" xfId="5506" xr:uid="{E9B6905D-4DFF-41C0-BDF4-9AD12EFB3DC3}"/>
    <cellStyle name="Eingabe 3 3 2 11" xfId="4652" xr:uid="{697F26E3-085E-4C1A-8CFF-66C228D8D6C9}"/>
    <cellStyle name="Eingabe 3 3 2 12" xfId="5578" xr:uid="{F2955E60-4D87-4072-9AFB-90765582B0BF}"/>
    <cellStyle name="Eingabe 3 3 2 13" xfId="6484" xr:uid="{A98E1AC8-317A-4114-B9B8-AB3E63B1ABB7}"/>
    <cellStyle name="Eingabe 3 3 2 14" xfId="7578" xr:uid="{59DBF6D6-6175-4764-B110-10984D1531CE}"/>
    <cellStyle name="Eingabe 3 3 2 15" xfId="7228" xr:uid="{EDAEE99D-0BC6-4D9B-82EC-4D85787BD2D3}"/>
    <cellStyle name="Eingabe 3 3 2 16" xfId="7911" xr:uid="{B4F86054-020F-446D-B770-C3EE993F961E}"/>
    <cellStyle name="Eingabe 3 3 2 17" xfId="8871" xr:uid="{D89C2260-F616-41AB-A8BB-31099682393F}"/>
    <cellStyle name="Eingabe 3 3 2 18" xfId="9792" xr:uid="{FAAD4958-DC12-48F3-A43C-F3C88D0750E8}"/>
    <cellStyle name="Eingabe 3 3 2 19" xfId="9632" xr:uid="{128E6B73-4431-4F5B-A791-3230AB2CEAC5}"/>
    <cellStyle name="Eingabe 3 3 2 2" xfId="1332" xr:uid="{4EC6C2BE-FB86-44E6-A481-3664D5ED81A6}"/>
    <cellStyle name="Eingabe 3 3 2 20" xfId="10109" xr:uid="{DDA44FB6-ECB2-4DD0-B204-F555AE35D84B}"/>
    <cellStyle name="Eingabe 3 3 2 21" xfId="10400" xr:uid="{301A88BC-65B0-4CBF-8754-AD124932727D}"/>
    <cellStyle name="Eingabe 3 3 2 22" xfId="10788" xr:uid="{F7CDDD36-DC96-4C4C-9350-C74F849FF663}"/>
    <cellStyle name="Eingabe 3 3 2 23" xfId="12211" xr:uid="{8B528968-4462-42D5-AA2D-BE5C6E0CC5B1}"/>
    <cellStyle name="Eingabe 3 3 2 24" xfId="12684" xr:uid="{5F7B5A52-956E-42C7-AAF4-3E6891266E9C}"/>
    <cellStyle name="Eingabe 3 3 2 25" xfId="13118" xr:uid="{8F356854-7AF1-4F7F-86E4-47EFB7BAD640}"/>
    <cellStyle name="Eingabe 3 3 2 26" xfId="13555" xr:uid="{410DBF8D-E5D8-408E-9048-55C0F62530FB}"/>
    <cellStyle name="Eingabe 3 3 2 27" xfId="13597" xr:uid="{63A6DB46-0419-40E1-850A-F50E6F3C8AA1}"/>
    <cellStyle name="Eingabe 3 3 2 28" xfId="14474" xr:uid="{CD4073FD-76B3-45F0-9D7E-7C5BCB9FE307}"/>
    <cellStyle name="Eingabe 3 3 2 29" xfId="13886" xr:uid="{08EBBB0A-F3B9-4B7A-9117-CBC7CFAF4E90}"/>
    <cellStyle name="Eingabe 3 3 2 3" xfId="1781" xr:uid="{725EE099-915C-445E-B426-36409EFC6D00}"/>
    <cellStyle name="Eingabe 3 3 2 30" xfId="14727" xr:uid="{A97E3F60-D389-4735-9282-E51FE9C294E8}"/>
    <cellStyle name="Eingabe 3 3 2 31" xfId="15496" xr:uid="{A95ED36C-2646-459C-AC8C-F0E7B7DEE056}"/>
    <cellStyle name="Eingabe 3 3 2 32" xfId="14421" xr:uid="{A1C8307A-553C-4C4A-8595-FE58911022B6}"/>
    <cellStyle name="Eingabe 3 3 2 33" xfId="16903" xr:uid="{B8CE10A6-33D3-4DF0-896F-351B10C97E78}"/>
    <cellStyle name="Eingabe 3 3 2 34" xfId="16553" xr:uid="{F447FA53-C816-4EEF-A40B-C6BD7963CC0B}"/>
    <cellStyle name="Eingabe 3 3 2 35" xfId="17228" xr:uid="{C5821D4B-51E3-47DD-AC21-85CD83629327}"/>
    <cellStyle name="Eingabe 3 3 2 36" xfId="16259" xr:uid="{C9C36E3C-A51B-4D82-BB61-85289ED7D07E}"/>
    <cellStyle name="Eingabe 3 3 2 37" xfId="18721" xr:uid="{06C9A81E-CFF8-4FE6-8710-7D5828539C96}"/>
    <cellStyle name="Eingabe 3 3 2 38" xfId="19064" xr:uid="{93C957AC-12AF-4D8A-8893-D07CF4E00CBD}"/>
    <cellStyle name="Eingabe 3 3 2 39" xfId="19160" xr:uid="{2E0DF384-7F0F-4A95-9DE1-4E62686324EC}"/>
    <cellStyle name="Eingabe 3 3 2 4" xfId="2680" xr:uid="{14CECC56-F016-466A-A58F-B1DFC9FE0EC6}"/>
    <cellStyle name="Eingabe 3 3 2 40" xfId="20240" xr:uid="{16E323E5-D0BD-40EF-B819-D59DC79E36C0}"/>
    <cellStyle name="Eingabe 3 3 2 41" xfId="19517" xr:uid="{A1C557AD-9222-47A8-88E9-68784E8C14DB}"/>
    <cellStyle name="Eingabe 3 3 2 42" xfId="20628" xr:uid="{804865CD-21C0-4DF1-99B2-F362C35CF825}"/>
    <cellStyle name="Eingabe 3 3 2 43" xfId="21644" xr:uid="{18F2CCCF-BA90-4A80-89DA-17DA4DF23FDC}"/>
    <cellStyle name="Eingabe 3 3 2 44" xfId="21119" xr:uid="{220F42EF-7657-42FE-B8EC-6D72C19DC4ED}"/>
    <cellStyle name="Eingabe 3 3 2 45" xfId="21260" xr:uid="{77CCC893-C0CF-4FDF-A36C-CB41EDA5251C}"/>
    <cellStyle name="Eingabe 3 3 2 46" xfId="22606" xr:uid="{E2DABE1F-4797-47D7-A0B7-7FFC7E78C5B4}"/>
    <cellStyle name="Eingabe 3 3 2 47" xfId="23340" xr:uid="{5BEAD57C-D395-441F-A02A-A6CD3F67038B}"/>
    <cellStyle name="Eingabe 3 3 2 48" xfId="22681" xr:uid="{E22DE4F7-62BA-4E23-91C4-BA17F1AACF6F}"/>
    <cellStyle name="Eingabe 3 3 2 49" xfId="24040" xr:uid="{AA633AFC-A8FD-4502-ADD8-48F7DB7637BA}"/>
    <cellStyle name="Eingabe 3 3 2 5" xfId="2763" xr:uid="{67547562-1F1E-4CCF-99DE-25F341BE011D}"/>
    <cellStyle name="Eingabe 3 3 2 50" xfId="24948" xr:uid="{AF7045E5-E7B1-42E4-8B4E-66EF68BB7F3F}"/>
    <cellStyle name="Eingabe 3 3 2 51" xfId="24232" xr:uid="{51A642B2-CFD3-4331-A53B-D58751C7FF9E}"/>
    <cellStyle name="Eingabe 3 3 2 52" xfId="25864" xr:uid="{5ED5F79B-FB2E-49CE-A5F3-88259AD9CD94}"/>
    <cellStyle name="Eingabe 3 3 2 53" xfId="25910" xr:uid="{D67E06E8-0365-4006-9623-F172540FA9E1}"/>
    <cellStyle name="Eingabe 3 3 2 54" xfId="26731" xr:uid="{A979DC11-97EF-46EF-B33A-79385CF341E1}"/>
    <cellStyle name="Eingabe 3 3 2 55" xfId="27152" xr:uid="{F9D43C0E-0DF8-4DD6-8B5E-EDA4FA11EDC2}"/>
    <cellStyle name="Eingabe 3 3 2 56" xfId="27571" xr:uid="{7029613D-3AAF-447D-9A6F-225389048611}"/>
    <cellStyle name="Eingabe 3 3 2 57" xfId="27227" xr:uid="{0AA76519-0AD6-4759-AE0D-0160D0A77D4C}"/>
    <cellStyle name="Eingabe 3 3 2 58" xfId="28698" xr:uid="{229A3E8A-EF27-4A27-B7A2-2717D85D9B94}"/>
    <cellStyle name="Eingabe 3 3 2 59" xfId="29165" xr:uid="{DC833544-E6CA-4728-8DAB-EA64EFF772CF}"/>
    <cellStyle name="Eingabe 3 3 2 6" xfId="2880" xr:uid="{9216375A-96B2-4953-9AAB-8F91EB481070}"/>
    <cellStyle name="Eingabe 3 3 2 60" xfId="28185" xr:uid="{8A7E7976-3B7F-4A07-BD34-F9FC44676A73}"/>
    <cellStyle name="Eingabe 3 3 2 61" xfId="29954" xr:uid="{3D33A73E-07C3-4790-B3DE-8EB0E0B6E654}"/>
    <cellStyle name="Eingabe 3 3 2 62" xfId="30360" xr:uid="{4A4B73DA-6250-4A10-B44D-CC7CB805701D}"/>
    <cellStyle name="Eingabe 3 3 2 63" xfId="30777" xr:uid="{9925D170-C204-44DF-A987-26E2B902CF92}"/>
    <cellStyle name="Eingabe 3 3 2 64" xfId="29585" xr:uid="{C28F22EF-D5E9-4CF6-98AD-7E5C958E2A7C}"/>
    <cellStyle name="Eingabe 3 3 2 65" xfId="31393" xr:uid="{E9CB26CE-BB8D-4241-A16F-C06344FD1EA6}"/>
    <cellStyle name="Eingabe 3 3 2 7" xfId="4176" xr:uid="{7BA527F3-1482-46A5-B77C-ECC96E562317}"/>
    <cellStyle name="Eingabe 3 3 2 8" xfId="4613" xr:uid="{D00413B3-6B83-489C-ADBC-44088C5EAFB1}"/>
    <cellStyle name="Eingabe 3 3 2 9" xfId="5059" xr:uid="{D8124410-A71E-490F-95D8-1C15521F5D9B}"/>
    <cellStyle name="Eingabe 3 3 20" xfId="10104" xr:uid="{71B4A937-BC3F-4D1C-9C69-B691029C5EB9}"/>
    <cellStyle name="Eingabe 3 3 21" xfId="10520" xr:uid="{DB4FAE5B-289F-48DA-B105-B104CCA0E12B}"/>
    <cellStyle name="Eingabe 3 3 22" xfId="10988" xr:uid="{C296E19C-EF78-48E0-8213-5B00FC99B9CD}"/>
    <cellStyle name="Eingabe 3 3 23" xfId="11241" xr:uid="{B861113A-799C-4669-8735-149F515261BA}"/>
    <cellStyle name="Eingabe 3 3 24" xfId="11996" xr:uid="{606CA317-3407-49D2-9A14-0E3A928994C2}"/>
    <cellStyle name="Eingabe 3 3 25" xfId="12469" xr:uid="{494D9424-E222-4A49-9FB6-FE203A49871B}"/>
    <cellStyle name="Eingabe 3 3 26" xfId="12903" xr:uid="{72C08854-9829-4B99-AA8B-18B1AADEEAB4}"/>
    <cellStyle name="Eingabe 3 3 27" xfId="13340" xr:uid="{743857BE-7167-4DF9-B905-295ABA513904}"/>
    <cellStyle name="Eingabe 3 3 28" xfId="13839" xr:uid="{404AC0B6-D3B5-46C6-B620-3929D5925C67}"/>
    <cellStyle name="Eingabe 3 3 29" xfId="14166" xr:uid="{ED630501-5D12-49AE-A11F-F5CB3F88E2F8}"/>
    <cellStyle name="Eingabe 3 3 3" xfId="1126" xr:uid="{D0005183-22FD-43DD-BC65-B84A26B8541C}"/>
    <cellStyle name="Eingabe 3 3 30" xfId="14690" xr:uid="{06836CA7-563C-488C-8D0C-415E6F8F21B7}"/>
    <cellStyle name="Eingabe 3 3 31" xfId="15321" xr:uid="{BBDDD999-F39A-4F1B-BF08-A2CB530B7B5C}"/>
    <cellStyle name="Eingabe 3 3 32" xfId="11659" xr:uid="{91310449-A4BC-44CE-BA07-C3680FCA4FD5}"/>
    <cellStyle name="Eingabe 3 3 33" xfId="15914" xr:uid="{4B2FF306-0556-492D-96CB-CDA054490D32}"/>
    <cellStyle name="Eingabe 3 3 34" xfId="16688" xr:uid="{FFCC55A3-60F5-4C82-AAC4-4EADFBD20098}"/>
    <cellStyle name="Eingabe 3 3 35" xfId="17223" xr:uid="{A2B0BB38-0E4E-4020-9560-4355EA69D92B}"/>
    <cellStyle name="Eingabe 3 3 36" xfId="17668" xr:uid="{CE5BA7B6-053A-4375-8B81-02C79ADC35A7}"/>
    <cellStyle name="Eingabe 3 3 37" xfId="17532" xr:uid="{6BAB9A0B-C345-4EEC-BE9E-94EC3D4C3641}"/>
    <cellStyle name="Eingabe 3 3 38" xfId="18506" xr:uid="{65708DC2-A315-4DE9-96A6-4CFDBAE39F63}"/>
    <cellStyle name="Eingabe 3 3 39" xfId="19057" xr:uid="{ED2E3FD5-03A0-434C-83A2-374CD4EF08BD}"/>
    <cellStyle name="Eingabe 3 3 4" xfId="1634" xr:uid="{6F1D6B51-A9BD-4126-897D-1C6A8A19EC4D}"/>
    <cellStyle name="Eingabe 3 3 40" xfId="19334" xr:uid="{E942D3D3-E839-4150-BCA0-B23EECCDF7F1}"/>
    <cellStyle name="Eingabe 3 3 41" xfId="20025" xr:uid="{1BE9E925-4E6F-4314-9DD4-CD1907FED932}"/>
    <cellStyle name="Eingabe 3 3 42" xfId="20576" xr:uid="{9050B071-7826-40B3-9565-7A973123E1F1}"/>
    <cellStyle name="Eingabe 3 3 43" xfId="21029" xr:uid="{2DD9BCBD-BFB1-4AF2-AADE-936776FD441A}"/>
    <cellStyle name="Eingabe 3 3 44" xfId="21356" xr:uid="{B78F01EE-E48C-4699-A1BB-848F3DB7FE8D}"/>
    <cellStyle name="Eingabe 3 3 45" xfId="21960" xr:uid="{650454E9-FD6D-42C3-9838-18AE46A140A2}"/>
    <cellStyle name="Eingabe 3 3 46" xfId="22391" xr:uid="{8C0E0D1B-B3EB-4224-868C-52934F90084E}"/>
    <cellStyle name="Eingabe 3 3 47" xfId="22825" xr:uid="{6BBC1028-19EB-4C52-9E93-45938C7B6385}"/>
    <cellStyle name="Eingabe 3 3 48" xfId="23334" xr:uid="{B4A61A39-4F3D-4CC5-A6CF-34712BB34382}"/>
    <cellStyle name="Eingabe 3 3 49" xfId="23539" xr:uid="{DCAE6A53-84C4-4BA5-B144-F4E7B1F68644}"/>
    <cellStyle name="Eingabe 3 3 5" xfId="2465" xr:uid="{1311E6E7-F8DC-4A9B-91C6-6F48D32FB2C8}"/>
    <cellStyle name="Eingabe 3 3 50" xfId="23834" xr:uid="{4033EAA1-0A21-49B0-9AF7-E8223E748A1A}"/>
    <cellStyle name="Eingabe 3 3 51" xfId="24733" xr:uid="{49B34E4D-97DC-48BB-8C47-781FEC8CB3B2}"/>
    <cellStyle name="Eingabe 3 3 52" xfId="25284" xr:uid="{E9C222F5-6A73-4C79-A9A2-969E34B765CB}"/>
    <cellStyle name="Eingabe 3 3 53" xfId="25651" xr:uid="{C33421EC-C041-4ED8-8FB0-639B9A757A42}"/>
    <cellStyle name="Eingabe 3 3 54" xfId="26129" xr:uid="{F89634AB-59CD-4429-AC54-BACFCD35973F}"/>
    <cellStyle name="Eingabe 3 3 55" xfId="26162" xr:uid="{C7C75C76-BE75-457B-8390-1054B5F73D29}"/>
    <cellStyle name="Eingabe 3 3 56" xfId="26941" xr:uid="{B822A0B1-4420-438F-8B24-CD36AE812EF5}"/>
    <cellStyle name="Eingabe 3 3 57" xfId="27360" xr:uid="{C478D749-0340-4B8D-93B7-23D538CA408C}"/>
    <cellStyle name="Eingabe 3 3 58" xfId="27417" xr:uid="{BA907004-C353-4F8D-9C2B-53168334F15F}"/>
    <cellStyle name="Eingabe 3 3 59" xfId="28483" xr:uid="{F21E1726-FC3A-4AE1-9206-85B16EDBAF7B}"/>
    <cellStyle name="Eingabe 3 3 6" xfId="3005" xr:uid="{E7F527D0-2F29-405A-A8C5-1D0046A5E93C}"/>
    <cellStyle name="Eingabe 3 3 60" xfId="28951" xr:uid="{C8CCE0D9-1E29-4D5C-A41B-6F5D803C53C0}"/>
    <cellStyle name="Eingabe 3 3 61" xfId="29412" xr:uid="{B15A67FA-F3D7-4843-B000-13A0AB605E89}"/>
    <cellStyle name="Eingabe 3 3 62" xfId="29741" xr:uid="{6A80227F-7E14-4112-842A-F51123C79521}"/>
    <cellStyle name="Eingabe 3 3 63" xfId="30149" xr:uid="{E4D1E8EF-45CF-47D2-AC4D-F4ACBEF608D3}"/>
    <cellStyle name="Eingabe 3 3 64" xfId="30563" xr:uid="{F72236F7-1794-4C8A-AF13-67E400D26942}"/>
    <cellStyle name="Eingabe 3 3 65" xfId="29238" xr:uid="{FEE003FA-BFD4-46B1-AB20-23FA90FD0464}"/>
    <cellStyle name="Eingabe 3 3 66" xfId="31187" xr:uid="{3CE90038-A6C2-4D5C-9099-5533D2E4362D}"/>
    <cellStyle name="Eingabe 3 3 7" xfId="2787" xr:uid="{76227686-98DD-46B0-A4A5-74774C39374D}"/>
    <cellStyle name="Eingabe 3 3 8" xfId="3961" xr:uid="{662225BC-F709-425B-8F8E-3999A0E2664E}"/>
    <cellStyle name="Eingabe 3 3 9" xfId="4399" xr:uid="{8A375DDB-0D01-4972-9349-B3B45E08C612}"/>
    <cellStyle name="Eingabe 3 30" xfId="17157" xr:uid="{B7BE54AA-4A99-4D58-BB3F-8CF7E1800F4A}"/>
    <cellStyle name="Eingabe 3 31" xfId="17373" xr:uid="{095585C6-E57C-4D3B-869C-393B70E3A09B}"/>
    <cellStyle name="Eingabe 3 32" xfId="17264" xr:uid="{6B4197DE-A269-40EC-87E8-6D8FD9542DA5}"/>
    <cellStyle name="Eingabe 3 33" xfId="18803" xr:uid="{88B0779C-8933-4ECC-BF9E-8BDFEA0E67D4}"/>
    <cellStyle name="Eingabe 3 34" xfId="19801" xr:uid="{638B9A2A-7899-42AC-B098-2C00FDD3E1A9}"/>
    <cellStyle name="Eingabe 3 35" xfId="20509" xr:uid="{1A795402-05DD-4B61-9E38-7A24CC0CC720}"/>
    <cellStyle name="Eingabe 3 36" xfId="22329" xr:uid="{09C05F7A-78A7-4CE5-A0C8-0DB7A9342114}"/>
    <cellStyle name="Eingabe 3 37" xfId="22088" xr:uid="{E17A0CB8-1C46-441D-8F4C-C9455DF8F48B}"/>
    <cellStyle name="Eingabe 3 38" xfId="23460" xr:uid="{B681DC92-E691-49A9-A289-87187A2843F1}"/>
    <cellStyle name="Eingabe 3 39" xfId="24511" xr:uid="{2571181F-E956-4D90-84AC-A25D33338D45}"/>
    <cellStyle name="Eingabe 3 4" xfId="534" xr:uid="{CCD1D185-4C91-44FE-977A-A626E2FD960E}"/>
    <cellStyle name="Eingabe 3 4 10" xfId="4459" xr:uid="{EAF14560-599A-4EDC-A9BE-C96E421F0CB5}"/>
    <cellStyle name="Eingabe 3 4 11" xfId="5182" xr:uid="{C6976C2A-3590-42CC-9A93-AF05C59C05E2}"/>
    <cellStyle name="Eingabe 3 4 12" xfId="5706" xr:uid="{80893E34-2146-43BA-8938-CBB76F216B39}"/>
    <cellStyle name="Eingabe 3 4 13" xfId="5741" xr:uid="{3FF37011-CE38-47F5-B9DF-0E81CA1E6FA4}"/>
    <cellStyle name="Eingabe 3 4 14" xfId="6397" xr:uid="{6CD16B67-0E1D-4A79-9E88-865AB7A34CD7}"/>
    <cellStyle name="Eingabe 3 4 15" xfId="7254" xr:uid="{2F76AC9A-376E-45EB-8496-61EB2B86044F}"/>
    <cellStyle name="Eingabe 3 4 16" xfId="7947" xr:uid="{B13E458F-73DD-4516-8F70-C385305E93CF}"/>
    <cellStyle name="Eingabe 3 4 17" xfId="7678" xr:uid="{B5687F04-F9BD-4EA9-9701-FF3602DF0931}"/>
    <cellStyle name="Eingabe 3 4 18" xfId="7798" xr:uid="{D709F241-BDFB-4187-A937-719C628F722B}"/>
    <cellStyle name="Eingabe 3 4 19" xfId="9468" xr:uid="{3C3F3C29-D201-4D0D-BE0F-FC0AF5C6D673}"/>
    <cellStyle name="Eingabe 3 4 2" xfId="749" xr:uid="{6702D5F8-BB58-4569-BC45-B859B2EA4A88}"/>
    <cellStyle name="Eingabe 3 4 2 10" xfId="5397" xr:uid="{91671315-5CEE-4590-A2BB-F6DAADDAF728}"/>
    <cellStyle name="Eingabe 3 4 2 11" xfId="4997" xr:uid="{9E75DB36-D27F-424E-9A07-2F746E1CC96B}"/>
    <cellStyle name="Eingabe 3 4 2 12" xfId="5558" xr:uid="{F2149F1C-52D8-4A14-AE7F-F51ADD0567EA}"/>
    <cellStyle name="Eingabe 3 4 2 13" xfId="6087" xr:uid="{4FC1CAD0-83C0-4CC3-ADBE-7EA574B95776}"/>
    <cellStyle name="Eingabe 3 4 2 14" xfId="7469" xr:uid="{8E4640EF-8804-4200-A24C-87B8DA06D5AF}"/>
    <cellStyle name="Eingabe 3 4 2 15" xfId="7112" xr:uid="{ABE0DEFE-7D90-4F7F-A3B5-7F21BEA5781D}"/>
    <cellStyle name="Eingabe 3 4 2 16" xfId="8355" xr:uid="{72D6A368-939B-4233-8C28-0568BDA58F70}"/>
    <cellStyle name="Eingabe 3 4 2 17" xfId="8206" xr:uid="{D68F257C-5189-4DFA-80B8-1FF380B88B53}"/>
    <cellStyle name="Eingabe 3 4 2 18" xfId="9683" xr:uid="{406FDF9F-7B9E-47D7-92AB-790DEAEB5541}"/>
    <cellStyle name="Eingabe 3 4 2 19" xfId="9198" xr:uid="{201086FB-B013-43C4-9A8B-26FEE8F97CC9}"/>
    <cellStyle name="Eingabe 3 4 2 2" xfId="1223" xr:uid="{F0DB0A5D-0628-4ABB-9105-A2106857E96E}"/>
    <cellStyle name="Eingabe 3 4 2 20" xfId="9390" xr:uid="{B812128B-C9CE-4AFB-AA0A-B254802F6BC7}"/>
    <cellStyle name="Eingabe 3 4 2 21" xfId="10853" xr:uid="{759E7B0F-8870-436A-A3E8-227B9F96C615}"/>
    <cellStyle name="Eingabe 3 4 2 22" xfId="11263" xr:uid="{D47307AA-95EC-45D8-9D60-2E0888050D29}"/>
    <cellStyle name="Eingabe 3 4 2 23" xfId="12102" xr:uid="{F8E77D04-8798-42B0-9EDB-266453F8D2E6}"/>
    <cellStyle name="Eingabe 3 4 2 24" xfId="12575" xr:uid="{99439CCE-1E30-49FE-81F6-620D7B738D37}"/>
    <cellStyle name="Eingabe 3 4 2 25" xfId="13009" xr:uid="{1203D521-730C-49E2-9AF5-63A22A502EF3}"/>
    <cellStyle name="Eingabe 3 4 2 26" xfId="13446" xr:uid="{F199E183-21F8-4E31-B635-F16235E93481}"/>
    <cellStyle name="Eingabe 3 4 2 27" xfId="11561" xr:uid="{FDA4EF0F-ADA6-43ED-81DC-FABC24ED83BB}"/>
    <cellStyle name="Eingabe 3 4 2 28" xfId="13642" xr:uid="{3D26B606-5AEE-4CDF-A252-A33F86333051}"/>
    <cellStyle name="Eingabe 3 4 2 29" xfId="13709" xr:uid="{6FF2BAAD-E4D6-4363-AAE7-D0CFB28974DF}"/>
    <cellStyle name="Eingabe 3 4 2 3" xfId="1567" xr:uid="{791E7FA5-7CE3-404A-B4AF-17A6A829C303}"/>
    <cellStyle name="Eingabe 3 4 2 30" xfId="14712" xr:uid="{2C76EC2D-DB45-4586-96A3-75F6C73017ED}"/>
    <cellStyle name="Eingabe 3 4 2 31" xfId="15618" xr:uid="{75F4458F-A3A8-4288-BE43-BAF9538F16D1}"/>
    <cellStyle name="Eingabe 3 4 2 32" xfId="15590" xr:uid="{373BB4C8-0D69-4990-B608-7F10446017B7}"/>
    <cellStyle name="Eingabe 3 4 2 33" xfId="16794" xr:uid="{53A580BD-231D-43E5-8636-AE8F4176B4AF}"/>
    <cellStyle name="Eingabe 3 4 2 34" xfId="16434" xr:uid="{B0169276-350F-4360-A4C0-4597A6F4F446}"/>
    <cellStyle name="Eingabe 3 4 2 35" xfId="16269" xr:uid="{2056AD3A-78D0-4907-AB73-B00D1025EFF5}"/>
    <cellStyle name="Eingabe 3 4 2 36" xfId="16495" xr:uid="{1503431E-0EA5-4590-8485-FFCFC3C49AF4}"/>
    <cellStyle name="Eingabe 3 4 2 37" xfId="18612" xr:uid="{CB258FFC-4BBF-4BF7-8ADA-D5F772D8D2A8}"/>
    <cellStyle name="Eingabe 3 4 2 38" xfId="18041" xr:uid="{F9F24D55-94DF-46FE-B19C-A89AC5F5C473}"/>
    <cellStyle name="Eingabe 3 4 2 39" xfId="17886" xr:uid="{A0A210E4-E316-4B23-BFCD-5CCFB53E13F5}"/>
    <cellStyle name="Eingabe 3 4 2 4" xfId="2571" xr:uid="{D162E2A2-DF51-4118-BE4E-E01570D6371D}"/>
    <cellStyle name="Eingabe 3 4 2 40" xfId="20131" xr:uid="{9E77E04A-31D7-46DD-9A57-CE41BBB5E3EF}"/>
    <cellStyle name="Eingabe 3 4 2 41" xfId="19479" xr:uid="{2B3BF785-EA06-476A-ADF6-459791E4F834}"/>
    <cellStyle name="Eingabe 3 4 2 42" xfId="20340" xr:uid="{6ADE3E55-3A7F-4275-8B17-67D251E6A624}"/>
    <cellStyle name="Eingabe 3 4 2 43" xfId="20291" xr:uid="{5C4B0640-1CC2-4A55-9904-83320B095C3D}"/>
    <cellStyle name="Eingabe 3 4 2 44" xfId="21653" xr:uid="{57C49047-5827-4AC3-88AD-DABACED68B73}"/>
    <cellStyle name="Eingabe 3 4 2 45" xfId="21742" xr:uid="{7BDD4D56-EBBD-408D-84E8-ABDCFE6520EA}"/>
    <cellStyle name="Eingabe 3 4 2 46" xfId="22401" xr:uid="{D55B8FE8-B4D7-45DA-94DB-005A7477720D}"/>
    <cellStyle name="Eingabe 3 4 2 47" xfId="22460" xr:uid="{092662EB-ED27-4F52-A00C-87E1FB6FC397}"/>
    <cellStyle name="Eingabe 3 4 2 48" xfId="23582" xr:uid="{46E89E3B-051C-479F-AFD2-27B71527E133}"/>
    <cellStyle name="Eingabe 3 4 2 49" xfId="23931" xr:uid="{ED5C79B0-128B-4D10-A602-774E6A68ABD5}"/>
    <cellStyle name="Eingabe 3 4 2 5" xfId="1840" xr:uid="{66C8891D-A276-4D97-9C32-0DF00678FF57}"/>
    <cellStyle name="Eingabe 3 4 2 50" xfId="24839" xr:uid="{4F550003-24D0-4C08-A140-15CA734D5698}"/>
    <cellStyle name="Eingabe 3 4 2 51" xfId="24312" xr:uid="{8C05FC15-4C8C-48EC-BD95-799ED5676ECE}"/>
    <cellStyle name="Eingabe 3 4 2 52" xfId="25755" xr:uid="{11BC9469-651A-464E-BB72-E19644F6D74F}"/>
    <cellStyle name="Eingabe 3 4 2 53" xfId="24995" xr:uid="{9B4AD278-6B51-4C8B-A4B2-DC2469CD01DD}"/>
    <cellStyle name="Eingabe 3 4 2 54" xfId="26179" xr:uid="{D8F187F3-1220-4FD0-A3B1-F9F36BAD568B}"/>
    <cellStyle name="Eingabe 3 4 2 55" xfId="27043" xr:uid="{460F72A5-2562-4591-A51E-EB59B0396B0B}"/>
    <cellStyle name="Eingabe 3 4 2 56" xfId="27462" xr:uid="{F3CD32FB-F66C-4C06-867A-334CC4B3082A}"/>
    <cellStyle name="Eingabe 3 4 2 57" xfId="26694" xr:uid="{93D9EFA9-1945-4738-A688-6850B1225C5D}"/>
    <cellStyle name="Eingabe 3 4 2 58" xfId="28589" xr:uid="{3FCFB836-618A-4BDA-9CDA-9EA74354C55A}"/>
    <cellStyle name="Eingabe 3 4 2 59" xfId="29056" xr:uid="{2C3438E4-BFC6-4810-BE7F-C23C0A83F3A7}"/>
    <cellStyle name="Eingabe 3 4 2 6" xfId="2893" xr:uid="{3B8F5F92-E94F-4CDD-B1CD-D724EFCA20D1}"/>
    <cellStyle name="Eingabe 3 4 2 60" xfId="28171" xr:uid="{09023CC5-C89D-41AE-A490-74DECC1A1728}"/>
    <cellStyle name="Eingabe 3 4 2 61" xfId="29845" xr:uid="{000E1984-A97D-4868-ADB9-43E16927651B}"/>
    <cellStyle name="Eingabe 3 4 2 62" xfId="30251" xr:uid="{C7CA80D2-FDB4-4967-8388-527D024A0D3E}"/>
    <cellStyle name="Eingabe 3 4 2 63" xfId="30668" xr:uid="{95D2FA90-8A0E-4DAC-8063-0AF4BB6F9108}"/>
    <cellStyle name="Eingabe 3 4 2 64" xfId="30396" xr:uid="{E9C3D114-EA79-44B1-879C-F53C61E0DE72}"/>
    <cellStyle name="Eingabe 3 4 2 65" xfId="31284" xr:uid="{5378F1F5-0F82-47E3-AB8D-B45EC10CF1CB}"/>
    <cellStyle name="Eingabe 3 4 2 7" xfId="4067" xr:uid="{A02F9BDD-011B-475C-9DB9-FE4A7B31B380}"/>
    <cellStyle name="Eingabe 3 4 2 8" xfId="4504" xr:uid="{32B25CFA-0F7C-4DC5-A057-393B0E49B438}"/>
    <cellStyle name="Eingabe 3 4 2 9" xfId="2741" xr:uid="{7B0FBA78-8658-4E86-B295-54190917D9E8}"/>
    <cellStyle name="Eingabe 3 4 20" xfId="10161" xr:uid="{80B7D361-5743-4613-B7F1-73C586194B7F}"/>
    <cellStyle name="Eingabe 3 4 21" xfId="10569" xr:uid="{41D87878-3A96-40BF-90CA-E02DCB0B9FB9}"/>
    <cellStyle name="Eingabe 3 4 22" xfId="9299" xr:uid="{6DDAC4BE-298F-47C9-AD44-47F2BF944361}"/>
    <cellStyle name="Eingabe 3 4 23" xfId="10813" xr:uid="{A2849D4F-F68F-4444-BFDB-A2B3ACF8AD65}"/>
    <cellStyle name="Eingabe 3 4 24" xfId="11887" xr:uid="{40419323-86A5-427B-B1C9-C4F5876B9973}"/>
    <cellStyle name="Eingabe 3 4 25" xfId="12360" xr:uid="{FD543278-5D0D-4DFA-B4FE-593F4EC581D2}"/>
    <cellStyle name="Eingabe 3 4 26" xfId="12794" xr:uid="{40C2B7C4-DEDD-4826-845D-B1F211D3DF63}"/>
    <cellStyle name="Eingabe 3 4 27" xfId="13231" xr:uid="{11702C35-3236-4F23-AF8D-C2AF2E44AF93}"/>
    <cellStyle name="Eingabe 3 4 28" xfId="13177" xr:uid="{5ACD181E-D590-40A2-B88D-03EAF1165B45}"/>
    <cellStyle name="Eingabe 3 4 29" xfId="13817" xr:uid="{1396846C-680B-4916-B36B-41CADAE50E5C}"/>
    <cellStyle name="Eingabe 3 4 3" xfId="1017" xr:uid="{642BA5C6-DD0D-47E3-9FF3-79546D00E7C0}"/>
    <cellStyle name="Eingabe 3 4 30" xfId="14798" xr:uid="{1E4E8552-94F8-44EC-9AD0-9029344301F5}"/>
    <cellStyle name="Eingabe 3 4 31" xfId="11794" xr:uid="{84390BA9-67F5-4E64-9F36-DE45548BDE5A}"/>
    <cellStyle name="Eingabe 3 4 32" xfId="15434" xr:uid="{F0956E39-1AF8-4B3B-B7A7-06FB205B64DF}"/>
    <cellStyle name="Eingabe 3 4 33" xfId="15942" xr:uid="{4071AF2A-AB81-4581-A916-9BA08B845D9E}"/>
    <cellStyle name="Eingabe 3 4 34" xfId="16579" xr:uid="{60C2D009-73F0-4D3C-8153-52E41B4AE774}"/>
    <cellStyle name="Eingabe 3 4 35" xfId="17280" xr:uid="{E5CBA05E-AB67-489E-AB87-9CB93BF9788A}"/>
    <cellStyle name="Eingabe 3 4 36" xfId="17723" xr:uid="{44C36BF3-3ED1-4B8A-AA64-5678867643F2}"/>
    <cellStyle name="Eingabe 3 4 37" xfId="18176" xr:uid="{943ACF7D-83DB-4A16-AABD-A2DCAA8D016B}"/>
    <cellStyle name="Eingabe 3 4 38" xfId="18397" xr:uid="{60109C9E-C323-42DC-9909-840D64C3F695}"/>
    <cellStyle name="Eingabe 3 4 39" xfId="17940" xr:uid="{4D8DF206-E907-40B3-91A9-39FEA7CC7DCE}"/>
    <cellStyle name="Eingabe 3 4 4" xfId="1700" xr:uid="{23C59E97-ABD4-4735-B769-DDF568018D46}"/>
    <cellStyle name="Eingabe 3 4 40" xfId="17860" xr:uid="{48984724-9E3E-4983-A385-16F20FE377C0}"/>
    <cellStyle name="Eingabe 3 4 41" xfId="19916" xr:uid="{61D766E0-8D85-41C4-A8E7-F0A21A1E14AA}"/>
    <cellStyle name="Eingabe 3 4 42" xfId="20631" xr:uid="{452D0846-9824-47B0-B1AB-AAC0E5632942}"/>
    <cellStyle name="Eingabe 3 4 43" xfId="21086" xr:uid="{72004DC2-12F9-4138-BA21-9A884CD4D22B}"/>
    <cellStyle name="Eingabe 3 4 44" xfId="20492" xr:uid="{725E3103-BAA2-4F34-8657-D7B1AC32B13A}"/>
    <cellStyle name="Eingabe 3 4 45" xfId="22017" xr:uid="{27A39B5A-8F6A-458A-A64D-DFAFB0AFB796}"/>
    <cellStyle name="Eingabe 3 4 46" xfId="22447" xr:uid="{C58D6D21-0711-4819-9557-346B3963AB54}"/>
    <cellStyle name="Eingabe 3 4 47" xfId="22374" xr:uid="{8C63DC98-8626-4EB7-B3F8-67CC2E69C22E}"/>
    <cellStyle name="Eingabe 3 4 48" xfId="22795" xr:uid="{5C5C76BC-0DBB-450D-96F3-E2E47E26A9B2}"/>
    <cellStyle name="Eingabe 3 4 49" xfId="23185" xr:uid="{95D78C95-A4C7-4AE1-8B36-40235CDD2B59}"/>
    <cellStyle name="Eingabe 3 4 5" xfId="2356" xr:uid="{49E00E53-9125-43AA-9814-81E4129D0BD5}"/>
    <cellStyle name="Eingabe 3 4 50" xfId="23725" xr:uid="{4B270B91-2E27-45A0-955A-B984E535497C}"/>
    <cellStyle name="Eingabe 3 4 51" xfId="24624" xr:uid="{D205353E-7877-4E59-BF75-5AB8FF8B2EB9}"/>
    <cellStyle name="Eingabe 3 4 52" xfId="25334" xr:uid="{3EAE02D2-493E-46FD-830F-C23F0A30D350}"/>
    <cellStyle name="Eingabe 3 4 53" xfId="25542" xr:uid="{AD093C45-932B-4CAD-9D44-D59D6D3CBEA1}"/>
    <cellStyle name="Eingabe 3 4 54" xfId="24255" xr:uid="{AF31947D-ED10-45F8-8FC4-EEA7B493287C}"/>
    <cellStyle name="Eingabe 3 4 55" xfId="26032" xr:uid="{BAA51CE8-2C3A-4937-9A87-FA04833E73FE}"/>
    <cellStyle name="Eingabe 3 4 56" xfId="26832" xr:uid="{402A80A3-ED8E-4AA9-866B-BAC2DB98641F}"/>
    <cellStyle name="Eingabe 3 4 57" xfId="27251" xr:uid="{A8D0A673-A80C-4261-BE9F-E701B5080087}"/>
    <cellStyle name="Eingabe 3 4 58" xfId="27705" xr:uid="{171F9CA2-48A1-4C89-8410-C2E3AD6BE809}"/>
    <cellStyle name="Eingabe 3 4 59" xfId="28374" xr:uid="{F935303E-D5E3-4C5D-8595-0B9925D1FBA1}"/>
    <cellStyle name="Eingabe 3 4 6" xfId="2152" xr:uid="{841E7792-5485-4658-A767-5F9FEBFF1CCF}"/>
    <cellStyle name="Eingabe 3 4 60" xfId="28842" xr:uid="{CC5871F4-5C05-43C2-9230-A520E3709604}"/>
    <cellStyle name="Eingabe 3 4 61" xfId="29458" xr:uid="{4B202883-7089-47F7-9DFC-15C877C9AFBA}"/>
    <cellStyle name="Eingabe 3 4 62" xfId="29632" xr:uid="{A6098D45-21EB-4039-8C11-7FAD986595F5}"/>
    <cellStyle name="Eingabe 3 4 63" xfId="30040" xr:uid="{72B27326-8D39-4A2D-8A99-91E93B096A20}"/>
    <cellStyle name="Eingabe 3 4 64" xfId="30454" xr:uid="{FC591C53-F6CD-40D7-BDCF-98EBC92AFF27}"/>
    <cellStyle name="Eingabe 3 4 65" xfId="30965" xr:uid="{B08FB85A-6D9A-4237-AB71-117FA24D0F91}"/>
    <cellStyle name="Eingabe 3 4 66" xfId="31078" xr:uid="{DAF4E378-36A8-4F5E-BEE9-ADD83451DD2B}"/>
    <cellStyle name="Eingabe 3 4 7" xfId="3335" xr:uid="{EC1F4AC3-CF80-456B-BF2A-8F2939763F72}"/>
    <cellStyle name="Eingabe 3 4 8" xfId="3852" xr:uid="{7642E752-A8F5-4E00-9A55-F70CF43CF99E}"/>
    <cellStyle name="Eingabe 3 4 9" xfId="4290" xr:uid="{C6A17007-C4A8-496D-B9F8-1EBB9246C470}"/>
    <cellStyle name="Eingabe 3 40" xfId="25218" xr:uid="{67BCA9F6-20C4-42AA-A3FE-7B87F204B947}"/>
    <cellStyle name="Eingabe 3 41" xfId="25037" xr:uid="{BB49F1E3-49FC-4013-951E-A784F805BE58}"/>
    <cellStyle name="Eingabe 3 42" xfId="25062" xr:uid="{02349FB4-C175-4C90-A162-9A63AF1D9E18}"/>
    <cellStyle name="Eingabe 3 43" xfId="25060" xr:uid="{38AB81DB-B979-4953-8B47-93A0D9909349}"/>
    <cellStyle name="Eingabe 3 44" xfId="24539" xr:uid="{FEC9EED1-BEF3-4CC8-9CB7-6F59241C418B}"/>
    <cellStyle name="Eingabe 3 45" xfId="27672" xr:uid="{D638B384-3634-4069-BF0F-0140BB4C9277}"/>
    <cellStyle name="Eingabe 3 46" xfId="28273" xr:uid="{B4461C9E-E53D-4A7E-850E-0D835946AF3C}"/>
    <cellStyle name="Eingabe 3 47" xfId="28736" xr:uid="{AE73C48C-D453-47A4-8648-DF1B49FCBD9E}"/>
    <cellStyle name="Eingabe 3 48" xfId="28238" xr:uid="{FA25E4B8-01F6-4F68-B684-3D9F0B8D616E}"/>
    <cellStyle name="Eingabe 3 49" xfId="28335" xr:uid="{F083AF35-30E8-459E-A06A-DF5478E87C0B}"/>
    <cellStyle name="Eingabe 3 5" xfId="717" xr:uid="{2ADF658C-B8C9-4170-9705-BC1C66FE51A0}"/>
    <cellStyle name="Eingabe 3 5 10" xfId="5365" xr:uid="{B5B825E5-A728-4004-A7DB-039433DDBA17}"/>
    <cellStyle name="Eingabe 3 5 11" xfId="4867" xr:uid="{7C0140F2-E010-433A-957D-CAC0C84724A8}"/>
    <cellStyle name="Eingabe 3 5 12" xfId="5762" xr:uid="{85BB202F-7BD6-4AB1-AA02-48FECD55AD61}"/>
    <cellStyle name="Eingabe 3 5 13" xfId="6088" xr:uid="{2CCD8EC6-1AC0-4C11-B736-FA3D50278B64}"/>
    <cellStyle name="Eingabe 3 5 14" xfId="7437" xr:uid="{1AA6216D-7B52-413B-9781-75FB025A4C85}"/>
    <cellStyle name="Eingabe 3 5 15" xfId="7918" xr:uid="{8D835EAA-5DA8-4598-A724-4EDA9B2BCCEA}"/>
    <cellStyle name="Eingabe 3 5 16" xfId="8629" xr:uid="{FD60769A-839C-4BC9-AA4E-1FB77095E03D}"/>
    <cellStyle name="Eingabe 3 5 17" xfId="8746" xr:uid="{6E238CD8-9451-46D1-B707-4E213C58EB6E}"/>
    <cellStyle name="Eingabe 3 5 18" xfId="9651" xr:uid="{1840C96C-802C-4FBD-8166-D99F8E155534}"/>
    <cellStyle name="Eingabe 3 5 19" xfId="10132" xr:uid="{F708686B-DCFC-44B1-A22E-FDFC9997BD0B}"/>
    <cellStyle name="Eingabe 3 5 2" xfId="1191" xr:uid="{E45E5F34-170E-44C1-903D-226CB6BB4114}"/>
    <cellStyle name="Eingabe 3 5 20" xfId="10542" xr:uid="{F8032C14-73FF-4D96-B59D-667A230EA75C}"/>
    <cellStyle name="Eingabe 3 5 21" xfId="10224" xr:uid="{5CAC239A-6AB4-46C2-82F5-8C29B76546DC}"/>
    <cellStyle name="Eingabe 3 5 22" xfId="11083" xr:uid="{46C56441-92EB-43E8-9B03-518C8FD2CDE0}"/>
    <cellStyle name="Eingabe 3 5 23" xfId="12070" xr:uid="{0851499E-E137-401A-A525-F4BC5DC41F7B}"/>
    <cellStyle name="Eingabe 3 5 24" xfId="12543" xr:uid="{3E943C4D-A6A4-47E9-A285-8F446E70389B}"/>
    <cellStyle name="Eingabe 3 5 25" xfId="12977" xr:uid="{A24B1722-8382-4D3A-980C-54C11644382B}"/>
    <cellStyle name="Eingabe 3 5 26" xfId="13414" xr:uid="{562DBFFC-1D7C-4A8B-BDC6-26497AD1FB59}"/>
    <cellStyle name="Eingabe 3 5 27" xfId="12336" xr:uid="{9DD95921-3261-4936-B898-2408DF894090}"/>
    <cellStyle name="Eingabe 3 5 28" xfId="13804" xr:uid="{25FC97B5-54EB-4751-877B-E64B62227F63}"/>
    <cellStyle name="Eingabe 3 5 29" xfId="14781" xr:uid="{72B648FD-3537-4603-9954-160AF0DAB746}"/>
    <cellStyle name="Eingabe 3 5 3" xfId="1496" xr:uid="{5BCA9401-CB40-4EF5-8EFE-0CCF80DACE48}"/>
    <cellStyle name="Eingabe 3 5 30" xfId="15147" xr:uid="{2121E5BC-823E-4E4B-8D03-2E2DAEC74ECE}"/>
    <cellStyle name="Eingabe 3 5 31" xfId="14641" xr:uid="{8EA959F4-7222-4E60-BCCB-4A77594E0908}"/>
    <cellStyle name="Eingabe 3 5 32" xfId="15926" xr:uid="{C855A3FD-5015-4FAB-8009-D28D022B6D45}"/>
    <cellStyle name="Eingabe 3 5 33" xfId="16762" xr:uid="{091802BB-C6EA-4A63-B19B-4CC1FBB472AA}"/>
    <cellStyle name="Eingabe 3 5 34" xfId="17251" xr:uid="{ECCAC7BD-BDB2-40B8-96F1-7EC0155CEFDA}"/>
    <cellStyle name="Eingabe 3 5 35" xfId="17695" xr:uid="{A1DC5B8C-4C59-43B2-8DD7-16786EED9266}"/>
    <cellStyle name="Eingabe 3 5 36" xfId="18025" xr:uid="{15AB9809-002E-4BB4-AFE0-0A71A0073008}"/>
    <cellStyle name="Eingabe 3 5 37" xfId="18580" xr:uid="{A9D9932F-65FC-4EE6-8AB0-53A4D96D694F}"/>
    <cellStyle name="Eingabe 3 5 38" xfId="18841" xr:uid="{EAEFE747-8D8E-48B5-B098-37BF2C456E60}"/>
    <cellStyle name="Eingabe 3 5 39" xfId="19067" xr:uid="{7258382F-5D12-4656-9F91-D8C951115F1F}"/>
    <cellStyle name="Eingabe 3 5 4" xfId="2539" xr:uid="{231F4A04-DC74-4B0C-B211-2A5CE54E8F05}"/>
    <cellStyle name="Eingabe 3 5 40" xfId="20099" xr:uid="{07A0239D-33F8-41C7-86A8-14B4AF0CBEE2}"/>
    <cellStyle name="Eingabe 3 5 41" xfId="20601" xr:uid="{EF2BBCF8-72DC-46B9-A8AC-14006839B965}"/>
    <cellStyle name="Eingabe 3 5 42" xfId="21056" xr:uid="{31DFC326-0297-48A4-BC24-96408BBC9718}"/>
    <cellStyle name="Eingabe 3 5 43" xfId="21264" xr:uid="{EDEEE30F-C128-470B-9443-E88E4EA36E0E}"/>
    <cellStyle name="Eingabe 3 5 44" xfId="21987" xr:uid="{5890211C-F24E-4601-ADE8-56675518B2B1}"/>
    <cellStyle name="Eingabe 3 5 45" xfId="22418" xr:uid="{93E867B8-D90B-47D2-802F-78150D94FA9A}"/>
    <cellStyle name="Eingabe 3 5 46" xfId="22500" xr:uid="{B1CA88B3-DDF5-4D23-96FC-159D0AD5D270}"/>
    <cellStyle name="Eingabe 3 5 47" xfId="23117" xr:uid="{2ABD811E-DB33-4DC5-8602-DB6027F0691A}"/>
    <cellStyle name="Eingabe 3 5 48" xfId="23374" xr:uid="{E58AC166-CCBE-4803-BD63-2532778D291D}"/>
    <cellStyle name="Eingabe 3 5 49" xfId="23899" xr:uid="{1746F0C5-52F6-429B-AFD1-2539590852EC}"/>
    <cellStyle name="Eingabe 3 5 5" xfId="1995" xr:uid="{0BBE6A8F-B468-4F81-B226-BD7118D29A52}"/>
    <cellStyle name="Eingabe 3 5 50" xfId="24807" xr:uid="{C5C99DB4-FD0A-460E-BD07-1D9152868520}"/>
    <cellStyle name="Eingabe 3 5 51" xfId="25310" xr:uid="{860164F1-C5D9-4ADA-995C-3F14E6C5D6C3}"/>
    <cellStyle name="Eingabe 3 5 52" xfId="25723" xr:uid="{CDE0647F-5F1B-4322-98F4-DC67C2094C7E}"/>
    <cellStyle name="Eingabe 3 5 53" xfId="25226" xr:uid="{9ED3AA09-7B6D-4A06-9822-EB32FBBAE550}"/>
    <cellStyle name="Eingabe 3 5 54" xfId="24124" xr:uid="{827A9C0E-4C58-43F2-9F93-C67B75587317}"/>
    <cellStyle name="Eingabe 3 5 55" xfId="27011" xr:uid="{E4E70DF1-5B74-436D-A5CC-1166A0590D86}"/>
    <cellStyle name="Eingabe 3 5 56" xfId="27430" xr:uid="{1EF289BD-B900-458E-9EA3-81BA2A88F375}"/>
    <cellStyle name="Eingabe 3 5 57" xfId="27797" xr:uid="{5AC2AB60-60CA-4C4C-941B-612B7B1DA667}"/>
    <cellStyle name="Eingabe 3 5 58" xfId="28557" xr:uid="{844AC79D-665F-494D-9B5F-5E5A78F54BC7}"/>
    <cellStyle name="Eingabe 3 5 59" xfId="29024" xr:uid="{FF6C0451-2F07-415E-9194-640A20A7E18F}"/>
    <cellStyle name="Eingabe 3 5 6" xfId="3727" xr:uid="{31D40574-0952-423C-8BC3-26F47A478E93}"/>
    <cellStyle name="Eingabe 3 5 60" xfId="29432" xr:uid="{156793D1-80B4-4F34-9D17-DED87BB45454}"/>
    <cellStyle name="Eingabe 3 5 61" xfId="29813" xr:uid="{9C93C5A5-F510-4336-9052-29511E03516A}"/>
    <cellStyle name="Eingabe 3 5 62" xfId="30219" xr:uid="{C8533919-659C-4CA6-BAEF-479829EB635D}"/>
    <cellStyle name="Eingabe 3 5 63" xfId="30636" xr:uid="{E0EACB8B-50AC-460F-9A0D-8260FF438663}"/>
    <cellStyle name="Eingabe 3 5 64" xfId="30865" xr:uid="{D2B037EF-02CB-457E-ADA9-8FE00F11039A}"/>
    <cellStyle name="Eingabe 3 5 65" xfId="31252" xr:uid="{B30644B9-24AE-4BBF-9561-E2498655589C}"/>
    <cellStyle name="Eingabe 3 5 7" xfId="4035" xr:uid="{C9A4F110-CDE1-4E4A-BCF8-49B9EA88B69C}"/>
    <cellStyle name="Eingabe 3 5 8" xfId="4472" xr:uid="{17EF9FB7-12E1-4CDC-8816-6906BF85C8DE}"/>
    <cellStyle name="Eingabe 3 5 9" xfId="4231" xr:uid="{006C316A-05EA-408B-8426-6CE29DF7C533}"/>
    <cellStyle name="Eingabe 3 50" xfId="30996" xr:uid="{2D66D734-489F-489F-AFC4-33DE1624A20C}"/>
    <cellStyle name="Eingabe 3 51" xfId="29250" xr:uid="{FF3AC0F0-3D50-43CC-AE92-E39ED1F4158E}"/>
    <cellStyle name="Eingabe 3 6" xfId="980" xr:uid="{99F79151-64A4-4DEC-AA5B-D6396FCE2BDE}"/>
    <cellStyle name="Eingabe 3 7" xfId="2240" xr:uid="{E280F348-CC52-404C-B122-E9EE4C1B7DF7}"/>
    <cellStyle name="Eingabe 3 8" xfId="2256" xr:uid="{4F94F226-A325-4599-9CED-0ACC565BD545}"/>
    <cellStyle name="Eingabe 3 9" xfId="3356" xr:uid="{95C858DD-CEDD-457F-BB29-5F3F4B20BB9A}"/>
    <cellStyle name="Eingabe 4" xfId="277" xr:uid="{7EC864BB-A788-4521-A163-D170778AF113}"/>
    <cellStyle name="Eingabe 4 10" xfId="3435" xr:uid="{71DB8272-FCA7-45AA-AC7E-67DF301DED26}"/>
    <cellStyle name="Eingabe 4 11" xfId="3479" xr:uid="{DF19F3D1-3C22-43E7-9FBE-F1720552629F}"/>
    <cellStyle name="Eingabe 4 12" xfId="5009" xr:uid="{64F78231-03E2-41FA-A871-5372044E803B}"/>
    <cellStyle name="Eingabe 4 13" xfId="3672" xr:uid="{6CD23A38-123F-4E35-8AA8-FD6B936CFD01}"/>
    <cellStyle name="Eingabe 4 14" xfId="6119" xr:uid="{A08102EB-D4B9-4FB0-9961-F38AE3B12F3C}"/>
    <cellStyle name="Eingabe 4 15" xfId="7007" xr:uid="{1B5FB74A-1D12-430E-9169-B52A4BC11FF3}"/>
    <cellStyle name="Eingabe 4 16" xfId="6954" xr:uid="{4558B13C-AAC6-4850-A430-D1EF951697CC}"/>
    <cellStyle name="Eingabe 4 17" xfId="7227" xr:uid="{03C0E1BC-22E6-410A-A117-C25389DB4341}"/>
    <cellStyle name="Eingabe 4 18" xfId="8584" xr:uid="{D868D41D-1259-46E7-AC64-E3109739F5E6}"/>
    <cellStyle name="Eingabe 4 19" xfId="9220" xr:uid="{B1EB79CE-F8A1-42FE-A015-2BBBC93E6463}"/>
    <cellStyle name="Eingabe 4 2" xfId="615" xr:uid="{3555DFF9-4A26-4A02-8D0E-ADE7CE7C7F2B}"/>
    <cellStyle name="Eingabe 4 2 10" xfId="4988" xr:uid="{25F7DDAE-3807-47D7-B925-7E41D9F06647}"/>
    <cellStyle name="Eingabe 4 2 11" xfId="5263" xr:uid="{C171A145-7271-49E0-86D7-DDBDCDC0ABDC}"/>
    <cellStyle name="Eingabe 4 2 12" xfId="4668" xr:uid="{8247A5D3-41A3-42E8-98C6-753199FA8C55}"/>
    <cellStyle name="Eingabe 4 2 13" xfId="5797" xr:uid="{C2ECC11B-09A8-43AC-A69C-C888777DD500}"/>
    <cellStyle name="Eingabe 4 2 14" xfId="6094" xr:uid="{D4AF80F6-FA6E-4354-B9FB-5B9860DAECEC}"/>
    <cellStyle name="Eingabe 4 2 15" xfId="7335" xr:uid="{12F35A83-317B-4C2A-B72B-73778056B96C}"/>
    <cellStyle name="Eingabe 4 2 16" xfId="7937" xr:uid="{07482D5E-A487-4FE1-BF69-130E5EAFE91C}"/>
    <cellStyle name="Eingabe 4 2 17" xfId="7924" xr:uid="{56BBB59B-F258-4E69-915D-9E73ADBC4D0C}"/>
    <cellStyle name="Eingabe 4 2 18" xfId="8505" xr:uid="{86FD3012-CD7B-4FA4-8D24-0340C27AE09D}"/>
    <cellStyle name="Eingabe 4 2 19" xfId="9549" xr:uid="{7AFEF054-65F5-4699-B40F-9D1932F6BB3B}"/>
    <cellStyle name="Eingabe 4 2 2" xfId="830" xr:uid="{A7CAA3B0-0F19-4E99-A6AE-9C5B39E05B72}"/>
    <cellStyle name="Eingabe 4 2 2 10" xfId="5478" xr:uid="{47F3AB10-54F9-4612-9F5E-6BE7FF815DDE}"/>
    <cellStyle name="Eingabe 4 2 2 11" xfId="5119" xr:uid="{FE7D6DDA-DF91-44E1-BC61-98B605C6CF9D}"/>
    <cellStyle name="Eingabe 4 2 2 12" xfId="6104" xr:uid="{A7ED58D4-33C4-4F9D-B57E-2F941ACF4C78}"/>
    <cellStyle name="Eingabe 4 2 2 13" xfId="5559" xr:uid="{E9FA0188-6A63-459F-A84E-61A2DD691689}"/>
    <cellStyle name="Eingabe 4 2 2 14" xfId="7550" xr:uid="{856B20D5-20F0-4EBF-AA3E-7BDD250A4B9F}"/>
    <cellStyle name="Eingabe 4 2 2 15" xfId="7716" xr:uid="{5987B0C6-FB62-4EBC-BEA6-A29CFA1D02F4}"/>
    <cellStyle name="Eingabe 4 2 2 16" xfId="7971" xr:uid="{5A3C50C2-CBE0-4E62-AB8A-4E286659EB06}"/>
    <cellStyle name="Eingabe 4 2 2 17" xfId="8810" xr:uid="{000E1616-84F2-4BAE-8E78-780332C0F4D5}"/>
    <cellStyle name="Eingabe 4 2 2 18" xfId="9764" xr:uid="{B0191E80-7BD7-4E68-9DDC-8F81CAF274BB}"/>
    <cellStyle name="Eingabe 4 2 2 19" xfId="9930" xr:uid="{5BBB8AB6-6EC2-4ABA-AD56-1A6B64463663}"/>
    <cellStyle name="Eingabe 4 2 2 2" xfId="1304" xr:uid="{B3676F41-9DEE-450E-8524-677C6F05ADA5}"/>
    <cellStyle name="Eingabe 4 2 2 20" xfId="10361" xr:uid="{5077C905-2E98-4AA3-A8AE-4767A92F6480}"/>
    <cellStyle name="Eingabe 4 2 2 21" xfId="10750" xr:uid="{D1A54D14-86A4-4C46-8729-F9323E6AB91C}"/>
    <cellStyle name="Eingabe 4 2 2 22" xfId="11229" xr:uid="{895A6CBC-6CF3-493B-AC9F-F6A42A62FEB5}"/>
    <cellStyle name="Eingabe 4 2 2 23" xfId="12183" xr:uid="{159911B3-31EF-4940-AFB3-B0870D37460C}"/>
    <cellStyle name="Eingabe 4 2 2 24" xfId="12656" xr:uid="{055F65F1-78F7-4B4D-AEB0-58206AB31732}"/>
    <cellStyle name="Eingabe 4 2 2 25" xfId="13090" xr:uid="{C47CF64F-FDE1-4AA1-A2E2-6F087132DE61}"/>
    <cellStyle name="Eingabe 4 2 2 26" xfId="13527" xr:uid="{7B16DD60-AA75-49E7-BA1A-AA11BF86C6C1}"/>
    <cellStyle name="Eingabe 4 2 2 27" xfId="13827" xr:uid="{84C54811-17FB-4A46-9CE2-C5ED41630C79}"/>
    <cellStyle name="Eingabe 4 2 2 28" xfId="11736" xr:uid="{FC948B51-CAAC-4CC7-9CA8-29C28B9FCF7E}"/>
    <cellStyle name="Eingabe 4 2 2 29" xfId="14582" xr:uid="{CACF7D57-B74F-4BAD-B1A4-E65C5FC12882}"/>
    <cellStyle name="Eingabe 4 2 2 3" xfId="1553" xr:uid="{8F783D9C-4E71-4B11-8189-6220C0F64256}"/>
    <cellStyle name="Eingabe 4 2 2 30" xfId="14566" xr:uid="{74D15FE1-90A0-41ED-A98D-1B72E7CD3CEA}"/>
    <cellStyle name="Eingabe 4 2 2 31" xfId="15753" xr:uid="{F958D6A2-E358-4636-A50C-541E22D599E7}"/>
    <cellStyle name="Eingabe 4 2 2 32" xfId="15818" xr:uid="{28687F91-C6F7-43F0-8344-40FCF8BA9B8F}"/>
    <cellStyle name="Eingabe 4 2 2 33" xfId="16875" xr:uid="{B05C20F1-D1C3-46DA-B0E6-F77A31D25B7C}"/>
    <cellStyle name="Eingabe 4 2 2 34" xfId="17044" xr:uid="{F2A2960E-0366-4BBC-9905-C5F90B0E7BA3}"/>
    <cellStyle name="Eingabe 4 2 2 35" xfId="17492" xr:uid="{8DC43F65-2E84-4897-B3CE-D0558E3E81FE}"/>
    <cellStyle name="Eingabe 4 2 2 36" xfId="16447" xr:uid="{8520D33B-3B8D-445A-A20A-9608F482744B}"/>
    <cellStyle name="Eingabe 4 2 2 37" xfId="18693" xr:uid="{AF1B241F-7F0C-4C47-8EBC-B0016570C10D}"/>
    <cellStyle name="Eingabe 4 2 2 38" xfId="19030" xr:uid="{8DDE2D49-8B2B-4C7B-A38F-B8B0F03AC387}"/>
    <cellStyle name="Eingabe 4 2 2 39" xfId="19285" xr:uid="{85BDD94B-11D2-40FA-A977-B264167133E4}"/>
    <cellStyle name="Eingabe 4 2 2 4" xfId="2652" xr:uid="{CFDB3BFE-EE7A-4823-A5D1-0EA5DB4B5F0B}"/>
    <cellStyle name="Eingabe 4 2 2 40" xfId="20212" xr:uid="{745B2F70-0ADD-4E2D-A837-F70FEBAE9569}"/>
    <cellStyle name="Eingabe 4 2 2 41" xfId="20396" xr:uid="{DC9F3B4D-D7C9-4F06-BB8F-40267001CBA0}"/>
    <cellStyle name="Eingabe 4 2 2 42" xfId="20849" xr:uid="{AE9BFF91-9A21-4E3C-9713-87F6000226CB}"/>
    <cellStyle name="Eingabe 4 2 2 43" xfId="21355" xr:uid="{5D7BC881-C0B1-42C4-8ACE-D65D4D366B0F}"/>
    <cellStyle name="Eingabe 4 2 2 44" xfId="21782" xr:uid="{EF6B459A-7347-4504-A07D-849E21BFD311}"/>
    <cellStyle name="Eingabe 4 2 2 45" xfId="22219" xr:uid="{AFC36A08-EB28-4E58-9C5D-9AED26AFD1ED}"/>
    <cellStyle name="Eingabe 4 2 2 46" xfId="22815" xr:uid="{9EF60F4A-1CC4-4242-8158-B3512B32070C}"/>
    <cellStyle name="Eingabe 4 2 2 47" xfId="23308" xr:uid="{040DCB48-A969-4DC0-960E-DC8261FDE45E}"/>
    <cellStyle name="Eingabe 4 2 2 48" xfId="23626" xr:uid="{44D61E0F-13AF-4C1B-A8C3-D06CB8BF41D4}"/>
    <cellStyle name="Eingabe 4 2 2 49" xfId="24012" xr:uid="{81A71A4B-EBE8-434B-93DA-EF07027370AB}"/>
    <cellStyle name="Eingabe 4 2 2 5" xfId="2993" xr:uid="{2DFD7423-5D14-4C61-9229-6CE56BE96221}"/>
    <cellStyle name="Eingabe 4 2 2 50" xfId="24920" xr:uid="{CF9271DE-31F6-47AC-BB26-B87F50742FD2}"/>
    <cellStyle name="Eingabe 4 2 2 51" xfId="25106" xr:uid="{ED158952-EC03-4AC0-BD6E-0D64EB8003FE}"/>
    <cellStyle name="Eingabe 4 2 2 52" xfId="25836" xr:uid="{8371E1FE-9722-4355-A1CA-D866B38E5630}"/>
    <cellStyle name="Eingabe 4 2 2 53" xfId="26117" xr:uid="{92DBADA8-85CE-480B-A3C9-DC152FED101F}"/>
    <cellStyle name="Eingabe 4 2 2 54" xfId="26689" xr:uid="{9156126B-0650-4E48-A9C4-0A0D4670EDD0}"/>
    <cellStyle name="Eingabe 4 2 2 55" xfId="27124" xr:uid="{56AA2E08-0034-40BE-A57B-3D592B5D889A}"/>
    <cellStyle name="Eingabe 4 2 2 56" xfId="27543" xr:uid="{65CAB974-B8A0-4F94-A182-437E760A3CAA}"/>
    <cellStyle name="Eingabe 4 2 2 57" xfId="26789" xr:uid="{B16E0162-DB72-468B-8804-DA90D94F2454}"/>
    <cellStyle name="Eingabe 4 2 2 58" xfId="28670" xr:uid="{81D9F751-CF3D-4A98-9A85-350D65E39FE2}"/>
    <cellStyle name="Eingabe 4 2 2 59" xfId="29137" xr:uid="{E8D0A0DE-5BF9-4964-98D2-C634F63148EA}"/>
    <cellStyle name="Eingabe 4 2 2 6" xfId="3555" xr:uid="{C3AF5F28-2E9D-4AB4-91B1-5FC8D624B230}"/>
    <cellStyle name="Eingabe 4 2 2 60" xfId="29260" xr:uid="{5DA5849A-946A-4ACD-81C7-42202E846171}"/>
    <cellStyle name="Eingabe 4 2 2 61" xfId="29926" xr:uid="{D77459B2-D4DC-49E1-B69F-05D3A2B1FE7D}"/>
    <cellStyle name="Eingabe 4 2 2 62" xfId="30332" xr:uid="{45DEEB4C-42B4-44B7-A596-64BEB3A4700C}"/>
    <cellStyle name="Eingabe 4 2 2 63" xfId="30749" xr:uid="{3FCAC748-8343-43EC-8612-DBF6DE026C33}"/>
    <cellStyle name="Eingabe 4 2 2 64" xfId="30831" xr:uid="{B49B5AF8-01EC-4DEC-8379-C0B27F7E6A59}"/>
    <cellStyle name="Eingabe 4 2 2 65" xfId="31365" xr:uid="{C10BE463-A0C2-4782-9C4C-D9288C9C47F8}"/>
    <cellStyle name="Eingabe 4 2 2 7" xfId="4148" xr:uid="{6A9CF7D3-377E-4487-8BF6-8D630205E9C1}"/>
    <cellStyle name="Eingabe 4 2 2 8" xfId="4585" xr:uid="{53549316-F312-4358-B459-51E350164C7C}"/>
    <cellStyle name="Eingabe 4 2 2 9" xfId="3583" xr:uid="{05FB9B00-D3CC-46DA-A9BF-5742C65EC37E}"/>
    <cellStyle name="Eingabe 4 2 20" xfId="10150" xr:uid="{E0AB4C76-0822-4D7B-9F1F-6AE26BE984D1}"/>
    <cellStyle name="Eingabe 4 2 21" xfId="10560" xr:uid="{FCE38ED5-8238-4FDF-B829-94C4B8CA21D1}"/>
    <cellStyle name="Eingabe 4 2 22" xfId="8976" xr:uid="{852FAB97-87DA-410D-B49A-EBD924DB36C2}"/>
    <cellStyle name="Eingabe 4 2 23" xfId="11041" xr:uid="{61D923C6-355E-44D7-80AC-76DF1E51EAFA}"/>
    <cellStyle name="Eingabe 4 2 24" xfId="11968" xr:uid="{2D09E158-6C7C-4847-A4B0-FA4C51E7937A}"/>
    <cellStyle name="Eingabe 4 2 25" xfId="12441" xr:uid="{853EBE04-4628-49C1-8F18-028A2C7651C1}"/>
    <cellStyle name="Eingabe 4 2 26" xfId="12875" xr:uid="{8AC1DF8C-2D29-4D8B-B710-0889EE078380}"/>
    <cellStyle name="Eingabe 4 2 27" xfId="13312" xr:uid="{7B5B2866-40AA-4AE5-8806-6A7132E4B0E6}"/>
    <cellStyle name="Eingabe 4 2 28" xfId="12023" xr:uid="{3A223971-E618-4D95-83AE-2F0BE2FFB38D}"/>
    <cellStyle name="Eingabe 4 2 29" xfId="14203" xr:uid="{EA0D3E9E-3A10-46AF-B793-8AB3E57BC6E8}"/>
    <cellStyle name="Eingabe 4 2 3" xfId="1098" xr:uid="{9A12CED4-42CE-4762-8D7F-FDF6D262E99A}"/>
    <cellStyle name="Eingabe 4 2 30" xfId="14856" xr:uid="{68FDA5F4-2F8A-494F-BDB6-52857F6E984C}"/>
    <cellStyle name="Eingabe 4 2 31" xfId="14156" xr:uid="{4AE4FCDD-949B-4D50-B4E9-7E3AA1B16834}"/>
    <cellStyle name="Eingabe 4 2 32" xfId="15435" xr:uid="{37663ABD-EDA5-4546-AA1A-FC1588B1375B}"/>
    <cellStyle name="Eingabe 4 2 33" xfId="15939" xr:uid="{CB9C9388-1D0C-4E10-8943-6C7CD9FC4BBF}"/>
    <cellStyle name="Eingabe 4 2 34" xfId="16660" xr:uid="{901CD6BA-0888-4FE5-B2AC-B8229084D477}"/>
    <cellStyle name="Eingabe 4 2 35" xfId="17270" xr:uid="{5953702B-0E50-45DC-B916-27A6BDF3514B}"/>
    <cellStyle name="Eingabe 4 2 36" xfId="17714" xr:uid="{7AE35307-DA0C-4985-854C-7526A55B1D79}"/>
    <cellStyle name="Eingabe 4 2 37" xfId="18062" xr:uid="{03B05DB2-9B00-4A3B-B8A9-1960681104CF}"/>
    <cellStyle name="Eingabe 4 2 38" xfId="18478" xr:uid="{9BEF0D16-79A5-43FA-A470-39AFF75F0A51}"/>
    <cellStyle name="Eingabe 4 2 39" xfId="18251" xr:uid="{1D7B27B3-B709-44AA-A69F-BA5314F0F326}"/>
    <cellStyle name="Eingabe 4 2 4" xfId="1657" xr:uid="{446FA318-48AF-47C4-9C1D-FEF279811E82}"/>
    <cellStyle name="Eingabe 4 2 40" xfId="18372" xr:uid="{9A6A46D4-4355-40DC-B0C8-625D7F8E10B8}"/>
    <cellStyle name="Eingabe 4 2 41" xfId="19997" xr:uid="{5C4792A4-1EBA-404E-B38C-C8BE696F8CC1}"/>
    <cellStyle name="Eingabe 4 2 42" xfId="20620" xr:uid="{50A54BE8-D03A-4116-9C12-BF2BAC80AFD7}"/>
    <cellStyle name="Eingabe 4 2 43" xfId="21075" xr:uid="{F80FD31D-CA9E-4A04-82A0-C65F75F630A2}"/>
    <cellStyle name="Eingabe 4 2 44" xfId="19418" xr:uid="{8971E29C-5719-48D7-A58A-8AAC0DE18D20}"/>
    <cellStyle name="Eingabe 4 2 45" xfId="22006" xr:uid="{4E465D09-9255-4C2F-9BB2-30AC7CB206A8}"/>
    <cellStyle name="Eingabe 4 2 46" xfId="22437" xr:uid="{E0EE10B8-F39F-4516-A29C-3DCD934E145C}"/>
    <cellStyle name="Eingabe 4 2 47" xfId="21803" xr:uid="{36814C7B-FE86-4C08-B832-492C489D9F8D}"/>
    <cellStyle name="Eingabe 4 2 48" xfId="22824" xr:uid="{883A4FEE-4D2F-4E9F-AE5A-F2527CF812E9}"/>
    <cellStyle name="Eingabe 4 2 49" xfId="23173" xr:uid="{5A221B77-2829-40BF-8D99-D592ABD890A5}"/>
    <cellStyle name="Eingabe 4 2 5" xfId="2437" xr:uid="{4C1956FC-344A-4C71-B231-10AFA754E083}"/>
    <cellStyle name="Eingabe 4 2 50" xfId="23806" xr:uid="{E697C826-E9F7-4B86-B19D-A86AB0C4E14D}"/>
    <cellStyle name="Eingabe 4 2 51" xfId="24705" xr:uid="{9DF676CF-3047-41FA-B5B5-E4112EDFAAB3}"/>
    <cellStyle name="Eingabe 4 2 52" xfId="25326" xr:uid="{6ED4D8C6-4761-462C-B947-85113F378393}"/>
    <cellStyle name="Eingabe 4 2 53" xfId="25623" xr:uid="{A87612B0-4D72-4F6F-A551-215E879D7A1D}"/>
    <cellStyle name="Eingabe 4 2 54" xfId="25135" xr:uid="{F0BA0939-3CEC-46F2-B40D-0A47D6CEECCC}"/>
    <cellStyle name="Eingabe 4 2 55" xfId="24417" xr:uid="{E2FA8D8B-3526-470D-8E06-83A8DA006C6A}"/>
    <cellStyle name="Eingabe 4 2 56" xfId="26913" xr:uid="{87247397-CF39-48BF-9D31-D2E48987F019}"/>
    <cellStyle name="Eingabe 4 2 57" xfId="27332" xr:uid="{0C2434F3-57A0-434E-8DC4-8303C42F5A8F}"/>
    <cellStyle name="Eingabe 4 2 58" xfId="27634" xr:uid="{027E6189-7A5C-4774-8EDE-54E49CEF9F7A}"/>
    <cellStyle name="Eingabe 4 2 59" xfId="28455" xr:uid="{56579B1A-1EF2-4E8A-A2FC-B334FB989128}"/>
    <cellStyle name="Eingabe 4 2 6" xfId="2123" xr:uid="{4855A67D-C225-4E10-A1B8-E76DBC51D572}"/>
    <cellStyle name="Eingabe 4 2 60" xfId="28923" xr:uid="{EF2F86B7-8939-4345-ACC7-1533D2C2D3E2}"/>
    <cellStyle name="Eingabe 4 2 61" xfId="29449" xr:uid="{1F291982-892D-48C9-B961-6974A182B7F9}"/>
    <cellStyle name="Eingabe 4 2 62" xfId="29713" xr:uid="{C35C36A2-10C2-4497-96C4-231A7963FD3F}"/>
    <cellStyle name="Eingabe 4 2 63" xfId="30121" xr:uid="{94CB8479-2B42-42D5-B1AE-E8E8781BF57E}"/>
    <cellStyle name="Eingabe 4 2 64" xfId="30535" xr:uid="{904A221F-7355-4E1A-8470-266698AAB2CB}"/>
    <cellStyle name="Eingabe 4 2 65" xfId="30427" xr:uid="{493AA3FC-A839-44A9-A016-FFB241254A94}"/>
    <cellStyle name="Eingabe 4 2 66" xfId="31159" xr:uid="{3FA42FE8-3073-453E-A496-68A2AF7A18F5}"/>
    <cellStyle name="Eingabe 4 2 7" xfId="1992" xr:uid="{A3577578-F8C6-43B9-9FFD-54B3151329E1}"/>
    <cellStyle name="Eingabe 4 2 8" xfId="3933" xr:uid="{5037DE16-7335-4D4E-B375-C6ECA54DF286}"/>
    <cellStyle name="Eingabe 4 2 9" xfId="4371" xr:uid="{E2D662F1-78E2-41A0-AAC2-0B5CA898CB30}"/>
    <cellStyle name="Eingabe 4 20" xfId="9296" xr:uid="{4A947B8D-6528-45C4-8B9C-4801F9F402F5}"/>
    <cellStyle name="Eingabe 4 21" xfId="11255" xr:uid="{749E365D-3297-4AFB-941B-79848CFE617B}"/>
    <cellStyle name="Eingabe 4 22" xfId="11633" xr:uid="{97B850E7-871D-4E1A-BAA7-966F6F33AB09}"/>
    <cellStyle name="Eingabe 4 23" xfId="12046" xr:uid="{42C28C52-0468-4285-9647-AEB274BC71BC}"/>
    <cellStyle name="Eingabe 4 24" xfId="11497" xr:uid="{CB2A9B41-1082-4E67-9DD2-3058E3C81A69}"/>
    <cellStyle name="Eingabe 4 25" xfId="12294" xr:uid="{1739EFA0-6BCB-4FE0-A9E2-609DE60C30C8}"/>
    <cellStyle name="Eingabe 4 26" xfId="12762" xr:uid="{B1197FE8-B650-4534-B916-FE717C765491}"/>
    <cellStyle name="Eingabe 4 27" xfId="13668" xr:uid="{89E110A0-18EB-4A14-8DEB-4C79E9FBEAE4}"/>
    <cellStyle name="Eingabe 4 28" xfId="15473" xr:uid="{6B930664-0CA4-4272-8F90-8A92751578C4}"/>
    <cellStyle name="Eingabe 4 29" xfId="16328" xr:uid="{299A0304-D0CA-4FCC-A346-6B5C6C693AF5}"/>
    <cellStyle name="Eingabe 4 3" xfId="542" xr:uid="{EC8B4FA0-BB84-4A2A-B523-A4DAB0D25CB4}"/>
    <cellStyle name="Eingabe 4 3 10" xfId="4728" xr:uid="{5BF5E35F-623C-4ADE-A6BD-0389456B0322}"/>
    <cellStyle name="Eingabe 4 3 11" xfId="5190" xr:uid="{126D28DF-BBBC-4080-93B6-91100270630D}"/>
    <cellStyle name="Eingabe 4 3 12" xfId="5723" xr:uid="{00CF6021-D460-4EB5-8235-929ADFCD521F}"/>
    <cellStyle name="Eingabe 4 3 13" xfId="6278" xr:uid="{6B69DC54-DFBA-4480-97FE-75067D7F5126}"/>
    <cellStyle name="Eingabe 4 3 14" xfId="4726" xr:uid="{19CB68A6-A893-415C-AC37-D4EE0233983F}"/>
    <cellStyle name="Eingabe 4 3 15" xfId="7262" xr:uid="{9A67F4E7-694F-4563-9753-BBCF1C90BE87}"/>
    <cellStyle name="Eingabe 4 3 16" xfId="7955" xr:uid="{B55F925F-F6D8-40A1-971E-5A2E30042B2A}"/>
    <cellStyle name="Eingabe 4 3 17" xfId="8593" xr:uid="{D812650A-F56D-4366-8E30-8E880BC5806C}"/>
    <cellStyle name="Eingabe 4 3 18" xfId="7756" xr:uid="{6CFFB722-5839-4E1B-8D72-1D9453F48FB1}"/>
    <cellStyle name="Eingabe 4 3 19" xfId="9476" xr:uid="{4A0AB20B-DC13-45FA-AD52-CC51C0E0469A}"/>
    <cellStyle name="Eingabe 4 3 2" xfId="757" xr:uid="{25923740-6311-4636-910B-EB3D90F0B298}"/>
    <cellStyle name="Eingabe 4 3 2 10" xfId="5405" xr:uid="{F64F3218-7390-4D95-815B-2D7F676B8545}"/>
    <cellStyle name="Eingabe 4 3 2 11" xfId="4908" xr:uid="{D6583746-2A6B-4071-8662-2AAEE69AB6AE}"/>
    <cellStyle name="Eingabe 4 3 2 12" xfId="5841" xr:uid="{176F61E5-E46F-4605-ACC4-00BF98AC5E66}"/>
    <cellStyle name="Eingabe 4 3 2 13" xfId="6492" xr:uid="{26C7A181-96C4-4F69-86BC-810FF9219258}"/>
    <cellStyle name="Eingabe 4 3 2 14" xfId="7477" xr:uid="{9CD0060F-D20A-4135-A2C9-B422FBA95770}"/>
    <cellStyle name="Eingabe 4 3 2 15" xfId="7057" xr:uid="{29886052-9E85-42FD-8E2B-6B7D6FB4433D}"/>
    <cellStyle name="Eingabe 4 3 2 16" xfId="8533" xr:uid="{9A3EBC73-1E98-4C1B-B610-FBCEA2069A29}"/>
    <cellStyle name="Eingabe 4 3 2 17" xfId="8084" xr:uid="{8A8A59A0-01C4-4394-A68F-E6B24E807DD0}"/>
    <cellStyle name="Eingabe 4 3 2 18" xfId="9691" xr:uid="{CE2193A3-4AD6-4B83-9E9A-84F0F3E6627C}"/>
    <cellStyle name="Eingabe 4 3 2 19" xfId="9270" xr:uid="{05E40FBB-7CD3-4AA8-8EF8-01DF4E805F8B}"/>
    <cellStyle name="Eingabe 4 3 2 2" xfId="1231" xr:uid="{05F3E203-5E2E-4E01-A7D2-55DBDF4CEE79}"/>
    <cellStyle name="Eingabe 4 3 2 20" xfId="10124" xr:uid="{0C7AF562-8749-443F-B587-4C2B655D727E}"/>
    <cellStyle name="Eingabe 4 3 2 21" xfId="10079" xr:uid="{6D7E88B0-7D20-4E92-8011-6B5BC6A19845}"/>
    <cellStyle name="Eingabe 4 3 2 22" xfId="11242" xr:uid="{4F15DA37-5329-4600-B746-02A4486F1A30}"/>
    <cellStyle name="Eingabe 4 3 2 23" xfId="12110" xr:uid="{52F4D1FC-C7A9-4E15-8EEB-F7FCA5643272}"/>
    <cellStyle name="Eingabe 4 3 2 24" xfId="12583" xr:uid="{0BF1E46F-5336-4258-A01F-D2480294DFCA}"/>
    <cellStyle name="Eingabe 4 3 2 25" xfId="13017" xr:uid="{7B98319E-2027-49EF-BFEE-8DF5BF91CDD8}"/>
    <cellStyle name="Eingabe 4 3 2 26" xfId="13454" xr:uid="{2DB20955-8D16-45A6-BE23-2683BD83DA53}"/>
    <cellStyle name="Eingabe 4 3 2 27" xfId="12298" xr:uid="{C1A8CFEC-A415-4304-84A5-C83426295280}"/>
    <cellStyle name="Eingabe 4 3 2 28" xfId="11713" xr:uid="{258E537B-303E-4CBD-8388-6C4A120A327D}"/>
    <cellStyle name="Eingabe 4 3 2 29" xfId="13977" xr:uid="{FDCCF03B-F9BF-4F4C-B3B6-530A8F016ACE}"/>
    <cellStyle name="Eingabe 4 3 2 3" xfId="1563" xr:uid="{D8B2C1A5-AEEC-4991-97C0-A4B88C5E475C}"/>
    <cellStyle name="Eingabe 4 3 2 30" xfId="15014" xr:uid="{EB10A82D-4549-45D6-92C1-7F3425809454}"/>
    <cellStyle name="Eingabe 4 3 2 31" xfId="15462" xr:uid="{2A8AAE27-8F05-4EA9-8BD5-FCA20F09DEDC}"/>
    <cellStyle name="Eingabe 4 3 2 32" xfId="15505" xr:uid="{EE58D020-8E97-4163-932D-35B14E9FAE78}"/>
    <cellStyle name="Eingabe 4 3 2 33" xfId="16802" xr:uid="{ED328A55-70AA-4FF7-B3BE-3806D7DE96D4}"/>
    <cellStyle name="Eingabe 4 3 2 34" xfId="16379" xr:uid="{38F4E531-AA76-4E39-A63C-30DC88B146B4}"/>
    <cellStyle name="Eingabe 4 3 2 35" xfId="17243" xr:uid="{ECDC977B-B0E4-4179-9E76-B5BBC0021596}"/>
    <cellStyle name="Eingabe 4 3 2 36" xfId="17899" xr:uid="{DCE96B94-E7DD-4369-922C-C6F9F7BF9EB7}"/>
    <cellStyle name="Eingabe 4 3 2 37" xfId="18620" xr:uid="{FA38BE91-6908-4C53-B889-7DB365304662}"/>
    <cellStyle name="Eingabe 4 3 2 38" xfId="16401" xr:uid="{F9004B78-DE1A-4695-B0FE-0CC8B52D4E53}"/>
    <cellStyle name="Eingabe 4 3 2 39" xfId="18101" xr:uid="{A5ABB2E7-3642-49C7-A699-0FFA2C1AB835}"/>
    <cellStyle name="Eingabe 4 3 2 4" xfId="2579" xr:uid="{261A5440-E78D-4C89-BBD0-393E1DF9EBE3}"/>
    <cellStyle name="Eingabe 4 3 2 40" xfId="20139" xr:uid="{41D968A8-7266-4FC9-9B3C-6E94E2CA9AB7}"/>
    <cellStyle name="Eingabe 4 3 2 41" xfId="19713" xr:uid="{213B390B-46A4-4146-99B6-6EDD4E69B99E}"/>
    <cellStyle name="Eingabe 4 3 2 42" xfId="19807" xr:uid="{40E448AE-7EBC-43D0-83EE-0C1F7B3CCB20}"/>
    <cellStyle name="Eingabe 4 3 2 43" xfId="21257" xr:uid="{F6B3E45B-71EB-48E5-8624-D73541382973}"/>
    <cellStyle name="Eingabe 4 3 2 44" xfId="21306" xr:uid="{C115BF84-5CF7-4E4E-AA9C-149AC73CE82F}"/>
    <cellStyle name="Eingabe 4 3 2 45" xfId="21942" xr:uid="{5C6DE950-FAF7-4EAA-8D04-44BEA0B51699}"/>
    <cellStyle name="Eingabe 4 3 2 46" xfId="21143" xr:uid="{11DD1DC2-295A-46AE-A5DC-AF4F8B8C1D15}"/>
    <cellStyle name="Eingabe 4 3 2 47" xfId="22665" xr:uid="{FF4FC067-A306-4293-8962-725632F36FBA}"/>
    <cellStyle name="Eingabe 4 3 2 48" xfId="23404" xr:uid="{536FB395-240B-4355-BEBB-B7005D26E38D}"/>
    <cellStyle name="Eingabe 4 3 2 49" xfId="23939" xr:uid="{D56FE75C-A9D3-4A94-ADD1-E9401641078B}"/>
    <cellStyle name="Eingabe 4 3 2 5" xfId="2180" xr:uid="{B353F893-66C2-4A78-908C-864B9BAD2548}"/>
    <cellStyle name="Eingabe 4 3 2 50" xfId="24847" xr:uid="{D1AA2FF3-C86C-4FD7-A76C-4D5D76846DD3}"/>
    <cellStyle name="Eingabe 4 3 2 51" xfId="24422" xr:uid="{BAAF968C-BA40-4514-AB3A-CDBC1A2EEB4F}"/>
    <cellStyle name="Eingabe 4 3 2 52" xfId="25763" xr:uid="{38D89DD3-A8AB-40D9-A05E-EEA64DD6B213}"/>
    <cellStyle name="Eingabe 4 3 2 53" xfId="24239" xr:uid="{5C51D846-E861-4311-8EB0-2CE0FB15E9FC}"/>
    <cellStyle name="Eingabe 4 3 2 54" xfId="26411" xr:uid="{643F364F-061B-4E6D-B18E-1FE53E459B4B}"/>
    <cellStyle name="Eingabe 4 3 2 55" xfId="27051" xr:uid="{CAA5E637-5E5F-4BEC-A866-A694FC0E5EF6}"/>
    <cellStyle name="Eingabe 4 3 2 56" xfId="27470" xr:uid="{3394AC1D-0B30-4283-9D9C-AAEE4EAA5938}"/>
    <cellStyle name="Eingabe 4 3 2 57" xfId="26707" xr:uid="{3E52E12E-93E9-4685-B75C-40D8128EBDB3}"/>
    <cellStyle name="Eingabe 4 3 2 58" xfId="28597" xr:uid="{47199812-0F6A-41BB-909F-9D1E0771A9B4}"/>
    <cellStyle name="Eingabe 4 3 2 59" xfId="29064" xr:uid="{54FB50A3-8627-46E5-9C36-8083D3413D6B}"/>
    <cellStyle name="Eingabe 4 3 2 6" xfId="3601" xr:uid="{5565DA75-CC20-4FE0-A3AA-E44A98A2FC58}"/>
    <cellStyle name="Eingabe 4 3 2 60" xfId="28005" xr:uid="{A3FC8DF1-64FF-4A0D-BF23-26873460E566}"/>
    <cellStyle name="Eingabe 4 3 2 61" xfId="29853" xr:uid="{493E8CC1-2071-42A1-86C7-2B1F18EC0DF8}"/>
    <cellStyle name="Eingabe 4 3 2 62" xfId="30259" xr:uid="{CB7C88C1-4F79-4A94-9BFF-961842690EE9}"/>
    <cellStyle name="Eingabe 4 3 2 63" xfId="30676" xr:uid="{0268C876-D5A3-4B3C-85AD-2CCF69CFE6A9}"/>
    <cellStyle name="Eingabe 4 3 2 64" xfId="29201" xr:uid="{B5B92A13-2E56-4074-8AD9-3B59413C4D4D}"/>
    <cellStyle name="Eingabe 4 3 2 65" xfId="31292" xr:uid="{A442EDA5-84B4-4A18-8ECB-1D6B1D4F6C1B}"/>
    <cellStyle name="Eingabe 4 3 2 7" xfId="4075" xr:uid="{47B28BA0-DE90-4D6F-AA6F-59E550F3EA29}"/>
    <cellStyle name="Eingabe 4 3 2 8" xfId="4512" xr:uid="{D0E6D163-C10B-48FC-B97C-C18D5A4220B3}"/>
    <cellStyle name="Eingabe 4 3 2 9" xfId="3508" xr:uid="{CEC3C7D1-A993-495D-92F7-9A11CA273AE7}"/>
    <cellStyle name="Eingabe 4 3 20" xfId="10170" xr:uid="{F337892C-31BB-4923-86E0-B120C3106F3E}"/>
    <cellStyle name="Eingabe 4 3 21" xfId="10577" xr:uid="{5031F19D-888E-404D-8658-271E9CED25C7}"/>
    <cellStyle name="Eingabe 4 3 22" xfId="9896" xr:uid="{C52A994E-B50D-4C3D-8442-68E399337F83}"/>
    <cellStyle name="Eingabe 4 3 23" xfId="11254" xr:uid="{762DD66C-0020-46DE-83EB-69DAEA8251FD}"/>
    <cellStyle name="Eingabe 4 3 24" xfId="11895" xr:uid="{E32D9078-CB0B-41AB-9574-D064A33FD51E}"/>
    <cellStyle name="Eingabe 4 3 25" xfId="12368" xr:uid="{5B76A32B-D4BE-418F-BC16-453934ABEE40}"/>
    <cellStyle name="Eingabe 4 3 26" xfId="12802" xr:uid="{89F653EE-2670-4D51-99E4-235368EA7B69}"/>
    <cellStyle name="Eingabe 4 3 27" xfId="13239" xr:uid="{061A091C-6A5C-471A-8105-A485D9B51114}"/>
    <cellStyle name="Eingabe 4 3 28" xfId="11735" xr:uid="{947A1283-F30B-47A4-85C9-A4051B02109A}"/>
    <cellStyle name="Eingabe 4 3 29" xfId="14291" xr:uid="{859BB7AE-77FC-40DE-A3B0-1CB67E49B9E2}"/>
    <cellStyle name="Eingabe 4 3 3" xfId="1025" xr:uid="{1425F744-48EF-48BC-9787-DB623C9E7D06}"/>
    <cellStyle name="Eingabe 4 3 30" xfId="14765" xr:uid="{9A4032AE-6C11-4748-BA3F-1D76810C318B}"/>
    <cellStyle name="Eingabe 4 3 31" xfId="15299" xr:uid="{55E6E015-25DC-45AD-90F9-E270CE1A65C5}"/>
    <cellStyle name="Eingabe 4 3 32" xfId="15171" xr:uid="{DB4ACE7E-FE87-4077-A16C-533611C0C066}"/>
    <cellStyle name="Eingabe 4 3 33" xfId="15945" xr:uid="{B17E4558-C798-4465-8416-1DF22A30FB18}"/>
    <cellStyle name="Eingabe 4 3 34" xfId="16587" xr:uid="{9136D4AD-0A68-4E8B-A71C-08253E1AAD74}"/>
    <cellStyle name="Eingabe 4 3 35" xfId="17290" xr:uid="{3B1B50AD-1716-4921-9955-CDF8D0179CCA}"/>
    <cellStyle name="Eingabe 4 3 36" xfId="17733" xr:uid="{13518D0C-C1A9-4F0C-AA1D-413E7A62A198}"/>
    <cellStyle name="Eingabe 4 3 37" xfId="17132" xr:uid="{545C7A0E-3394-449A-9B82-C71703770141}"/>
    <cellStyle name="Eingabe 4 3 38" xfId="18405" xr:uid="{EDE8D692-6830-47A4-804F-9B3355622566}"/>
    <cellStyle name="Eingabe 4 3 39" xfId="16483" xr:uid="{73A78524-DC10-4520-8044-533C2694D83A}"/>
    <cellStyle name="Eingabe 4 3 4" xfId="1746" xr:uid="{3C1F2D20-E33A-47F7-A258-91E9A4963DE9}"/>
    <cellStyle name="Eingabe 4 3 40" xfId="18561" xr:uid="{F39C8759-49BB-48A5-9ABF-A65014F0570E}"/>
    <cellStyle name="Eingabe 4 3 41" xfId="19924" xr:uid="{3988B514-7728-4412-A12A-AB0CF6940450}"/>
    <cellStyle name="Eingabe 4 3 42" xfId="20640" xr:uid="{7621E866-7779-4B63-BB90-0B2A66C12DEA}"/>
    <cellStyle name="Eingabe 4 3 43" xfId="21096" xr:uid="{02D2B4F5-7B81-4C60-8514-43DDDB92019B}"/>
    <cellStyle name="Eingabe 4 3 44" xfId="20582" xr:uid="{7EF26757-D7F0-4E45-A4B8-2782077FFA60}"/>
    <cellStyle name="Eingabe 4 3 45" xfId="22027" xr:uid="{EDCBCC8E-4DE1-40AC-90B7-42A1006A3217}"/>
    <cellStyle name="Eingabe 4 3 46" xfId="22457" xr:uid="{5CEFACED-0A38-40D0-9D40-5483C380C1C2}"/>
    <cellStyle name="Eingabe 4 3 47" xfId="22409" xr:uid="{54C4634F-FCC4-44A4-BD83-754DFAE06B76}"/>
    <cellStyle name="Eingabe 4 3 48" xfId="22668" xr:uid="{60AD9055-DEAE-46D4-B1E1-814F1760C43C}"/>
    <cellStyle name="Eingabe 4 3 49" xfId="23193" xr:uid="{502D61CB-7E7C-4353-B7F8-C94A9A82BE7D}"/>
    <cellStyle name="Eingabe 4 3 5" xfId="2364" xr:uid="{FBE68D9D-B73A-431A-A233-BEEFEC5A3C5B}"/>
    <cellStyle name="Eingabe 4 3 50" xfId="23733" xr:uid="{E25B6F80-4A43-400B-B6ED-A5CA71D4D30D}"/>
    <cellStyle name="Eingabe 4 3 51" xfId="24632" xr:uid="{1B2FA057-37E3-43A9-A4DE-9AC370CB5FAE}"/>
    <cellStyle name="Eingabe 4 3 52" xfId="25344" xr:uid="{6251F508-EAE4-4855-8274-ECE9006E38E4}"/>
    <cellStyle name="Eingabe 4 3 53" xfId="25550" xr:uid="{83CA477B-710A-49D3-A430-18A9A69F5906}"/>
    <cellStyle name="Eingabe 4 3 54" xfId="24544" xr:uid="{4BD2DDE7-CDB0-4357-8E12-14EB5FE7374A}"/>
    <cellStyle name="Eingabe 4 3 55" xfId="24345" xr:uid="{6184EBFC-57AE-40D6-B589-C5D6014EE845}"/>
    <cellStyle name="Eingabe 4 3 56" xfId="26840" xr:uid="{1946FFC3-5CFB-44BE-8E86-B0C65B7DC7D4}"/>
    <cellStyle name="Eingabe 4 3 57" xfId="27259" xr:uid="{C2C4CFC0-6B39-4ACE-BBD1-B58C12D3B9AC}"/>
    <cellStyle name="Eingabe 4 3 58" xfId="27760" xr:uid="{94E2664C-52BE-4A39-8024-5BF43BD64499}"/>
    <cellStyle name="Eingabe 4 3 59" xfId="28382" xr:uid="{6A3F6FA7-B689-4467-93DB-5526076EA803}"/>
    <cellStyle name="Eingabe 4 3 6" xfId="1911" xr:uid="{B997BB3C-733F-44CB-A3D3-DDEC75833839}"/>
    <cellStyle name="Eingabe 4 3 60" xfId="28850" xr:uid="{A56025AD-7247-4883-87F1-11692C3C5151}"/>
    <cellStyle name="Eingabe 4 3 61" xfId="29468" xr:uid="{04DA0A66-3DEF-4B70-AE16-8ACF31065EDD}"/>
    <cellStyle name="Eingabe 4 3 62" xfId="29640" xr:uid="{1CF93455-8892-4551-A5F2-1FC14C963795}"/>
    <cellStyle name="Eingabe 4 3 63" xfId="30048" xr:uid="{84EAA656-BAE7-4E4F-8A53-63B754465CF3}"/>
    <cellStyle name="Eingabe 4 3 64" xfId="30462" xr:uid="{B2CE5B44-44EF-422B-B072-B05950E51357}"/>
    <cellStyle name="Eingabe 4 3 65" xfId="29229" xr:uid="{0F501A5D-E488-462B-889A-7A129EC121BA}"/>
    <cellStyle name="Eingabe 4 3 66" xfId="31086" xr:uid="{808780E0-C4F1-40F9-828C-7ABF952A526D}"/>
    <cellStyle name="Eingabe 4 3 7" xfId="3069" xr:uid="{755FEE82-C16D-4E89-95EA-322971624366}"/>
    <cellStyle name="Eingabe 4 3 8" xfId="3860" xr:uid="{9292BEA3-DF5C-41F9-AFBD-E447F080DB16}"/>
    <cellStyle name="Eingabe 4 3 9" xfId="4298" xr:uid="{AB8A0E00-2B80-434A-8270-8474844644F8}"/>
    <cellStyle name="Eingabe 4 30" xfId="16273" xr:uid="{01C6E296-ECDF-4AA3-88F6-070BD0B61BB5}"/>
    <cellStyle name="Eingabe 4 31" xfId="18220" xr:uid="{E07E67A5-EF77-4A4E-9FAC-66E67103270D}"/>
    <cellStyle name="Eingabe 4 32" xfId="17989" xr:uid="{1E13DE65-0AD7-48C4-B644-F605FCBADE15}"/>
    <cellStyle name="Eingabe 4 33" xfId="18367" xr:uid="{7B37EF44-509D-4CF9-BDDF-C182C6E0F746}"/>
    <cellStyle name="Eingabe 4 34" xfId="19661" xr:uid="{54416302-D7BB-4027-8942-56EC22F29A5C}"/>
    <cellStyle name="Eingabe 4 35" xfId="19604" xr:uid="{D794F295-F0E2-4B59-BD07-3D63766A226A}"/>
    <cellStyle name="Eingabe 4 36" xfId="21875" xr:uid="{7730796E-75DA-4FCA-A147-A8818962FC3E}"/>
    <cellStyle name="Eingabe 4 37" xfId="22526" xr:uid="{57BCE8FB-513F-4610-B46E-A942BFA98A00}"/>
    <cellStyle name="Eingabe 4 38" xfId="23645" xr:uid="{13FF8F29-791F-45AF-A61F-3103B8C0B28D}"/>
    <cellStyle name="Eingabe 4 39" xfId="24381" xr:uid="{D183CC35-739F-4852-96E5-E2435497AD5B}"/>
    <cellStyle name="Eingabe 4 4" xfId="518" xr:uid="{35070198-6ED0-40B5-A81B-595AE4FD849C}"/>
    <cellStyle name="Eingabe 4 4 10" xfId="4729" xr:uid="{E11944D9-9470-4DE7-AFFD-5DFCAB3BB5F2}"/>
    <cellStyle name="Eingabe 4 4 11" xfId="5166" xr:uid="{B2F345B4-6352-4DF4-98EA-BD4BF7A9708B}"/>
    <cellStyle name="Eingabe 4 4 12" xfId="3648" xr:uid="{387BDB18-5A24-4991-8FC1-787CAB130938}"/>
    <cellStyle name="Eingabe 4 4 13" xfId="2981" xr:uid="{1913B406-0266-41AA-B915-7C2A0A72062A}"/>
    <cellStyle name="Eingabe 4 4 14" xfId="6411" xr:uid="{C334B5BC-C655-4C62-BD53-F0B80E581884}"/>
    <cellStyle name="Eingabe 4 4 15" xfId="7238" xr:uid="{436CB343-76D1-4A34-84A8-9C6EA87D493A}"/>
    <cellStyle name="Eingabe 4 4 16" xfId="7925" xr:uid="{7A31413A-B673-4547-8BE1-81E0F372CDB4}"/>
    <cellStyle name="Eingabe 4 4 17" xfId="8047" xr:uid="{AAFCA581-94BE-431A-ABF5-82423A0F9C7A}"/>
    <cellStyle name="Eingabe 4 4 18" xfId="8234" xr:uid="{A721C579-62B5-426A-BBD4-D25898D73BCA}"/>
    <cellStyle name="Eingabe 4 4 19" xfId="9452" xr:uid="{40771209-E672-4614-8472-28A852D7F231}"/>
    <cellStyle name="Eingabe 4 4 2" xfId="733" xr:uid="{A8748FCD-B7DA-4241-B902-4E52A304BF5B}"/>
    <cellStyle name="Eingabe 4 4 2 10" xfId="5381" xr:uid="{1F065FD1-746E-4D66-9E1B-84093A59453F}"/>
    <cellStyle name="Eingabe 4 4 2 11" xfId="5131" xr:uid="{DE722EA6-6C0A-4B17-B2E6-1C843DCCAEB0}"/>
    <cellStyle name="Eingabe 4 4 2 12" xfId="5867" xr:uid="{1CE53549-4263-402C-B797-CD440F7A282B}"/>
    <cellStyle name="Eingabe 4 4 2 13" xfId="6407" xr:uid="{7C25861E-02C4-44AA-89A4-D5B570443387}"/>
    <cellStyle name="Eingabe 4 4 2 14" xfId="7453" xr:uid="{EBBEA94D-8ACF-49D7-988C-B06332408E6E}"/>
    <cellStyle name="Eingabe 4 4 2 15" xfId="6782" xr:uid="{3AC76CE8-6443-405D-8D72-846BC4810E05}"/>
    <cellStyle name="Eingabe 4 4 2 16" xfId="8452" xr:uid="{1434C0EA-6E79-4E8B-A37B-83625441B8C9}"/>
    <cellStyle name="Eingabe 4 4 2 17" xfId="8768" xr:uid="{8B6A2CD3-621A-4416-BF66-9BBC29A65A55}"/>
    <cellStyle name="Eingabe 4 4 2 18" xfId="9667" xr:uid="{6FF0FBAB-6EF8-46AE-940F-F0245C0FED3C}"/>
    <cellStyle name="Eingabe 4 4 2 19" xfId="8994" xr:uid="{1038797E-9EFC-4AB6-87CD-12B5E7300B88}"/>
    <cellStyle name="Eingabe 4 4 2 2" xfId="1207" xr:uid="{7A9C4534-4677-43C1-B40A-57DE3A2718EA}"/>
    <cellStyle name="Eingabe 4 4 2 20" xfId="10015" xr:uid="{BE690946-DA12-4117-8BE2-F358AA0A98EE}"/>
    <cellStyle name="Eingabe 4 4 2 21" xfId="9984" xr:uid="{B87652B1-EB5E-421F-88A2-44B401DEE686}"/>
    <cellStyle name="Eingabe 4 4 2 22" xfId="11070" xr:uid="{43E3949E-9A2F-47FD-B17B-610B841C43E5}"/>
    <cellStyle name="Eingabe 4 4 2 23" xfId="12086" xr:uid="{F718E14D-6812-4933-9E44-DD5F883ED073}"/>
    <cellStyle name="Eingabe 4 4 2 24" xfId="12559" xr:uid="{16C3BBA1-E397-4B5B-8759-45D22994FB9A}"/>
    <cellStyle name="Eingabe 4 4 2 25" xfId="12993" xr:uid="{B5227708-80F1-4D85-8B69-CBEA32CDADFB}"/>
    <cellStyle name="Eingabe 4 4 2 26" xfId="13430" xr:uid="{FA0FD21F-D1F1-4006-A3BB-861DAE00AD5F}"/>
    <cellStyle name="Eingabe 4 4 2 27" xfId="11862" xr:uid="{7CCEFCEC-5401-4C14-8ACF-8F4FEE308235}"/>
    <cellStyle name="Eingabe 4 4 2 28" xfId="13844" xr:uid="{A78A6A7C-C35F-49E4-B709-3B27E4D293D3}"/>
    <cellStyle name="Eingabe 4 4 2 29" xfId="14188" xr:uid="{73FD5064-D91E-4B24-9970-7421F2720027}"/>
    <cellStyle name="Eingabe 4 4 2 3" xfId="1440" xr:uid="{EC59E080-E5E5-4A9B-8822-471CCC7F5A41}"/>
    <cellStyle name="Eingabe 4 4 2 30" xfId="15008" xr:uid="{84966F9F-1046-4C1E-9EFD-58B6BCC6FC03}"/>
    <cellStyle name="Eingabe 4 4 2 31" xfId="15224" xr:uid="{08C28DD5-FBBC-451F-87D8-B615E87F299A}"/>
    <cellStyle name="Eingabe 4 4 2 32" xfId="15312" xr:uid="{E66AB616-BA9C-4526-A9C6-8FC3259EAB34}"/>
    <cellStyle name="Eingabe 4 4 2 33" xfId="16778" xr:uid="{174ACF8E-404F-4299-BC8E-8A014492BF8C}"/>
    <cellStyle name="Eingabe 4 4 2 34" xfId="16091" xr:uid="{862D4321-F650-46BA-B557-5881AB502A45}"/>
    <cellStyle name="Eingabe 4 4 2 35" xfId="17131" xr:uid="{2D7B841E-EC14-4D57-83CE-C15E2A00B847}"/>
    <cellStyle name="Eingabe 4 4 2 36" xfId="17984" xr:uid="{C5EBCF29-D7E1-4FD4-91F3-A5BB757076E7}"/>
    <cellStyle name="Eingabe 4 4 2 37" xfId="18596" xr:uid="{4AF40857-048A-46E9-80A2-1C67DE0A486C}"/>
    <cellStyle name="Eingabe 4 4 2 38" xfId="18882" xr:uid="{1230AB99-1123-472C-B735-0C43A1C3EDA1}"/>
    <cellStyle name="Eingabe 4 4 2 39" xfId="18163" xr:uid="{EAE5CFF2-E895-410D-9958-CCB796B67B41}"/>
    <cellStyle name="Eingabe 4 4 2 4" xfId="2555" xr:uid="{5290FE32-2DB4-4F55-AB32-EA337D64417D}"/>
    <cellStyle name="Eingabe 4 4 2 40" xfId="20115" xr:uid="{D35564A9-9A46-43CA-B908-6D3F22AC9655}"/>
    <cellStyle name="Eingabe 4 4 2 41" xfId="19424" xr:uid="{DD406387-8B80-4004-A864-2FC37D8CAE2E}"/>
    <cellStyle name="Eingabe 4 4 2 42" xfId="19548" xr:uid="{E63713FE-496E-435C-BD5D-CF704CAC1E06}"/>
    <cellStyle name="Eingabe 4 4 2 43" xfId="21377" xr:uid="{A360A1C3-E4F2-498F-AAD3-B41E74F61201}"/>
    <cellStyle name="Eingabe 4 4 2 44" xfId="21100" xr:uid="{C9112D81-9AD8-42BF-8A3C-FF59370A9F36}"/>
    <cellStyle name="Eingabe 4 4 2 45" xfId="21866" xr:uid="{9C3F5D92-432F-46E6-B7F2-63C66FB6054E}"/>
    <cellStyle name="Eingabe 4 4 2 46" xfId="22190" xr:uid="{1B5EA439-14C5-4688-8268-67B46C787183}"/>
    <cellStyle name="Eingabe 4 4 2 47" xfId="23157" xr:uid="{188E0180-A0D1-4362-BF19-E65AE7F52045}"/>
    <cellStyle name="Eingabe 4 4 2 48" xfId="22241" xr:uid="{0D248825-1E46-437E-9BA4-AE939574624E}"/>
    <cellStyle name="Eingabe 4 4 2 49" xfId="23915" xr:uid="{5BC322CE-0A4B-4DC5-8ADB-E148CB167E2F}"/>
    <cellStyle name="Eingabe 4 4 2 5" xfId="2310" xr:uid="{BA68C170-C3A7-4A31-B4E7-C1B9FDE1899E}"/>
    <cellStyle name="Eingabe 4 4 2 50" xfId="24823" xr:uid="{421E33F3-9231-4082-ADE3-BF096F57AB90}"/>
    <cellStyle name="Eingabe 4 4 2 51" xfId="24147" xr:uid="{74F13F9D-3901-4C05-9128-29AA620E64DE}"/>
    <cellStyle name="Eingabe 4 4 2 52" xfId="25739" xr:uid="{A2F47EA3-AC48-4DA4-9B38-E6443FA4FA9D}"/>
    <cellStyle name="Eingabe 4 4 2 53" xfId="25244" xr:uid="{B372CC9B-732A-4072-AE21-518F84C50B80}"/>
    <cellStyle name="Eingabe 4 4 2 54" xfId="26360" xr:uid="{94BA0F22-F490-452E-8936-62804632CA25}"/>
    <cellStyle name="Eingabe 4 4 2 55" xfId="27027" xr:uid="{EDC88DB7-0B5E-4961-B683-08884AA4E95A}"/>
    <cellStyle name="Eingabe 4 4 2 56" xfId="27446" xr:uid="{C3ECE681-A8FB-488C-B1BC-FF6FB9C76AD1}"/>
    <cellStyle name="Eingabe 4 4 2 57" xfId="27659" xr:uid="{D7A39A37-7AA0-43D7-95D3-F2652BCAF59E}"/>
    <cellStyle name="Eingabe 4 4 2 58" xfId="28573" xr:uid="{58600DD0-D860-4253-A4BE-A804EAEF3272}"/>
    <cellStyle name="Eingabe 4 4 2 59" xfId="29040" xr:uid="{3426A54A-BC37-4FFD-AF8C-BD9BEAC518AA}"/>
    <cellStyle name="Eingabe 4 4 2 6" xfId="2882" xr:uid="{C321CB59-F633-4020-BE99-23BE8E2DBB86}"/>
    <cellStyle name="Eingabe 4 4 2 60" xfId="28331" xr:uid="{7090EB60-D976-473E-9D8F-05511166B76A}"/>
    <cellStyle name="Eingabe 4 4 2 61" xfId="29829" xr:uid="{FC6FB243-43CB-42E7-AC22-8E98CB3F27A8}"/>
    <cellStyle name="Eingabe 4 4 2 62" xfId="30235" xr:uid="{4A551C67-FCB9-4CCB-BF53-65E503FFD995}"/>
    <cellStyle name="Eingabe 4 4 2 63" xfId="30652" xr:uid="{1D69C06A-6743-40FA-A06C-9B4474C11B8F}"/>
    <cellStyle name="Eingabe 4 4 2 64" xfId="29343" xr:uid="{C6A0B51B-E44C-4A2A-9A5E-DA90E3475E42}"/>
    <cellStyle name="Eingabe 4 4 2 65" xfId="31268" xr:uid="{BEDF5DBF-3EA9-48BD-867F-0D1496B2210E}"/>
    <cellStyle name="Eingabe 4 4 2 7" xfId="4051" xr:uid="{A9E436A1-FE91-4D02-8316-ED5BFDF72383}"/>
    <cellStyle name="Eingabe 4 4 2 8" xfId="4488" xr:uid="{622A74E1-A95B-4D77-8DA2-E5A9884F9218}"/>
    <cellStyle name="Eingabe 4 4 2 9" xfId="4233" xr:uid="{0759532C-A939-4C40-BF78-529F8B2383E5}"/>
    <cellStyle name="Eingabe 4 4 20" xfId="10139" xr:uid="{80D7D792-EFF2-4F17-ABCA-A8D57D31E1F7}"/>
    <cellStyle name="Eingabe 4 4 21" xfId="10549" xr:uid="{B0B0AAF6-A87B-4DC1-ABC4-485E3CFB4F8C}"/>
    <cellStyle name="Eingabe 4 4 22" xfId="9430" xr:uid="{D460979C-6F2E-4192-AA02-1AB102E473A2}"/>
    <cellStyle name="Eingabe 4 4 23" xfId="10881" xr:uid="{87708FFE-4D85-4ADD-8BA3-E94AF4F71AB3}"/>
    <cellStyle name="Eingabe 4 4 24" xfId="11871" xr:uid="{D309F6B6-FDE4-47C8-9675-5C2C59027B6A}"/>
    <cellStyle name="Eingabe 4 4 25" xfId="12344" xr:uid="{D976E1D6-034A-4A1E-9DE2-062232552259}"/>
    <cellStyle name="Eingabe 4 4 26" xfId="12778" xr:uid="{A0C088E5-E154-4616-8526-035E88C836AC}"/>
    <cellStyle name="Eingabe 4 4 27" xfId="13215" xr:uid="{A57A52C3-7A1C-4E12-BA83-71BE7071E02B}"/>
    <cellStyle name="Eingabe 4 4 28" xfId="13176" xr:uid="{585B05C6-9E64-4553-BB85-F1A206E43211}"/>
    <cellStyle name="Eingabe 4 4 29" xfId="14286" xr:uid="{35AAF0EC-55EF-4083-82C3-243DAFF73DF7}"/>
    <cellStyle name="Eingabe 4 4 3" xfId="1001" xr:uid="{D0F46336-42F8-4AF6-940B-285891C80C9B}"/>
    <cellStyle name="Eingabe 4 4 30" xfId="14875" xr:uid="{841A09BE-CDE6-4731-931E-5908636C6A53}"/>
    <cellStyle name="Eingabe 4 4 31" xfId="15163" xr:uid="{8AC35845-3DA5-4185-A322-526BFE734DE9}"/>
    <cellStyle name="Eingabe 4 4 32" xfId="14790" xr:uid="{10136BA5-E5C5-445F-A52E-06F8884DCBF9}"/>
    <cellStyle name="Eingabe 4 4 33" xfId="15932" xr:uid="{956323F0-B648-464A-8EF3-044EB19A2A34}"/>
    <cellStyle name="Eingabe 4 4 34" xfId="16563" xr:uid="{F53C4B94-1BD9-482C-B5DC-A29D4CB3776A}"/>
    <cellStyle name="Eingabe 4 4 35" xfId="17258" xr:uid="{C7A080E8-BAD4-4097-968F-679B6D5460A7}"/>
    <cellStyle name="Eingabe 4 4 36" xfId="17702" xr:uid="{4D1762DF-DFC6-4A61-AC43-E5FC274C3C73}"/>
    <cellStyle name="Eingabe 4 4 37" xfId="17894" xr:uid="{4314659A-0617-4176-AC06-1D3B1CFE0FE8}"/>
    <cellStyle name="Eingabe 4 4 38" xfId="18381" xr:uid="{365372EA-C9B4-4897-AC8B-33A2D61B2EF4}"/>
    <cellStyle name="Eingabe 4 4 39" xfId="18276" xr:uid="{108EBFDE-13B4-4F47-8A83-879CA780FD28}"/>
    <cellStyle name="Eingabe 4 4 4" xfId="1710" xr:uid="{9F9DEFF6-5E6F-4BA6-8B7B-0239F3A53BAD}"/>
    <cellStyle name="Eingabe 4 4 40" xfId="17742" xr:uid="{38465016-9D04-4647-8769-D822F708659A}"/>
    <cellStyle name="Eingabe 4 4 41" xfId="19900" xr:uid="{2147B4F4-8EE6-498B-ABEA-5906CE58FC03}"/>
    <cellStyle name="Eingabe 4 4 42" xfId="20608" xr:uid="{D3A6C7FF-7291-4A79-B9C4-2F8A31E7C48C}"/>
    <cellStyle name="Eingabe 4 4 43" xfId="21063" xr:uid="{00D399D8-2FF3-45D7-A17E-55DF65B7519F}"/>
    <cellStyle name="Eingabe 4 4 44" xfId="21180" xr:uid="{70220C6C-9EE6-46B0-9880-DCFAFEB48552}"/>
    <cellStyle name="Eingabe 4 4 45" xfId="21994" xr:uid="{6F1860CD-5A53-454A-95E4-A20610EEC882}"/>
    <cellStyle name="Eingabe 4 4 46" xfId="22425" xr:uid="{11CFE7E8-9CDB-4303-83A8-0DAF0DC6F703}"/>
    <cellStyle name="Eingabe 4 4 47" xfId="22203" xr:uid="{5029FD67-1FD9-4883-ACBD-B2912C125FBD}"/>
    <cellStyle name="Eingabe 4 4 48" xfId="22227" xr:uid="{C51F4E5D-DE6C-4192-88C0-831E7820767A}"/>
    <cellStyle name="Eingabe 4 4 49" xfId="22894" xr:uid="{3E1CECB0-2AD3-41A7-B634-85CB6B79A628}"/>
    <cellStyle name="Eingabe 4 4 5" xfId="2340" xr:uid="{C28EAC10-E295-48D7-876C-645CB2FD927F}"/>
    <cellStyle name="Eingabe 4 4 50" xfId="23709" xr:uid="{A01ECFF3-0D0E-431B-8BD0-30270D367E43}"/>
    <cellStyle name="Eingabe 4 4 51" xfId="24608" xr:uid="{E329AAC7-26E8-4A53-A0CB-EC838F427597}"/>
    <cellStyle name="Eingabe 4 4 52" xfId="25317" xr:uid="{66BA5D55-AAD8-4393-B15E-68E6B774F0D5}"/>
    <cellStyle name="Eingabe 4 4 53" xfId="25526" xr:uid="{7D212C99-02E2-4D41-BADF-87AF57289A9E}"/>
    <cellStyle name="Eingabe 4 4 54" xfId="25487" xr:uid="{623C91ED-19AA-4C92-94A6-643820E52C81}"/>
    <cellStyle name="Eingabe 4 4 55" xfId="25963" xr:uid="{BC6B90C0-50EF-4E06-9878-4961E96C73F9}"/>
    <cellStyle name="Eingabe 4 4 56" xfId="26816" xr:uid="{11F6B2BC-88C4-4AD0-A549-D5AD0DD87C77}"/>
    <cellStyle name="Eingabe 4 4 57" xfId="27235" xr:uid="{14FFBF02-9967-478A-B452-BEC9D6CD73A2}"/>
    <cellStyle name="Eingabe 4 4 58" xfId="27813" xr:uid="{9A13E6CD-3A19-477D-A3E4-DDA218B7674D}"/>
    <cellStyle name="Eingabe 4 4 59" xfId="28358" xr:uid="{CA245A87-860A-4995-A1F5-3BFD3663A527}"/>
    <cellStyle name="Eingabe 4 4 6" xfId="2248" xr:uid="{A0A556E7-19B6-48FE-9447-F3872FAACED4}"/>
    <cellStyle name="Eingabe 4 4 60" xfId="28826" xr:uid="{747D883D-02A8-4E33-AC23-7809C36665FB}"/>
    <cellStyle name="Eingabe 4 4 61" xfId="29439" xr:uid="{568FDC6D-9F8D-42E7-B609-5F1C1132C460}"/>
    <cellStyle name="Eingabe 4 4 62" xfId="29616" xr:uid="{AB6DC529-2060-485E-AFC4-D656B049A24B}"/>
    <cellStyle name="Eingabe 4 4 63" xfId="30024" xr:uid="{8C6AB2E2-A052-4A29-A360-B6B2F725C154}"/>
    <cellStyle name="Eingabe 4 4 64" xfId="30438" xr:uid="{350F17A1-5396-46EB-ACAC-94958EDBAFD1}"/>
    <cellStyle name="Eingabe 4 4 65" xfId="30911" xr:uid="{78AA2CDA-E910-459A-80A4-12E7456FD264}"/>
    <cellStyle name="Eingabe 4 4 66" xfId="31062" xr:uid="{2F566551-AD15-45E4-92F6-3CA608FE6530}"/>
    <cellStyle name="Eingabe 4 4 7" xfId="3289" xr:uid="{B134546B-5F89-4619-BD3A-E5C0D53963F6}"/>
    <cellStyle name="Eingabe 4 4 8" xfId="3836" xr:uid="{A68CF9BD-1D13-494E-995C-B8D42C5833C3}"/>
    <cellStyle name="Eingabe 4 4 9" xfId="4274" xr:uid="{FBC4AEF0-332B-4D78-B59C-00B3DD11394D}"/>
    <cellStyle name="Eingabe 4 40" xfId="25026" xr:uid="{668D789D-AA56-416E-BA78-C0D5F0A857D8}"/>
    <cellStyle name="Eingabe 4 41" xfId="25052" xr:uid="{AD1325EA-2B43-4EEC-AF68-FD83D1862D8C}"/>
    <cellStyle name="Eingabe 4 42" xfId="24358" xr:uid="{E9687A44-A31F-4F59-BA1E-04EEC0CCCCFD}"/>
    <cellStyle name="Eingabe 4 43" xfId="25491" xr:uid="{05476491-BD5C-454D-9C9A-79801FC0BA99}"/>
    <cellStyle name="Eingabe 4 44" xfId="26602" xr:uid="{8CF5760C-93FE-4A4B-AD5E-E42AAF825A9C}"/>
    <cellStyle name="Eingabe 4 45" xfId="26799" xr:uid="{6940DD68-5648-44BB-AFB2-81FA154D2720}"/>
    <cellStyle name="Eingabe 4 46" xfId="28152" xr:uid="{4BDB8BB6-2914-47C8-9459-1BE4ABDE6CA6}"/>
    <cellStyle name="Eingabe 4 47" xfId="28013" xr:uid="{83D2534E-5C05-4322-9AB3-B7701AE3AAC6}"/>
    <cellStyle name="Eingabe 4 48" xfId="29349" xr:uid="{BC2CF399-5ED8-4B59-A6D3-7A8E4D4CD1D2}"/>
    <cellStyle name="Eingabe 4 49" xfId="28747" xr:uid="{88894E0F-4DB5-4F60-A5BD-D19440EC2985}"/>
    <cellStyle name="Eingabe 4 5" xfId="701" xr:uid="{1FB3C6B0-AFA7-4EED-8D74-73264D0E70AD}"/>
    <cellStyle name="Eingabe 4 5 10" xfId="5349" xr:uid="{73768721-F851-4047-AF1E-9BCF008E8A5B}"/>
    <cellStyle name="Eingabe 4 5 11" xfId="5832" xr:uid="{9048C687-D4F0-445B-BD4B-823F72900DF6}"/>
    <cellStyle name="Eingabe 4 5 12" xfId="5133" xr:uid="{A978B913-0464-4728-9C59-59BD72E52106}"/>
    <cellStyle name="Eingabe 4 5 13" xfId="6135" xr:uid="{B1A20847-B3F6-48CA-A493-4C30CB1294AA}"/>
    <cellStyle name="Eingabe 4 5 14" xfId="7421" xr:uid="{C2BCEFEE-7BD4-4460-A314-B530C80278BE}"/>
    <cellStyle name="Eingabe 4 5 15" xfId="7980" xr:uid="{FD43CAD5-4252-46A4-BCC0-9FD2845D63EB}"/>
    <cellStyle name="Eingabe 4 5 16" xfId="6765" xr:uid="{89F00370-F6F4-4036-84F9-672ED10B5D3F}"/>
    <cellStyle name="Eingabe 4 5 17" xfId="8700" xr:uid="{322BBD6C-89BA-4A9B-967E-F6C11C8D1E09}"/>
    <cellStyle name="Eingabe 4 5 18" xfId="9635" xr:uid="{CB260773-454E-43D7-99B4-A18A521EA6CD}"/>
    <cellStyle name="Eingabe 4 5 19" xfId="10196" xr:uid="{1D49C75D-2575-49A9-8A0E-7E0E519F198F}"/>
    <cellStyle name="Eingabe 4 5 2" xfId="1176" xr:uid="{D44CC2AE-0DB4-4E48-9892-1E5C565662EA}"/>
    <cellStyle name="Eingabe 4 5 20" xfId="10600" xr:uid="{A7BAA882-EA40-4A60-B172-D282A7E82550}"/>
    <cellStyle name="Eingabe 4 5 21" xfId="9953" xr:uid="{3B0B599F-7CC8-45CE-98DD-FE53756F91DF}"/>
    <cellStyle name="Eingabe 4 5 22" xfId="11011" xr:uid="{BDAC7527-8716-4681-8C5E-0D8516710D36}"/>
    <cellStyle name="Eingabe 4 5 23" xfId="12054" xr:uid="{06161BF1-FD46-49C0-A254-DD6AF634152A}"/>
    <cellStyle name="Eingabe 4 5 24" xfId="12527" xr:uid="{483F06AF-98CB-4678-B8C6-6593B7D6761E}"/>
    <cellStyle name="Eingabe 4 5 25" xfId="12961" xr:uid="{58493730-C398-4C2A-9111-D556FC5BF880}"/>
    <cellStyle name="Eingabe 4 5 26" xfId="13398" xr:uid="{B9FD127E-B353-4C31-A731-610A7860B19D}"/>
    <cellStyle name="Eingabe 4 5 27" xfId="12718" xr:uid="{3FB84FE5-F298-44B2-BAA8-2AF514D735A6}"/>
    <cellStyle name="Eingabe 4 5 28" xfId="14298" xr:uid="{DBDA0B6E-9460-4999-A400-B8584DAB4362}"/>
    <cellStyle name="Eingabe 4 5 29" xfId="14846" xr:uid="{3132F034-0E78-4697-ADFF-ADDEE789556E}"/>
    <cellStyle name="Eingabe 4 5 3" xfId="1374" xr:uid="{E16B3E19-DA5C-48BE-9920-08BCCDE262A9}"/>
    <cellStyle name="Eingabe 4 5 30" xfId="14635" xr:uid="{EC98450B-2E9F-4367-82D4-E774D478C54F}"/>
    <cellStyle name="Eingabe 4 5 31" xfId="15484" xr:uid="{30AFED37-178C-4E58-9505-87E6EE82E280}"/>
    <cellStyle name="Eingabe 4 5 32" xfId="15959" xr:uid="{9D391C0F-0785-4D1D-ADF9-27771C678A8D}"/>
    <cellStyle name="Eingabe 4 5 33" xfId="16746" xr:uid="{40C94E07-2610-4D44-8C31-4EA84830C008}"/>
    <cellStyle name="Eingabe 4 5 34" xfId="17317" xr:uid="{65FCDF90-8DA4-4213-91CB-094D9EDCE38A}"/>
    <cellStyle name="Eingabe 4 5 35" xfId="17760" xr:uid="{ADB5B5CC-8724-46CC-A379-43046DB2EC10}"/>
    <cellStyle name="Eingabe 4 5 36" xfId="17946" xr:uid="{BEE2FB46-5E4B-4CCD-8CFA-5CD699D13145}"/>
    <cellStyle name="Eingabe 4 5 37" xfId="18564" xr:uid="{6DFA444E-D2C9-494E-AD03-DC75E98CCE9F}"/>
    <cellStyle name="Eingabe 4 5 38" xfId="18777" xr:uid="{ADB6A1A6-789D-44FF-92C1-18E11556FBB6}"/>
    <cellStyle name="Eingabe 4 5 39" xfId="18976" xr:uid="{11CF398C-5884-4AD1-91ED-F064404FEFC5}"/>
    <cellStyle name="Eingabe 4 5 4" xfId="2523" xr:uid="{2CD5C536-4E2B-47F0-B539-855092B26D98}"/>
    <cellStyle name="Eingabe 4 5 40" xfId="20083" xr:uid="{A581AE55-2415-40A5-8773-B4162F17AB99}"/>
    <cellStyle name="Eingabe 4 5 41" xfId="20668" xr:uid="{AB9D247C-F450-4F08-AA6C-6EFC4F9C4008}"/>
    <cellStyle name="Eingabe 4 5 42" xfId="21124" xr:uid="{A7EB9B5E-4E96-42B3-8549-4577F1E5CC84}"/>
    <cellStyle name="Eingabe 4 5 43" xfId="21239" xr:uid="{C1DEC66A-B15C-4D67-8864-7F16D4D00E96}"/>
    <cellStyle name="Eingabe 4 5 44" xfId="22056" xr:uid="{E9E75937-B938-4C39-922A-EEFAB3C0335B}"/>
    <cellStyle name="Eingabe 4 5 45" xfId="22484" xr:uid="{F68681D7-D2EF-4842-BA8D-C499A84B3360}"/>
    <cellStyle name="Eingabe 4 5 46" xfId="21832" xr:uid="{A8D4E8D6-645F-47BA-BC82-C41F07F20EAB}"/>
    <cellStyle name="Eingabe 4 5 47" xfId="23048" xr:uid="{93AB88D6-D172-4F74-9F85-9231B628ECAC}"/>
    <cellStyle name="Eingabe 4 5 48" xfId="22443" xr:uid="{15EE1D1A-4E50-4C48-8108-123FBB643407}"/>
    <cellStyle name="Eingabe 4 5 49" xfId="23884" xr:uid="{ECDF2761-0BE8-4407-AC82-96490E2397F8}"/>
    <cellStyle name="Eingabe 4 5 5" xfId="1817" xr:uid="{109C429A-407C-433F-8CFC-795C8292875E}"/>
    <cellStyle name="Eingabe 4 5 50" xfId="24791" xr:uid="{BB6588AB-795D-4AF7-877C-18F81E9D269F}"/>
    <cellStyle name="Eingabe 4 5 51" xfId="25371" xr:uid="{4832D7B2-2F7F-4D84-A4B5-8A6F61C77F8A}"/>
    <cellStyle name="Eingabe 4 5 52" xfId="25707" xr:uid="{276B7754-52CA-41DD-A78C-7C836F744D9B}"/>
    <cellStyle name="Eingabe 4 5 53" xfId="24545" xr:uid="{25A72312-BC14-450B-85CA-9DA98FFA6464}"/>
    <cellStyle name="Eingabe 4 5 54" xfId="26139" xr:uid="{1DC2A987-623D-4DF1-9B88-3827C74A1770}"/>
    <cellStyle name="Eingabe 4 5 55" xfId="26995" xr:uid="{6988F765-BFD6-47C5-82D4-169954B9D5E9}"/>
    <cellStyle name="Eingabe 4 5 56" xfId="27414" xr:uid="{F512E7B7-7393-4C1A-A45B-4F5CAD6CFD1F}"/>
    <cellStyle name="Eingabe 4 5 57" xfId="27796" xr:uid="{20C0306F-E43A-44D7-95BC-7F27ED535AF7}"/>
    <cellStyle name="Eingabe 4 5 58" xfId="28541" xr:uid="{4D4EB36D-BF94-49C5-BDD6-EA9F99534BEA}"/>
    <cellStyle name="Eingabe 4 5 59" xfId="29008" xr:uid="{A53817E0-DAF9-4CA5-B8E0-5303DDA28FB0}"/>
    <cellStyle name="Eingabe 4 5 6" xfId="3625" xr:uid="{33638E2B-A89E-4628-9456-FAC1401F686E}"/>
    <cellStyle name="Eingabe 4 5 60" xfId="29493" xr:uid="{04DA30BF-30F5-41E8-83F3-1C6AB4A2FCF1}"/>
    <cellStyle name="Eingabe 4 5 61" xfId="29798" xr:uid="{C443DC61-FEF8-4494-98C7-15D34F70A984}"/>
    <cellStyle name="Eingabe 4 5 62" xfId="30204" xr:uid="{19CD23B6-3C7F-4137-9E14-F7D5B678C884}"/>
    <cellStyle name="Eingabe 4 5 63" xfId="30620" xr:uid="{538982F2-45DF-47CE-A2E1-EFE26AD3C99C}"/>
    <cellStyle name="Eingabe 4 5 64" xfId="30999" xr:uid="{46E48E66-B20F-443A-A47D-AC6309F6CE7A}"/>
    <cellStyle name="Eingabe 4 5 65" xfId="31237" xr:uid="{3DD12B5F-62EF-41C0-A955-5263B5FE5B51}"/>
    <cellStyle name="Eingabe 4 5 7" xfId="4019" xr:uid="{CC5BB9A9-0C45-41A5-83A3-6FCA94A71602}"/>
    <cellStyle name="Eingabe 4 5 8" xfId="4456" xr:uid="{DC1A24DE-963F-4671-88E7-164136D2849B}"/>
    <cellStyle name="Eingabe 4 5 9" xfId="4646" xr:uid="{53F782C2-E3FD-474D-943E-CE49936AFF19}"/>
    <cellStyle name="Eingabe 4 50" xfId="27932" xr:uid="{046E7A5F-79DA-4903-80D4-7460D82672DE}"/>
    <cellStyle name="Eingabe 4 51" xfId="30846" xr:uid="{41292BE0-C900-42AB-85F2-5DFB7AC95621}"/>
    <cellStyle name="Eingabe 4 6" xfId="953" xr:uid="{348FC9C9-2483-44F1-882D-22F640684867}"/>
    <cellStyle name="Eingabe 4 7" xfId="2101" xr:uid="{EBBE3A41-9BAF-46D7-8B0A-75D79EBAB53F}"/>
    <cellStyle name="Eingabe 4 8" xfId="1893" xr:uid="{8022ACF6-A7CA-4BC5-8242-9850EF806E9C}"/>
    <cellStyle name="Eingabe 4 9" xfId="3260" xr:uid="{1B50DC7A-9994-4106-A82F-B0FCF91D10A2}"/>
    <cellStyle name="Eingabe 5" xfId="552" xr:uid="{5810992B-E58A-4D10-90D0-103BAAFFAD27}"/>
    <cellStyle name="Eingabe 5 10" xfId="5027" xr:uid="{7A892D4B-F517-480C-A74A-C4CFAF31E60C}"/>
    <cellStyle name="Eingabe 5 11" xfId="5200" xr:uid="{F5444AE4-84A5-4E33-8F72-B3F8FC88CD36}"/>
    <cellStyle name="Eingabe 5 12" xfId="5117" xr:uid="{DB11495C-2F73-409D-9D7A-88B13BCF0C4D}"/>
    <cellStyle name="Eingabe 5 13" xfId="6141" xr:uid="{58BC8BD8-FDEC-4473-A939-DFB5F9FC9801}"/>
    <cellStyle name="Eingabe 5 14" xfId="5591" xr:uid="{CA6CFD61-D05E-4650-87CC-43C6CA4E903D}"/>
    <cellStyle name="Eingabe 5 15" xfId="7272" xr:uid="{D907AEA1-34CF-4B6D-85D4-493C6328D863}"/>
    <cellStyle name="Eingabe 5 16" xfId="7855" xr:uid="{8D2E2C14-AEF9-437C-87DE-AE471C428925}"/>
    <cellStyle name="Eingabe 5 17" xfId="8648" xr:uid="{19A24864-CEFA-4640-A5BE-999FAABBC515}"/>
    <cellStyle name="Eingabe 5 18" xfId="8877" xr:uid="{67F13E99-EB19-4DAA-8022-54B138927322}"/>
    <cellStyle name="Eingabe 5 19" xfId="9486" xr:uid="{B7E1DA4C-9591-401B-AF94-9C3365A2C90C}"/>
    <cellStyle name="Eingabe 5 2" xfId="767" xr:uid="{3FEC3DCA-626E-4E19-A099-212B989FF8B0}"/>
    <cellStyle name="Eingabe 5 2 10" xfId="5415" xr:uid="{35058794-A3FE-4C17-85C6-1B23D5DECFFE}"/>
    <cellStyle name="Eingabe 5 2 11" xfId="5921" xr:uid="{51C47446-A1B2-4FEE-87E5-9B80380D856C}"/>
    <cellStyle name="Eingabe 5 2 12" xfId="6040" xr:uid="{F6A48D12-15B5-478C-A67B-FA7DA7B52B21}"/>
    <cellStyle name="Eingabe 5 2 13" xfId="6551" xr:uid="{17F9E993-C20D-4046-B043-47E2F4CF025F}"/>
    <cellStyle name="Eingabe 5 2 14" xfId="7487" xr:uid="{4C21F6A3-9867-4B87-A637-520F4B569350}"/>
    <cellStyle name="Eingabe 5 2 15" xfId="7093" xr:uid="{05506B4A-8D90-4C0A-8D6B-430B479ED01B}"/>
    <cellStyle name="Eingabe 5 2 16" xfId="8013" xr:uid="{07F9977E-77CB-481E-AD82-158E7F2EBE54}"/>
    <cellStyle name="Eingabe 5 2 17" xfId="8789" xr:uid="{6FA94F46-82E9-4F4C-9922-B057B7AEBE86}"/>
    <cellStyle name="Eingabe 5 2 18" xfId="9701" xr:uid="{632203C6-BB9D-4617-929C-73753CD25C51}"/>
    <cellStyle name="Eingabe 5 2 19" xfId="9306" xr:uid="{2BFA8141-B05C-4F56-9094-85FE8F746A74}"/>
    <cellStyle name="Eingabe 5 2 2" xfId="1241" xr:uid="{BAC1BF07-CC86-4AC2-900D-16E718A230D8}"/>
    <cellStyle name="Eingabe 5 2 20" xfId="9960" xr:uid="{AA9533EB-B343-43AC-9594-54E5A41FB7C0}"/>
    <cellStyle name="Eingabe 5 2 21" xfId="9872" xr:uid="{3F91C0C4-3DA6-42C7-866D-6AD49EBB2A3D}"/>
    <cellStyle name="Eingabe 5 2 22" xfId="11081" xr:uid="{7C196A65-E3CA-43EF-9D07-2722710893B5}"/>
    <cellStyle name="Eingabe 5 2 23" xfId="12120" xr:uid="{F88CB068-21CD-43CB-BE03-2315F40DB3F9}"/>
    <cellStyle name="Eingabe 5 2 24" xfId="12593" xr:uid="{AAE777BD-2E5D-4D34-ABBC-78B223F90604}"/>
    <cellStyle name="Eingabe 5 2 25" xfId="13027" xr:uid="{33D5BAE5-277A-40AA-BDAD-63ED2287758E}"/>
    <cellStyle name="Eingabe 5 2 26" xfId="13464" xr:uid="{CC42C81E-EA9C-4E45-9388-F62EEF4B010C}"/>
    <cellStyle name="Eingabe 5 2 27" xfId="12313" xr:uid="{F9497F68-AD54-46BD-BCBF-0912D57B198B}"/>
    <cellStyle name="Eingabe 5 2 28" xfId="13802" xr:uid="{9634DA74-05AE-40A1-811F-121E904A2AD6}"/>
    <cellStyle name="Eingabe 5 2 29" xfId="13622" xr:uid="{BB942A81-349A-4663-880C-30B32BB17DAB}"/>
    <cellStyle name="Eingabe 5 2 3" xfId="1572" xr:uid="{1999158B-5A03-41F7-B2DA-A2C9A1B005CC}"/>
    <cellStyle name="Eingabe 5 2 30" xfId="15111" xr:uid="{41D4DAB9-A0A4-4C55-92F7-A0FB2F34862C}"/>
    <cellStyle name="Eingabe 5 2 31" xfId="15458" xr:uid="{553FA110-DD8C-4ABF-B8C9-E216D9B3F98E}"/>
    <cellStyle name="Eingabe 5 2 32" xfId="14246" xr:uid="{A7DE5D71-5104-4D07-A197-E43E5159FA46}"/>
    <cellStyle name="Eingabe 5 2 33" xfId="16812" xr:uid="{92F57F38-8066-4D08-83FC-5C6CB0AC9C16}"/>
    <cellStyle name="Eingabe 5 2 34" xfId="16415" xr:uid="{603784CC-CF8D-4171-89B2-5C86265CF835}"/>
    <cellStyle name="Eingabe 5 2 35" xfId="17073" xr:uid="{1BF9EA05-49B4-4E20-AABB-402E6670A93C}"/>
    <cellStyle name="Eingabe 5 2 36" xfId="18096" xr:uid="{3C90675B-B599-488E-B0A9-896D55094EC0}"/>
    <cellStyle name="Eingabe 5 2 37" xfId="18630" xr:uid="{CF32B823-D74F-4365-90FD-CA1A52F00EB1}"/>
    <cellStyle name="Eingabe 5 2 38" xfId="18916" xr:uid="{30E0A3A7-7508-4A6D-9C10-08E6F48E6C2B}"/>
    <cellStyle name="Eingabe 5 2 39" xfId="19099" xr:uid="{F8353B03-8992-4DAE-BB71-23E698EBE64D}"/>
    <cellStyle name="Eingabe 5 2 4" xfId="2589" xr:uid="{934E99B6-F6CB-42CB-9372-329BAF049E85}"/>
    <cellStyle name="Eingabe 5 2 40" xfId="20149" xr:uid="{5F26D285-39A9-434E-ADF3-242BFC53179D}"/>
    <cellStyle name="Eingabe 5 2 41" xfId="19750" xr:uid="{FC1E185C-A765-4AF7-BAAA-25A4F6EC2309}"/>
    <cellStyle name="Eingabe 5 2 42" xfId="19501" xr:uid="{E558773D-67C6-4E92-B82D-1E00B360CFCC}"/>
    <cellStyle name="Eingabe 5 2 43" xfId="20280" xr:uid="{7C2EA50B-C15E-4B82-A9DB-8007CBEEF1E6}"/>
    <cellStyle name="Eingabe 5 2 44" xfId="21358" xr:uid="{F9182C93-89E0-44AD-96BB-28A7032BD5CC}"/>
    <cellStyle name="Eingabe 5 2 45" xfId="21564" xr:uid="{77A5BA8E-9623-41EF-8B1E-B577D86EAC41}"/>
    <cellStyle name="Eingabe 5 2 46" xfId="22426" xr:uid="{043EA5B7-C3FD-45C3-8BEB-4D4E759BA6A3}"/>
    <cellStyle name="Eingabe 5 2 47" xfId="23197" xr:uid="{06474C10-EC3F-450E-B3EF-AEC80EA1F25F}"/>
    <cellStyle name="Eingabe 5 2 48" xfId="23435" xr:uid="{1C4678CF-6083-48F4-AB8B-F318E24AD628}"/>
    <cellStyle name="Eingabe 5 2 49" xfId="23949" xr:uid="{D4ED47B4-1BF9-4C7F-A5CA-EF7A0CA859CA}"/>
    <cellStyle name="Eingabe 5 2 5" xfId="1935" xr:uid="{E6D71D0B-F06A-452D-99E5-62CA0D038A3E}"/>
    <cellStyle name="Eingabe 5 2 50" xfId="24857" xr:uid="{E4FB95F7-3A02-4321-ACE0-705B7BE9827B}"/>
    <cellStyle name="Eingabe 5 2 51" xfId="24243" xr:uid="{3556DDAE-788F-45DE-8938-06A1D3848822}"/>
    <cellStyle name="Eingabe 5 2 52" xfId="25773" xr:uid="{7C6F6146-E595-4E6E-98DE-4C959A55D508}"/>
    <cellStyle name="Eingabe 5 2 53" xfId="25297" xr:uid="{BA84069E-9918-4BD2-9409-7AE4C9EBCFA7}"/>
    <cellStyle name="Eingabe 5 2 54" xfId="26615" xr:uid="{3523939B-B821-4747-989E-8F64ECD05CE1}"/>
    <cellStyle name="Eingabe 5 2 55" xfId="27061" xr:uid="{CE5339BB-65E3-452F-A8CA-55BE0C346334}"/>
    <cellStyle name="Eingabe 5 2 56" xfId="27480" xr:uid="{2C8F267E-634C-46C3-A814-B373150DEFC9}"/>
    <cellStyle name="Eingabe 5 2 57" xfId="26392" xr:uid="{ABD2627E-DFBF-443B-9AF1-D863CC4C33D1}"/>
    <cellStyle name="Eingabe 5 2 58" xfId="28607" xr:uid="{020D505E-B08A-473F-A452-C56524A17765}"/>
    <cellStyle name="Eingabe 5 2 59" xfId="29074" xr:uid="{E6F62A3A-740E-4471-A3D1-03B68BE5B3A4}"/>
    <cellStyle name="Eingabe 5 2 6" xfId="2314" xr:uid="{78D3B845-FBD1-4BDA-96AB-6EA1E4F12BF3}"/>
    <cellStyle name="Eingabe 5 2 60" xfId="28072" xr:uid="{B0CD4729-6AD6-4122-AA00-10D0355EF8A5}"/>
    <cellStyle name="Eingabe 5 2 61" xfId="29863" xr:uid="{99E39AAD-6F17-44C6-8AF2-6D703F320355}"/>
    <cellStyle name="Eingabe 5 2 62" xfId="30269" xr:uid="{DEBE3131-FE5C-4871-A4D5-F1133D8A0DBE}"/>
    <cellStyle name="Eingabe 5 2 63" xfId="30686" xr:uid="{8090FA81-8662-4429-976B-FF1636D145EE}"/>
    <cellStyle name="Eingabe 5 2 64" xfId="28193" xr:uid="{1226CD8B-29E0-412F-AE5E-E78BBF058B75}"/>
    <cellStyle name="Eingabe 5 2 65" xfId="31302" xr:uid="{F990FA7D-6A2C-4D35-BECD-CA5A5F1C7695}"/>
    <cellStyle name="Eingabe 5 2 7" xfId="4085" xr:uid="{1564D6D0-C951-4C0B-B3E7-5AD8D73B013B}"/>
    <cellStyle name="Eingabe 5 2 8" xfId="4522" xr:uid="{15E54CBC-6BF7-4BDA-9D70-8842F74DB4BC}"/>
    <cellStyle name="Eingabe 5 2 9" xfId="3657" xr:uid="{915EFAEF-3A4B-448D-8DB2-6771A1CD8615}"/>
    <cellStyle name="Eingabe 5 20" xfId="10068" xr:uid="{FF4F36D7-9783-4251-9A4E-1175C42E4A2D}"/>
    <cellStyle name="Eingabe 5 21" xfId="10485" xr:uid="{54F2C4C8-0708-4714-939E-B1B8E9F281EC}"/>
    <cellStyle name="Eingabe 5 22" xfId="10987" xr:uid="{7E35B9F9-DF70-4288-91B6-CA50F14150A1}"/>
    <cellStyle name="Eingabe 5 23" xfId="10978" xr:uid="{46C49C9A-9935-4F8C-93C8-A40415048676}"/>
    <cellStyle name="Eingabe 5 24" xfId="11905" xr:uid="{97526F23-8052-49BA-A133-C7E371F95137}"/>
    <cellStyle name="Eingabe 5 25" xfId="12378" xr:uid="{0C99C226-2F83-4A17-AD2C-4B30A794BD12}"/>
    <cellStyle name="Eingabe 5 26" xfId="12812" xr:uid="{FF504461-9CD7-422F-8017-90E1B7011D6D}"/>
    <cellStyle name="Eingabe 5 27" xfId="13249" xr:uid="{E4338732-D9AD-4F1F-991E-32AA64F2EC56}"/>
    <cellStyle name="Eingabe 5 28" xfId="12057" xr:uid="{BCF8DEA5-5285-4479-8F01-DCAD972F1336}"/>
    <cellStyle name="Eingabe 5 29" xfId="14241" xr:uid="{6196BEF1-6F8E-4E87-8710-F36231C1F6FF}"/>
    <cellStyle name="Eingabe 5 3" xfId="1035" xr:uid="{561E0E3F-A31E-4FB7-8090-4A2B4C6CB377}"/>
    <cellStyle name="Eingabe 5 30" xfId="14706" xr:uid="{3188445E-2938-447D-8A2C-204B83138E71}"/>
    <cellStyle name="Eingabe 5 31" xfId="14558" xr:uid="{75A59A30-93DD-4F35-8A5E-75D9E8E1B2F4}"/>
    <cellStyle name="Eingabe 5 32" xfId="14961" xr:uid="{AF95E4D2-8C66-4A86-B50B-9B264342E4CD}"/>
    <cellStyle name="Eingabe 5 33" xfId="15890" xr:uid="{BB977160-1BAE-4B0A-86FA-9991DCEFB3A3}"/>
    <cellStyle name="Eingabe 5 34" xfId="16597" xr:uid="{BE81248A-8FE2-4B83-B88C-5FED687CF9A0}"/>
    <cellStyle name="Eingabe 5 35" xfId="17185" xr:uid="{93A9F6C7-B58B-44FB-8505-2BDE623EB8F3}"/>
    <cellStyle name="Eingabe 5 36" xfId="17631" xr:uid="{FF7CA752-1B3F-4070-AC7E-74120A55D2FA}"/>
    <cellStyle name="Eingabe 5 37" xfId="17451" xr:uid="{F8EAD0C1-7BBB-4415-98F6-6ADDEE032949}"/>
    <cellStyle name="Eingabe 5 38" xfId="18415" xr:uid="{0F9E5CAA-9DA6-42F4-8B2B-C8CED06EEE55}"/>
    <cellStyle name="Eingabe 5 39" xfId="18975" xr:uid="{DBC0FC7A-6E12-4A0A-82E7-694C6910A885}"/>
    <cellStyle name="Eingabe 5 4" xfId="1411" xr:uid="{E34AE605-C262-4A80-98F5-3B6BD5027B1F}"/>
    <cellStyle name="Eingabe 5 40" xfId="19246" xr:uid="{8D86807C-2EC9-4B62-B499-27575813BD9B}"/>
    <cellStyle name="Eingabe 5 41" xfId="19934" xr:uid="{4A50E072-9781-4159-910C-8B3653F4D981}"/>
    <cellStyle name="Eingabe 5 42" xfId="20538" xr:uid="{C167E4EC-03A6-4FBC-845D-58BA0C5AAE4B}"/>
    <cellStyle name="Eingabe 5 43" xfId="20991" xr:uid="{235A9121-3512-47EC-9EE8-0E88831C3626}"/>
    <cellStyle name="Eingabe 5 44" xfId="21462" xr:uid="{D2BEBDE9-81D3-4EC3-A411-083E302BB0A3}"/>
    <cellStyle name="Eingabe 5 45" xfId="21922" xr:uid="{8EACBF08-B8A9-48A1-B4FF-39E80D775B7D}"/>
    <cellStyle name="Eingabe 5 46" xfId="22356" xr:uid="{C4280768-7E80-4612-9C73-C206BE1D9094}"/>
    <cellStyle name="Eingabe 5 47" xfId="21765" xr:uid="{2609201A-68FC-4FDC-A774-6EC6F91403BE}"/>
    <cellStyle name="Eingabe 5 48" xfId="23261" xr:uid="{6135FB67-57CC-4367-991A-49CB5561B4B0}"/>
    <cellStyle name="Eingabe 5 49" xfId="23538" xr:uid="{1A9C61AE-9B84-4FFA-975A-A9BD7DCC38C9}"/>
    <cellStyle name="Eingabe 5 5" xfId="2374" xr:uid="{262292E1-1B4A-4BD1-BF3A-886B83BE4AFF}"/>
    <cellStyle name="Eingabe 5 50" xfId="23743" xr:uid="{1CAB7344-D947-4E36-A879-85AE1AACEDA4}"/>
    <cellStyle name="Eingabe 5 51" xfId="24642" xr:uid="{8EFCBE64-61BC-4F2E-A816-BF67B14108BA}"/>
    <cellStyle name="Eingabe 5 52" xfId="25246" xr:uid="{B4AD1130-A6C9-48AA-8870-BB45F3D6CE7B}"/>
    <cellStyle name="Eingabe 5 53" xfId="25560" xr:uid="{58AFCCD8-DF8C-41B5-97BB-FF795C3D453E}"/>
    <cellStyle name="Eingabe 5 54" xfId="25182" xr:uid="{4B9D3412-C902-4C34-ACB9-ABC484450124}"/>
    <cellStyle name="Eingabe 5 55" xfId="26088" xr:uid="{C614844A-F7D8-4F9C-89A6-5CF391642C81}"/>
    <cellStyle name="Eingabe 5 56" xfId="26850" xr:uid="{E95A7D72-E621-4F60-865F-3C2136139056}"/>
    <cellStyle name="Eingabe 5 57" xfId="27269" xr:uid="{D5DE9566-C819-4563-A139-196DDDBEC899}"/>
    <cellStyle name="Eingabe 5 58" xfId="27736" xr:uid="{5A1CBDAA-BB58-4D65-A727-AB42068BAC05}"/>
    <cellStyle name="Eingabe 5 59" xfId="28392" xr:uid="{98BA9A79-FA4F-4F41-AE75-61389720D948}"/>
    <cellStyle name="Eingabe 5 6" xfId="2067" xr:uid="{E594FF1E-9CBB-493B-AD03-D630D1A18AF6}"/>
    <cellStyle name="Eingabe 5 60" xfId="28860" xr:uid="{FF35AE42-9BC2-41C1-A1D2-B0916FE54312}"/>
    <cellStyle name="Eingabe 5 61" xfId="29383" xr:uid="{D8DD71E0-DD96-41FD-9412-67EB26840D03}"/>
    <cellStyle name="Eingabe 5 62" xfId="29650" xr:uid="{F8A77FFA-0D9D-42E6-961E-7EE544F97208}"/>
    <cellStyle name="Eingabe 5 63" xfId="30058" xr:uid="{2292B7F9-9063-419D-8923-2D60B049A485}"/>
    <cellStyle name="Eingabe 5 64" xfId="30472" xr:uid="{469D9731-ACE6-42F4-ACBD-3F37174A9C9D}"/>
    <cellStyle name="Eingabe 5 65" xfId="30993" xr:uid="{443380F1-F1E7-4244-889C-9369BAFB767B}"/>
    <cellStyle name="Eingabe 5 66" xfId="31096" xr:uid="{80E065A3-1CB0-421A-8FC5-D8F656CCE32A}"/>
    <cellStyle name="Eingabe 5 7" xfId="3750" xr:uid="{C3FF8039-E388-41C6-BB97-039698EA5C32}"/>
    <cellStyle name="Eingabe 5 8" xfId="3870" xr:uid="{4A19FA68-21A0-46C0-898C-0BA21BE2C245}"/>
    <cellStyle name="Eingabe 5 9" xfId="4308" xr:uid="{65893A50-7DD4-4BA7-89B6-48E62A2085F1}"/>
    <cellStyle name="Eingabe 6" xfId="629" xr:uid="{B190DC21-AB64-42ED-A864-4F0CE325EE4C}"/>
    <cellStyle name="Eingabe 6 10" xfId="4893" xr:uid="{45A9296C-3480-4986-B2EF-8F793BA3E15F}"/>
    <cellStyle name="Eingabe 6 11" xfId="5277" xr:uid="{CB7E23E3-C3FD-4841-848A-5B2A02BF884F}"/>
    <cellStyle name="Eingabe 6 12" xfId="5049" xr:uid="{4EC62F3F-9D03-4211-93C6-8B0119889B00}"/>
    <cellStyle name="Eingabe 6 13" xfId="5054" xr:uid="{BCB71A98-6329-4F37-B597-345B4427D4B3}"/>
    <cellStyle name="Eingabe 6 14" xfId="5540" xr:uid="{0721F161-B07D-4D67-8F15-C6DD384B3337}"/>
    <cellStyle name="Eingabe 6 15" xfId="7349" xr:uid="{FE992923-7888-4E0B-9D92-6392ADA881DF}"/>
    <cellStyle name="Eingabe 6 16" xfId="7987" xr:uid="{97020031-7923-4326-959F-B9163B1CF63C}"/>
    <cellStyle name="Eingabe 6 17" xfId="8581" xr:uid="{68CB401D-29B9-4DB5-8540-E3879D9670EA}"/>
    <cellStyle name="Eingabe 6 18" xfId="8506" xr:uid="{1101F830-349D-413E-BB15-69AB98A0D23F}"/>
    <cellStyle name="Eingabe 6 19" xfId="9563" xr:uid="{AFAD1BD7-4E63-4015-8AD4-4CF403AB8D2A}"/>
    <cellStyle name="Eingabe 6 2" xfId="844" xr:uid="{5116CD5D-D055-4AE6-B8CF-9FDBF1074D0F}"/>
    <cellStyle name="Eingabe 6 2 10" xfId="5492" xr:uid="{7A90B166-266F-4077-A513-4E2DC600440F}"/>
    <cellStyle name="Eingabe 6 2 11" xfId="5802" xr:uid="{8E8EEF2A-3A06-4261-A855-C892329F436C}"/>
    <cellStyle name="Eingabe 6 2 12" xfId="5820" xr:uid="{5B8C1793-2DCA-40B4-B22D-54E85995D79A}"/>
    <cellStyle name="Eingabe 6 2 13" xfId="5970" xr:uid="{73196EEB-0F7D-42C1-8990-2FB0FD040FFB}"/>
    <cellStyle name="Eingabe 6 2 14" xfId="7564" xr:uid="{DE66068A-BB3E-4A38-B59E-0D1660CB8A5F}"/>
    <cellStyle name="Eingabe 6 2 15" xfId="6748" xr:uid="{99FF3024-4875-404A-89C2-CBCF9CA40FCA}"/>
    <cellStyle name="Eingabe 6 2 16" xfId="7070" xr:uid="{2724185B-3AF5-411F-A61F-756F544825CE}"/>
    <cellStyle name="Eingabe 6 2 17" xfId="8763" xr:uid="{ECF170BD-CE7F-4B94-B42A-DD86E4061744}"/>
    <cellStyle name="Eingabe 6 2 18" xfId="9778" xr:uid="{C890D3A4-F16E-4DE8-BD0E-4328FD036CBC}"/>
    <cellStyle name="Eingabe 6 2 19" xfId="8960" xr:uid="{9125A936-07F1-40F3-9578-A80DEDDB113A}"/>
    <cellStyle name="Eingabe 6 2 2" xfId="1318" xr:uid="{C122B110-D60B-41BC-A03B-E2C26C5F9AB1}"/>
    <cellStyle name="Eingabe 6 2 20" xfId="10108" xr:uid="{CBCAAA9D-760D-4F45-8FFB-62E7B9E4D5DF}"/>
    <cellStyle name="Eingabe 6 2 21" xfId="10388" xr:uid="{FFDA2D93-900E-45FA-A940-C9202ED0104A}"/>
    <cellStyle name="Eingabe 6 2 22" xfId="10434" xr:uid="{366521D5-5115-48DF-BA8F-121A2015E6D4}"/>
    <cellStyle name="Eingabe 6 2 23" xfId="12197" xr:uid="{C19A0370-2C39-46ED-8403-6ED05701F386}"/>
    <cellStyle name="Eingabe 6 2 24" xfId="12670" xr:uid="{0A3FD9A4-15AA-4207-B4F0-987F2A7A524E}"/>
    <cellStyle name="Eingabe 6 2 25" xfId="13104" xr:uid="{ED8B1848-43BB-478F-9FDE-E1AD72CBEB72}"/>
    <cellStyle name="Eingabe 6 2 26" xfId="13541" xr:uid="{21C4CD42-372E-434E-B727-B2099DC1530C}"/>
    <cellStyle name="Eingabe 6 2 27" xfId="13617" xr:uid="{E21B70D3-593B-48ED-A432-061D2F7111BE}"/>
    <cellStyle name="Eingabe 6 2 28" xfId="13901" xr:uid="{2A87BC6B-6B43-4D69-94C2-84F42D91D4DB}"/>
    <cellStyle name="Eingabe 6 2 29" xfId="13914" xr:uid="{32BC2C66-408D-43A3-9AC7-DAD8250C27BE}"/>
    <cellStyle name="Eingabe 6 2 3" xfId="1767" xr:uid="{FA12ABEB-9A27-48F7-8E96-30E9E772CB8C}"/>
    <cellStyle name="Eingabe 6 2 30" xfId="15236" xr:uid="{F5172082-0076-426D-A2A0-40B2910FEA91}"/>
    <cellStyle name="Eingabe 6 2 31" xfId="15587" xr:uid="{534CD008-C0CD-47FA-820F-AC7910A9156E}"/>
    <cellStyle name="Eingabe 6 2 32" xfId="15000" xr:uid="{FADF362E-A549-4007-B2DB-4FE8C25653EF}"/>
    <cellStyle name="Eingabe 6 2 33" xfId="16889" xr:uid="{A7A903BD-65BF-4E5E-BC55-23A833896DDF}"/>
    <cellStyle name="Eingabe 6 2 34" xfId="16057" xr:uid="{8E52ECC3-3FDD-42D9-8326-D677692C5236}"/>
    <cellStyle name="Eingabe 6 2 35" xfId="17227" xr:uid="{E46DA2B5-0914-46EF-9EDE-F8AF368F1EA7}"/>
    <cellStyle name="Eingabe 6 2 36" xfId="17902" xr:uid="{512054F3-A593-49DC-AFEF-0A0C6E868E79}"/>
    <cellStyle name="Eingabe 6 2 37" xfId="18707" xr:uid="{F65578A0-4A48-494F-B99C-60E637D03BEE}"/>
    <cellStyle name="Eingabe 6 2 38" xfId="18826" xr:uid="{D1FA2D66-9FB9-4BDA-8298-28AC9332E9C2}"/>
    <cellStyle name="Eingabe 6 2 39" xfId="19173" xr:uid="{3630C89D-1F79-4FC1-86F7-23239D7E82FB}"/>
    <cellStyle name="Eingabe 6 2 4" xfId="2666" xr:uid="{BC8AB8EF-815E-4F47-811E-B138B9E47DD5}"/>
    <cellStyle name="Eingabe 6 2 40" xfId="20226" xr:uid="{53B5E78A-BD9A-4A5F-9CFF-9CA993678B83}"/>
    <cellStyle name="Eingabe 6 2 41" xfId="19390" xr:uid="{679DE63E-14C9-4FB9-8E37-F8558E34FA41}"/>
    <cellStyle name="Eingabe 6 2 42" xfId="20707" xr:uid="{5ECD672C-EAC9-4C8B-AF79-08E075DA21B9}"/>
    <cellStyle name="Eingabe 6 2 43" xfId="21431" xr:uid="{437C2337-50D8-467F-8045-B245C3903D99}"/>
    <cellStyle name="Eingabe 6 2 44" xfId="20987" xr:uid="{65CC4D0C-BD47-44C9-A948-AE128509DD69}"/>
    <cellStyle name="Eingabe 6 2 45" xfId="21878" xr:uid="{9EFBDC55-CFBA-4CA8-9716-35056BB11B9E}"/>
    <cellStyle name="Eingabe 6 2 46" xfId="22626" xr:uid="{F30DC7D0-54E2-4DDC-8EBD-15BC6F14CA9A}"/>
    <cellStyle name="Eingabe 6 2 47" xfId="23098" xr:uid="{149404A3-B4BB-46CC-AEBB-8EE9EB0EBE40}"/>
    <cellStyle name="Eingabe 6 2 48" xfId="23111" xr:uid="{DA843F37-E9DC-47B4-B399-E744E5A2D1CF}"/>
    <cellStyle name="Eingabe 6 2 49" xfId="24026" xr:uid="{3C8B73A8-EAC0-4151-B38F-979ECFBEF14C}"/>
    <cellStyle name="Eingabe 6 2 5" xfId="2784" xr:uid="{4038FD6C-1F94-4305-9B75-C41A365D799F}"/>
    <cellStyle name="Eingabe 6 2 50" xfId="24934" xr:uid="{3B19FEC8-F8BB-472C-B332-91BCB26F9CE9}"/>
    <cellStyle name="Eingabe 6 2 51" xfId="24100" xr:uid="{FAF3B71E-785C-404F-909E-C07D29D93FFD}"/>
    <cellStyle name="Eingabe 6 2 52" xfId="25850" xr:uid="{3016DB70-32DB-436D-8E78-0D4C87F5E499}"/>
    <cellStyle name="Eingabe 6 2 53" xfId="25055" xr:uid="{C307D63A-AB21-4170-8D7C-F5D71E073B85}"/>
    <cellStyle name="Eingabe 6 2 54" xfId="24597" xr:uid="{5FAAB301-0488-4467-84A1-EB9C0A3100F9}"/>
    <cellStyle name="Eingabe 6 2 55" xfId="27138" xr:uid="{48A15749-7204-48B3-88A9-3BF98C9A4F0C}"/>
    <cellStyle name="Eingabe 6 2 56" xfId="27557" xr:uid="{19ACB513-A66A-4F3B-81CA-740C0FF684B4}"/>
    <cellStyle name="Eingabe 6 2 57" xfId="27722" xr:uid="{5FAA6F6B-F86D-44A0-9629-78768AB63D95}"/>
    <cellStyle name="Eingabe 6 2 58" xfId="28684" xr:uid="{5AA1C3B2-CD2B-4FD5-9798-C998FC82480C}"/>
    <cellStyle name="Eingabe 6 2 59" xfId="29151" xr:uid="{AB3DAFCE-D7E7-45A8-A409-1BD9B2276752}"/>
    <cellStyle name="Eingabe 6 2 6" xfId="3255" xr:uid="{51C5A85F-289F-4051-8893-0F2501211A21}"/>
    <cellStyle name="Eingabe 6 2 60" xfId="27985" xr:uid="{5299209A-F3D5-4069-8F25-5A6E7B66835B}"/>
    <cellStyle name="Eingabe 6 2 61" xfId="29940" xr:uid="{C29066C3-E944-4F5F-BB1B-F64E43A71CB4}"/>
    <cellStyle name="Eingabe 6 2 62" xfId="30346" xr:uid="{FEC04782-1B7F-4700-BF15-1056672658DE}"/>
    <cellStyle name="Eingabe 6 2 63" xfId="30763" xr:uid="{A0A152B4-49B9-4AE7-BC66-F810A646AEEF}"/>
    <cellStyle name="Eingabe 6 2 64" xfId="29797" xr:uid="{ECFF9715-F2AE-42D2-AB45-E71CD8CE6C14}"/>
    <cellStyle name="Eingabe 6 2 65" xfId="31379" xr:uid="{4715DED3-7BDB-445E-A022-11AEFD6DF770}"/>
    <cellStyle name="Eingabe 6 2 7" xfId="4162" xr:uid="{D7EF430B-1ED3-4982-BA25-446FAF320A00}"/>
    <cellStyle name="Eingabe 6 2 8" xfId="4599" xr:uid="{4D3C1DB1-0155-402E-9DCC-C8B888BB8B50}"/>
    <cellStyle name="Eingabe 6 2 9" xfId="3247" xr:uid="{9C9BDB03-26AD-41E0-8230-ED8F8D0A6AA9}"/>
    <cellStyle name="Eingabe 6 20" xfId="10203" xr:uid="{3D2CEF7C-A67C-41F9-A16A-7ED79EBB8E08}"/>
    <cellStyle name="Eingabe 6 21" xfId="10607" xr:uid="{A1E52CF5-EB7F-4E4B-A20A-99A5B86BC94E}"/>
    <cellStyle name="Eingabe 6 22" xfId="9936" xr:uid="{B968DAED-159E-4C4F-8704-E336A426FAB9}"/>
    <cellStyle name="Eingabe 6 23" xfId="10896" xr:uid="{8AB5555E-A2D6-4497-B1CC-02B3E69A09B8}"/>
    <cellStyle name="Eingabe 6 24" xfId="11982" xr:uid="{9536883B-F46E-44A5-8BAE-EB2F86F51452}"/>
    <cellStyle name="Eingabe 6 25" xfId="12455" xr:uid="{C178D9C6-F8EB-4D9B-A122-5AF79CDCC0DB}"/>
    <cellStyle name="Eingabe 6 26" xfId="12889" xr:uid="{745E4B28-1DFE-4053-BD52-3FEC3912CF1C}"/>
    <cellStyle name="Eingabe 6 27" xfId="13326" xr:uid="{0188C47C-226A-490E-A5FD-2E7B23DD314C}"/>
    <cellStyle name="Eingabe 6 28" xfId="11717" xr:uid="{F1ACEB6D-A53C-463E-BA0D-D98908C6DD2D}"/>
    <cellStyle name="Eingabe 6 29" xfId="14440" xr:uid="{2045755E-1B0D-4508-B37F-D037C40F2C11}"/>
    <cellStyle name="Eingabe 6 3" xfId="1112" xr:uid="{3C70A5CB-43FD-4C2F-9279-13F6CAAF2F9B}"/>
    <cellStyle name="Eingabe 6 30" xfId="14433" xr:uid="{70B70BB2-425B-421C-B06A-7156E1B16B08}"/>
    <cellStyle name="Eingabe 6 31" xfId="15184" xr:uid="{00C3C2ED-96D5-4F84-8703-A0D1B8737604}"/>
    <cellStyle name="Eingabe 6 32" xfId="15511" xr:uid="{8549D97D-DB01-4571-B2E8-E14FE16EB77D}"/>
    <cellStyle name="Eingabe 6 33" xfId="15966" xr:uid="{835966EE-CAE7-4670-8844-A21257C8A6D1}"/>
    <cellStyle name="Eingabe 6 34" xfId="16674" xr:uid="{59F31ADD-78F0-4312-9B47-AC98218E373C}"/>
    <cellStyle name="Eingabe 6 35" xfId="17324" xr:uid="{C72E0B49-3E91-43F3-AE0B-C4C85341E256}"/>
    <cellStyle name="Eingabe 6 36" xfId="17767" xr:uid="{7265C84E-1619-4C49-9EB9-8B8E778A77C8}"/>
    <cellStyle name="Eingabe 6 37" xfId="17972" xr:uid="{EFE56CA7-963A-4FEF-A8B8-C1AC95914415}"/>
    <cellStyle name="Eingabe 6 38" xfId="18492" xr:uid="{05B879B3-E650-40D6-AA23-641F182FDB1D}"/>
    <cellStyle name="Eingabe 6 39" xfId="17343" xr:uid="{96B9BE43-3EAE-4B13-BE90-5A6C961B5DF7}"/>
    <cellStyle name="Eingabe 6 4" xfId="1718" xr:uid="{9AAD5FEC-7A93-4EF0-906D-CB50E652CF13}"/>
    <cellStyle name="Eingabe 6 40" xfId="18776" xr:uid="{857F7AAA-CCE6-4258-A269-7F7AA3F78117}"/>
    <cellStyle name="Eingabe 6 41" xfId="20011" xr:uid="{9FF91746-1C24-4301-BA90-0EC253EF6FAA}"/>
    <cellStyle name="Eingabe 6 42" xfId="20675" xr:uid="{8A155932-9224-449C-9D78-CF8896B1E481}"/>
    <cellStyle name="Eingabe 6 43" xfId="21131" xr:uid="{25FBB39B-241B-4E30-8338-FD7BF0AE9F4D}"/>
    <cellStyle name="Eingabe 6 44" xfId="21166" xr:uid="{F3C69D54-FBA1-46C2-9955-D9888C166A18}"/>
    <cellStyle name="Eingabe 6 45" xfId="22063" xr:uid="{13573A8A-FC4D-4927-B950-3DFF929363FD}"/>
    <cellStyle name="Eingabe 6 46" xfId="22491" xr:uid="{6E56C08E-4DD1-4A9B-BF06-0F22D785323F}"/>
    <cellStyle name="Eingabe 6 47" xfId="22510" xr:uid="{15DF23AA-0B9F-4468-8202-170CD20A7C90}"/>
    <cellStyle name="Eingabe 6 48" xfId="22860" xr:uid="{9FF865E4-FBA9-4F6C-9307-6B7532D04715}"/>
    <cellStyle name="Eingabe 6 49" xfId="23113" xr:uid="{1CFA4F73-05B4-4833-9561-A064913660B6}"/>
    <cellStyle name="Eingabe 6 5" xfId="2451" xr:uid="{4122DFD8-290B-4A58-A953-784312142084}"/>
    <cellStyle name="Eingabe 6 50" xfId="23820" xr:uid="{C3B1B47A-02AF-45AB-9FE5-8271F8256A19}"/>
    <cellStyle name="Eingabe 6 51" xfId="24719" xr:uid="{0BF6FF46-E4D5-4025-84B6-0B936325A0D1}"/>
    <cellStyle name="Eingabe 6 52" xfId="25378" xr:uid="{5010A36E-DA6C-4757-A12B-A349DB018AD1}"/>
    <cellStyle name="Eingabe 6 53" xfId="25637" xr:uid="{E45773B4-50F7-425D-ADDF-A3F4115E8F52}"/>
    <cellStyle name="Eingabe 6 54" xfId="25280" xr:uid="{FAD8CE04-B06D-4B6C-A52B-B2CE15C4F52F}"/>
    <cellStyle name="Eingabe 6 55" xfId="26625" xr:uid="{DB9E508F-AD8D-4CD8-93CB-481BD210E0BF}"/>
    <cellStyle name="Eingabe 6 56" xfId="26927" xr:uid="{EE7F87E9-2678-436D-8052-9C4A91F78E02}"/>
    <cellStyle name="Eingabe 6 57" xfId="27346" xr:uid="{5AE4CF51-F687-400D-A5E6-6ABCDA97B9C6}"/>
    <cellStyle name="Eingabe 6 58" xfId="26231" xr:uid="{14C9FB2F-8753-4F33-9433-57E43418D47E}"/>
    <cellStyle name="Eingabe 6 59" xfId="28469" xr:uid="{7AA9A446-C163-4B39-B5CA-7443FE9E641F}"/>
    <cellStyle name="Eingabe 6 6" xfId="1912" xr:uid="{3807B060-38E8-4D38-B605-EA181E04333F}"/>
    <cellStyle name="Eingabe 6 60" xfId="28937" xr:uid="{8A6E8E65-C238-4456-A0FD-0AE70737A64A}"/>
    <cellStyle name="Eingabe 6 61" xfId="29500" xr:uid="{BF465A61-AD79-4D2C-98FC-61B435F1865F}"/>
    <cellStyle name="Eingabe 6 62" xfId="29727" xr:uid="{79C85364-C099-4BB2-A7D6-D730C33CBA64}"/>
    <cellStyle name="Eingabe 6 63" xfId="30135" xr:uid="{8A5C3807-60D8-4019-8E5C-2447ADFAF656}"/>
    <cellStyle name="Eingabe 6 64" xfId="30549" xr:uid="{24F3ADB4-DCC6-45C3-A76E-D4330167844B}"/>
    <cellStyle name="Eingabe 6 65" xfId="30904" xr:uid="{5C6D973E-C649-4B79-B895-BA84DCDA47C3}"/>
    <cellStyle name="Eingabe 6 66" xfId="31173" xr:uid="{6BDADB00-C8B9-430C-898C-AB9FE3B7E34B}"/>
    <cellStyle name="Eingabe 6 7" xfId="1831" xr:uid="{077B4B5A-3230-46DC-BE66-6D88951A486E}"/>
    <cellStyle name="Eingabe 6 8" xfId="3947" xr:uid="{42CDE33C-F763-4873-A36A-7034BDAFA968}"/>
    <cellStyle name="Eingabe 6 9" xfId="4385" xr:uid="{DF86EBF6-9D27-400C-A3A7-3E7D6C8E5B64}"/>
    <cellStyle name="Eingabe 7" xfId="672" xr:uid="{F6F4C502-10F8-4C67-B55F-8808F25BCBA8}"/>
    <cellStyle name="Eingabe 7 10" xfId="4984" xr:uid="{C9AD6F8A-0AD1-45AA-90E1-E4B78E34A4A7}"/>
    <cellStyle name="Eingabe 7 11" xfId="5320" xr:uid="{8D20C6AC-EE09-4F38-A7AF-1BC7D82EAE53}"/>
    <cellStyle name="Eingabe 7 12" xfId="5739" xr:uid="{141CD4E4-5F01-425D-BCEC-DEA8D5BF0CFB}"/>
    <cellStyle name="Eingabe 7 13" xfId="4930" xr:uid="{B28B4E40-FE59-47FE-B9DA-E2E8AA05F830}"/>
    <cellStyle name="Eingabe 7 14" xfId="6209" xr:uid="{7F846A1F-3471-4303-88EB-612356954E20}"/>
    <cellStyle name="Eingabe 7 15" xfId="7392" xr:uid="{F221FDAA-D823-482C-88BD-30250CF5A49A}"/>
    <cellStyle name="Eingabe 7 16" xfId="7986" xr:uid="{C3159696-323F-4636-B305-749C28E1DE62}"/>
    <cellStyle name="Eingabe 7 17" xfId="8248" xr:uid="{7BFF70C5-9A95-432C-941A-F0EE46496038}"/>
    <cellStyle name="Eingabe 7 18" xfId="8689" xr:uid="{3C6BF2B2-507F-4672-89CD-453D49E35D91}"/>
    <cellStyle name="Eingabe 7 19" xfId="9606" xr:uid="{9551AAF6-E9D7-4796-A240-BB14BE138502}"/>
    <cellStyle name="Eingabe 7 2" xfId="886" xr:uid="{860E101F-154A-44BE-9116-B4A77788ACA4}"/>
    <cellStyle name="Eingabe 7 2 10" xfId="5534" xr:uid="{48C05CB0-6BC6-4A97-B9B8-FFD862854D52}"/>
    <cellStyle name="Eingabe 7 2 11" xfId="6028" xr:uid="{5E492AFE-A9E9-47F1-A0CE-411D414BB83C}"/>
    <cellStyle name="Eingabe 7 2 12" xfId="6387" xr:uid="{75021544-1BBE-4E03-9C3F-D02FC52297D0}"/>
    <cellStyle name="Eingabe 7 2 13" xfId="6725" xr:uid="{4C5B5444-51FE-45D2-BB3C-3B34C0E09D20}"/>
    <cellStyle name="Eingabe 7 2 14" xfId="7606" xr:uid="{D781AE22-3375-47F3-8914-16BDCC2C38D1}"/>
    <cellStyle name="Eingabe 7 2 15" xfId="8070" xr:uid="{09CE729E-38D1-4DC1-8BE4-7710168A47F9}"/>
    <cellStyle name="Eingabe 7 2 16" xfId="8679" xr:uid="{5CF1885C-F392-4E08-9FF9-E2AC0E65A64F}"/>
    <cellStyle name="Eingabe 7 2 17" xfId="8938" xr:uid="{B5C3652C-4115-4149-BCED-03179C248A0A}"/>
    <cellStyle name="Eingabe 7 2 18" xfId="9820" xr:uid="{2CE9335E-99EC-4FE8-9005-008CFB40CB1E}"/>
    <cellStyle name="Eingabe 7 2 19" xfId="10289" xr:uid="{423C2ACD-E4A2-4E8A-B0D1-27E486009F4A}"/>
    <cellStyle name="Eingabe 7 2 2" xfId="1360" xr:uid="{959EA604-63ED-47F4-A5D9-3352BB37B708}"/>
    <cellStyle name="Eingabe 7 2 20" xfId="10683" xr:uid="{7423C7DE-8C9A-42FC-813E-EEB372AEFC60}"/>
    <cellStyle name="Eingabe 7 2 21" xfId="11032" xr:uid="{651D3B74-109E-46CC-A895-859B8F00FADC}"/>
    <cellStyle name="Eingabe 7 2 22" xfId="11342" xr:uid="{32B6E104-64BF-4FA2-BCA2-E4977E2C1580}"/>
    <cellStyle name="Eingabe 7 2 23" xfId="12239" xr:uid="{46D3B3FB-C75A-4BDC-96C8-49E0D5FC6DAA}"/>
    <cellStyle name="Eingabe 7 2 24" xfId="12712" xr:uid="{39FD42FB-14FB-4102-B5B1-486CD8C9F4C6}"/>
    <cellStyle name="Eingabe 7 2 25" xfId="13146" xr:uid="{255ECD36-40A7-441B-BD81-2721E88BAACE}"/>
    <cellStyle name="Eingabe 7 2 26" xfId="13583" xr:uid="{5556CA67-B487-412E-9F09-4C58E27BF2C6}"/>
    <cellStyle name="Eingabe 7 2 27" xfId="14055" xr:uid="{69CC6D4F-40F7-4E36-865C-C07B00720D19}"/>
    <cellStyle name="Eingabe 7 2 28" xfId="14502" xr:uid="{7FFDB37C-E5A5-440B-82D0-252723C5ED66}"/>
    <cellStyle name="Eingabe 7 2 29" xfId="14936" xr:uid="{ADF4A140-2A60-4513-AD01-E789604B9C0A}"/>
    <cellStyle name="Eingabe 7 2 3" xfId="1809" xr:uid="{3AE327B1-57CA-404B-85ED-A0D8F58A02D2}"/>
    <cellStyle name="Eingabe 7 2 30" xfId="15406" xr:uid="{4095CC79-2515-478B-9FB0-2BF25E52976E}"/>
    <cellStyle name="Eingabe 7 2 31" xfId="15796" xr:uid="{D65580CC-D994-489E-BD41-A4B452502DEE}"/>
    <cellStyle name="Eingabe 7 2 32" xfId="16018" xr:uid="{69A434A4-0F3D-4806-A7DB-C9567E776877}"/>
    <cellStyle name="Eingabe 7 2 33" xfId="16931" xr:uid="{22794975-A6C0-4CCB-AB21-CEA1ECAE2C27}"/>
    <cellStyle name="Eingabe 7 2 34" xfId="17412" xr:uid="{E9638F6C-00E2-4E72-8DD1-36A7706FC51C}"/>
    <cellStyle name="Eingabe 7 2 35" xfId="17853" xr:uid="{257C5043-0657-47FC-A0AF-2BA44F858CAF}"/>
    <cellStyle name="Eingabe 7 2 36" xfId="18328" xr:uid="{F13AF769-599C-44E9-ADE1-221E897DDAEB}"/>
    <cellStyle name="Eingabe 7 2 37" xfId="18749" xr:uid="{1678AAC9-67CD-44D1-9494-8BCE5D2B88D2}"/>
    <cellStyle name="Eingabe 7 2 38" xfId="19136" xr:uid="{AC1F34C2-2F36-4969-BCF6-700537E01F21}"/>
    <cellStyle name="Eingabe 7 2 39" xfId="19366" xr:uid="{E1487FB0-7E38-438D-892E-0371FE570B2C}"/>
    <cellStyle name="Eingabe 7 2 4" xfId="2708" xr:uid="{C7FFED40-B555-40A0-BFDF-570C70CFD30B}"/>
    <cellStyle name="Eingabe 7 2 40" xfId="20268" xr:uid="{4901A9E7-9FA5-47E3-B94F-30489D144706}"/>
    <cellStyle name="Eingabe 7 2 41" xfId="20761" xr:uid="{70124721-3B2D-44CB-B069-13DEA9F8C206}"/>
    <cellStyle name="Eingabe 7 2 42" xfId="21220" xr:uid="{A5DB7097-0325-4EAF-A442-AFD10F965095}"/>
    <cellStyle name="Eingabe 7 2 43" xfId="21712" xr:uid="{D328E402-0188-47A1-A603-5FB18FFC4FB3}"/>
    <cellStyle name="Eingabe 7 2 44" xfId="22151" xr:uid="{DC76673A-8B13-4A0D-85A6-59A2317B8E1B}"/>
    <cellStyle name="Eingabe 7 2 45" xfId="22578" xr:uid="{8D80F69A-754A-48AF-91E1-42AFDC53438D}"/>
    <cellStyle name="Eingabe 7 2 46" xfId="23023" xr:uid="{FB931AA1-79B9-48A6-A769-4C7FB0605F0D}"/>
    <cellStyle name="Eingabe 7 2 47" xfId="23425" xr:uid="{EF796BA9-CD06-40D1-8708-872BC72A10AC}"/>
    <cellStyle name="Eingabe 7 2 48" xfId="23688" xr:uid="{E79D5CD7-03BC-4C41-BC0F-A5F3938BF51F}"/>
    <cellStyle name="Eingabe 7 2 49" xfId="24068" xr:uid="{88F161E3-B440-4BC4-8F9E-31601C525F60}"/>
    <cellStyle name="Eingabe 7 2 5" xfId="3228" xr:uid="{E59BC98B-DFD9-4B67-A82D-412DF3EEEA55}"/>
    <cellStyle name="Eingabe 7 2 50" xfId="24976" xr:uid="{A5F0F795-9BCE-4DCC-840C-75F690689E07}"/>
    <cellStyle name="Eingabe 7 2 51" xfId="25464" xr:uid="{B715BD13-2296-4F3F-AC97-745CE148A1C7}"/>
    <cellStyle name="Eingabe 7 2 52" xfId="25892" xr:uid="{CEDCFB3C-6285-4A2A-8EC9-7EFACDEFDC36}"/>
    <cellStyle name="Eingabe 7 2 53" xfId="26330" xr:uid="{2AF6FACD-0229-41C8-8898-070B7F05541F}"/>
    <cellStyle name="Eingabe 7 2 54" xfId="26759" xr:uid="{770C62C1-50DF-423D-B1CB-6FEDAA446141}"/>
    <cellStyle name="Eingabe 7 2 55" xfId="27180" xr:uid="{B334A37F-BE76-40F1-AEAF-50173A11FA57}"/>
    <cellStyle name="Eingabe 7 2 56" xfId="27599" xr:uid="{A913AB8B-B026-4543-B22C-935080846E9F}"/>
    <cellStyle name="Eingabe 7 2 57" xfId="27837" xr:uid="{C7FDD698-03E8-4AB6-8743-8A50252530F9}"/>
    <cellStyle name="Eingabe 7 2 58" xfId="28726" xr:uid="{CED5B8BC-CBBB-494E-B894-6ED73A0C274E}"/>
    <cellStyle name="Eingabe 7 2 59" xfId="29193" xr:uid="{588EB08F-A4BA-4ED8-8D4C-E161ADB46C13}"/>
    <cellStyle name="Eingabe 7 2 6" xfId="3783" xr:uid="{57E792C7-90FA-4D68-8163-19011B4FF88F}"/>
    <cellStyle name="Eingabe 7 2 60" xfId="29575" xr:uid="{8E58F5F9-A157-4E74-BCDA-4F2E42061374}"/>
    <cellStyle name="Eingabe 7 2 61" xfId="29982" xr:uid="{4578F387-3A08-4BB8-806C-649FA0C2BE2C}"/>
    <cellStyle name="Eingabe 7 2 62" xfId="30388" xr:uid="{63F7A409-4312-494D-811E-EBA4A51D4A17}"/>
    <cellStyle name="Eingabe 7 2 63" xfId="30805" xr:uid="{54668454-8E76-4407-8052-C58AB6481641}"/>
    <cellStyle name="Eingabe 7 2 64" xfId="31050" xr:uid="{FD6F12AF-D14D-4DF5-8C69-C147005AB011}"/>
    <cellStyle name="Eingabe 7 2 65" xfId="31421" xr:uid="{66034BAC-F91B-419B-81F4-2373997361A1}"/>
    <cellStyle name="Eingabe 7 2 7" xfId="4204" xr:uid="{FBB78E5C-5622-48BD-8370-8F60A4FA7B41}"/>
    <cellStyle name="Eingabe 7 2 8" xfId="4641" xr:uid="{B22B1F05-8C40-4038-AF66-711F10E8491A}"/>
    <cellStyle name="Eingabe 7 2 9" xfId="5087" xr:uid="{25C14539-A87A-439E-AFC8-2BE078A74179}"/>
    <cellStyle name="Eingabe 7 20" xfId="10202" xr:uid="{ECCEFA53-EE61-4DE3-AC11-D517A626575F}"/>
    <cellStyle name="Eingabe 7 21" xfId="10606" xr:uid="{A0A9FC80-2E14-410A-AB15-0B0E4F89DA6D}"/>
    <cellStyle name="Eingabe 7 22" xfId="10537" xr:uid="{E7E3FA8F-F6A3-4BFB-99A2-FDFD7FD4B9C6}"/>
    <cellStyle name="Eingabe 7 23" xfId="9949" xr:uid="{D181F9E3-017C-42E7-9958-3117CAB89DB6}"/>
    <cellStyle name="Eingabe 7 24" xfId="12025" xr:uid="{2C2CCC37-357E-4625-A33F-8F22AECFA741}"/>
    <cellStyle name="Eingabe 7 25" xfId="12498" xr:uid="{9FA902AD-CB0C-4F42-9ED3-02586FE7FCB2}"/>
    <cellStyle name="Eingabe 7 26" xfId="12932" xr:uid="{356DDAE2-73A6-46CE-91A1-F5EE041B0D7C}"/>
    <cellStyle name="Eingabe 7 27" xfId="13369" xr:uid="{BEDAFDC7-FE6F-4962-85C6-402FD2E4710A}"/>
    <cellStyle name="Eingabe 7 28" xfId="11507" xr:uid="{0436D139-D119-4C18-8833-EFC4E2DD69AC}"/>
    <cellStyle name="Eingabe 7 29" xfId="14199" xr:uid="{CFF46BFC-E107-494F-9B4C-C68088C8B6AB}"/>
    <cellStyle name="Eingabe 7 3" xfId="1154" xr:uid="{E3FCCA24-036B-4D9E-92FE-A9FCEA498912}"/>
    <cellStyle name="Eingabe 7 30" xfId="14852" xr:uid="{2A6B8D26-C0AB-45F8-8CDC-AC94000C68CE}"/>
    <cellStyle name="Eingabe 7 31" xfId="15204" xr:uid="{5E1F47D7-DD2B-44B9-88F0-BC0EBF0BF2C2}"/>
    <cellStyle name="Eingabe 7 32" xfId="15629" xr:uid="{AD472C36-06B0-475B-A364-5B7F00E26245}"/>
    <cellStyle name="Eingabe 7 33" xfId="15965" xr:uid="{87FAD395-3AC6-4818-9EB3-84497B309C8A}"/>
    <cellStyle name="Eingabe 7 34" xfId="16717" xr:uid="{339B32D4-C1AC-47CF-BF1A-34E7F8BC27DE}"/>
    <cellStyle name="Eingabe 7 35" xfId="17323" xr:uid="{C7BCA02E-B9F6-498C-B13B-1E11C548C92F}"/>
    <cellStyle name="Eingabe 7 36" xfId="17766" xr:uid="{1823D256-6E98-4756-975E-2E5585EA1810}"/>
    <cellStyle name="Eingabe 7 37" xfId="17629" xr:uid="{FF03A7BB-54D7-4067-8AFF-F370F9F856FB}"/>
    <cellStyle name="Eingabe 7 38" xfId="18535" xr:uid="{7D86C068-37C6-42B3-88D4-675B7839535E}"/>
    <cellStyle name="Eingabe 7 39" xfId="18761" xr:uid="{704BD9DC-0D6D-4B0C-8E69-CD701EE3BCD2}"/>
    <cellStyle name="Eingabe 7 4" xfId="1629" xr:uid="{63A948C9-833B-417C-8601-2E275A766F73}"/>
    <cellStyle name="Eingabe 7 40" xfId="16267" xr:uid="{5C57B172-1CAF-4D31-9EFB-BD8567A03EE7}"/>
    <cellStyle name="Eingabe 7 41" xfId="20054" xr:uid="{78CBE48D-4A53-4E31-BE3E-AAD0E9EA41A8}"/>
    <cellStyle name="Eingabe 7 42" xfId="20674" xr:uid="{930D9359-E8A4-45FF-8B7B-CC5894506180}"/>
    <cellStyle name="Eingabe 7 43" xfId="21130" xr:uid="{5466CF0E-AE74-4034-9FBB-A23FF135DCD3}"/>
    <cellStyle name="Eingabe 7 44" xfId="19876" xr:uid="{4FB58F77-0BBE-4811-B7AD-F3E34770B769}"/>
    <cellStyle name="Eingabe 7 45" xfId="22062" xr:uid="{44D0E641-5C5B-47F4-ABBE-0AE8F121505A}"/>
    <cellStyle name="Eingabe 7 46" xfId="22490" xr:uid="{82F6F9C6-0348-46A1-8EBD-FA10490A656E}"/>
    <cellStyle name="Eingabe 7 47" xfId="22338" xr:uid="{BAE002C6-8A2C-46CD-BF66-8E2ED28D6D9A}"/>
    <cellStyle name="Eingabe 7 48" xfId="23029" xr:uid="{A37A6596-6E6D-4725-A284-211BCDA5093D}"/>
    <cellStyle name="Eingabe 7 49" xfId="22779" xr:uid="{2D5083EC-C5FF-42D9-9D92-9078A6BA4ECD}"/>
    <cellStyle name="Eingabe 7 5" xfId="2494" xr:uid="{09EFBC2B-EB07-4F82-B2D7-7C2BC66D7911}"/>
    <cellStyle name="Eingabe 7 50" xfId="23862" xr:uid="{57C28B3F-E932-439D-883B-6DDBC866B008}"/>
    <cellStyle name="Eingabe 7 51" xfId="24762" xr:uid="{60782C4C-651B-4EBB-BCD8-690086521E9F}"/>
    <cellStyle name="Eingabe 7 52" xfId="25377" xr:uid="{8DE9E346-7214-4CA2-9A21-0482E56F613D}"/>
    <cellStyle name="Eingabe 7 53" xfId="25680" xr:uid="{E725C79C-3971-4E1A-835F-C474617476E4}"/>
    <cellStyle name="Eingabe 7 54" xfId="24530" xr:uid="{41EA6F21-E255-49A3-84FA-62484E5BA16E}"/>
    <cellStyle name="Eingabe 7 55" xfId="26111" xr:uid="{98EE5BAC-42AB-45BB-ABC1-C5279007C0AF}"/>
    <cellStyle name="Eingabe 7 56" xfId="26970" xr:uid="{FB9CFA9F-787E-4FF1-A63B-294F026B6252}"/>
    <cellStyle name="Eingabe 7 57" xfId="27389" xr:uid="{BD5FCCC0-BF18-4658-AA8E-425752CDC02E}"/>
    <cellStyle name="Eingabe 7 58" xfId="27727" xr:uid="{CEC89D53-4C5D-40A3-820D-38DE6784EFBB}"/>
    <cellStyle name="Eingabe 7 59" xfId="28512" xr:uid="{28B1C65C-501C-435F-8FDD-3671E4BA809B}"/>
    <cellStyle name="Eingabe 7 6" xfId="1953" xr:uid="{DE2D08B8-8480-4B9F-95CB-144C809DBBE4}"/>
    <cellStyle name="Eingabe 7 60" xfId="28980" xr:uid="{912C2692-F37A-4832-B60B-146A7111F1AE}"/>
    <cellStyle name="Eingabe 7 61" xfId="29499" xr:uid="{22EDE90E-EE26-42C6-BBD3-170BEDAC2A8D}"/>
    <cellStyle name="Eingabe 7 62" xfId="29770" xr:uid="{BF8B30C0-E7FE-40D1-8169-C2EC81096FE7}"/>
    <cellStyle name="Eingabe 7 63" xfId="30177" xr:uid="{2749F3E7-4BFA-4EA3-A77C-D63C0D3A0772}"/>
    <cellStyle name="Eingabe 7 64" xfId="30592" xr:uid="{639354FD-CE36-436B-B6A2-B3AC31B9AC8A}"/>
    <cellStyle name="Eingabe 7 65" xfId="28301" xr:uid="{EB4F539D-ACC1-41EC-8C1C-556EC0F91183}"/>
    <cellStyle name="Eingabe 7 66" xfId="31215" xr:uid="{45BE028D-9E19-4821-9AE7-71CDB59B3996}"/>
    <cellStyle name="Eingabe 7 7" xfId="2994" xr:uid="{FA509A0C-297E-452F-A8DC-B7CE58B44129}"/>
    <cellStyle name="Eingabe 7 8" xfId="3990" xr:uid="{E2CAFCF8-A46F-44F0-A4A5-3CEC4F8E1748}"/>
    <cellStyle name="Eingabe 7 9" xfId="4428" xr:uid="{F7F3BD3A-16B1-4432-8E0E-C34A4B13F0EF}"/>
    <cellStyle name="Eingabe 8" xfId="681" xr:uid="{CDEB5699-7D30-44E2-B92C-726181CB3B45}"/>
    <cellStyle name="Eingabe 8 10" xfId="5329" xr:uid="{D03D8000-DCE5-4998-B53F-1F9FAB015002}"/>
    <cellStyle name="Eingabe 8 11" xfId="4672" xr:uid="{2E4429B6-4E9F-46DE-8450-CDF9C2B0E2CB}"/>
    <cellStyle name="Eingabe 8 12" xfId="6261" xr:uid="{90A6B828-96A2-4E74-B8E8-0A37A464E685}"/>
    <cellStyle name="Eingabe 8 13" xfId="6337" xr:uid="{5E7D6163-3BB7-4A7F-A094-D267BFDA44AD}"/>
    <cellStyle name="Eingabe 8 14" xfId="7401" xr:uid="{516795F7-9BB4-486F-B824-0BCECEEF35AC}"/>
    <cellStyle name="Eingabe 8 15" xfId="7210" xr:uid="{1BBA9DEF-D542-4F1E-894B-61EB921D5E4A}"/>
    <cellStyle name="Eingabe 8 16" xfId="8650" xr:uid="{8CDF76E8-DC1C-45B7-8376-02339559AE10}"/>
    <cellStyle name="Eingabe 8 17" xfId="8188" xr:uid="{CFB46D4A-1423-4CAE-A52B-9FE4F5F93BB0}"/>
    <cellStyle name="Eingabe 8 18" xfId="9615" xr:uid="{71FDCF07-CBE1-43B0-9892-26E361515631}"/>
    <cellStyle name="Eingabe 8 19" xfId="9424" xr:uid="{45642921-22E6-47FF-ADB1-CE3123308068}"/>
    <cellStyle name="Eingabe 8 2" xfId="1163" xr:uid="{9946D51A-EC2B-4D6F-B5F4-8034E3DB0233}"/>
    <cellStyle name="Eingabe 8 20" xfId="9921" xr:uid="{8120DDF1-AFE5-4ABA-A94D-D3CD782CF50B}"/>
    <cellStyle name="Eingabe 8 21" xfId="10959" xr:uid="{30E5E55A-3ABF-4AE2-A3FC-FDF2787D6AF9}"/>
    <cellStyle name="Eingabe 8 22" xfId="11252" xr:uid="{F8466BD8-394B-419A-8BCB-B1805D8AB5D0}"/>
    <cellStyle name="Eingabe 8 23" xfId="12034" xr:uid="{C198F251-4B1C-4498-9E0A-F61CD4242022}"/>
    <cellStyle name="Eingabe 8 24" xfId="12507" xr:uid="{144B5B06-B3F2-44A2-B801-1D66F1AE74BE}"/>
    <cellStyle name="Eingabe 8 25" xfId="12941" xr:uid="{653AF54D-AEC1-404A-B89D-8115291F8259}"/>
    <cellStyle name="Eingabe 8 26" xfId="13378" xr:uid="{7DF31C66-753E-43E4-9CFD-BC2270AA83BE}"/>
    <cellStyle name="Eingabe 8 27" xfId="12323" xr:uid="{F3E620C1-AB33-4EF8-AC84-150E4229D77C}"/>
    <cellStyle name="Eingabe 8 28" xfId="14153" xr:uid="{0A1921E8-81C6-49D2-A0D6-16350620E270}"/>
    <cellStyle name="Eingabe 8 29" xfId="13645" xr:uid="{423F1FF8-8238-4206-89AC-806922E87CBB}"/>
    <cellStyle name="Eingabe 8 3" xfId="1598" xr:uid="{0217C734-094C-4F15-AB27-C0EE54A0B6CC}"/>
    <cellStyle name="Eingabe 8 30" xfId="14959" xr:uid="{A57369B6-7DF3-4924-BFBA-8759E1B268F6}"/>
    <cellStyle name="Eingabe 8 31" xfId="14158" xr:uid="{83C1F1C7-7730-4133-A99D-7677732D289C}"/>
    <cellStyle name="Eingabe 8 32" xfId="15717" xr:uid="{F9B2933A-4856-491C-8E24-D0E26AE9A03C}"/>
    <cellStyle name="Eingabe 8 33" xfId="16726" xr:uid="{5A962748-B14D-41DB-B80B-408F8362BC28}"/>
    <cellStyle name="Eingabe 8 34" xfId="16533" xr:uid="{A2FDAA1D-A8E3-4A86-9F39-41F93C411F76}"/>
    <cellStyle name="Eingabe 8 35" xfId="17035" xr:uid="{306BB440-B3A7-45B8-BAE8-4D9C8AA715EF}"/>
    <cellStyle name="Eingabe 8 36" xfId="17444" xr:uid="{857DA7A7-A042-4340-ADB3-4917E76ECC6D}"/>
    <cellStyle name="Eingabe 8 37" xfId="18544" xr:uid="{DF85C08B-84A8-4EC1-9725-875C472BA7D2}"/>
    <cellStyle name="Eingabe 8 38" xfId="16344" xr:uid="{99F5A7C2-7BE1-4FF4-8C70-2A1D403DC5D7}"/>
    <cellStyle name="Eingabe 8 39" xfId="19071" xr:uid="{2371D33E-CA42-402A-A383-DE0407948E62}"/>
    <cellStyle name="Eingabe 8 4" xfId="2503" xr:uid="{103C307C-372B-445E-BEC3-CF95C3B69038}"/>
    <cellStyle name="Eingabe 8 40" xfId="20063" xr:uid="{EB435D5B-6094-4A5B-88E4-39279488302F}"/>
    <cellStyle name="Eingabe 8 41" xfId="19869" xr:uid="{E0A2C62D-1F08-4389-9765-226A2C8E47AE}"/>
    <cellStyle name="Eingabe 8 42" xfId="20724" xr:uid="{F7A83F22-6376-43D4-97BA-14340F94E513}"/>
    <cellStyle name="Eingabe 8 43" xfId="19837" xr:uid="{CC1AC9D2-0753-409A-B58F-C3466A13672F}"/>
    <cellStyle name="Eingabe 8 44" xfId="20281" xr:uid="{755FA1D8-9AC3-4E40-826C-846613DF7ABF}"/>
    <cellStyle name="Eingabe 8 45" xfId="21757" xr:uid="{6404320E-B744-4F43-BF43-C663FC57398E}"/>
    <cellStyle name="Eingabe 8 46" xfId="21718" xr:uid="{44318A05-1B53-48FA-BC36-BB95C650DDB7}"/>
    <cellStyle name="Eingabe 8 47" xfId="22852" xr:uid="{41B604E2-C0F6-4BE2-BCE0-0A3901CBCE0E}"/>
    <cellStyle name="Eingabe 8 48" xfId="23517" xr:uid="{989B5862-484A-4E94-9C8A-7CCEF919D718}"/>
    <cellStyle name="Eingabe 8 49" xfId="23871" xr:uid="{A1EA0007-3601-48EA-89A9-67B628139263}"/>
    <cellStyle name="Eingabe 8 5" xfId="1981" xr:uid="{4CC89F43-4872-4D50-BA6A-9A016A1BF81B}"/>
    <cellStyle name="Eingabe 8 50" xfId="24771" xr:uid="{71846E66-E813-4325-A1E4-6FA91B3CECCF}"/>
    <cellStyle name="Eingabe 8 51" xfId="24572" xr:uid="{15B8CCB8-89AA-48F1-B401-A6A7156BE8E7}"/>
    <cellStyle name="Eingabe 8 52" xfId="25689" xr:uid="{CBA6ABE1-F0C2-4835-A636-ADD8A96C6957}"/>
    <cellStyle name="Eingabe 8 53" xfId="25042" xr:uid="{C28DF4C2-3A54-4BB1-85DD-827EB6A3023A}"/>
    <cellStyle name="Eingabe 8 54" xfId="26132" xr:uid="{165837C6-752B-45C5-89B8-13A89D778D44}"/>
    <cellStyle name="Eingabe 8 55" xfId="26979" xr:uid="{A2A6C4C8-735F-425B-B4B5-EA385B4E6385}"/>
    <cellStyle name="Eingabe 8 56" xfId="27398" xr:uid="{FA22FA33-489D-4C01-BAA9-246E7ED83406}"/>
    <cellStyle name="Eingabe 8 57" xfId="27661" xr:uid="{6F474D61-6FA2-4A1B-AA2B-FEB8D2A1455D}"/>
    <cellStyle name="Eingabe 8 58" xfId="28521" xr:uid="{CB476C95-9B9C-4E89-9CC5-34CF8886DA93}"/>
    <cellStyle name="Eingabe 8 59" xfId="28989" xr:uid="{796FEED0-46E1-447A-86E2-0F7B6003D01F}"/>
    <cellStyle name="Eingabe 8 6" xfId="3752" xr:uid="{AA22CC7B-1E24-4D87-97DA-DEFB50C773CF}"/>
    <cellStyle name="Eingabe 8 60" xfId="28803" xr:uid="{B45FAEFA-4880-4B18-BCAD-BAB7D63B68EA}"/>
    <cellStyle name="Eingabe 8 61" xfId="29779" xr:uid="{9C6E29D9-6E37-478B-A0DB-723B1CA5C1C9}"/>
    <cellStyle name="Eingabe 8 62" xfId="30186" xr:uid="{FFE47F9D-0D7A-49C6-8191-50E896E95111}"/>
    <cellStyle name="Eingabe 8 63" xfId="30601" xr:uid="{44916ECD-9996-4119-B1CF-E95300F5C7AA}"/>
    <cellStyle name="Eingabe 8 64" xfId="30927" xr:uid="{8ADA6A67-DF05-4D9F-934E-77A9570A80F9}"/>
    <cellStyle name="Eingabe 8 65" xfId="31224" xr:uid="{24B63A5C-153B-45C4-83C3-C65D30FDBF98}"/>
    <cellStyle name="Eingabe 8 7" xfId="3999" xr:uid="{676EE7C9-AE4F-4683-8DA8-A7A6B349FD5B}"/>
    <cellStyle name="Eingabe 8 8" xfId="4437" xr:uid="{1EE90F39-5827-481C-A1B2-19A599E6377E}"/>
    <cellStyle name="Eingabe 8 9" xfId="4938" xr:uid="{35C67430-0821-4BA2-9A1E-5DAA41C04D19}"/>
    <cellStyle name="Empty_B_border" xfId="21" xr:uid="{B4BD9299-5FF0-4E98-8DD8-8F919F985E72}"/>
    <cellStyle name="Ergebnis" xfId="49" hidden="1" xr:uid="{9735342D-F300-496D-8A6C-A709DDEB5EC0}"/>
    <cellStyle name="Ergebnis" xfId="896" hidden="1" xr:uid="{0C824B67-9479-40A1-9D9B-526EE10970C2}"/>
    <cellStyle name="Ergebnis" xfId="993" hidden="1" xr:uid="{CA3D25A2-70B2-417C-BECF-E2D9777E2E4E}"/>
    <cellStyle name="Ergebnis" xfId="1390" hidden="1" xr:uid="{66114861-91CE-4FB0-9B55-78A47FAF2365}"/>
    <cellStyle name="Ergebnis" xfId="1735" hidden="1" xr:uid="{F2E023B9-559F-4F18-8968-739CCC5DF223}"/>
    <cellStyle name="Ergebnis" xfId="1872" hidden="1" xr:uid="{254A0BF5-C1E8-423B-87EC-3D330E756CE8}"/>
    <cellStyle name="Ergebnis" xfId="2320" hidden="1" xr:uid="{625DA030-6682-415E-B2BA-758BBFE54E5E}"/>
    <cellStyle name="Ergebnis" xfId="2821" hidden="1" xr:uid="{980641CD-DBE0-4158-BAF2-03DF39E5A057}"/>
    <cellStyle name="Ergebnis" xfId="3057" hidden="1" xr:uid="{728FF2B3-F445-4D8E-B0C0-C9A38BD20DC8}"/>
    <cellStyle name="Ergebnis" xfId="2769" hidden="1" xr:uid="{68382C56-830F-4442-8CC1-89794D3C3741}"/>
    <cellStyle name="Ergebnis" xfId="3302" hidden="1" xr:uid="{5FEE5505-0DA0-4D2E-80B1-7E3352539F52}"/>
    <cellStyle name="Ergebnis" xfId="2129" hidden="1" xr:uid="{CB563F49-3EDE-420A-9672-345F4172A41B}"/>
    <cellStyle name="Ergebnis" xfId="3668" hidden="1" xr:uid="{44FD125B-562B-4402-9043-98B516420F8A}"/>
    <cellStyle name="Ergebnis" xfId="2112" hidden="1" xr:uid="{C7894D50-527C-478F-9D51-A1690AA07A39}"/>
    <cellStyle name="Ergebnis" xfId="3417" hidden="1" xr:uid="{79F0C350-F2DD-4C3D-AF8F-143C3037FE47}"/>
    <cellStyle name="Ergebnis" xfId="3149" hidden="1" xr:uid="{D16DAB64-CBA3-457F-9A97-EDF43C68A4E7}"/>
    <cellStyle name="Ergebnis" xfId="3656" hidden="1" xr:uid="{E2B5ED22-D900-4D41-AF9D-9EE875AB1E95}"/>
    <cellStyle name="Ergebnis" xfId="3336" hidden="1" xr:uid="{D19E92D2-A587-4136-B640-C50FC517C041}"/>
    <cellStyle name="Ergebnis" xfId="3790" hidden="1" xr:uid="{F420E3D0-647F-4E2C-A6D3-ADF5571C2A05}"/>
    <cellStyle name="Ergebnis" xfId="3735" hidden="1" xr:uid="{B32D7310-2FCB-4337-9E90-8825A7591692}"/>
    <cellStyle name="Ergebnis" xfId="5153" hidden="1" xr:uid="{1A30B648-9307-4049-B990-B74A436CF6C5}"/>
    <cellStyle name="Ergebnis" xfId="5901" hidden="1" xr:uid="{DD1C6D00-4863-4B1F-89C8-E3A0CE0C2A00}"/>
    <cellStyle name="Ergebnis" xfId="4923" hidden="1" xr:uid="{E0A054E4-E710-423C-A4B7-D110A538B0E8}"/>
    <cellStyle name="Ergebnis" xfId="3796" hidden="1" xr:uid="{3DDACD79-C69C-4277-A6A6-E151A5DAC963}"/>
    <cellStyle name="Ergebnis" xfId="4859" hidden="1" xr:uid="{B6F48AAD-3F19-4040-9BD7-6067B3AA375C}"/>
    <cellStyle name="Ergebnis" xfId="5687" hidden="1" xr:uid="{B6C4B76D-E73C-4844-B770-15B64A56C68F}"/>
    <cellStyle name="Ergebnis" xfId="6310" hidden="1" xr:uid="{E6F3168C-2885-4E93-BC07-5006B7AABDC2}"/>
    <cellStyle name="Ergebnis" xfId="3558" hidden="1" xr:uid="{B0DC6DE1-0BA3-4CFE-B39A-9A2ADEAD1C61}"/>
    <cellStyle name="Ergebnis" xfId="6224" hidden="1" xr:uid="{8D3173BD-BAC6-4CCD-A4FB-9506913300B9}"/>
    <cellStyle name="Ergebnis" xfId="6611" hidden="1" xr:uid="{1EC9CA30-AE0B-4556-B410-BA275EF0D701}"/>
    <cellStyle name="Ergebnis" xfId="6175" hidden="1" xr:uid="{D382A2AA-1D68-4CAD-A14D-5E541E68C9B5}"/>
    <cellStyle name="Ergebnis" xfId="5659" hidden="1" xr:uid="{78AC18FA-8B08-4C2D-8285-E66E37DE9C8E}"/>
    <cellStyle name="Ergebnis" xfId="6518" hidden="1" xr:uid="{943382D2-A81C-4113-B37F-929FEFA963C5}"/>
    <cellStyle name="Ergebnis" xfId="6530" hidden="1" xr:uid="{4925F3AF-86A6-40BB-8153-D92FA641C9A1}"/>
    <cellStyle name="Ergebnis" xfId="6540" hidden="1" xr:uid="{35BDD541-DDF7-4C1D-B013-CFDA5A43BFC1}"/>
    <cellStyle name="Ergebnis" xfId="6459" hidden="1" xr:uid="{B5E61A08-25D0-4E6A-9406-22689E7AA5AE}"/>
    <cellStyle name="Ergebnis" xfId="6615" hidden="1" xr:uid="{F36BDCB2-8571-4310-9703-A09398746E4C}"/>
    <cellStyle name="Ergebnis" xfId="6786" hidden="1" xr:uid="{0769A98D-C335-4FB4-AB64-4641A581384F}"/>
    <cellStyle name="Ergebnis" xfId="7224" hidden="1" xr:uid="{7C63A9A4-2A7A-489F-9C08-BE04CE5BDFD9}"/>
    <cellStyle name="Ergebnis" xfId="7706" hidden="1" xr:uid="{7E346B6A-E86B-46E3-A7C1-A50411DB6C2F}"/>
    <cellStyle name="Ergebnis" xfId="6731" hidden="1" xr:uid="{DDA1C49A-4A59-46E7-A39F-6DBD88BE45FE}"/>
    <cellStyle name="Ergebnis" xfId="8128" hidden="1" xr:uid="{B8D60D09-6BC3-4B2B-BB5D-9A6F189D9E53}"/>
    <cellStyle name="Ergebnis" xfId="7768" hidden="1" xr:uid="{B1847758-FC65-4BC2-A1E5-EB1C9E40972F}"/>
    <cellStyle name="Ergebnis" xfId="8397" hidden="1" xr:uid="{4F3E2089-CBAE-42F7-A0B7-3B2CD93BC2B9}"/>
    <cellStyle name="Ergebnis" xfId="8090" hidden="1" xr:uid="{5B11276B-B1A4-437A-AD3C-C3D7A1AD73A8}"/>
    <cellStyle name="Ergebnis" xfId="8032" hidden="1" xr:uid="{4A1ED992-9551-4BD0-94F6-BB368EAEA3B5}"/>
    <cellStyle name="Ergebnis" xfId="8151" hidden="1" xr:uid="{E43AB100-E5AC-4EED-A9ED-16BD5D8283A2}"/>
    <cellStyle name="Ergebnis" xfId="7099" hidden="1" xr:uid="{F98E94F9-B55E-4C3E-8E56-BDCE87D9CDF2}"/>
    <cellStyle name="Ergebnis" xfId="8122" hidden="1" xr:uid="{E7A6F85E-66A5-49D1-8F42-706D80F9EBBF}"/>
    <cellStyle name="Ergebnis" xfId="8304" hidden="1" xr:uid="{01B6C51C-E23B-4AD1-8DDD-57758A35FA42}"/>
    <cellStyle name="Ergebnis" xfId="8421" hidden="1" xr:uid="{DFE80C15-CFF1-4798-88BB-E1E87B1E5453}"/>
    <cellStyle name="Ergebnis" xfId="8290" hidden="1" xr:uid="{257312F5-A4B4-44E8-9C49-4ADEBE216E80}"/>
    <cellStyle name="Ergebnis" xfId="7078" hidden="1" xr:uid="{24F4B63F-7ED5-4941-BAA6-FB389998AC85}"/>
    <cellStyle name="Ergebnis" xfId="7659" hidden="1" xr:uid="{7E8B4E91-433D-40FF-9C6C-523994E589AD}"/>
    <cellStyle name="Ergebnis" xfId="8486" hidden="1" xr:uid="{80ECE5C7-D118-4BBE-BCB0-971F26432BAF}"/>
    <cellStyle name="Ergebnis" xfId="8116" hidden="1" xr:uid="{9FC6892E-7C4B-48AF-83B9-B40BA61A6C71}"/>
    <cellStyle name="Ergebnis" xfId="8722" hidden="1" xr:uid="{D96243CB-DC53-477D-8CAF-E04046B3F83B}"/>
    <cellStyle name="Ergebnis" xfId="6945" hidden="1" xr:uid="{9461498F-B82E-49CF-A522-7420661694A9}"/>
    <cellStyle name="Ergebnis" xfId="8545" hidden="1" xr:uid="{3EFE6D07-E2FA-4A74-93DC-7094C5695CA0}"/>
    <cellStyle name="Ergebnis" xfId="8352" hidden="1" xr:uid="{4DF124BB-D4B9-4186-B6BE-96A9136CA416}"/>
    <cellStyle name="Ergebnis" xfId="8998" hidden="1" xr:uid="{8B790A20-807F-411C-9DA8-E4FAB34FC69E}"/>
    <cellStyle name="Ergebnis" xfId="9437" hidden="1" xr:uid="{FA2CAA68-34CC-4E74-ABC1-1005C396F3BD}"/>
    <cellStyle name="Ergebnis" xfId="9919" hidden="1" xr:uid="{503DF931-1A52-4FC0-9589-5139F7064438}"/>
    <cellStyle name="Ergebnis" xfId="8944" hidden="1" xr:uid="{6D2C4CE8-C111-4EA5-A2E5-87BC033B649A}"/>
    <cellStyle name="Ergebnis" xfId="10350" hidden="1" xr:uid="{774FB1D7-1CE7-4200-A674-5E85CC1F0432}"/>
    <cellStyle name="Ergebnis" xfId="9904" hidden="1" xr:uid="{CD011580-F63D-4A03-BD4A-21AE0B25A779}"/>
    <cellStyle name="Ergebnis" xfId="8977" hidden="1" xr:uid="{3909E574-59A7-46E3-8B2D-25FCFA2EEFDB}"/>
    <cellStyle name="Ergebnis" xfId="10845" hidden="1" xr:uid="{548D840D-114F-41A8-865A-97AEBE060E13}"/>
    <cellStyle name="Ergebnis" xfId="10823" hidden="1" xr:uid="{38A3F7F6-AE38-42EF-BDEB-9C676D1F337C}"/>
    <cellStyle name="Ergebnis" xfId="11124" hidden="1" xr:uid="{4D5ED972-987E-48C4-81E8-7215ABB6C6A6}"/>
    <cellStyle name="Ergebnis" xfId="10995" hidden="1" xr:uid="{667FC709-F498-462A-846F-1EDFF297EB66}"/>
    <cellStyle name="Ergebnis" xfId="9885" hidden="1" xr:uid="{8304F8FF-13AA-47DB-8C84-69DC724E3194}"/>
    <cellStyle name="Ergebnis" xfId="8948" hidden="1" xr:uid="{7CF62E8E-7A28-4B8D-B949-578B749FC9CE}"/>
    <cellStyle name="Ergebnis" xfId="10992" hidden="1" xr:uid="{D1AE6F1B-A4C0-47EE-8F67-4009EC60CAD3}"/>
    <cellStyle name="Ergebnis" xfId="10993" hidden="1" xr:uid="{1587EB80-920D-4F45-8922-4305F2267E6F}"/>
    <cellStyle name="Ergebnis" xfId="11404" hidden="1" xr:uid="{D15E9D5E-0FFE-4148-B6BB-EF9A4C3A6FF3}"/>
    <cellStyle name="Ergebnis" xfId="11855" hidden="1" xr:uid="{1FC14124-0507-4935-994A-9918759D71B0}"/>
    <cellStyle name="Ergebnis" xfId="12257" hidden="1" xr:uid="{3B55328F-6150-4EB5-B5C5-2A8435410366}"/>
    <cellStyle name="Ergebnis" xfId="11700" hidden="1" xr:uid="{4467B3D9-E8A2-48DC-8E16-1DB8FB1F4839}"/>
    <cellStyle name="Ergebnis" xfId="11513" hidden="1" xr:uid="{676A18C0-6F2F-4309-9F80-1F94D1E98624}"/>
    <cellStyle name="Ergebnis" xfId="13655" hidden="1" xr:uid="{ED28117C-E2C7-48B1-A3C2-70BC29CE9B2D}"/>
    <cellStyle name="Ergebnis" xfId="13889" hidden="1" xr:uid="{023FB725-6314-4CD2-A69E-7D2F0EC8B10E}"/>
    <cellStyle name="Ergebnis" xfId="13602" hidden="1" xr:uid="{3713D6EA-4432-42FE-9316-9AC2C87F711F}"/>
    <cellStyle name="Ergebnis" xfId="14312" hidden="1" xr:uid="{5BCFF3E5-9584-475F-9738-B383BAE3AA65}"/>
    <cellStyle name="Ergebnis" xfId="14138" hidden="1" xr:uid="{410455B5-3ABA-4D0B-B218-970AC44BEAB7}"/>
    <cellStyle name="Ergebnis" xfId="14867" hidden="1" xr:uid="{D5D391D2-977B-41B0-B52B-58DC27592E1E}"/>
    <cellStyle name="Ergebnis" xfId="11678" hidden="1" xr:uid="{2E5E7E2F-51C7-4FDC-AEA5-A8728B72FF4B}"/>
    <cellStyle name="Ergebnis" xfId="15279" hidden="1" xr:uid="{A6ED3E17-9C73-4158-B292-E4DFA48A2B81}"/>
    <cellStyle name="Ergebnis" xfId="14825" hidden="1" xr:uid="{A1383A28-824D-4E11-93AB-1A698788B541}"/>
    <cellStyle name="Ergebnis" xfId="14701" hidden="1" xr:uid="{52D10A8C-7EC7-448B-A594-DC7584FF9892}"/>
    <cellStyle name="Ergebnis" xfId="15281" hidden="1" xr:uid="{070E11C2-CCD5-4958-8C53-AB6CA5281429}"/>
    <cellStyle name="Ergebnis" xfId="14620" hidden="1" xr:uid="{7091AF5E-A3B8-4585-992E-FD73E206F53C}"/>
    <cellStyle name="Ergebnis" xfId="15686" hidden="1" xr:uid="{3472CE3C-5FCC-4C6D-9D41-B99A8D03179D}"/>
    <cellStyle name="Ergebnis" xfId="15310" hidden="1" xr:uid="{E4B21ED1-94D8-4008-A6ED-742A76C6B681}"/>
    <cellStyle name="Ergebnis" xfId="15189" hidden="1" xr:uid="{1297BE19-7914-49CA-B26A-CBAEC13E8C2A}"/>
    <cellStyle name="Ergebnis" xfId="15594" hidden="1" xr:uid="{F4CB2EFE-75E1-47E5-A295-6A2EDF57FCC7}"/>
    <cellStyle name="Ergebnis" xfId="15284" hidden="1" xr:uid="{44DD7FC2-AEB0-4A16-8E5B-3AF85DBE20FA}"/>
    <cellStyle name="Ergebnis" xfId="15977" hidden="1" xr:uid="{8F5DD7F5-5CE9-4F4C-9C78-CACEE50CC8ED}"/>
    <cellStyle name="Ergebnis" xfId="15133" hidden="1" xr:uid="{2C61E977-FAEE-44F3-B68C-E54964D6EE67}"/>
    <cellStyle name="Ergebnis" xfId="16036" hidden="1" xr:uid="{245C6103-C221-44B7-A5AB-38B5EA8FE318}"/>
    <cellStyle name="Ergebnis" xfId="16095" hidden="1" xr:uid="{50B3A027-C0E4-4D7A-9885-B082ADE5495B}"/>
    <cellStyle name="Ergebnis" xfId="16547" hidden="1" xr:uid="{D8808DA7-82A0-474C-82C5-7EC7FB726EA6}"/>
    <cellStyle name="Ergebnis" xfId="17033" hidden="1" xr:uid="{B78694F2-1A69-4D9F-9BA9-9B4AC5558CBA}"/>
    <cellStyle name="Ergebnis" xfId="16039" hidden="1" xr:uid="{3B357EA1-B0EF-4C65-904C-DF3A19996A88}"/>
    <cellStyle name="Ergebnis" xfId="17481" hidden="1" xr:uid="{73DF06B5-2D68-4C4E-894A-CA7D66099E25}"/>
    <cellStyle name="Ergebnis" xfId="17018" hidden="1" xr:uid="{05E0CC83-EB96-489C-9CD5-B8D50588BA77}"/>
    <cellStyle name="Ergebnis" xfId="17911" hidden="1" xr:uid="{8AA15717-54AF-4ABF-A9E3-BCCAA37477F9}"/>
    <cellStyle name="Ergebnis" xfId="18128" hidden="1" xr:uid="{C29F856A-3E10-426B-8AF0-95DD7B05DDBA}"/>
    <cellStyle name="Ergebnis" xfId="16116" hidden="1" xr:uid="{F49DEBE2-EA1D-4B76-B6BB-EC8A22914351}"/>
    <cellStyle name="Ergebnis" xfId="17652" hidden="1" xr:uid="{8BF39765-B211-4B57-8FD2-B3D6238190F6}"/>
    <cellStyle name="Ergebnis" xfId="17874" hidden="1" xr:uid="{F624E160-60CF-4FD7-97F6-FDC2EE7FC045}"/>
    <cellStyle name="Ergebnis" xfId="18012" hidden="1" xr:uid="{99E04B29-C126-4C5B-B81D-0A6C207079AA}"/>
    <cellStyle name="Ergebnis" xfId="18807" hidden="1" xr:uid="{94B28687-03FF-4000-B9E9-CF78BCD62888}"/>
    <cellStyle name="Ergebnis" xfId="18982" hidden="1" xr:uid="{2737336E-4473-408C-890D-98496BC4CF29}"/>
    <cellStyle name="Ergebnis" xfId="17895" hidden="1" xr:uid="{CA27DA5D-1F5A-4FF0-BF35-6C809881961F}"/>
    <cellStyle name="Ergebnis" xfId="17833" hidden="1" xr:uid="{022F966D-F378-43BD-ADCE-AC7312A85BC9}"/>
    <cellStyle name="Ergebnis" xfId="19187" hidden="1" xr:uid="{FFE89003-3421-44D7-A1AF-04F295E9C862}"/>
    <cellStyle name="Ergebnis" xfId="18935" hidden="1" xr:uid="{A3948429-C287-4633-80B3-11819AB7B390}"/>
    <cellStyle name="Ergebnis" xfId="19428" hidden="1" xr:uid="{75670AE0-F885-4B3B-B8EE-FA2F08D3108D}"/>
    <cellStyle name="Ergebnis" xfId="19884" hidden="1" xr:uid="{997A467D-D5B2-4BD9-8163-4F0592CDE41D}"/>
    <cellStyle name="Ergebnis" xfId="20385" hidden="1" xr:uid="{6B1A9FE6-E2B4-4907-94FC-05DEB01A0C80}"/>
    <cellStyle name="Ergebnis" xfId="20332" hidden="1" xr:uid="{85851344-D838-493D-ACAE-3E004E2DEA96}"/>
    <cellStyle name="Ergebnis" xfId="20838" hidden="1" xr:uid="{490F971D-19E8-49A9-A7DE-AAEBDD120C7C}"/>
    <cellStyle name="Ergebnis" xfId="20373" hidden="1" xr:uid="{EAB112BE-ED64-4DB9-9684-FF75FAA7A43D}"/>
    <cellStyle name="Ergebnis" xfId="20840" hidden="1" xr:uid="{0F46D023-65AD-42CA-9E0A-E979D352BAE3}"/>
    <cellStyle name="Ergebnis" xfId="21640" hidden="1" xr:uid="{213C9EB0-DC01-481A-9104-779160068478}"/>
    <cellStyle name="Ergebnis" xfId="21085" hidden="1" xr:uid="{934139D3-41A9-4B5C-B35A-A362DAC94ACA}"/>
    <cellStyle name="Ergebnis" xfId="21520" hidden="1" xr:uid="{F2F988DD-ADCA-42A9-BF3C-E6231C36735C}"/>
    <cellStyle name="Ergebnis" xfId="21771" hidden="1" xr:uid="{21FAE0B6-3032-456E-AA2E-2EC72B1845C3}"/>
    <cellStyle name="Ergebnis" xfId="21489" hidden="1" xr:uid="{08F62B33-F97C-4620-954F-E31CFAF546A0}"/>
    <cellStyle name="Ergebnis" xfId="22208" hidden="1" xr:uid="{E779E93A-BF69-4EFC-A39B-3626BF1E6487}"/>
    <cellStyle name="Ergebnis" xfId="22429" hidden="1" xr:uid="{6C26DF02-3F38-4CE8-A3E5-BD2D8A2A8F60}"/>
    <cellStyle name="Ergebnis" xfId="22658" hidden="1" xr:uid="{83E7AC27-DFB7-4382-89D0-9AFC7A7200A5}"/>
    <cellStyle name="Ergebnis" xfId="22869" hidden="1" xr:uid="{3E9938BB-AC06-4F1D-9F92-275192BA745B}"/>
    <cellStyle name="Ergebnis" xfId="22915" hidden="1" xr:uid="{7762383D-311E-4C3D-BFFF-A7A31C2598F2}"/>
    <cellStyle name="Ergebnis" xfId="23081" hidden="1" xr:uid="{C5AF20A4-4302-4CEC-9493-B253DBA67CDF}"/>
    <cellStyle name="Ergebnis" xfId="23269" hidden="1" xr:uid="{EDEB7DBC-634F-43A3-A06E-EE22F219DF89}"/>
    <cellStyle name="Ergebnis" xfId="21435" hidden="1" xr:uid="{8DB5842D-9122-4628-AB0E-839603F95203}"/>
    <cellStyle name="Ergebnis" xfId="23218" hidden="1" xr:uid="{8EE75A1E-E44D-47DF-9F49-7CDFAB746A30}"/>
    <cellStyle name="Ergebnis" xfId="23275" hidden="1" xr:uid="{81036AB8-A6B7-4BCD-A5DB-F18D48B6435F}"/>
    <cellStyle name="Ergebnis" xfId="23655" hidden="1" xr:uid="{0BD70D34-142C-4BA3-9D17-EB2031453EFD}"/>
    <cellStyle name="Ergebnis" xfId="23530" hidden="1" xr:uid="{98CC7AF3-BADE-4A8D-8897-76FBC18C7A66}"/>
    <cellStyle name="Ergebnis" xfId="23524" hidden="1" xr:uid="{5B65B286-9C8D-4DC2-9E47-189C949A6B3E}"/>
    <cellStyle name="Ergebnis" xfId="24076" hidden="1" xr:uid="{F5DC54FA-5401-459A-B6F6-118FEF746FFA}"/>
    <cellStyle name="Ergebnis" xfId="24090" hidden="1" xr:uid="{F4608674-7509-47A4-8548-C2CC93D971EC}"/>
    <cellStyle name="Ergebnis" xfId="24151" hidden="1" xr:uid="{BEF7B4ED-B91B-4B8F-B804-E433E45225D1}"/>
    <cellStyle name="Ergebnis" xfId="24590" hidden="1" xr:uid="{0AE55BC4-F054-4C39-B0CE-4295852E71E8}"/>
    <cellStyle name="Ergebnis" xfId="25405" hidden="1" xr:uid="{ECF66970-3514-4E7E-AC52-21694151F64D}"/>
    <cellStyle name="Ergebnis" xfId="24600" hidden="1" xr:uid="{307D05ED-51ED-492E-A5C3-566EB530F7D4}"/>
    <cellStyle name="Ergebnis" xfId="24999" hidden="1" xr:uid="{6B05734A-5D83-4DCC-8751-B012D5B7D8F7}"/>
    <cellStyle name="Ergebnis" xfId="26254" hidden="1" xr:uid="{6875539D-1DD8-4192-9AFF-4DAC3E75DBC1}"/>
    <cellStyle name="Ergebnis" xfId="25423" hidden="1" xr:uid="{CD944EEA-4A2B-48D5-B5D5-F11779703825}"/>
    <cellStyle name="Ergebnis" xfId="25933" hidden="1" xr:uid="{611F679F-718E-43A7-A266-A2ACB5CEBF1B}"/>
    <cellStyle name="Ergebnis" xfId="26643" hidden="1" xr:uid="{FDC76797-9161-45B6-8320-2979655BF58F}"/>
    <cellStyle name="Ergebnis" xfId="26520" hidden="1" xr:uid="{ADDFBCD3-6E5C-4FA3-BEB3-4467212570DF}"/>
    <cellStyle name="Ergebnis" xfId="26386" hidden="1" xr:uid="{AE5E0AC4-38C2-4513-9428-9318EE9F8DF9}"/>
    <cellStyle name="Ergebnis" xfId="25081" hidden="1" xr:uid="{E66E70C1-CFE5-49CF-8BD1-74D5969CFAD5}"/>
    <cellStyle name="Ergebnis" xfId="26553" hidden="1" xr:uid="{C5AFBDC0-47E5-4BEE-9FEE-8186C14ED77F}"/>
    <cellStyle name="Ergebnis" xfId="26771" hidden="1" xr:uid="{46E7BE50-D91B-4D05-81C1-E209F7CC6B0E}"/>
    <cellStyle name="Ergebnis" xfId="27618" hidden="1" xr:uid="{E7EF71E6-FAAE-4C89-89AE-C314DAC1568F}"/>
    <cellStyle name="Ergebnis" xfId="26603" hidden="1" xr:uid="{2A36C0CC-E7FF-47C9-A4E4-8D1D681A2818}"/>
    <cellStyle name="Ergebnis" xfId="27850" hidden="1" xr:uid="{F505039D-A093-4D16-AB14-38D23274CD96}"/>
    <cellStyle name="Ergebnis" xfId="27875" hidden="1" xr:uid="{F0BD08CF-68B8-444A-90D9-F07BABA01421}"/>
    <cellStyle name="Ergebnis" xfId="26536" hidden="1" xr:uid="{1EA6F3A1-E994-4817-98B4-1C3E7C18BFC9}"/>
    <cellStyle name="Ergebnis" xfId="27646" hidden="1" xr:uid="{69221338-66AF-497C-A42E-6AAA58448469}"/>
    <cellStyle name="Ergebnis" xfId="27942" hidden="1" xr:uid="{CDBA6580-715D-49DB-89B4-F6FE5883A479}"/>
    <cellStyle name="Ergebnis" xfId="28344" hidden="1" xr:uid="{C0E8175B-D7BC-4899-9D3F-4EAF60A0AE9A}"/>
    <cellStyle name="Ergebnis" xfId="28744" hidden="1" xr:uid="{DA284FCB-31A1-4F04-A498-73010D3B68BC}"/>
    <cellStyle name="Ergebnis" xfId="29249" hidden="1" xr:uid="{E7EB0044-BA84-4E52-9FB4-C42FC312B8CE}"/>
    <cellStyle name="Ergebnis" xfId="28174" hidden="1" xr:uid="{466F188F-8234-4239-8B00-1EEE56979477}"/>
    <cellStyle name="Ergebnis" xfId="28312" hidden="1" xr:uid="{49D92C78-1C9F-4B6C-B343-3FAC67E0EA72}"/>
    <cellStyle name="Ergebnis" xfId="29234" hidden="1" xr:uid="{CF1D1AB6-B953-46FF-9574-F543FB197F77}"/>
    <cellStyle name="Ergebnis" xfId="28102" hidden="1" xr:uid="{E2331D32-581A-4400-8EBF-E7DFFFD2D386}"/>
    <cellStyle name="Ergebnis" xfId="31000" hidden="1" xr:uid="{33E13E31-A513-406E-8ED6-243BD6DC9B54}"/>
    <cellStyle name="Ergebnis" xfId="30821" hidden="1" xr:uid="{F9E38762-36B1-4A7C-8454-0A466D367647}"/>
    <cellStyle name="Ergebnis 2" xfId="393" xr:uid="{EF08D523-314A-41BC-9BE0-B9B765445A9E}"/>
    <cellStyle name="Ergebnis 2 10" xfId="3630" xr:uid="{297EF098-83A1-4E14-AFFA-487BCA4E54F6}"/>
    <cellStyle name="Ergebnis 2 11" xfId="4925" xr:uid="{E7AEE3F5-02D7-4820-8357-E8A8F6267407}"/>
    <cellStyle name="Ergebnis 2 12" xfId="3384" xr:uid="{F84CB891-B116-473F-8D11-F883AA39C255}"/>
    <cellStyle name="Ergebnis 2 13" xfId="2898" xr:uid="{60ECEC44-2EB5-4246-AE87-D4507260FA32}"/>
    <cellStyle name="Ergebnis 2 14" xfId="6243" xr:uid="{CD1736BE-41CE-4E44-B219-5000597767ED}"/>
    <cellStyle name="Ergebnis 2 15" xfId="7120" xr:uid="{75B28F55-DFA9-4ADB-A28D-2B4152AAD783}"/>
    <cellStyle name="Ergebnis 2 16" xfId="7083" xr:uid="{F3F80151-4179-4874-8576-37B1C2015275}"/>
    <cellStyle name="Ergebnis 2 17" xfId="8401" xr:uid="{88D3C4BF-E774-46B5-A9D2-B1BC34432FA6}"/>
    <cellStyle name="Ergebnis 2 18" xfId="8717" xr:uid="{2A32462F-90F5-4BC6-8C39-414F10779EF4}"/>
    <cellStyle name="Ergebnis 2 19" xfId="9333" xr:uid="{3E7DC276-8148-4657-96B7-AF3A5B018992}"/>
    <cellStyle name="Ergebnis 2 2" xfId="649" xr:uid="{8B17F657-FD4F-4690-8A1A-78800C0DC4B0}"/>
    <cellStyle name="Ergebnis 2 2 10" xfId="4453" xr:uid="{10217E09-1C54-49DE-8396-6CE63AA53E0C}"/>
    <cellStyle name="Ergebnis 2 2 11" xfId="5297" xr:uid="{72943445-2DD3-465E-9F1B-2D3EC1734AE9}"/>
    <cellStyle name="Ergebnis 2 2 12" xfId="4807" xr:uid="{605A7478-F7C9-47A5-A359-B4F45A2698BF}"/>
    <cellStyle name="Ergebnis 2 2 13" xfId="6317" xr:uid="{29885894-B21E-44A0-B473-AC1323B2380B}"/>
    <cellStyle name="Ergebnis 2 2 14" xfId="6452" xr:uid="{6C90D9E5-6CDA-41AA-A329-920779E9F131}"/>
    <cellStyle name="Ergebnis 2 2 15" xfId="7369" xr:uid="{3B4A1A32-7219-48CC-A248-9DAC096B1638}"/>
    <cellStyle name="Ergebnis 2 2 16" xfId="7160" xr:uid="{BD1C3D32-7548-4B46-89AB-503D90F76625}"/>
    <cellStyle name="Ergebnis 2 2 17" xfId="6812" xr:uid="{07DE6BAE-D015-4270-B2B3-DC902DE3D6FC}"/>
    <cellStyle name="Ergebnis 2 2 18" xfId="8832" xr:uid="{71A661E9-7B9F-4840-A6E3-2339DE627B02}"/>
    <cellStyle name="Ergebnis 2 2 19" xfId="9583" xr:uid="{05867E14-AA32-4FB8-A46F-27F6DB790615}"/>
    <cellStyle name="Ergebnis 2 2 2" xfId="864" xr:uid="{79563E67-E2F7-40EA-87E7-097BC83B91FA}"/>
    <cellStyle name="Ergebnis 2 2 2 10" xfId="5512" xr:uid="{8ED1C4B5-2029-4FC6-BDE6-757FF65E0820}"/>
    <cellStyle name="Ergebnis 2 2 2 11" xfId="4895" xr:uid="{285715C4-62AF-451D-BC62-EBC7599E06AD}"/>
    <cellStyle name="Ergebnis 2 2 2 12" xfId="5629" xr:uid="{00AAFDF9-F7D8-427E-81B8-0E945678D9E1}"/>
    <cellStyle name="Ergebnis 2 2 2 13" xfId="6632" xr:uid="{12157C2A-233E-44E6-B79A-D9E2FAB18CC6}"/>
    <cellStyle name="Ergebnis 2 2 2 14" xfId="7584" xr:uid="{BF796B18-7281-4B04-ACD1-F87AE941F6E1}"/>
    <cellStyle name="Ergebnis 2 2 2 15" xfId="7141" xr:uid="{22838996-FA16-4ADC-9DC1-664BCCB5443F}"/>
    <cellStyle name="Ergebnis 2 2 2 16" xfId="7765" xr:uid="{7E94A1B2-B270-4B77-AC1D-FB4E8E182102}"/>
    <cellStyle name="Ergebnis 2 2 2 17" xfId="8778" xr:uid="{57A75B10-122C-4A94-AB27-EA0A29959256}"/>
    <cellStyle name="Ergebnis 2 2 2 18" xfId="9798" xr:uid="{6813080C-624C-491D-AC20-06919E4BC60F}"/>
    <cellStyle name="Ergebnis 2 2 2 19" xfId="9444" xr:uid="{E8B5CD37-F115-4758-94A3-4FAE1F0E74C0}"/>
    <cellStyle name="Ergebnis 2 2 2 2" xfId="1338" xr:uid="{B33433D1-9262-4894-AA8F-C1A23D1E14C1}"/>
    <cellStyle name="Ergebnis 2 2 2 20" xfId="9163" xr:uid="{2639D251-DB3B-465D-981A-E4FC547AFDE8}"/>
    <cellStyle name="Ergebnis 2 2 2 21" xfId="10062" xr:uid="{BDF75A9A-6FCB-4712-B016-EE1AC9A94382}"/>
    <cellStyle name="Ergebnis 2 2 2 22" xfId="11037" xr:uid="{0DA30345-4C01-4909-91D2-B724D7F8CF28}"/>
    <cellStyle name="Ergebnis 2 2 2 23" xfId="12217" xr:uid="{7062943A-3257-4B99-95C2-31EAD3B031B6}"/>
    <cellStyle name="Ergebnis 2 2 2 24" xfId="12690" xr:uid="{27FD470B-75B5-4F3A-94C5-3A05FCE03FD1}"/>
    <cellStyle name="Ergebnis 2 2 2 25" xfId="13124" xr:uid="{D2452CEE-4724-4C5C-9061-8A432969BDA8}"/>
    <cellStyle name="Ergebnis 2 2 2 26" xfId="13561" xr:uid="{5EE9ED31-94B7-4C37-BCD6-B1F26513DB9D}"/>
    <cellStyle name="Ergebnis 2 2 2 27" xfId="13596" xr:uid="{ED6A5A53-B097-44AE-B758-3405CD9FFD13}"/>
    <cellStyle name="Ergebnis 2 2 2 28" xfId="14480" xr:uid="{9BA314AB-FF63-4F0D-87BB-F72B40AF20A2}"/>
    <cellStyle name="Ergebnis 2 2 2 29" xfId="11602" xr:uid="{94A353E2-483E-4379-86E8-D3414EEE568A}"/>
    <cellStyle name="Ergebnis 2 2 2 3" xfId="1787" xr:uid="{87969E85-55AF-4163-A61B-7595E2F0F683}"/>
    <cellStyle name="Ergebnis 2 2 2 30" xfId="15139" xr:uid="{953FFB84-F304-4DA2-9A8B-CF3ACB256C4F}"/>
    <cellStyle name="Ergebnis 2 2 2 31" xfId="15650" xr:uid="{508EED20-3B9E-4296-BAA6-7923BE7BC61A}"/>
    <cellStyle name="Ergebnis 2 2 2 32" xfId="15160" xr:uid="{BEBB3E5C-147D-4C1E-A2F7-FE20D366CFFE}"/>
    <cellStyle name="Ergebnis 2 2 2 33" xfId="16909" xr:uid="{F1EB84D8-9981-4413-ABDC-50C18548C824}"/>
    <cellStyle name="Ergebnis 2 2 2 34" xfId="16464" xr:uid="{D9490746-9201-40B5-A183-F97B76740733}"/>
    <cellStyle name="Ergebnis 2 2 2 35" xfId="16156" xr:uid="{50E7FF4D-19F3-406E-9FC0-DA805BB69B07}"/>
    <cellStyle name="Ergebnis 2 2 2 36" xfId="18198" xr:uid="{EB8B8A6A-E2C0-4BFC-AA9A-6B1632BDC863}"/>
    <cellStyle name="Ergebnis 2 2 2 37" xfId="18727" xr:uid="{E4E2839A-0E0F-4410-A138-6B2C63E5CBDC}"/>
    <cellStyle name="Ergebnis 2 2 2 38" xfId="18835" xr:uid="{304AAFA6-F5C6-414C-B70D-36FCBD8485B7}"/>
    <cellStyle name="Ergebnis 2 2 2 39" xfId="19159" xr:uid="{B8A32BB5-C1FD-4ABA-B54A-D112BD265C9E}"/>
    <cellStyle name="Ergebnis 2 2 2 4" xfId="2686" xr:uid="{A0A12E1F-8C55-4030-941E-F5AA3B2B57F2}"/>
    <cellStyle name="Ergebnis 2 2 2 40" xfId="20246" xr:uid="{37357822-DE7F-4DC3-89D2-658E224FBB09}"/>
    <cellStyle name="Ergebnis 2 2 2 41" xfId="19388" xr:uid="{AFCF790D-B900-4EB3-9771-2B6EDCC3F3D1}"/>
    <cellStyle name="Ergebnis 2 2 2 42" xfId="19545" xr:uid="{90859FCA-9A38-4EE2-B4A1-3B36029A0EF0}"/>
    <cellStyle name="Ergebnis 2 2 2 43" xfId="20917" xr:uid="{C1141702-24F0-4E95-B0FC-3849366E164B}"/>
    <cellStyle name="Ergebnis 2 2 2 44" xfId="20806" xr:uid="{BCC77DF3-5708-4CA9-A9D3-FDEF3363440A}"/>
    <cellStyle name="Ergebnis 2 2 2 45" xfId="20365" xr:uid="{A130EEBA-C243-4517-BD14-1A9B5249B3F1}"/>
    <cellStyle name="Ergebnis 2 2 2 46" xfId="22605" xr:uid="{4E40795C-E387-4624-9E60-17A12C1E456B}"/>
    <cellStyle name="Ergebnis 2 2 2 47" xfId="23110" xr:uid="{4D273423-81F8-4E62-ABCE-A74DD65C176C}"/>
    <cellStyle name="Ergebnis 2 2 2 48" xfId="22737" xr:uid="{83863F89-D671-45B6-AC2F-5CB85FA87377}"/>
    <cellStyle name="Ergebnis 2 2 2 49" xfId="24046" xr:uid="{B6BA6631-D57B-41BC-923A-D56AD5A88BA4}"/>
    <cellStyle name="Ergebnis 2 2 2 5" xfId="2762" xr:uid="{3C2C83C0-6F38-434A-B854-E49F38E60C04}"/>
    <cellStyle name="Ergebnis 2 2 2 50" xfId="24954" xr:uid="{B6F852A5-3BFA-4390-8A08-7276909F3311}"/>
    <cellStyle name="Ergebnis 2 2 2 51" xfId="24467" xr:uid="{34F8C78E-EF4F-4436-BCB3-DF2CF06F6AB3}"/>
    <cellStyle name="Ergebnis 2 2 2 52" xfId="25870" xr:uid="{6F050319-B44C-4480-94AF-849CAE087761}"/>
    <cellStyle name="Ergebnis 2 2 2 53" xfId="25911" xr:uid="{2BB113A8-9BF2-446B-8A53-FB1A2154F81D}"/>
    <cellStyle name="Ergebnis 2 2 2 54" xfId="26737" xr:uid="{33AC0573-FB05-4598-84CA-16629481A40A}"/>
    <cellStyle name="Ergebnis 2 2 2 55" xfId="27158" xr:uid="{7BE3389A-43AD-45E7-943A-7AA8A674B494}"/>
    <cellStyle name="Ergebnis 2 2 2 56" xfId="27577" xr:uid="{E9B19DB4-26B6-4EF9-9389-3DF727D918FB}"/>
    <cellStyle name="Ergebnis 2 2 2 57" xfId="26699" xr:uid="{39736975-33DB-4265-B53D-BCB1C7422278}"/>
    <cellStyle name="Ergebnis 2 2 2 58" xfId="28704" xr:uid="{368EF6EA-26C2-4AE8-87B5-65C85ACDF157}"/>
    <cellStyle name="Ergebnis 2 2 2 59" xfId="29171" xr:uid="{A7E2ABCB-06B4-453B-8B4D-4F3703CDAE61}"/>
    <cellStyle name="Ergebnis 2 2 2 6" xfId="3395" xr:uid="{B023402D-0974-4612-8D24-F0E7C2E0989E}"/>
    <cellStyle name="Ergebnis 2 2 2 60" xfId="28305" xr:uid="{F0BFA36A-D80D-492F-B966-5281C62DA8D0}"/>
    <cellStyle name="Ergebnis 2 2 2 61" xfId="29960" xr:uid="{75E0AA8F-51CB-4BE5-97F2-BD77E852DCA4}"/>
    <cellStyle name="Ergebnis 2 2 2 62" xfId="30366" xr:uid="{67B28A9A-6A26-4237-9D6A-47EEE7167A73}"/>
    <cellStyle name="Ergebnis 2 2 2 63" xfId="30783" xr:uid="{5F76E5D1-DCE0-4F26-A9CB-18F846ACE676}"/>
    <cellStyle name="Ergebnis 2 2 2 64" xfId="31028" xr:uid="{1ABB30EF-CEC8-41A2-B734-B259F557432D}"/>
    <cellStyle name="Ergebnis 2 2 2 65" xfId="31399" xr:uid="{953253F5-5B38-433C-A67E-819D616401A8}"/>
    <cellStyle name="Ergebnis 2 2 2 7" xfId="4182" xr:uid="{6ED78CC5-5647-42EC-8E1C-06BD935B883F}"/>
    <cellStyle name="Ergebnis 2 2 2 8" xfId="4619" xr:uid="{A7277245-B333-405A-8D86-20533DBA0A32}"/>
    <cellStyle name="Ergebnis 2 2 2 9" xfId="5065" xr:uid="{68C30391-DAC5-4A6A-82D4-D34906186DA3}"/>
    <cellStyle name="Ergebnis 2 2 20" xfId="9375" xr:uid="{D32D2BD0-85A7-40FA-A3EA-5833745D2BBF}"/>
    <cellStyle name="Ergebnis 2 2 21" xfId="9627" xr:uid="{DF766EFA-54A3-4F25-9E07-D99F35671D43}"/>
    <cellStyle name="Ergebnis 2 2 22" xfId="10764" xr:uid="{2712EE1D-2084-4BBC-A196-B6EB3099FD48}"/>
    <cellStyle name="Ergebnis 2 2 23" xfId="10454" xr:uid="{BC66087E-E37A-4148-886D-8CCD059E47EC}"/>
    <cellStyle name="Ergebnis 2 2 24" xfId="12002" xr:uid="{507894B5-4AC3-414F-B722-26D75FF6BD67}"/>
    <cellStyle name="Ergebnis 2 2 25" xfId="12475" xr:uid="{A5ECE707-C92F-4E48-AAC1-786321D67750}"/>
    <cellStyle name="Ergebnis 2 2 26" xfId="12909" xr:uid="{6284E992-6112-4452-B0B4-26C358699BBE}"/>
    <cellStyle name="Ergebnis 2 2 27" xfId="13346" xr:uid="{BE24A98F-77EE-430C-880F-855785B1073A}"/>
    <cellStyle name="Ergebnis 2 2 28" xfId="13649" xr:uid="{1CD132AE-F93B-494F-848D-7451C0E33607}"/>
    <cellStyle name="Ergebnis 2 2 29" xfId="14302" xr:uid="{4A1D73FE-2DCD-4285-8F97-56620CE2D408}"/>
    <cellStyle name="Ergebnis 2 2 3" xfId="1132" xr:uid="{24FC4589-9D3E-4067-A0E4-D11A117B509E}"/>
    <cellStyle name="Ergebnis 2 2 30" xfId="14120" xr:uid="{77C8F5EB-11D2-4811-AE54-0E4F7455EAA9}"/>
    <cellStyle name="Ergebnis 2 2 31" xfId="14840" xr:uid="{CA35279D-8995-4F25-9F41-6607A3CD7656}"/>
    <cellStyle name="Ergebnis 2 2 32" xfId="14000" xr:uid="{447D83AC-43C0-4177-92FC-F7B43C5C9CA6}"/>
    <cellStyle name="Ergebnis 2 2 33" xfId="15611" xr:uid="{D1372CA6-B71B-4B0A-95F4-1B6D90452139}"/>
    <cellStyle name="Ergebnis 2 2 34" xfId="16694" xr:uid="{1D8C4BF6-654C-43EE-9C03-FEFDFEA5BDED}"/>
    <cellStyle name="Ergebnis 2 2 35" xfId="16481" xr:uid="{61BB5A22-8CD3-47EE-AAB6-0F00998A3EA5}"/>
    <cellStyle name="Ergebnis 2 2 36" xfId="16458" xr:uid="{7585479A-D196-4123-A3C1-99AB1BC56037}"/>
    <cellStyle name="Ergebnis 2 2 37" xfId="17508" xr:uid="{38F58058-7700-4BF5-9937-989EFE440321}"/>
    <cellStyle name="Ergebnis 2 2 38" xfId="18512" xr:uid="{381C5516-96D9-441C-8E2E-7963F2D989D8}"/>
    <cellStyle name="Ergebnis 2 2 39" xfId="17603" xr:uid="{6C553D12-331F-46E8-9A09-6B0140888844}"/>
    <cellStyle name="Ergebnis 2 2 4" xfId="1452" xr:uid="{16A685EE-D875-46C3-829E-F271608683CA}"/>
    <cellStyle name="Ergebnis 2 2 40" xfId="19183" xr:uid="{A6AD77E3-21FE-49AB-B728-1E328B694A3B}"/>
    <cellStyle name="Ergebnis 2 2 41" xfId="20031" xr:uid="{DF9CF191-247A-47D5-A2E3-08B8AE042086}"/>
    <cellStyle name="Ergebnis 2 2 42" xfId="19817" xr:uid="{D98E75E6-3352-4BE6-B786-A367A03C7486}"/>
    <cellStyle name="Ergebnis 2 2 43" xfId="20362" xr:uid="{9D97B4B7-055A-4190-9B7A-59E448585009}"/>
    <cellStyle name="Ergebnis 2 2 44" xfId="21385" xr:uid="{2726752E-9111-4B6E-98FC-FCD4F7349763}"/>
    <cellStyle name="Ergebnis 2 2 45" xfId="21569" xr:uid="{7911F884-350B-4F64-8DDC-828D7BE151AC}"/>
    <cellStyle name="Ergebnis 2 2 46" xfId="22079" xr:uid="{822879FF-6D74-4532-95C1-99AB2A6224FF}"/>
    <cellStyle name="Ergebnis 2 2 47" xfId="22653" xr:uid="{2A368806-FB2D-4E02-B8B9-02DFD707C07A}"/>
    <cellStyle name="Ergebnis 2 2 48" xfId="22593" xr:uid="{7C7FBE70-CE53-4789-A20B-5B5F98EC254A}"/>
    <cellStyle name="Ergebnis 2 2 49" xfId="23348" xr:uid="{B1AAAD78-EE5C-4198-91FF-3D313A044818}"/>
    <cellStyle name="Ergebnis 2 2 5" xfId="2471" xr:uid="{59EAA913-77CE-49FF-B5A2-11C4F96E2F2D}"/>
    <cellStyle name="Ergebnis 2 2 50" xfId="23840" xr:uid="{87A03C29-585F-4D1C-A172-573174A32BE9}"/>
    <cellStyle name="Ergebnis 2 2 51" xfId="24739" xr:uid="{14015CB7-0A8C-46C7-A5E1-8CB74FBDDDB9}"/>
    <cellStyle name="Ergebnis 2 2 52" xfId="24528" xr:uid="{0932173A-50AA-4AD6-9E74-2587B00C72B6}"/>
    <cellStyle name="Ergebnis 2 2 53" xfId="25657" xr:uid="{C78D2F78-0674-4C16-8741-194FD0C21F8B}"/>
    <cellStyle name="Ergebnis 2 2 54" xfId="25955" xr:uid="{D2809F34-1F0B-4B5E-B224-35BDC35DB366}"/>
    <cellStyle name="Ergebnis 2 2 55" xfId="25043" xr:uid="{DB66E823-5626-4C62-80F4-FADC1772AAE5}"/>
    <cellStyle name="Ergebnis 2 2 56" xfId="26947" xr:uid="{499F830F-46E1-4635-B752-E3171C9BC04D}"/>
    <cellStyle name="Ergebnis 2 2 57" xfId="27366" xr:uid="{22A3A91E-47B5-47FE-A655-F19197DC43B2}"/>
    <cellStyle name="Ergebnis 2 2 58" xfId="27663" xr:uid="{63C13588-661D-44AF-8CB8-14C22A879E70}"/>
    <cellStyle name="Ergebnis 2 2 59" xfId="28489" xr:uid="{FF5899D6-118B-4F37-9E48-7F744B4E94FB}"/>
    <cellStyle name="Ergebnis 2 2 6" xfId="2815" xr:uid="{F1C4614B-70DA-4233-8337-4B95880989FE}"/>
    <cellStyle name="Ergebnis 2 2 60" xfId="28957" xr:uid="{0B1310C4-0656-4B74-A2DF-F3A586BAB29B}"/>
    <cellStyle name="Ergebnis 2 2 61" xfId="28751" xr:uid="{F2DA3057-1840-4DAC-B0DC-87E6101474EB}"/>
    <cellStyle name="Ergebnis 2 2 62" xfId="29747" xr:uid="{BC95AE79-2E31-4CA7-930F-2BCF9E9F065F}"/>
    <cellStyle name="Ergebnis 2 2 63" xfId="30155" xr:uid="{9A230BBD-E0B9-4D27-8F80-6BB86C65F298}"/>
    <cellStyle name="Ergebnis 2 2 64" xfId="30569" xr:uid="{99A8392B-E96F-4A52-BD87-A98BE8CB577D}"/>
    <cellStyle name="Ergebnis 2 2 65" xfId="30963" xr:uid="{22F9C591-FFE8-4572-A470-64374E6E48C1}"/>
    <cellStyle name="Ergebnis 2 2 66" xfId="31193" xr:uid="{338A9D2F-0D6D-474D-BF54-9F89711C35D9}"/>
    <cellStyle name="Ergebnis 2 2 7" xfId="3407" xr:uid="{B4CFB144-CCE1-44BC-9865-CDCC69780743}"/>
    <cellStyle name="Ergebnis 2 2 8" xfId="3967" xr:uid="{FFCAE91F-F1F0-403D-B894-59CA0D6D14A9}"/>
    <cellStyle name="Ergebnis 2 2 9" xfId="4405" xr:uid="{BFD89B16-6155-4881-97F2-16A1250C4CC4}"/>
    <cellStyle name="Ergebnis 2 20" xfId="9297" xr:uid="{D1FD18D0-68C5-463F-AD7A-625619B90787}"/>
    <cellStyle name="Ergebnis 2 21" xfId="11127" xr:uid="{59A537C3-9C47-41FB-A924-DD039F9DC8AE}"/>
    <cellStyle name="Ergebnis 2 22" xfId="11747" xr:uid="{3CE835FD-7F1E-405F-B78A-450588AE934D}"/>
    <cellStyle name="Ergebnis 2 23" xfId="11560" xr:uid="{272421B7-72D0-40C0-AA35-08F6525FBBE0}"/>
    <cellStyle name="Ergebnis 2 24" xfId="11723" xr:uid="{AC463094-1E30-46E8-9678-907991BA5936}"/>
    <cellStyle name="Ergebnis 2 25" xfId="11390" xr:uid="{BD819C14-3F3A-4665-AB04-CB57C9B2A5FD}"/>
    <cellStyle name="Ergebnis 2 26" xfId="13607" xr:uid="{7ED31145-58AC-4925-977B-D7FFFFE0D1C8}"/>
    <cellStyle name="Ergebnis 2 27" xfId="13875" xr:uid="{D645D2D1-0468-479E-B22E-0981B30391F0}"/>
    <cellStyle name="Ergebnis 2 28" xfId="15066" xr:uid="{B8D81F70-EF98-4368-8E50-CE1AAAE08C26}"/>
    <cellStyle name="Ergebnis 2 29" xfId="16442" xr:uid="{14001941-A934-4062-87C4-D32A905CA995}"/>
    <cellStyle name="Ergebnis 2 3" xfId="581" xr:uid="{5749121F-FEC3-4B19-ACCE-B925C567A5FA}"/>
    <cellStyle name="Ergebnis 2 3 10" xfId="4791" xr:uid="{75A191F2-02FC-4C09-B22C-BC42AADDCD21}"/>
    <cellStyle name="Ergebnis 2 3 11" xfId="5229" xr:uid="{D1352070-2892-4864-8C46-4B3CAE4462BB}"/>
    <cellStyle name="Ergebnis 2 3 12" xfId="5032" xr:uid="{C45C2EC3-B58C-4165-8CC9-E999FC7F00F2}"/>
    <cellStyle name="Ergebnis 2 3 13" xfId="5827" xr:uid="{DE5DD792-432C-4AC8-B966-A822B0F09080}"/>
    <cellStyle name="Ergebnis 2 3 14" xfId="5112" xr:uid="{BF71D6E8-6622-4FE0-8F83-04D5396EB82B}"/>
    <cellStyle name="Ergebnis 2 3 15" xfId="7301" xr:uid="{50298E12-3A49-4400-8AA3-1674854C9D57}"/>
    <cellStyle name="Ergebnis 2 3 16" xfId="7820" xr:uid="{2E7CC769-E780-4BE5-A64B-2BE652B4F2F3}"/>
    <cellStyle name="Ergebnis 2 3 17" xfId="8522" xr:uid="{58BB9349-777C-469D-BD5A-71A193EE6684}"/>
    <cellStyle name="Ergebnis 2 3 18" xfId="8267" xr:uid="{5D0E1D42-A3EE-43D0-98E7-20BE190CF4AA}"/>
    <cellStyle name="Ergebnis 2 3 19" xfId="9515" xr:uid="{884DBED3-83E2-41AB-945A-9AAB6F9AB75F}"/>
    <cellStyle name="Ergebnis 2 3 2" xfId="796" xr:uid="{C63B4B53-B436-4894-AA0E-E9C37DC9D9BB}"/>
    <cellStyle name="Ergebnis 2 3 2 10" xfId="5444" xr:uid="{4234BEE1-66CF-48AC-8CAF-737DB273BD72}"/>
    <cellStyle name="Ergebnis 2 3 2 11" xfId="4676" xr:uid="{C9FA7557-C2DD-4113-957C-FD5F1910DB63}"/>
    <cellStyle name="Ergebnis 2 3 2 12" xfId="6329" xr:uid="{AFC14FE5-CA81-4F60-A0A3-70A9C17B074E}"/>
    <cellStyle name="Ergebnis 2 3 2 13" xfId="6449" xr:uid="{09120ACA-7EA4-48BA-BD62-6EC5541DE766}"/>
    <cellStyle name="Ergebnis 2 3 2 14" xfId="7516" xr:uid="{8298471D-6DD6-449B-AC2B-A494C175C645}"/>
    <cellStyle name="Ergebnis 2 3 2 15" xfId="7764" xr:uid="{14CDD300-4159-44B3-B46E-975324294682}"/>
    <cellStyle name="Ergebnis 2 3 2 16" xfId="8500" xr:uid="{2E4D42AD-6CC7-4FD5-8E8C-F2A4A95B323F}"/>
    <cellStyle name="Ergebnis 2 3 2 17" xfId="8530" xr:uid="{52F67998-5E96-4B7A-A067-185B5A5CC515}"/>
    <cellStyle name="Ergebnis 2 3 2 18" xfId="9730" xr:uid="{8C3A0604-75E7-4877-A49E-FC06BC8D83E1}"/>
    <cellStyle name="Ergebnis 2 3 2 19" xfId="9977" xr:uid="{09C94BDC-A88F-44C3-B785-3905E0BCC433}"/>
    <cellStyle name="Ergebnis 2 3 2 2" xfId="1270" xr:uid="{B18F32F5-0210-42C2-A9D8-34AFA6C3D9B1}"/>
    <cellStyle name="Ergebnis 2 3 2 20" xfId="10405" xr:uid="{766A71D6-74C3-49C0-B20A-4E1997903838}"/>
    <cellStyle name="Ergebnis 2 3 2 21" xfId="10554" xr:uid="{9A68A741-7839-45CD-BFB1-4EA759D67520}"/>
    <cellStyle name="Ergebnis 2 3 2 22" xfId="11173" xr:uid="{6AA522CE-EA61-4E56-B48B-EFE4EA0DFE32}"/>
    <cellStyle name="Ergebnis 2 3 2 23" xfId="12149" xr:uid="{95E15149-570B-4FDF-826B-829B7E6FAF8D}"/>
    <cellStyle name="Ergebnis 2 3 2 24" xfId="12622" xr:uid="{0877A1EE-57E4-45E2-8951-307E0E9E46C6}"/>
    <cellStyle name="Ergebnis 2 3 2 25" xfId="13056" xr:uid="{8DD4FDFF-7EE7-4ECD-B2B4-946D37192600}"/>
    <cellStyle name="Ergebnis 2 3 2 26" xfId="13493" xr:uid="{ACB3F66D-6F40-443D-9716-6CFC17F5EE42}"/>
    <cellStyle name="Ergebnis 2 3 2 27" xfId="13741" xr:uid="{EA71154A-13F0-4ACF-B841-C4B689EF517F}"/>
    <cellStyle name="Ergebnis 2 3 2 28" xfId="13992" xr:uid="{84F8F539-BC30-4601-9D0A-25A389FD5B5D}"/>
    <cellStyle name="Ergebnis 2 3 2 29" xfId="14630" xr:uid="{10A68BEB-12B0-4AF2-8D3F-03B1201F890F}"/>
    <cellStyle name="Ergebnis 2 3 2 3" xfId="1699" xr:uid="{D690D1CA-86AE-41B2-BA0D-73757DDC4307}"/>
    <cellStyle name="Ergebnis 2 3 2 30" xfId="14222" xr:uid="{457D6A3C-B25E-4247-A5DA-725D779ACCD5}"/>
    <cellStyle name="Ergebnis 2 3 2 31" xfId="15349" xr:uid="{43B6F85A-8F7A-4BA8-AFD9-A7560913E263}"/>
    <cellStyle name="Ergebnis 2 3 2 32" xfId="15839" xr:uid="{E0097521-1ED1-49B6-82EB-0BC121BF2B8E}"/>
    <cellStyle name="Ergebnis 2 3 2 33" xfId="16841" xr:uid="{68214ADE-8FB6-469C-9D84-BDB0E29F3746}"/>
    <cellStyle name="Ergebnis 2 3 2 34" xfId="17092" xr:uid="{3448CA20-8E7F-4F0B-9B78-7C0BC059B781}"/>
    <cellStyle name="Ergebnis 2 3 2 35" xfId="17540" xr:uid="{1A462235-7DAE-45E9-A78B-530B29608F27}"/>
    <cellStyle name="Ergebnis 2 3 2 36" xfId="17937" xr:uid="{55650FE5-A374-486F-AB4C-5EFEFFA01279}"/>
    <cellStyle name="Ergebnis 2 3 2 37" xfId="18659" xr:uid="{1BAA5778-CC06-480F-8FAC-E8B60D7A2E0B}"/>
    <cellStyle name="Ergebnis 2 3 2 38" xfId="18870" xr:uid="{3312A2DA-C46A-483A-953A-2AFBF3214DB9}"/>
    <cellStyle name="Ergebnis 2 3 2 39" xfId="17707" xr:uid="{456558E4-E702-4E65-B247-9A2D3C73BADD}"/>
    <cellStyle name="Ergebnis 2 3 2 4" xfId="2618" xr:uid="{2581FC22-1765-42F8-9BD7-66E93BACBCBF}"/>
    <cellStyle name="Ergebnis 2 3 2 40" xfId="20178" xr:uid="{076A8359-CF79-43D2-8662-0BD0C86E3424}"/>
    <cellStyle name="Ergebnis 2 3 2 41" xfId="20446" xr:uid="{88861CC1-7970-4172-8F8A-97A6794BFB4B}"/>
    <cellStyle name="Ergebnis 2 3 2 42" xfId="20898" xr:uid="{2F1836C8-9AAD-4C4A-BCF3-2E56B2DE5005}"/>
    <cellStyle name="Ergebnis 2 3 2 43" xfId="21331" xr:uid="{B5277CF7-7470-4D33-97EF-753121565A3D}"/>
    <cellStyle name="Ergebnis 2 3 2 44" xfId="21828" xr:uid="{E13A82B2-8D43-4F9E-9D78-3D911CC2FC85}"/>
    <cellStyle name="Ergebnis 2 3 2 45" xfId="22264" xr:uid="{00BED97D-EC28-4BBF-BB60-E08D172378E2}"/>
    <cellStyle name="Ergebnis 2 3 2 46" xfId="22736" xr:uid="{DEC6F62A-77A0-4AFD-B6BE-E07BBC5B940C}"/>
    <cellStyle name="Ergebnis 2 3 2 47" xfId="23146" xr:uid="{220204A5-B2E9-4A5B-8E3A-928B6000C48D}"/>
    <cellStyle name="Ergebnis 2 3 2 48" xfId="23106" xr:uid="{46868A2C-755D-4A15-9D41-1267ADDE31AE}"/>
    <cellStyle name="Ergebnis 2 3 2 49" xfId="23978" xr:uid="{BE9B4ABF-4A78-4455-9665-A08F67A3A584}"/>
    <cellStyle name="Ergebnis 2 3 2 5" xfId="2906" xr:uid="{C94F6A3B-E508-4A1C-A16C-0F2F5121E284}"/>
    <cellStyle name="Ergebnis 2 3 2 50" xfId="24886" xr:uid="{9FFAE6BA-CD44-47F5-8FDC-939C4F18367A}"/>
    <cellStyle name="Ergebnis 2 3 2 51" xfId="25153" xr:uid="{30363B2A-ED9A-4ECD-AB78-658710BAEB24}"/>
    <cellStyle name="Ergebnis 2 3 2 52" xfId="25802" xr:uid="{AA318FE9-19DF-46C7-94F8-6028C4C61649}"/>
    <cellStyle name="Ergebnis 2 3 2 53" xfId="26041" xr:uid="{AECE3CF9-755F-4127-80A9-2827052AAA46}"/>
    <cellStyle name="Ergebnis 2 3 2 54" xfId="26335" xr:uid="{FBB969BA-52BC-4EB1-BA36-7B75F490E416}"/>
    <cellStyle name="Ergebnis 2 3 2 55" xfId="27090" xr:uid="{B89721A0-9282-4F9F-927C-4AA4B6AB9EE0}"/>
    <cellStyle name="Ergebnis 2 3 2 56" xfId="27509" xr:uid="{C8C4494D-0186-4965-A357-C9A02AF92AE0}"/>
    <cellStyle name="Ergebnis 2 3 2 57" xfId="26067" xr:uid="{CBAF2B98-5076-43F2-84E7-E30320152297}"/>
    <cellStyle name="Ergebnis 2 3 2 58" xfId="28636" xr:uid="{7CD9A543-9ADC-4A5F-BD1A-284FCB0C457E}"/>
    <cellStyle name="Ergebnis 2 3 2 59" xfId="29103" xr:uid="{CD5DD5BC-1D2F-4615-875C-A48D3E04F69A}"/>
    <cellStyle name="Ergebnis 2 3 2 6" xfId="3357" xr:uid="{A4E74800-6F7D-4E66-B338-40471764FBB8}"/>
    <cellStyle name="Ergebnis 2 3 2 60" xfId="29303" xr:uid="{F9AEE1F9-428C-466C-8882-26B0C04146AF}"/>
    <cellStyle name="Ergebnis 2 3 2 61" xfId="29892" xr:uid="{41DEA66C-1A0B-4466-9A8C-FE8F1EE377AF}"/>
    <cellStyle name="Ergebnis 2 3 2 62" xfId="30298" xr:uid="{7B0ED2DF-33CB-4FE5-B34A-C663D23E96D7}"/>
    <cellStyle name="Ergebnis 2 3 2 63" xfId="30715" xr:uid="{93B4B9B2-0F0E-46E0-BDEB-62FB0FF165DE}"/>
    <cellStyle name="Ergebnis 2 3 2 64" xfId="27904" xr:uid="{45413FC1-356B-4636-BADF-C3A7E813E1BE}"/>
    <cellStyle name="Ergebnis 2 3 2 65" xfId="31331" xr:uid="{A388DB28-F2A6-433F-97EB-A79E3676B51C}"/>
    <cellStyle name="Ergebnis 2 3 2 7" xfId="4114" xr:uid="{8CCAF1B3-786C-4BF4-89CE-A28628C1EDEB}"/>
    <cellStyle name="Ergebnis 2 3 2 8" xfId="4551" xr:uid="{DE51D1D7-99CC-4EE8-9CB1-437E1E0EA52F}"/>
    <cellStyle name="Ergebnis 2 3 2 9" xfId="3632" xr:uid="{11746594-03B4-4EA6-A87D-8896D8CDFB55}"/>
    <cellStyle name="Ergebnis 2 3 20" xfId="10033" xr:uid="{6CA65939-DB7F-4314-B179-921453D38A8D}"/>
    <cellStyle name="Ergebnis 2 3 21" xfId="10453" xr:uid="{B79B67DF-B705-4F8C-B6F9-7ACD0476D260}"/>
    <cellStyle name="Ergebnis 2 3 22" xfId="10441" xr:uid="{27116C97-7FFC-4C77-8CDC-C85FD27C1C04}"/>
    <cellStyle name="Ergebnis 2 3 23" xfId="10582" xr:uid="{F6E6B8FB-5B97-45E0-BDD6-D578D596F94E}"/>
    <cellStyle name="Ergebnis 2 3 24" xfId="11934" xr:uid="{67E11FCC-B69A-48DB-9F9F-9027CE41D642}"/>
    <cellStyle name="Ergebnis 2 3 25" xfId="12407" xr:uid="{A4C4C9C5-8DCC-402A-9CFC-C670A35082F7}"/>
    <cellStyle name="Ergebnis 2 3 26" xfId="12841" xr:uid="{D8854986-C3C6-4B01-83D0-40FC46C87EBF}"/>
    <cellStyle name="Ergebnis 2 3 27" xfId="13278" xr:uid="{C02B10B2-0DAC-4D25-9BA5-810F8141BFB3}"/>
    <cellStyle name="Ergebnis 2 3 28" xfId="11828" xr:uid="{9F5CA2F4-0E2A-46EB-A379-420B1C79B168}"/>
    <cellStyle name="Ergebnis 2 3 29" xfId="12956" xr:uid="{5B25D721-18C7-49AE-8E94-D71FE04C7732}"/>
    <cellStyle name="Ergebnis 2 3 3" xfId="1064" xr:uid="{6C48A54D-B71D-4D31-8F2A-7A0EB60F3416}"/>
    <cellStyle name="Ergebnis 2 3 30" xfId="14656" xr:uid="{957EEBD3-01DF-4020-8558-C5AA963F3348}"/>
    <cellStyle name="Ergebnis 2 3 31" xfId="14750" xr:uid="{110A16C8-F7BA-48E4-B2EE-48C5295CA7E3}"/>
    <cellStyle name="Ergebnis 2 3 32" xfId="15213" xr:uid="{7A4B6C96-52C4-4018-847F-2C851DE72D3F}"/>
    <cellStyle name="Ergebnis 2 3 33" xfId="15868" xr:uid="{A73BB910-EA1E-43EA-B544-C5D8563AD4CB}"/>
    <cellStyle name="Ergebnis 2 3 34" xfId="16626" xr:uid="{C42B86AA-6839-4198-A86D-E79958D64259}"/>
    <cellStyle name="Ergebnis 2 3 35" xfId="17150" xr:uid="{EB7095F3-8E07-4689-A68A-28207562BA4E}"/>
    <cellStyle name="Ergebnis 2 3 36" xfId="17596" xr:uid="{DBDC4C1C-26D9-46FF-8FDE-8B2157F583E7}"/>
    <cellStyle name="Ergebnis 2 3 37" xfId="17344" xr:uid="{970F34CD-D840-4F5F-9A35-C28CE6D645E6}"/>
    <cellStyle name="Ergebnis 2 3 38" xfId="18444" xr:uid="{88A4B72F-D718-4B3C-8979-E60E7D792EA1}"/>
    <cellStyle name="Ergebnis 2 3 39" xfId="18309" xr:uid="{8212E345-A575-4920-B279-9281735C0F8A}"/>
    <cellStyle name="Ergebnis 2 3 4" xfId="1620" xr:uid="{FE465EC8-91B9-4CB9-B86B-F65160FEB0E8}"/>
    <cellStyle name="Ergebnis 2 3 40" xfId="18189" xr:uid="{1B6EB382-E3A8-4F4F-955A-74529D3C2101}"/>
    <cellStyle name="Ergebnis 2 3 41" xfId="19963" xr:uid="{971B459F-466C-468B-A998-246E2C52101C}"/>
    <cellStyle name="Ergebnis 2 3 42" xfId="20502" xr:uid="{1055B9AD-3CB9-416B-BD20-C656A75C57FF}"/>
    <cellStyle name="Ergebnis 2 3 43" xfId="20957" xr:uid="{E0E34177-C641-45E3-BE98-05AC654D42A4}"/>
    <cellStyle name="Ergebnis 2 3 44" xfId="20479" xr:uid="{C1F10560-2032-465B-B56F-E43B8E3F8447}"/>
    <cellStyle name="Ergebnis 2 3 45" xfId="21886" xr:uid="{2F759212-82C8-4D1E-90D1-C4D39E090649}"/>
    <cellStyle name="Ergebnis 2 3 46" xfId="22322" xr:uid="{F6798F6F-7921-483E-A612-99FF52126A27}"/>
    <cellStyle name="Ergebnis 2 3 47" xfId="22469" xr:uid="{E14AD953-3AA3-4380-9594-7C486481F33F}"/>
    <cellStyle name="Ergebnis 2 3 48" xfId="22346" xr:uid="{FA1E2535-5128-4189-838A-721D48627548}"/>
    <cellStyle name="Ergebnis 2 3 49" xfId="23144" xr:uid="{D030755A-F3E8-4114-93EC-513CA4C3BAC3}"/>
    <cellStyle name="Ergebnis 2 3 5" xfId="2403" xr:uid="{F63DBA97-ACC8-415F-AACD-732AD786BF01}"/>
    <cellStyle name="Ergebnis 2 3 50" xfId="23772" xr:uid="{9CA81C83-3D81-42DF-9A56-FD393A405D6D}"/>
    <cellStyle name="Ergebnis 2 3 51" xfId="24671" xr:uid="{614348FA-8976-4C69-80A9-DD0892489458}"/>
    <cellStyle name="Ergebnis 2 3 52" xfId="25211" xr:uid="{BE391DA5-94CF-4239-BBF0-046FE8FA8788}"/>
    <cellStyle name="Ergebnis 2 3 53" xfId="25589" xr:uid="{4FBF25BD-8F2F-4B2B-A638-E8B844554C0D}"/>
    <cellStyle name="Ergebnis 2 3 54" xfId="25386" xr:uid="{F274AD61-20C1-400D-9441-A742EF333D13}"/>
    <cellStyle name="Ergebnis 2 3 55" xfId="25472" xr:uid="{DB76EB79-333D-4FD6-B3EE-9AEE804BD0C4}"/>
    <cellStyle name="Ergebnis 2 3 56" xfId="26879" xr:uid="{D95DEE41-CF83-4840-BF78-602423CE8490}"/>
    <cellStyle name="Ergebnis 2 3 57" xfId="27298" xr:uid="{A9936164-FEEF-46CF-9277-6A8FC84013BB}"/>
    <cellStyle name="Ergebnis 2 3 58" xfId="26114" xr:uid="{0973DB8B-139A-40DA-B32C-645864328415}"/>
    <cellStyle name="Ergebnis 2 3 59" xfId="28421" xr:uid="{F0987C76-88B5-4970-A611-3C919A616181}"/>
    <cellStyle name="Ergebnis 2 3 6" xfId="1833" xr:uid="{3CA1993D-1572-4A94-9FB7-D3CED4E3052F}"/>
    <cellStyle name="Ergebnis 2 3 60" xfId="28889" xr:uid="{38B7D579-4173-456F-BE6F-A429D4CC70FE}"/>
    <cellStyle name="Ergebnis 2 3 61" xfId="29352" xr:uid="{3DE4B7CD-D546-4EB7-A829-14E2EC70A62C}"/>
    <cellStyle name="Ergebnis 2 3 62" xfId="29679" xr:uid="{E61AF015-5569-432A-8750-90C61A904B83}"/>
    <cellStyle name="Ergebnis 2 3 63" xfId="30087" xr:uid="{DF0AECFD-6D10-4FAC-96A2-984E1C89ABE1}"/>
    <cellStyle name="Ergebnis 2 3 64" xfId="30501" xr:uid="{85E0105A-6EF0-4187-82A2-EB28D744F800}"/>
    <cellStyle name="Ergebnis 2 3 65" xfId="30918" xr:uid="{28EE7BCF-88DA-45C2-98CF-4C03250D471A}"/>
    <cellStyle name="Ergebnis 2 3 66" xfId="31125" xr:uid="{23988DC8-3200-43A0-8CB3-AC1BF6A76664}"/>
    <cellStyle name="Ergebnis 2 3 7" xfId="3549" xr:uid="{4A7CCC71-61BB-4171-982A-CA7DE76A13B6}"/>
    <cellStyle name="Ergebnis 2 3 8" xfId="3899" xr:uid="{9326A9B8-1F79-4583-AF90-D8EAD086625A}"/>
    <cellStyle name="Ergebnis 2 3 9" xfId="4337" xr:uid="{BA941138-3ED1-47EB-991D-5245A3DC4CAF}"/>
    <cellStyle name="Ergebnis 2 30" xfId="16405" xr:uid="{D28D8A10-AD6D-4659-9099-2C7BBAF5773B}"/>
    <cellStyle name="Ergebnis 2 31" xfId="18268" xr:uid="{73013290-D068-4E3A-B0E4-EF51810B33BA}"/>
    <cellStyle name="Ergebnis 2 32" xfId="17673" xr:uid="{1DC726B1-2C76-4009-930E-A4DFB8F420DD}"/>
    <cellStyle name="Ergebnis 2 33" xfId="19092" xr:uid="{7AA6A267-6ED9-4E91-8507-9DEDBADE0DB5}"/>
    <cellStyle name="Ergebnis 2 34" xfId="19776" xr:uid="{E7B0444A-673B-4C3A-AFAF-F1405B9333CF}"/>
    <cellStyle name="Ergebnis 2 35" xfId="19740" xr:uid="{30E56BE5-DFF9-4B87-88B0-11D051E14C5B}"/>
    <cellStyle name="Ergebnis 2 36" xfId="21566" xr:uid="{4EE856A7-2FD7-4AC7-B5EA-325F9555E476}"/>
    <cellStyle name="Ergebnis 2 37" xfId="22616" xr:uid="{2C129991-3E4F-45D9-8586-124578F9A28C}"/>
    <cellStyle name="Ergebnis 2 38" xfId="23511" xr:uid="{E6FB686F-ADAE-406D-986A-8FC2271C6CF5}"/>
    <cellStyle name="Ergebnis 2 39" xfId="24487" xr:uid="{C1CEC3D7-265F-4E0D-B58A-C7586E5009F3}"/>
    <cellStyle name="Ergebnis 2 4" xfId="572" xr:uid="{93E8AEC1-F932-4AA0-A10B-C2A74804F90A}"/>
    <cellStyle name="Ergebnis 2 4 10" xfId="4822" xr:uid="{8CFD9D53-58FA-4AA7-9528-59C9B6C20046}"/>
    <cellStyle name="Ergebnis 2 4 11" xfId="5220" xr:uid="{CE78523D-9021-4A2E-BCA9-3692B0C9E90D}"/>
    <cellStyle name="Ergebnis 2 4 12" xfId="1830" xr:uid="{AE2FF8C2-352F-4135-88C0-35CB4497E5B5}"/>
    <cellStyle name="Ergebnis 2 4 13" xfId="6120" xr:uid="{C64B006F-2375-4DD3-B14F-372B2F3D23B0}"/>
    <cellStyle name="Ergebnis 2 4 14" xfId="6688" xr:uid="{9C516F09-439C-49E9-A783-BE909D81C85F}"/>
    <cellStyle name="Ergebnis 2 4 15" xfId="7292" xr:uid="{CC8C6F0D-8160-484A-A3C3-7B051E97BFC2}"/>
    <cellStyle name="Ergebnis 2 4 16" xfId="7187" xr:uid="{28EBE8EB-C042-45FF-80EE-86FBF7D45762}"/>
    <cellStyle name="Ergebnis 2 4 17" xfId="8512" xr:uid="{7009F3A7-A1F1-4878-84A9-2EC9FFECF0C9}"/>
    <cellStyle name="Ergebnis 2 4 18" xfId="8468" xr:uid="{DD5D8EDD-1E25-4B62-A1E9-A9A4EDEE2CD4}"/>
    <cellStyle name="Ergebnis 2 4 19" xfId="9506" xr:uid="{56428C87-A26B-4DD7-BC9B-93F2A28167ED}"/>
    <cellStyle name="Ergebnis 2 4 2" xfId="787" xr:uid="{70A5A05D-E7FB-44A0-8C2C-68B0D785D3F2}"/>
    <cellStyle name="Ergebnis 2 4 2 10" xfId="5435" xr:uid="{BEF839E5-0566-463C-8919-EC896E86015D}"/>
    <cellStyle name="Ergebnis 2 4 2 11" xfId="5551" xr:uid="{DA085685-BD76-4E42-8D9B-81F0A483E470}"/>
    <cellStyle name="Ergebnis 2 4 2 12" xfId="4866" xr:uid="{3CDD822B-835A-48A2-A2D3-753A5844334C}"/>
    <cellStyle name="Ergebnis 2 4 2 13" xfId="6248" xr:uid="{CC1B2886-A0BD-48D1-B25D-3CFCE78AD1C1}"/>
    <cellStyle name="Ergebnis 2 4 2 14" xfId="7507" xr:uid="{AA6E0943-AC38-47A0-9A2A-94604D1AAF88}"/>
    <cellStyle name="Ergebnis 2 4 2 15" xfId="6865" xr:uid="{9438DB20-B89E-4A9C-AA4C-37ED3E948C65}"/>
    <cellStyle name="Ergebnis 2 4 2 16" xfId="8435" xr:uid="{DD024D76-07CC-4A5A-B126-0E1BF05E2B62}"/>
    <cellStyle name="Ergebnis 2 4 2 17" xfId="8539" xr:uid="{BF2FA477-D0A7-468B-A463-88399F3E4E7B}"/>
    <cellStyle name="Ergebnis 2 4 2 18" xfId="9721" xr:uid="{4A639E82-37E3-4814-B5B3-2111A31BC880}"/>
    <cellStyle name="Ergebnis 2 4 2 19" xfId="9170" xr:uid="{6D9B86C7-C54C-48FA-86F9-3E324D5B910C}"/>
    <cellStyle name="Ergebnis 2 4 2 2" xfId="1261" xr:uid="{8803F670-975E-499C-A5D9-EF78A432DE3A}"/>
    <cellStyle name="Ergebnis 2 4 2 20" xfId="10100" xr:uid="{D05B33A3-5EAA-4CA3-8CA9-7EF35CF35D37}"/>
    <cellStyle name="Ergebnis 2 4 2 21" xfId="9063" xr:uid="{96DFD96B-725D-4222-88F6-71C363B8C867}"/>
    <cellStyle name="Ergebnis 2 4 2 22" xfId="11171" xr:uid="{757C3F00-61CA-4697-A0B5-1C28557524D3}"/>
    <cellStyle name="Ergebnis 2 4 2 23" xfId="12140" xr:uid="{66C77A43-5011-413A-A56B-BB789DFBD899}"/>
    <cellStyle name="Ergebnis 2 4 2 24" xfId="12613" xr:uid="{4FE30D27-27D0-4267-AE5B-8E248963F0E1}"/>
    <cellStyle name="Ergebnis 2 4 2 25" xfId="13047" xr:uid="{1E3857BE-267E-49F2-A636-F6F08F6DCE08}"/>
    <cellStyle name="Ergebnis 2 4 2 26" xfId="13484" xr:uid="{9C7E829C-3483-47F5-9CA5-E5192ED76BFC}"/>
    <cellStyle name="Ergebnis 2 4 2 27" xfId="11543" xr:uid="{C3291942-ECB9-411D-82CE-B60C975CF9E0}"/>
    <cellStyle name="Ergebnis 2 4 2 28" xfId="12264" xr:uid="{7776EAC1-4C54-40B4-8B72-849251788CBC}"/>
    <cellStyle name="Ergebnis 2 4 2 29" xfId="14197" xr:uid="{B2108F56-82BC-46B6-A779-720EF4966BC9}"/>
    <cellStyle name="Ergebnis 2 4 2 3" xfId="1561" xr:uid="{44F8124E-849A-4AB5-8CF5-D9C303858BF7}"/>
    <cellStyle name="Ergebnis 2 4 2 30" xfId="15314" xr:uid="{D1BFF892-0480-4E90-9DB2-6F35AB45F0D5}"/>
    <cellStyle name="Ergebnis 2 4 2 31" xfId="14985" xr:uid="{0DE92843-98DA-4B14-ACA9-1230F2EC4B56}"/>
    <cellStyle name="Ergebnis 2 4 2 32" xfId="15262" xr:uid="{8143BCFD-F752-4C51-883B-B57FBFA9C364}"/>
    <cellStyle name="Ergebnis 2 4 2 33" xfId="16832" xr:uid="{08AF41A6-169C-4AF5-BE93-15A5D7A33FED}"/>
    <cellStyle name="Ergebnis 2 4 2 34" xfId="16181" xr:uid="{BB73E21B-7DAB-4DBF-AF3D-84D1E9906C9E}"/>
    <cellStyle name="Ergebnis 2 4 2 35" xfId="17219" xr:uid="{B2EDE404-5F34-46B9-A54C-1B566237C72D}"/>
    <cellStyle name="Ergebnis 2 4 2 36" xfId="18134" xr:uid="{455557A2-ADD1-4EA7-AD91-049176BAF917}"/>
    <cellStyle name="Ergebnis 2 4 2 37" xfId="18650" xr:uid="{1D6913A0-74A3-4AE3-8B26-C9F3FCB0F8F7}"/>
    <cellStyle name="Ergebnis 2 4 2 38" xfId="18109" xr:uid="{761B63BB-5264-4DE4-B666-BA80B23C6DC6}"/>
    <cellStyle name="Ergebnis 2 4 2 39" xfId="16207" xr:uid="{36163B51-4739-44B1-9B1C-5912512D0272}"/>
    <cellStyle name="Ergebnis 2 4 2 4" xfId="2609" xr:uid="{3A885C13-BA98-42EF-89FC-527753FAFF16}"/>
    <cellStyle name="Ergebnis 2 4 2 40" xfId="20169" xr:uid="{EE427F0A-A69F-41BD-BE87-B4511B3F97F0}"/>
    <cellStyle name="Ergebnis 2 4 2 41" xfId="19747" xr:uid="{F30C01D2-55A2-461D-9E16-F77D368DC147}"/>
    <cellStyle name="Ergebnis 2 4 2 42" xfId="20548" xr:uid="{3EEAAAC2-C52F-4B23-AAC1-45CDABCC2995}"/>
    <cellStyle name="Ergebnis 2 4 2 43" xfId="20727" xr:uid="{D18BF693-FB6C-4D64-8982-9790166BE5E5}"/>
    <cellStyle name="Ergebnis 2 4 2 44" xfId="19767" xr:uid="{E6D9B93D-80C9-4C79-AF36-A166030468CC}"/>
    <cellStyle name="Ergebnis 2 4 2 45" xfId="19810" xr:uid="{B9DB4FE6-6D0E-4515-8683-B20AC58AFA08}"/>
    <cellStyle name="Ergebnis 2 4 2 46" xfId="22205" xr:uid="{5C6CF7FA-20E9-47BE-A6F2-CFD902F1F84F}"/>
    <cellStyle name="Ergebnis 2 4 2 47" xfId="22348" xr:uid="{25BC4317-82D2-470F-BF64-AFFE020B1A20}"/>
    <cellStyle name="Ergebnis 2 4 2 48" xfId="23138" xr:uid="{EFA5004D-887B-42AB-8DCC-FE0C0CCE5F76}"/>
    <cellStyle name="Ergebnis 2 4 2 49" xfId="23969" xr:uid="{07A4574E-D961-4C3A-ACDC-A09677176C21}"/>
    <cellStyle name="Ergebnis 2 4 2 5" xfId="2141" xr:uid="{3E11B2EF-1667-4542-B3DA-39B63AF704D0}"/>
    <cellStyle name="Ergebnis 2 4 2 50" xfId="24877" xr:uid="{25883847-54AD-42E4-BB3F-81B790BB8A1F}"/>
    <cellStyle name="Ergebnis 2 4 2 51" xfId="24225" xr:uid="{C690040F-A031-459A-A6B8-3E59923596D2}"/>
    <cellStyle name="Ergebnis 2 4 2 52" xfId="25793" xr:uid="{7D1510B0-A54B-4937-BD45-52B55A0AB054}"/>
    <cellStyle name="Ergebnis 2 4 2 53" xfId="25446" xr:uid="{E6411F10-9315-43FB-AEA3-FA77CD3AFED0}"/>
    <cellStyle name="Ergebnis 2 4 2 54" xfId="25918" xr:uid="{56DB2569-D763-4904-9DAD-28D8E64BB4B5}"/>
    <cellStyle name="Ergebnis 2 4 2 55" xfId="27081" xr:uid="{9E1AFD44-0C5B-4C4D-A85E-CB89F40BF6AB}"/>
    <cellStyle name="Ergebnis 2 4 2 56" xfId="27500" xr:uid="{DAEEF2CA-9EF1-495E-85DD-003D9A9C8E6B}"/>
    <cellStyle name="Ergebnis 2 4 2 57" xfId="26679" xr:uid="{06BC796A-25C3-4664-84D1-A72A73447971}"/>
    <cellStyle name="Ergebnis 2 4 2 58" xfId="28627" xr:uid="{F26E7777-E7F9-40F5-84CC-C8FF0AFC7D8C}"/>
    <cellStyle name="Ergebnis 2 4 2 59" xfId="29094" xr:uid="{63CB0143-9BD1-40F5-AF87-3A77DCBFEF4F}"/>
    <cellStyle name="Ergebnis 2 4 2 6" xfId="3242" xr:uid="{3013D72C-F142-4AB0-A54F-0248C68F61CD}"/>
    <cellStyle name="Ergebnis 2 4 2 60" xfId="27959" xr:uid="{FAB2DC5D-BA4E-497A-9BA0-B064C10B96B9}"/>
    <cellStyle name="Ergebnis 2 4 2 61" xfId="29883" xr:uid="{59731EE8-66D9-4BA2-9A04-2DDBEA2C3FFA}"/>
    <cellStyle name="Ergebnis 2 4 2 62" xfId="30289" xr:uid="{0211D5C3-6594-44DB-8D81-73CFBEAE0436}"/>
    <cellStyle name="Ergebnis 2 4 2 63" xfId="30706" xr:uid="{9FF52379-5BE9-4F7F-8062-3D4D5B2239BE}"/>
    <cellStyle name="Ergebnis 2 4 2 64" xfId="30971" xr:uid="{881F37FD-9651-4B4F-AF3F-05630C94DE81}"/>
    <cellStyle name="Ergebnis 2 4 2 65" xfId="31322" xr:uid="{D9496629-EFA6-41B4-8200-86E1C095DAD7}"/>
    <cellStyle name="Ergebnis 2 4 2 7" xfId="4105" xr:uid="{4E3F6D78-D017-429E-8930-794D51BA6F16}"/>
    <cellStyle name="Ergebnis 2 4 2 8" xfId="4542" xr:uid="{D605A00E-C5C0-4653-A93C-49E91B5BEA24}"/>
    <cellStyle name="Ergebnis 2 4 2 9" xfId="3186" xr:uid="{0EE2AF09-7886-4A31-9568-4C9EF9122873}"/>
    <cellStyle name="Ergebnis 2 4 20" xfId="9400" xr:uid="{683A5949-4529-44F9-87A3-6E8B28309F61}"/>
    <cellStyle name="Ergebnis 2 4 21" xfId="10162" xr:uid="{17284123-7613-44ED-BB50-8A83717EC01C}"/>
    <cellStyle name="Ergebnis 2 4 22" xfId="10228" xr:uid="{4DE68C0C-ABD9-422C-8355-36E4709E50AE}"/>
    <cellStyle name="Ergebnis 2 4 23" xfId="11305" xr:uid="{CE553E88-B252-4CE5-A6B3-B6D14AE589C8}"/>
    <cellStyle name="Ergebnis 2 4 24" xfId="11925" xr:uid="{461E77C4-2DD2-42EC-A165-0EEB57AE6965}"/>
    <cellStyle name="Ergebnis 2 4 25" xfId="12398" xr:uid="{8D87AD49-1414-4238-A66E-D6999E5F6129}"/>
    <cellStyle name="Ergebnis 2 4 26" xfId="12832" xr:uid="{D75B32EF-5F66-4204-89D9-0228F6F7A6E7}"/>
    <cellStyle name="Ergebnis 2 4 27" xfId="13269" xr:uid="{03CA2551-E9C2-4C93-BD39-6F48D6F47FC8}"/>
    <cellStyle name="Ergebnis 2 4 28" xfId="11820" xr:uid="{6D08DADE-B420-4388-BDDE-1133A0EDB3A7}"/>
    <cellStyle name="Ergebnis 2 4 29" xfId="13181" xr:uid="{3A128240-5458-485A-A2B2-AA8B1DA7D43C}"/>
    <cellStyle name="Ergebnis 2 4 3" xfId="1055" xr:uid="{5EDDFACC-545A-41EA-A23F-1A47D5CB25F6}"/>
    <cellStyle name="Ergebnis 2 4 30" xfId="13969" xr:uid="{E14FFDCF-EBA3-4908-9F15-D9AD3AE5AD6F}"/>
    <cellStyle name="Ergebnis 2 4 31" xfId="15300" xr:uid="{A1896BEF-B86F-4719-8863-D490A230D973}"/>
    <cellStyle name="Ergebnis 2 4 32" xfId="15651" xr:uid="{486E712B-81ED-4E0D-B32F-9B26BA10C5F1}"/>
    <cellStyle name="Ergebnis 2 4 33" xfId="15011" xr:uid="{3B228AD9-BA01-43C6-8E07-A3F581FF7005}"/>
    <cellStyle name="Ergebnis 2 4 34" xfId="16617" xr:uid="{C85B6279-84A1-47BB-A1A0-C1063190F9BC}"/>
    <cellStyle name="Ergebnis 2 4 35" xfId="16509" xr:uid="{73F74BEF-D6D9-4687-B2CC-0033EF1457B7}"/>
    <cellStyle name="Ergebnis 2 4 36" xfId="17281" xr:uid="{179771F3-3F19-4054-AD81-C928C5608543}"/>
    <cellStyle name="Ergebnis 2 4 37" xfId="16393" xr:uid="{274BB5CB-AF16-44CF-8C08-99AA72541235}"/>
    <cellStyle name="Ergebnis 2 4 38" xfId="18435" xr:uid="{4A585485-8701-4933-A06E-EC8653001F63}"/>
    <cellStyle name="Ergebnis 2 4 39" xfId="18295" xr:uid="{60A6A6FF-37B0-44C7-9CC6-37D977B6E8AB}"/>
    <cellStyle name="Ergebnis 2 4 4" xfId="1527" xr:uid="{BB994755-DB78-437A-A0BD-DA7D82964C20}"/>
    <cellStyle name="Ergebnis 2 4 40" xfId="17997" xr:uid="{9EB87026-1AD0-42E1-936C-A7CC6A3DD520}"/>
    <cellStyle name="Ergebnis 2 4 41" xfId="19954" xr:uid="{AFF6327C-5311-4A9B-9FA2-17AE1E559620}"/>
    <cellStyle name="Ergebnis 2 4 42" xfId="19845" xr:uid="{AE7C12BD-1528-4F97-8282-F3D68497B1FE}"/>
    <cellStyle name="Ergebnis 2 4 43" xfId="19502" xr:uid="{BE53DD4A-689F-4B69-B1DD-1A43E0B7170E}"/>
    <cellStyle name="Ergebnis 2 4 44" xfId="21003" xr:uid="{BFD489EF-60BE-44F4-821D-BCEE632BA9AF}"/>
    <cellStyle name="Ergebnis 2 4 45" xfId="21294" xr:uid="{973E5D73-CE52-42E8-8409-D15C2A2D1185}"/>
    <cellStyle name="Ergebnis 2 4 46" xfId="21973" xr:uid="{3F0446D9-F468-4CE8-A96F-C2F3E057A093}"/>
    <cellStyle name="Ergebnis 2 4 47" xfId="22308" xr:uid="{EC1ED2A9-82AA-49E9-9BBB-D18E83E7DEE7}"/>
    <cellStyle name="Ergebnis 2 4 48" xfId="19423" xr:uid="{4611EA5B-DE32-4710-A99D-AB1D55C19E75}"/>
    <cellStyle name="Ergebnis 2 4 49" xfId="22299" xr:uid="{52BAA737-54C4-496C-9792-22C5ECB6438F}"/>
    <cellStyle name="Ergebnis 2 4 5" xfId="2394" xr:uid="{6DCB5E05-75A7-4973-B692-A137F1625985}"/>
    <cellStyle name="Ergebnis 2 4 50" xfId="23763" xr:uid="{B0B98651-EA3A-4AE2-9E29-A394FE5997A4}"/>
    <cellStyle name="Ergebnis 2 4 51" xfId="24662" xr:uid="{3914FF8C-253A-4CFE-BD54-C755848F937A}"/>
    <cellStyle name="Ergebnis 2 4 52" xfId="24518" xr:uid="{12BA0342-05D1-4284-BFEC-19DE861F3CC1}"/>
    <cellStyle name="Ergebnis 2 4 53" xfId="25580" xr:uid="{CBEB2786-F519-4C88-BFDC-20CAE4F1FB98}"/>
    <cellStyle name="Ergebnis 2 4 54" xfId="26140" xr:uid="{106BFA4F-4981-4A55-8FA6-DB6FE549C9C8}"/>
    <cellStyle name="Ergebnis 2 4 55" xfId="26151" xr:uid="{216D852F-A6BE-489C-932A-F37C2F0C7168}"/>
    <cellStyle name="Ergebnis 2 4 56" xfId="26870" xr:uid="{ED03BC77-A16E-413C-9430-D900751981F0}"/>
    <cellStyle name="Ergebnis 2 4 57" xfId="27289" xr:uid="{832F55B7-1680-4A8A-A01F-78CF99BC6287}"/>
    <cellStyle name="Ergebnis 2 4 58" xfId="27747" xr:uid="{DACBCB93-ABEE-4CC2-96DC-3B1B6634D4EE}"/>
    <cellStyle name="Ergebnis 2 4 59" xfId="28412" xr:uid="{861765DB-EBFA-432B-8023-7B9FABC08AFB}"/>
    <cellStyle name="Ergebnis 2 4 6" xfId="2228" xr:uid="{DF6E7B49-F315-4FAA-BB10-9FD797228EA4}"/>
    <cellStyle name="Ergebnis 2 4 60" xfId="28880" xr:uid="{7D0C39A8-AF6C-461A-A08C-C95E463A2365}"/>
    <cellStyle name="Ergebnis 2 4 61" xfId="28210" xr:uid="{60CE2843-34DE-4AF0-8814-40854C7DD40E}"/>
    <cellStyle name="Ergebnis 2 4 62" xfId="29670" xr:uid="{54BA91E3-74E4-4083-9801-577C3738F7D4}"/>
    <cellStyle name="Ergebnis 2 4 63" xfId="30078" xr:uid="{3D57CAF8-726C-4F4A-BE1D-21B10B295C1A}"/>
    <cellStyle name="Ergebnis 2 4 64" xfId="30492" xr:uid="{0E18ECA6-EBC7-45D0-B2A0-492A8C624052}"/>
    <cellStyle name="Ergebnis 2 4 65" xfId="31005" xr:uid="{96ED62AB-6E6B-4527-B64B-441BDEE27B44}"/>
    <cellStyle name="Ergebnis 2 4 66" xfId="31116" xr:uid="{CCD09B07-A092-4FAA-BBC2-096768643610}"/>
    <cellStyle name="Ergebnis 2 4 7" xfId="3022" xr:uid="{661F6122-265B-41F0-9D13-B2B70A26F6DD}"/>
    <cellStyle name="Ergebnis 2 4 8" xfId="3890" xr:uid="{7BA17644-902E-4AA0-B9E9-EE18E033C4D0}"/>
    <cellStyle name="Ergebnis 2 4 9" xfId="4328" xr:uid="{7E7BA302-5FE9-4AC4-A6A5-9058FC6E9918}"/>
    <cellStyle name="Ergebnis 2 40" xfId="24469" xr:uid="{5A7967F9-A0B0-4C82-99A8-542AFC5E2E01}"/>
    <cellStyle name="Ergebnis 2 41" xfId="24263" xr:uid="{CB275501-F11E-44B2-86A0-E8D8DFF220DA}"/>
    <cellStyle name="Ergebnis 2 42" xfId="24471" xr:uid="{BCC277C1-661F-49AC-9C0F-82F1D7B79E1A}"/>
    <cellStyle name="Ergebnis 2 43" xfId="26157" xr:uid="{8FF44538-C3FE-4B7F-B5C4-90990F1E4664}"/>
    <cellStyle name="Ergebnis 2 44" xfId="26700" xr:uid="{CA1C06DC-588D-4224-806F-DF307212B848}"/>
    <cellStyle name="Ergebnis 2 45" xfId="24202" xr:uid="{31B9039F-26BE-4722-82D1-B6333B084001}"/>
    <cellStyle name="Ergebnis 2 46" xfId="28250" xr:uid="{64E7F4FF-3ED2-4EE7-90AF-10AFE6E4DCD5}"/>
    <cellStyle name="Ergebnis 2 47" xfId="28085" xr:uid="{C5FF9EF0-1DF9-4518-A98F-39A42808A8EF}"/>
    <cellStyle name="Ergebnis 2 48" xfId="29217" xr:uid="{FDE35F06-72FD-411E-9A7E-B4B1009D49D6}"/>
    <cellStyle name="Ergebnis 2 49" xfId="29360" xr:uid="{F661008F-20F6-4C85-BC1A-3FAA52D384EA}"/>
    <cellStyle name="Ergebnis 2 5" xfId="707" xr:uid="{CBD16545-AA45-4CCB-904E-1D1FA2B20B14}"/>
    <cellStyle name="Ergebnis 2 5 10" xfId="5355" xr:uid="{801D18ED-2036-4038-969B-0C6B98E0BAF3}"/>
    <cellStyle name="Ergebnis 2 5 11" xfId="5935" xr:uid="{D2BE5C75-51FD-4127-899D-2446AB2D27FB}"/>
    <cellStyle name="Ergebnis 2 5 12" xfId="5634" xr:uid="{F44C4B15-D70B-4D85-9001-AF8142BCC03D}"/>
    <cellStyle name="Ergebnis 2 5 13" xfId="6455" xr:uid="{0ED56DFC-1F7C-4011-BEF5-00243041A27E}"/>
    <cellStyle name="Ergebnis 2 5 14" xfId="7427" xr:uid="{4074EA20-106E-44B6-98CB-E9ED7A830337}"/>
    <cellStyle name="Ergebnis 2 5 15" xfId="6969" xr:uid="{C323A42F-4CB4-4310-BC8D-93377751EF7B}"/>
    <cellStyle name="Ergebnis 2 5 16" xfId="8477" xr:uid="{792F85BB-E0D0-40A4-BA7D-91FEDDD16828}"/>
    <cellStyle name="Ergebnis 2 5 17" xfId="8706" xr:uid="{F3178823-96F9-4FCA-9D72-C16001B31C9A}"/>
    <cellStyle name="Ergebnis 2 5 18" xfId="9641" xr:uid="{8884D808-7DD7-426E-8D09-30FE9D288150}"/>
    <cellStyle name="Ergebnis 2 5 19" xfId="9182" xr:uid="{3A65B196-F6B2-48A7-9916-0C61029E315F}"/>
    <cellStyle name="Ergebnis 2 5 2" xfId="1181" xr:uid="{8F656179-48E3-40E8-9979-BF7B3B8F90A7}"/>
    <cellStyle name="Ergebnis 2 5 20" xfId="9894" xr:uid="{30C28368-5CC6-4D15-8DA2-9D3FAC282DA1}"/>
    <cellStyle name="Ergebnis 2 5 21" xfId="10856" xr:uid="{42856051-C067-4CD4-AE93-A0617088E833}"/>
    <cellStyle name="Ergebnis 2 5 22" xfId="11274" xr:uid="{DC697E6E-A382-42B1-8845-FA4E964A558B}"/>
    <cellStyle name="Ergebnis 2 5 23" xfId="12060" xr:uid="{15186ECD-948B-4883-86AB-A7F27DCC68F6}"/>
    <cellStyle name="Ergebnis 2 5 24" xfId="12533" xr:uid="{E3F6C3C7-EBE0-4E2A-8CB4-EE3A856A58A1}"/>
    <cellStyle name="Ergebnis 2 5 25" xfId="12967" xr:uid="{F4C8EF50-995B-4D4D-98A2-ADAEDBA20645}"/>
    <cellStyle name="Ergebnis 2 5 26" xfId="13404" xr:uid="{028061B2-48F8-46B6-83C5-86DB81EBE8A1}"/>
    <cellStyle name="Ergebnis 2 5 27" xfId="11449" xr:uid="{E4170C46-CB2E-44CE-A601-F4B4C2DEED2D}"/>
    <cellStyle name="Ergebnis 2 5 28" xfId="14462" xr:uid="{22FF659C-8B95-4695-836E-398504B32AC3}"/>
    <cellStyle name="Ergebnis 2 5 29" xfId="14094" xr:uid="{14C1457F-68B8-408E-A2CE-B4781FEB3B27}"/>
    <cellStyle name="Ergebnis 2 5 3" xfId="1538" xr:uid="{B644703F-A570-4613-8D2E-C08D65A1A27A}"/>
    <cellStyle name="Ergebnis 2 5 30" xfId="15134" xr:uid="{02AF24DE-BC10-4AED-8AA3-C93DDA93FE03}"/>
    <cellStyle name="Ergebnis 2 5 31" xfId="15571" xr:uid="{FB5724AF-B736-42A0-BBE0-22E4AC170E4E}"/>
    <cellStyle name="Ergebnis 2 5 32" xfId="15635" xr:uid="{CB261776-C883-404A-AA9B-6C553EDAFC46}"/>
    <cellStyle name="Ergebnis 2 5 33" xfId="16752" xr:uid="{A167E7D0-BB0D-4A7D-9F3C-92791A1A676C}"/>
    <cellStyle name="Ergebnis 2 5 34" xfId="16289" xr:uid="{23FE1455-6120-4E7B-B595-5F57B635D103}"/>
    <cellStyle name="Ergebnis 2 5 35" xfId="17008" xr:uid="{8B5F1B86-C594-4321-941B-1482ABCBA7EF}"/>
    <cellStyle name="Ergebnis 2 5 36" xfId="18246" xr:uid="{3BEAF22C-5C4F-47AA-BFFC-388CE3FEE4CE}"/>
    <cellStyle name="Ergebnis 2 5 37" xfId="18570" xr:uid="{C74E5E52-BCDE-4F97-B522-A9DEA38808FD}"/>
    <cellStyle name="Ergebnis 2 5 38" xfId="18786" xr:uid="{C66D12E6-B505-4116-9945-5D8A9F7F9A81}"/>
    <cellStyle name="Ergebnis 2 5 39" xfId="17775" xr:uid="{208FD061-F116-453E-AD66-A8C367F3D83A}"/>
    <cellStyle name="Ergebnis 2 5 4" xfId="2529" xr:uid="{E35F890B-27B1-4FD0-A4EB-7E19243CCCA2}"/>
    <cellStyle name="Ergebnis 2 5 40" xfId="20089" xr:uid="{4B48B8C8-36AF-4B18-8E6C-56C503E858A1}"/>
    <cellStyle name="Ergebnis 2 5 41" xfId="19622" xr:uid="{6C3140D4-A370-4BA6-B36A-F54D1D509C33}"/>
    <cellStyle name="Ergebnis 2 5 42" xfId="20542" xr:uid="{8B6FF8E3-915D-4D5C-89C2-B7A239060412}"/>
    <cellStyle name="Ergebnis 2 5 43" xfId="21250" xr:uid="{5CE8AFF2-2956-495C-A76F-F68E9CD1D345}"/>
    <cellStyle name="Ergebnis 2 5 44" xfId="21669" xr:uid="{5609146A-909C-4F42-8BCD-161237F2FB91}"/>
    <cellStyle name="Ergebnis 2 5 45" xfId="21744" xr:uid="{3B419C1D-40F8-4492-BAF8-2538DCA77042}"/>
    <cellStyle name="Ergebnis 2 5 46" xfId="22036" xr:uid="{35AB820C-C9E6-4359-A56F-6C085E39CE89}"/>
    <cellStyle name="Ergebnis 2 5 47" xfId="23058" xr:uid="{D8EA5AEC-C98C-4A7F-A8EF-8CDDEAA8D606}"/>
    <cellStyle name="Ergebnis 2 5 48" xfId="23619" xr:uid="{6859AFC2-59C8-4212-A530-1EB1301AE173}"/>
    <cellStyle name="Ergebnis 2 5 49" xfId="23889" xr:uid="{6960B546-382C-4313-AB12-8A921B3669B1}"/>
    <cellStyle name="Ergebnis 2 5 5" xfId="2194" xr:uid="{4A4C3837-8A8B-44F0-A43C-358204322A03}"/>
    <cellStyle name="Ergebnis 2 5 50" xfId="24797" xr:uid="{D9984557-4C1E-466C-8D12-92C884174FE8}"/>
    <cellStyle name="Ergebnis 2 5 51" xfId="24343" xr:uid="{A5DB59AD-5E57-4602-91C6-57F164A659E3}"/>
    <cellStyle name="Ergebnis 2 5 52" xfId="25713" xr:uid="{C8D1ACF2-470F-46DE-8A90-5364A03774CC}"/>
    <cellStyle name="Ergebnis 2 5 53" xfId="25184" xr:uid="{822B836F-BB2A-4B68-8A27-602AFBB5FF6D}"/>
    <cellStyle name="Ergebnis 2 5 54" xfId="26249" xr:uid="{3B3A02E7-D396-4B52-B528-4D78496F2455}"/>
    <cellStyle name="Ergebnis 2 5 55" xfId="27001" xr:uid="{C450E0DE-DB09-40F8-A7AF-E8AF4DB58C9A}"/>
    <cellStyle name="Ergebnis 2 5 56" xfId="27420" xr:uid="{025A1EA9-1EDE-4CC8-B634-3474E7AFBBE8}"/>
    <cellStyle name="Ergebnis 2 5 57" xfId="26711" xr:uid="{1BDA706A-AA2A-45E3-8D90-1ECB5AA4EE8E}"/>
    <cellStyle name="Ergebnis 2 5 58" xfId="28547" xr:uid="{831D12EA-8D17-4A7F-A7C7-3F44420A7F4E}"/>
    <cellStyle name="Ergebnis 2 5 59" xfId="29014" xr:uid="{CEB8C949-EE66-42C3-AF7B-D3E4AD0A9C43}"/>
    <cellStyle name="Ergebnis 2 5 6" xfId="2300" xr:uid="{2AA46651-7956-4AAD-90A8-41A29921BE20}"/>
    <cellStyle name="Ergebnis 2 5 60" xfId="27894" xr:uid="{F980044C-F24D-45A4-AD24-DF86208CE941}"/>
    <cellStyle name="Ergebnis 2 5 61" xfId="29803" xr:uid="{4A9C3B9D-1DB6-4F9C-8550-0AA6B9E9F134}"/>
    <cellStyle name="Ergebnis 2 5 62" xfId="30209" xr:uid="{E1F66544-C862-4F3F-8D83-85AEFE430B9B}"/>
    <cellStyle name="Ergebnis 2 5 63" xfId="30626" xr:uid="{BF5580CA-9556-407A-AD23-FC55A58B81E6}"/>
    <cellStyle name="Ergebnis 2 5 64" xfId="30810" xr:uid="{E1099836-3AE9-4AA5-8BE7-374E317B6A65}"/>
    <cellStyle name="Ergebnis 2 5 65" xfId="31242" xr:uid="{68E4DE6F-CF94-4F11-B420-7D06316DB75A}"/>
    <cellStyle name="Ergebnis 2 5 7" xfId="4025" xr:uid="{AD54A919-E21E-4FA4-8118-22224FBA76C8}"/>
    <cellStyle name="Ergebnis 2 5 8" xfId="4462" xr:uid="{B3927E91-4080-4F67-950C-D93D3D394EA7}"/>
    <cellStyle name="Ergebnis 2 5 9" xfId="4842" xr:uid="{59C8F8D1-AAEB-48D7-B94A-45F2A862447B}"/>
    <cellStyle name="Ergebnis 2 50" xfId="30878" xr:uid="{6C620252-FC7B-44B5-A449-BEEC3B5CE4A6}"/>
    <cellStyle name="Ergebnis 2 51" xfId="29793" xr:uid="{D0AC8626-0E75-46C1-83E1-498198BEF1D3}"/>
    <cellStyle name="Ergebnis 2 6" xfId="979" xr:uid="{46C58A7B-AC49-4C17-AFF4-BA9DC4322726}"/>
    <cellStyle name="Ergebnis 2 7" xfId="2216" xr:uid="{EC743C3C-91E2-4C32-B1FD-A456E6865E5D}"/>
    <cellStyle name="Ergebnis 2 8" xfId="2774" xr:uid="{F8BC3E22-7EF3-4178-A5E6-F4EFA798BE54}"/>
    <cellStyle name="Ergebnis 2 9" xfId="1941" xr:uid="{8C1F84E3-7521-40FE-A5C2-F9D3264E00E8}"/>
    <cellStyle name="Ergebnis 3" xfId="286" xr:uid="{4201BECD-02A0-41E0-BE2B-46A0BA935D77}"/>
    <cellStyle name="Ergebnis 3 10" xfId="3690" xr:uid="{C1C94F19-DB3E-42E6-A869-BDFEB3714F5F}"/>
    <cellStyle name="Ergebnis 3 11" xfId="3441" xr:uid="{39A71E75-AFDB-46B7-A7DE-E07E009082EF}"/>
    <cellStyle name="Ergebnis 3 12" xfId="4849" xr:uid="{0656F092-A51A-4104-8053-CB5AF5F97EB5}"/>
    <cellStyle name="Ergebnis 3 13" xfId="6052" xr:uid="{05401F54-F044-434D-968C-1059582F7A7B}"/>
    <cellStyle name="Ergebnis 3 14" xfId="6656" xr:uid="{17B79B2A-33C0-4728-8229-524376E597FF}"/>
    <cellStyle name="Ergebnis 3 15" xfId="7016" xr:uid="{25E52CBD-F795-4E24-AB74-30FF442599EF}"/>
    <cellStyle name="Ergebnis 3 16" xfId="7636" xr:uid="{F01ADB18-31E9-4F96-B459-C8D192A90BF1}"/>
    <cellStyle name="Ergebnis 3 17" xfId="7828" xr:uid="{D50812A8-AB78-45FF-8182-F8D52F29D4A7}"/>
    <cellStyle name="Ergebnis 3 18" xfId="8641" xr:uid="{6F578B7A-1EB9-4DDD-9AB8-FCFB6A8C3A90}"/>
    <cellStyle name="Ergebnis 3 19" xfId="9229" xr:uid="{594244CB-D8D3-4E9A-A23E-68D2D108CE08}"/>
    <cellStyle name="Ergebnis 3 2" xfId="623" xr:uid="{54E29AF0-F95F-4EC4-BF01-F7834B375F91}"/>
    <cellStyle name="Ergebnis 3 2 10" xfId="4843" xr:uid="{CDBED5BA-B7C8-406F-AB5D-C428132DD035}"/>
    <cellStyle name="Ergebnis 3 2 11" xfId="5271" xr:uid="{4940A23F-B7A3-4604-B928-E651742EA427}"/>
    <cellStyle name="Ergebnis 3 2 12" xfId="4696" xr:uid="{5836E458-A8DC-4355-A701-BA23AA40BF82}"/>
    <cellStyle name="Ergebnis 3 2 13" xfId="5995" xr:uid="{16340220-46D4-4855-B8F3-38D46E86F1CC}"/>
    <cellStyle name="Ergebnis 3 2 14" xfId="3330" xr:uid="{A338151E-5531-4634-AF7D-90A885EC38A8}"/>
    <cellStyle name="Ergebnis 3 2 15" xfId="7343" xr:uid="{131C6FDE-B6C5-4102-B648-E84EA56C3722}"/>
    <cellStyle name="Ergebnis 3 2 16" xfId="6912" xr:uid="{61DBB845-4930-4F49-88FC-01B201984F04}"/>
    <cellStyle name="Ergebnis 3 2 17" xfId="7027" xr:uid="{82371368-5A63-4028-B68D-509117E53363}"/>
    <cellStyle name="Ergebnis 3 2 18" xfId="8825" xr:uid="{DCA6465A-4AFD-4FE1-8843-44EAD6BF6C72}"/>
    <cellStyle name="Ergebnis 3 2 19" xfId="9557" xr:uid="{D2DA488E-68F6-4AF9-803D-64E111970200}"/>
    <cellStyle name="Ergebnis 3 2 2" xfId="838" xr:uid="{9F6CD28A-96CE-404C-BFC1-C1D432A5A0D7}"/>
    <cellStyle name="Ergebnis 3 2 2 10" xfId="5486" xr:uid="{5488BCA0-58BE-47C9-86D9-2361F423C8CB}"/>
    <cellStyle name="Ergebnis 3 2 2 11" xfId="5018" xr:uid="{B7368BBA-73EC-463A-9C60-5E249F772A40}"/>
    <cellStyle name="Ergebnis 3 2 2 12" xfId="6093" xr:uid="{4A7C358B-D731-466C-82E1-004DA073E63F}"/>
    <cellStyle name="Ergebnis 3 2 2 13" xfId="6179" xr:uid="{84A55545-3F3D-464C-8A50-04E9F0F382B1}"/>
    <cellStyle name="Ergebnis 3 2 2 14" xfId="7558" xr:uid="{4B587699-80BB-4B7A-A9B3-83F011DF84F2}"/>
    <cellStyle name="Ergebnis 3 2 2 15" xfId="7713" xr:uid="{EAA6540D-99C5-4CD8-B69D-2F2E5D1B1861}"/>
    <cellStyle name="Ergebnis 3 2 2 16" xfId="8299" xr:uid="{BC7B938A-B11A-4397-901B-AE6DFCEE2E73}"/>
    <cellStyle name="Ergebnis 3 2 2 17" xfId="8811" xr:uid="{BFE00CB6-547A-4827-B840-B0978E3AAE00}"/>
    <cellStyle name="Ergebnis 3 2 2 18" xfId="9772" xr:uid="{496A97E9-FCCA-4028-AFED-8DE4EB0C6D0F}"/>
    <cellStyle name="Ergebnis 3 2 2 19" xfId="9927" xr:uid="{70565A3C-DE57-44B1-A83C-E5FE74D58036}"/>
    <cellStyle name="Ergebnis 3 2 2 2" xfId="1312" xr:uid="{3736F302-F4D4-461A-B506-3C205DE6D1AF}"/>
    <cellStyle name="Ergebnis 3 2 2 20" xfId="10358" xr:uid="{85C7B4DB-08CB-4D43-9985-ED75B3C752C3}"/>
    <cellStyle name="Ergebnis 3 2 2 21" xfId="10909" xr:uid="{F9FA8A08-7B92-4CC8-8710-D138442F095F}"/>
    <cellStyle name="Ergebnis 3 2 2 22" xfId="11183" xr:uid="{D5B60E9B-DBC7-4EE2-815C-317B1F45B514}"/>
    <cellStyle name="Ergebnis 3 2 2 23" xfId="12191" xr:uid="{862EC2C5-6807-4514-A2F5-54A2AB8220F4}"/>
    <cellStyle name="Ergebnis 3 2 2 24" xfId="12664" xr:uid="{B8A7AA9C-CCC3-4A94-A5CD-255ACAFDB0C1}"/>
    <cellStyle name="Ergebnis 3 2 2 25" xfId="13098" xr:uid="{352B6D9B-F7D5-409A-9EB6-7F3D3A43FAAD}"/>
    <cellStyle name="Ergebnis 3 2 2 26" xfId="13535" xr:uid="{43EFFAD7-61FC-4DF5-86E2-925652DC0DF1}"/>
    <cellStyle name="Ergebnis 3 2 2 27" xfId="13791" xr:uid="{81EF1D4C-215B-4482-881F-B489425C0633}"/>
    <cellStyle name="Ergebnis 3 2 2 28" xfId="14018" xr:uid="{E9A942C1-F546-4C8F-8B05-B66F0813A6FB}"/>
    <cellStyle name="Ergebnis 3 2 2 29" xfId="14579" xr:uid="{30E100EA-6C6F-488E-9D6C-7350A5389F52}"/>
    <cellStyle name="Ergebnis 3 2 2 3" xfId="1761" xr:uid="{09797AAA-9ED9-4C98-8C5B-6B8E158C190F}"/>
    <cellStyle name="Ergebnis 3 2 2 30" xfId="14548" xr:uid="{6EF100B9-F7CD-4390-9715-A76DDDA688BF}"/>
    <cellStyle name="Ergebnis 3 2 2 31" xfId="15531" xr:uid="{5A23523D-35FB-46AD-A80D-7BF191A09FC8}"/>
    <cellStyle name="Ergebnis 3 2 2 32" xfId="15815" xr:uid="{E8135F03-4CE9-4916-B94D-70F5731CBE02}"/>
    <cellStyle name="Ergebnis 3 2 2 33" xfId="16883" xr:uid="{1318269A-626E-4BF4-BE28-8F8454409F7F}"/>
    <cellStyle name="Ergebnis 3 2 2 34" xfId="17041" xr:uid="{11A4F6FD-A343-47A2-907E-6162F6A9B37B}"/>
    <cellStyle name="Ergebnis 3 2 2 35" xfId="17489" xr:uid="{2DB12FC5-105E-4D8D-A0B6-D6E7FFA56898}"/>
    <cellStyle name="Ergebnis 3 2 2 36" xfId="16534" xr:uid="{3E48D0FD-EBD0-45CB-8C93-3C74986C088F}"/>
    <cellStyle name="Ergebnis 3 2 2 37" xfId="18701" xr:uid="{5FFB5ECD-C69F-4900-8925-940ECFCE8630}"/>
    <cellStyle name="Ergebnis 3 2 2 38" xfId="19031" xr:uid="{0E2D0496-CE19-435C-81C0-A5448081CA13}"/>
    <cellStyle name="Ergebnis 3 2 2 39" xfId="19259" xr:uid="{EF7FE369-CC23-4239-9B79-68060C3B1676}"/>
    <cellStyle name="Ergebnis 3 2 2 4" xfId="2660" xr:uid="{3DED7E80-EFA2-469C-BD93-98DD28E6C97B}"/>
    <cellStyle name="Ergebnis 3 2 2 40" xfId="20220" xr:uid="{5943AB93-E5B9-4A69-80A0-D2F081465254}"/>
    <cellStyle name="Ergebnis 3 2 2 41" xfId="20393" xr:uid="{3F991B9E-7ED7-45CC-B335-615FB791A09E}"/>
    <cellStyle name="Ergebnis 3 2 2 42" xfId="20846" xr:uid="{EEA3D216-1267-469D-8D53-5F2160878F18}"/>
    <cellStyle name="Ergebnis 3 2 2 43" xfId="21401" xr:uid="{001B99B5-D994-4149-9404-162614364831}"/>
    <cellStyle name="Ergebnis 3 2 2 44" xfId="21779" xr:uid="{5ACF3611-4880-43DB-B7C1-1DCDBDFADFAB}"/>
    <cellStyle name="Ergebnis 3 2 2 45" xfId="22216" xr:uid="{E29406E8-E919-4D34-8CFE-22EA26E86A0B}"/>
    <cellStyle name="Ergebnis 3 2 2 46" xfId="22783" xr:uid="{285C50B3-B1DC-4F0D-AB4F-88613B27A55E}"/>
    <cellStyle name="Ergebnis 3 2 2 47" xfId="23309" xr:uid="{524E34F9-BA31-4CE1-98B2-5AFC0EB56880}"/>
    <cellStyle name="Ergebnis 3 2 2 48" xfId="23478" xr:uid="{A8FC3A32-07FC-48B2-ADF5-4B71F8CB036F}"/>
    <cellStyle name="Ergebnis 3 2 2 49" xfId="24020" xr:uid="{E77E2359-0940-49F1-9E31-6023214CE4AC}"/>
    <cellStyle name="Ergebnis 3 2 2 5" xfId="2958" xr:uid="{C2702C0F-346F-4F39-9EF0-D8F22C830505}"/>
    <cellStyle name="Ergebnis 3 2 2 50" xfId="24928" xr:uid="{816F3BE6-3C96-4B0C-AD2E-56278B74F6E9}"/>
    <cellStyle name="Ergebnis 3 2 2 51" xfId="25103" xr:uid="{A5C724B7-F152-4D6A-BBB5-B090BE950287}"/>
    <cellStyle name="Ergebnis 3 2 2 52" xfId="25844" xr:uid="{74E33C50-9BDE-458E-89EB-9ADE1F8130C6}"/>
    <cellStyle name="Ergebnis 3 2 2 53" xfId="26087" xr:uid="{7D1A7FC3-380B-4D15-BDB3-2D0DF57F9796}"/>
    <cellStyle name="Ergebnis 3 2 2 54" xfId="26607" xr:uid="{A1E2D135-C3CB-469D-A41B-AB0675CA69C6}"/>
    <cellStyle name="Ergebnis 3 2 2 55" xfId="27132" xr:uid="{5ED14FF2-FA77-4087-876F-1C958728DBC3}"/>
    <cellStyle name="Ergebnis 3 2 2 56" xfId="27551" xr:uid="{A439F876-1E6C-424C-A264-58602EF6AB56}"/>
    <cellStyle name="Ergebnis 3 2 2 57" xfId="27625" xr:uid="{F253D0DA-F9CC-4C7C-9533-A479C6C52DC0}"/>
    <cellStyle name="Ergebnis 3 2 2 58" xfId="28678" xr:uid="{42BF1B12-2C7C-4265-9991-C98C7A0C6BCE}"/>
    <cellStyle name="Ergebnis 3 2 2 59" xfId="29145" xr:uid="{17CCE8C5-479D-47A4-8F48-9270AB8EF223}"/>
    <cellStyle name="Ergebnis 3 2 2 6" xfId="3533" xr:uid="{E354D20F-F2E4-4579-AC9B-1F9F591344AC}"/>
    <cellStyle name="Ergebnis 3 2 2 60" xfId="29257" xr:uid="{07CAC14C-894C-483F-AE4B-7EFAE4B71F48}"/>
    <cellStyle name="Ergebnis 3 2 2 61" xfId="29934" xr:uid="{95E4031A-B038-4A81-B64D-0FACFEF8AA70}"/>
    <cellStyle name="Ergebnis 3 2 2 62" xfId="30340" xr:uid="{D2E01F80-6CBD-4219-A477-5AE21C09B566}"/>
    <cellStyle name="Ergebnis 3 2 2 63" xfId="30757" xr:uid="{61083EC4-65F3-43A2-8119-97A278B7D892}"/>
    <cellStyle name="Ergebnis 3 2 2 64" xfId="29599" xr:uid="{D4D5A073-B14B-472E-91AF-8609F68939FD}"/>
    <cellStyle name="Ergebnis 3 2 2 65" xfId="31373" xr:uid="{129C342F-C412-4DF2-8D51-C617A44CA721}"/>
    <cellStyle name="Ergebnis 3 2 2 7" xfId="4156" xr:uid="{140CB5BB-D48F-40BD-AD87-BE75ADD925F0}"/>
    <cellStyle name="Ergebnis 3 2 2 8" xfId="4593" xr:uid="{FAD662F8-7E16-4B27-AE47-DE746ABE30CC}"/>
    <cellStyle name="Ergebnis 3 2 2 9" xfId="3396" xr:uid="{A34A17F8-55B6-4795-AA78-B22B468A8193}"/>
    <cellStyle name="Ergebnis 3 2 20" xfId="9125" xr:uid="{F4B32E13-9646-4235-9614-CCE204DD89A0}"/>
    <cellStyle name="Ergebnis 3 2 21" xfId="9046" xr:uid="{8C2F29E7-92F5-409B-84AD-6E59BFC0C408}"/>
    <cellStyle name="Ergebnis 3 2 22" xfId="10783" xr:uid="{FCE81F31-8F17-45A4-93FD-E54FFDE6EA5F}"/>
    <cellStyle name="Ergebnis 3 2 23" xfId="9342" xr:uid="{BCDC6E1C-4853-478E-AA98-122ED0BB568D}"/>
    <cellStyle name="Ergebnis 3 2 24" xfId="11976" xr:uid="{00D51559-6602-43D0-9584-FD403B06441D}"/>
    <cellStyle name="Ergebnis 3 2 25" xfId="12449" xr:uid="{43406889-BF26-4877-A5AD-C9509B82FA50}"/>
    <cellStyle name="Ergebnis 3 2 26" xfId="12883" xr:uid="{3821FBFA-69A6-4DFA-9E77-C2997AA951AD}"/>
    <cellStyle name="Ergebnis 3 2 27" xfId="13320" xr:uid="{96628E5C-2A3E-4A42-947A-0772C3ABA5D1}"/>
    <cellStyle name="Ergebnis 3 2 28" xfId="13727" xr:uid="{BB5D031D-616F-494B-A0E4-A586FA52222A}"/>
    <cellStyle name="Ergebnis 3 2 29" xfId="14445" xr:uid="{9E25C9F1-8FEB-47E6-AB17-BED95EE6D90E}"/>
    <cellStyle name="Ergebnis 3 2 3" xfId="1106" xr:uid="{B31ADEBA-49BD-4752-A901-8FC84344CB0C}"/>
    <cellStyle name="Ergebnis 3 2 30" xfId="14844" xr:uid="{0A8C2372-0B0F-4082-AFDF-82C33BD5EDB9}"/>
    <cellStyle name="Ergebnis 3 2 31" xfId="15226" xr:uid="{8E18347E-7810-49CB-AB90-E00FFBFC6C7D}"/>
    <cellStyle name="Ergebnis 3 2 32" xfId="15246" xr:uid="{E162C79E-2610-417E-9E73-11780D408806}"/>
    <cellStyle name="Ergebnis 3 2 33" xfId="13996" xr:uid="{02E534B8-7D5A-49B9-A53E-23133ED853EB}"/>
    <cellStyle name="Ergebnis 3 2 34" xfId="16668" xr:uid="{000942D6-02FD-46FD-BE5F-0C3A9BCF1B6E}"/>
    <cellStyle name="Ergebnis 3 2 35" xfId="16229" xr:uid="{44999452-481B-46AB-8DBF-51EDE7627EDC}"/>
    <cellStyle name="Ergebnis 3 2 36" xfId="16258" xr:uid="{8EBAAC46-5F87-47F3-BEE4-3FC27C1525B6}"/>
    <cellStyle name="Ergebnis 3 2 37" xfId="17612" xr:uid="{309BE5B8-79F0-406D-8FCD-DE06273569E9}"/>
    <cellStyle name="Ergebnis 3 2 38" xfId="18486" xr:uid="{EAEAAFE7-8D78-4258-81FD-A153EA5C43F1}"/>
    <cellStyle name="Ergebnis 3 2 39" xfId="18872" xr:uid="{CFAC34C4-0208-4783-9143-55C58423F03E}"/>
    <cellStyle name="Ergebnis 3 2 4" xfId="1453" xr:uid="{11A76C73-6607-4F38-A6F6-10219CFFBA41}"/>
    <cellStyle name="Ergebnis 3 2 40" xfId="19219" xr:uid="{01DA7DAA-F952-48DE-B90C-51928D75B4AE}"/>
    <cellStyle name="Ergebnis 3 2 41" xfId="20005" xr:uid="{61DB96CB-1A2A-4CB5-AFCC-E90EC66A4D80}"/>
    <cellStyle name="Ergebnis 3 2 42" xfId="19562" xr:uid="{D6CD4F97-64CB-4B62-8688-249A7027C139}"/>
    <cellStyle name="Ergebnis 3 2 43" xfId="19791" xr:uid="{EB6A2CBA-32CD-439B-B6E2-E36B2BFA6F11}"/>
    <cellStyle name="Ergebnis 3 2 44" xfId="20438" xr:uid="{B5CB0C1A-D3CD-4956-A502-B021E4F29F81}"/>
    <cellStyle name="Ergebnis 3 2 45" xfId="21561" xr:uid="{8F0FADFC-1687-4430-B4C3-30B055494970}"/>
    <cellStyle name="Ergebnis 3 2 46" xfId="21094" xr:uid="{7BF4CD62-845F-4AE9-9C95-6019B9ACB397}"/>
    <cellStyle name="Ergebnis 3 2 47" xfId="22723" xr:uid="{33912DE2-0569-495A-84C8-EC33BE977992}"/>
    <cellStyle name="Ergebnis 3 2 48" xfId="23149" xr:uid="{D2DB7245-7C08-46A4-A375-B4A9A35A2115}"/>
    <cellStyle name="Ergebnis 3 2 49" xfId="22944" xr:uid="{D07E9AEB-00FE-47BF-8BEA-27A5191E95B7}"/>
    <cellStyle name="Ergebnis 3 2 5" xfId="2445" xr:uid="{CEA98878-AB09-4536-A46C-01CA9C359176}"/>
    <cellStyle name="Ergebnis 3 2 50" xfId="23814" xr:uid="{6DE43DB8-813A-4E7D-9305-3A570D4B7592}"/>
    <cellStyle name="Ergebnis 3 2 51" xfId="24713" xr:uid="{827B2A23-E42D-4C97-918E-9F73927DD512}"/>
    <cellStyle name="Ergebnis 3 2 52" xfId="24283" xr:uid="{09943AAA-B6B6-468D-BA0A-D357BB9B7318}"/>
    <cellStyle name="Ergebnis 3 2 53" xfId="25631" xr:uid="{BBB4BD87-C9EF-437C-AC30-A597D5E067C5}"/>
    <cellStyle name="Ergebnis 3 2 54" xfId="26027" xr:uid="{B0C269A7-8EA8-4FF1-8E6C-04203BC2F80C}"/>
    <cellStyle name="Ergebnis 3 2 55" xfId="26099" xr:uid="{196941BF-96E3-4E11-A393-EC7E6D638B4F}"/>
    <cellStyle name="Ergebnis 3 2 56" xfId="26921" xr:uid="{66505A5C-C2AF-4BC3-9A83-6E9EE6075CB1}"/>
    <cellStyle name="Ergebnis 3 2 57" xfId="27340" xr:uid="{8B69FFC6-9F7B-4829-81B0-65FBD7F34F9F}"/>
    <cellStyle name="Ergebnis 3 2 58" xfId="27756" xr:uid="{6906E668-74EB-4FCB-A2A2-EAE02E0346AB}"/>
    <cellStyle name="Ergebnis 3 2 59" xfId="28463" xr:uid="{01F1D70E-8928-40B5-9E12-1FA652B04968}"/>
    <cellStyle name="Ergebnis 3 2 6" xfId="2892" xr:uid="{74F650E8-A91B-4707-8B2D-050E849C6C6F}"/>
    <cellStyle name="Ergebnis 3 2 60" xfId="28931" xr:uid="{D0844688-F13B-42DC-9024-D90A53DFE203}"/>
    <cellStyle name="Ergebnis 3 2 61" xfId="28814" xr:uid="{746E4D52-6F78-4A9E-B51D-E0AEC1D2FF07}"/>
    <cellStyle name="Ergebnis 3 2 62" xfId="29721" xr:uid="{658302C2-4BAE-4121-A679-9F1E9BF370D8}"/>
    <cellStyle name="Ergebnis 3 2 63" xfId="30129" xr:uid="{605E8E14-1F22-404E-B964-2CF94A517768}"/>
    <cellStyle name="Ergebnis 3 2 64" xfId="30543" xr:uid="{397B356F-572C-4F9C-99FB-F4D6FAC9DE7A}"/>
    <cellStyle name="Ergebnis 3 2 65" xfId="28009" xr:uid="{D13467C8-6713-46F3-93E6-1D15A33DF6C1}"/>
    <cellStyle name="Ergebnis 3 2 66" xfId="31167" xr:uid="{8B6AEB6B-24DF-474D-9A81-50F37EB1F9D6}"/>
    <cellStyle name="Ergebnis 3 2 7" xfId="3475" xr:uid="{F74DCF3F-C9E5-4CD3-8A26-447FD790B9C3}"/>
    <cellStyle name="Ergebnis 3 2 8" xfId="3941" xr:uid="{BEBF7719-DC91-4C51-87FE-67DDC085E7D6}"/>
    <cellStyle name="Ergebnis 3 2 9" xfId="4379" xr:uid="{519A50BC-F451-48A9-8D36-75B5933439BC}"/>
    <cellStyle name="Ergebnis 3 20" xfId="9846" xr:uid="{81314A1D-319D-4299-BDA9-83945C1802A6}"/>
    <cellStyle name="Ergebnis 3 21" xfId="11109" xr:uid="{D617AB0B-5A25-4DD9-A179-0797C9629587}"/>
    <cellStyle name="Ergebnis 3 22" xfId="11642" xr:uid="{2DBF978A-5F37-446F-A903-4C65FC847D25}"/>
    <cellStyle name="Ergebnis 3 23" xfId="11477" xr:uid="{194C2150-90D9-4764-9D7E-DDA1FD16756B}"/>
    <cellStyle name="Ergebnis 3 24" xfId="11680" xr:uid="{CE8EBE68-FFA3-4D72-9E64-DF24F1B1E6D0}"/>
    <cellStyle name="Ergebnis 3 25" xfId="11464" xr:uid="{8D51DFC8-22E9-47B2-91FA-F7A38E238D0B}"/>
    <cellStyle name="Ergebnis 3 26" xfId="11510" xr:uid="{C29E8E73-34A4-4F25-BEE8-6104F7DD7E45}"/>
    <cellStyle name="Ergebnis 3 27" xfId="14412" xr:uid="{A680979A-9971-4CF6-ACEC-5AFAB82AC02F}"/>
    <cellStyle name="Ergebnis 3 28" xfId="13643" xr:uid="{EF906D29-F3A1-4B87-888E-F7D555E46D28}"/>
    <cellStyle name="Ergebnis 3 29" xfId="16337" xr:uid="{9C27BF21-E13E-4C6F-A1C8-ACB58EC74E2A}"/>
    <cellStyle name="Ergebnis 3 3" xfId="537" xr:uid="{D8593204-F920-477E-8E6C-79F58140C107}"/>
    <cellStyle name="Ergebnis 3 3 10" xfId="1834" xr:uid="{D1F57C04-E96F-4DE8-8936-0F4AFFADF770}"/>
    <cellStyle name="Ergebnis 3 3 11" xfId="5185" xr:uid="{6D91F6E9-0D4A-41F3-A93E-E6E4E03442E0}"/>
    <cellStyle name="Ergebnis 3 3 12" xfId="5579" xr:uid="{64C04430-9F5D-474E-959C-B36EE6978124}"/>
    <cellStyle name="Ergebnis 3 3 13" xfId="6274" xr:uid="{016FFF99-34D6-4E36-A2CA-8D90EC348F67}"/>
    <cellStyle name="Ergebnis 3 3 14" xfId="6604" xr:uid="{E971FD8F-994E-493C-8CC0-53902E9908B5}"/>
    <cellStyle name="Ergebnis 3 3 15" xfId="7257" xr:uid="{923304DA-AC01-4718-802A-449F39E353D4}"/>
    <cellStyle name="Ergebnis 3 3 16" xfId="7730" xr:uid="{E8431F8D-FDF6-42C9-B747-30AE5177193F}"/>
    <cellStyle name="Ergebnis 3 3 17" xfId="7178" xr:uid="{2406D152-1639-430C-BB0E-3AD87D9FCD1C}"/>
    <cellStyle name="Ergebnis 3 3 18" xfId="8243" xr:uid="{850DA75D-96AE-4A3A-886F-4198FA9F6A3B}"/>
    <cellStyle name="Ergebnis 3 3 19" xfId="9471" xr:uid="{37E2C7F3-27AA-41C6-AD8A-327700DC0C10}"/>
    <cellStyle name="Ergebnis 3 3 2" xfId="752" xr:uid="{64254F16-9BCA-46B6-92D3-E785771CC9E0}"/>
    <cellStyle name="Ergebnis 3 3 2 10" xfId="5400" xr:uid="{FAB78F1C-10D8-4AF2-BB6C-305C7E2FC9BD}"/>
    <cellStyle name="Ergebnis 3 3 2 11" xfId="5888" xr:uid="{A8AE548E-2DA8-4D7E-94D8-2DB8E53963D6}"/>
    <cellStyle name="Ergebnis 3 3 2 12" xfId="5913" xr:uid="{B83F1E13-C59C-4882-9261-B023E609D7F4}"/>
    <cellStyle name="Ergebnis 3 3 2 13" xfId="5686" xr:uid="{2A8C38A3-4422-41CB-A07D-39B31E79F0FC}"/>
    <cellStyle name="Ergebnis 3 3 2 14" xfId="7472" xr:uid="{5713C02E-0CBA-4147-B8FD-4B164CF60A09}"/>
    <cellStyle name="Ergebnis 3 3 2 15" xfId="6985" xr:uid="{1A035B6D-215D-4586-825C-380FBC16883E}"/>
    <cellStyle name="Ergebnis 3 3 2 16" xfId="7738" xr:uid="{0D6D905C-E6F6-454B-A87F-DCD0970971FD}"/>
    <cellStyle name="Ergebnis 3 3 2 17" xfId="8860" xr:uid="{A458A01F-E64B-4A3B-9B08-175E554C52CF}"/>
    <cellStyle name="Ergebnis 3 3 2 18" xfId="9686" xr:uid="{BD6680C6-E316-46BF-A50A-A3E9A399C82F}"/>
    <cellStyle name="Ergebnis 3 3 2 19" xfId="9326" xr:uid="{764271C9-1148-445F-8B2C-21F8FE0222DF}"/>
    <cellStyle name="Ergebnis 3 3 2 2" xfId="1226" xr:uid="{D63717F5-12C5-411A-A714-933EEB78BFA8}"/>
    <cellStyle name="Ergebnis 3 3 2 20" xfId="9143" xr:uid="{BA92E597-3510-44C3-B191-FB678F13EA87}"/>
    <cellStyle name="Ergebnis 3 3 2 21" xfId="9257" xr:uid="{1F190055-1CEB-4166-AAB9-9ACD55E09D9D}"/>
    <cellStyle name="Ergebnis 3 3 2 22" xfId="10716" xr:uid="{119E1B76-D029-49CB-9B95-C558C177BE42}"/>
    <cellStyle name="Ergebnis 3 3 2 23" xfId="12105" xr:uid="{E8F19033-217D-438A-A93F-7B4B207D79B2}"/>
    <cellStyle name="Ergebnis 3 3 2 24" xfId="12578" xr:uid="{BA6EB0FF-EC11-4CFE-A523-91683C66A562}"/>
    <cellStyle name="Ergebnis 3 3 2 25" xfId="13012" xr:uid="{698A13C4-57C2-4D1A-B0B0-37A6A85C4FC4}"/>
    <cellStyle name="Ergebnis 3 3 2 26" xfId="13449" xr:uid="{CE6F688F-812C-4642-8423-C6A27CB8D7F2}"/>
    <cellStyle name="Ergebnis 3 3 2 27" xfId="11836" xr:uid="{85806885-5AE8-469B-B760-E0DC16AD3CC0}"/>
    <cellStyle name="Ergebnis 3 3 2 28" xfId="13835" xr:uid="{33945905-3865-430E-80CA-3C3A9D5CEA47}"/>
    <cellStyle name="Ergebnis 3 3 2 29" xfId="14263" xr:uid="{125EEDC0-588A-4645-BC69-F6E0CB4E33C1}"/>
    <cellStyle name="Ergebnis 3 3 2 3" xfId="1513" xr:uid="{8F28F072-54C5-4A5D-A4F6-C021E094DEAF}"/>
    <cellStyle name="Ergebnis 3 3 2 30" xfId="15249" xr:uid="{9470E0F9-2AB1-43B3-AD89-9DC4B1C653B2}"/>
    <cellStyle name="Ergebnis 3 3 2 31" xfId="15241" xr:uid="{51DABB2F-E6AF-4B4A-B5FF-DDB5AEF8EFE1}"/>
    <cellStyle name="Ergebnis 3 3 2 32" xfId="15622" xr:uid="{35115896-C27A-4EC3-ADA6-3E5242117DEE}"/>
    <cellStyle name="Ergebnis 3 3 2 33" xfId="16797" xr:uid="{11E0A951-E89A-4620-9D91-C012573C06FD}"/>
    <cellStyle name="Ergebnis 3 3 2 34" xfId="16305" xr:uid="{E01E7806-3024-439D-A171-3CC414591DF1}"/>
    <cellStyle name="Ergebnis 3 3 2 35" xfId="16499" xr:uid="{552010CA-E6EE-4FF4-85AB-8FAA33DC3228}"/>
    <cellStyle name="Ergebnis 3 3 2 36" xfId="17519" xr:uid="{2EBFB62F-A18D-4F5F-8341-28181979217A}"/>
    <cellStyle name="Ergebnis 3 3 2 37" xfId="18615" xr:uid="{341F2F65-2170-438A-9A46-F4E4992B3C61}"/>
    <cellStyle name="Ergebnis 3 3 2 38" xfId="17461" xr:uid="{47B5475B-26BE-4A85-A47B-3403E11A9620}"/>
    <cellStyle name="Ergebnis 3 3 2 39" xfId="18170" xr:uid="{A1226DBD-049B-4115-A048-6EC7FBC855C5}"/>
    <cellStyle name="Ergebnis 3 3 2 4" xfId="2574" xr:uid="{0A25CE80-987F-4C51-B434-381E15A365B0}"/>
    <cellStyle name="Ergebnis 3 3 2 40" xfId="20134" xr:uid="{847ED886-4552-4D15-8A2A-B5577BBDE5DC}"/>
    <cellStyle name="Ergebnis 3 3 2 41" xfId="19480" xr:uid="{F34ED675-D7F5-4903-BA8C-600EBA32D126}"/>
    <cellStyle name="Ergebnis 3 3 2 42" xfId="19624" xr:uid="{C0CE7255-9EEE-416E-89FB-A784ECC05A1D}"/>
    <cellStyle name="Ergebnis 3 3 2 43" xfId="21012" xr:uid="{58DCCC87-220E-4792-BA95-037D86B33F6A}"/>
    <cellStyle name="Ergebnis 3 3 2 44" xfId="19394" xr:uid="{AD503BAE-01FE-41D4-8DC4-F48D81532D22}"/>
    <cellStyle name="Ergebnis 3 3 2 45" xfId="22075" xr:uid="{EE805710-989F-4CB0-97CE-7F3CA588A1D8}"/>
    <cellStyle name="Ergebnis 3 3 2 46" xfId="22166" xr:uid="{9BE2048F-7674-41D9-B8F9-406D0E946721}"/>
    <cellStyle name="Ergebnis 3 3 2 47" xfId="19449" xr:uid="{1364C6C1-1BE2-45F7-B094-529EB3A40EC5}"/>
    <cellStyle name="Ergebnis 3 3 2 48" xfId="23548" xr:uid="{54B2BEB4-1143-462C-8B71-994001DDBFE3}"/>
    <cellStyle name="Ergebnis 3 3 2 49" xfId="23934" xr:uid="{96172269-DB7A-4866-AFA0-A3415C1DD159}"/>
    <cellStyle name="Ergebnis 3 3 2 5" xfId="2209" xr:uid="{BD2CF69E-848F-4473-8DEC-960EED245A49}"/>
    <cellStyle name="Ergebnis 3 3 2 50" xfId="24842" xr:uid="{C4CB69BE-09E9-43BC-AE75-B05F3C2B8855}"/>
    <cellStyle name="Ergebnis 3 3 2 51" xfId="24196" xr:uid="{5666B1C4-48A2-4154-A926-584F3836D542}"/>
    <cellStyle name="Ergebnis 3 3 2 52" xfId="25758" xr:uid="{10C4BDE0-B8FB-4F16-9142-A5AB1D351A5C}"/>
    <cellStyle name="Ergebnis 3 3 2 53" xfId="25388" xr:uid="{3C17AD49-06A5-4F02-BDB7-9710CEE932A0}"/>
    <cellStyle name="Ergebnis 3 3 2 54" xfId="25702" xr:uid="{468A232C-E411-42BF-B54B-1754A1D88BB0}"/>
    <cellStyle name="Ergebnis 3 3 2 55" xfId="27046" xr:uid="{D9C22F9A-7C3E-45C8-B8D8-89ABECB8EA3C}"/>
    <cellStyle name="Ergebnis 3 3 2 56" xfId="27465" xr:uid="{00CE3F55-50D1-45EE-9E10-7A73D78CE94A}"/>
    <cellStyle name="Ergebnis 3 3 2 57" xfId="26663" xr:uid="{44FF0E70-7991-4B2C-87D4-31261CA5D99C}"/>
    <cellStyle name="Ergebnis 3 3 2 58" xfId="28592" xr:uid="{8E1D26EB-A90E-4D15-935A-AA86E403B017}"/>
    <cellStyle name="Ergebnis 3 3 2 59" xfId="29059" xr:uid="{DFC97D73-AEDF-4ED4-A95A-70D6C35D5535}"/>
    <cellStyle name="Ergebnis 3 3 2 6" xfId="2990" xr:uid="{F19A3CD3-B810-45BA-858A-1FBB30E0B61B}"/>
    <cellStyle name="Ergebnis 3 3 2 60" xfId="28227" xr:uid="{4D02A314-F65F-49F8-B485-34DA07911594}"/>
    <cellStyle name="Ergebnis 3 3 2 61" xfId="29848" xr:uid="{C7076A01-3959-486A-A32B-6D6043D04D5E}"/>
    <cellStyle name="Ergebnis 3 3 2 62" xfId="30254" xr:uid="{AD9A1CBD-30C8-4668-9BC3-C0B918D0A1D7}"/>
    <cellStyle name="Ergebnis 3 3 2 63" xfId="30671" xr:uid="{2E72F8E6-0F43-440B-8C62-9E5087C80070}"/>
    <cellStyle name="Ergebnis 3 3 2 64" xfId="29203" xr:uid="{13706894-4E7A-4C53-8737-547179C996F3}"/>
    <cellStyle name="Ergebnis 3 3 2 65" xfId="31287" xr:uid="{A3430105-BE07-4D57-8D52-CA3C9C2482BE}"/>
    <cellStyle name="Ergebnis 3 3 2 7" xfId="4070" xr:uid="{831F716F-FDD8-4478-8AF2-41059068E89D}"/>
    <cellStyle name="Ergebnis 3 3 2 8" xfId="4507" xr:uid="{D7275FD4-825F-41C4-AE58-D6219F3DE9FB}"/>
    <cellStyle name="Ergebnis 3 3 2 9" xfId="3598" xr:uid="{8580F496-FFCC-4146-A04C-05AF8EA1FF0B}"/>
    <cellStyle name="Ergebnis 3 3 20" xfId="9944" xr:uid="{D046F972-890F-4799-AAA7-EF88A43330C8}"/>
    <cellStyle name="Ergebnis 3 3 21" xfId="10374" xr:uid="{D2A5CEF2-08CD-4820-A0BD-2905C9929243}"/>
    <cellStyle name="Ergebnis 3 3 22" xfId="10570" xr:uid="{BCCEC6CE-4A3F-4F12-8E41-00E5F8875585}"/>
    <cellStyle name="Ergebnis 3 3 23" xfId="10803" xr:uid="{C423C5C3-518A-4EEB-8FD7-8451D1C2742C}"/>
    <cellStyle name="Ergebnis 3 3 24" xfId="11890" xr:uid="{F6847921-4531-4883-BA91-68F7F7600CCE}"/>
    <cellStyle name="Ergebnis 3 3 25" xfId="12363" xr:uid="{C44E6362-12C5-4578-8478-F29B7F9855AF}"/>
    <cellStyle name="Ergebnis 3 3 26" xfId="12797" xr:uid="{CA0D6B83-5DFA-46A2-9CB2-8713F8674BEF}"/>
    <cellStyle name="Ergebnis 3 3 27" xfId="13234" xr:uid="{AB45D447-12FC-4A45-96AA-813077EB7A20}"/>
    <cellStyle name="Ergebnis 3 3 28" xfId="13778" xr:uid="{2C18F00D-9B5C-418A-A467-C6C5B2E6B974}"/>
    <cellStyle name="Ergebnis 3 3 29" xfId="14269" xr:uid="{90C5A531-B2A6-42A2-A83D-9D9DE7E6C9DE}"/>
    <cellStyle name="Ergebnis 3 3 3" xfId="1020" xr:uid="{B60F38E1-D5C4-4EAE-9DDF-B9DD17B212D6}"/>
    <cellStyle name="Ergebnis 3 3 30" xfId="14658" xr:uid="{206B6F63-7109-431E-8AE1-D43AF0E5845B}"/>
    <cellStyle name="Ergebnis 3 3 31" xfId="14247" xr:uid="{050C5177-61A5-48A3-A6FF-BCEC98D9A166}"/>
    <cellStyle name="Ergebnis 3 3 32" xfId="15640" xr:uid="{29A0356F-9083-44DC-B1AE-1A0F5291CDE1}"/>
    <cellStyle name="Ergebnis 3 3 33" xfId="15824" xr:uid="{54174536-0547-4510-B5B8-5F5D686272F2}"/>
    <cellStyle name="Ergebnis 3 3 34" xfId="16582" xr:uid="{DCC1DEAD-3880-4F94-A6A5-F72BBA6E2A37}"/>
    <cellStyle name="Ergebnis 3 3 35" xfId="17058" xr:uid="{8B8155B4-0B4E-4808-97BF-70FB5A435A83}"/>
    <cellStyle name="Ergebnis 3 3 36" xfId="17504" xr:uid="{F2A4E7F8-99A0-4956-A12B-0AC4F3DD85F6}"/>
    <cellStyle name="Ergebnis 3 3 37" xfId="17259" xr:uid="{50B77577-8E34-4999-8CED-09827A46F5F6}"/>
    <cellStyle name="Ergebnis 3 3 38" xfId="18400" xr:uid="{5F8CFC11-9FF0-4343-A6DE-541D9568014B}"/>
    <cellStyle name="Ergebnis 3 3 39" xfId="18114" xr:uid="{A635427E-09D2-4C4B-94EC-15EC84B47843}"/>
    <cellStyle name="Ergebnis 3 3 4" xfId="1642" xr:uid="{D5417034-C7B4-463D-B63E-5BB481B8EFD1}"/>
    <cellStyle name="Ergebnis 3 3 40" xfId="18859" xr:uid="{3B998E88-47C8-4698-AB6B-D8D6EBA5FC33}"/>
    <cellStyle name="Ergebnis 3 3 41" xfId="19919" xr:uid="{D3998B1E-1990-43A1-B296-768B3DFBD250}"/>
    <cellStyle name="Ergebnis 3 3 42" xfId="20410" xr:uid="{9E76345D-BFF6-4565-B580-11A4D50CDA01}"/>
    <cellStyle name="Ergebnis 3 3 43" xfId="20863" xr:uid="{43872A1D-9B43-408C-93D9-C3F5647EF1F3}"/>
    <cellStyle name="Ergebnis 3 3 44" xfId="20998" xr:uid="{338FF9CE-5E8A-4BAA-83EE-FCAA89B8ED4A}"/>
    <cellStyle name="Ergebnis 3 3 45" xfId="21795" xr:uid="{91EAFEA9-A9F3-4297-AB73-99D38DFC25A1}"/>
    <cellStyle name="Ergebnis 3 3 46" xfId="22232" xr:uid="{5DA8636D-B297-400E-B235-16D78746AA5E}"/>
    <cellStyle name="Ergebnis 3 3 47" xfId="22771" xr:uid="{76220108-F6D7-4904-A403-F4B2A2B7BDA0}"/>
    <cellStyle name="Ergebnis 3 3 48" xfId="22441" xr:uid="{0669722C-A22A-4AC3-A8E9-B6DED206279A}"/>
    <cellStyle name="Ergebnis 3 3 49" xfId="23542" xr:uid="{E4BE63C9-280F-4E91-8842-C569322951F9}"/>
    <cellStyle name="Ergebnis 3 3 5" xfId="2359" xr:uid="{7903F76E-C506-4903-84AC-85D5BBBB22B6}"/>
    <cellStyle name="Ergebnis 3 3 50" xfId="23728" xr:uid="{E7413C53-F0F5-4C34-95D3-80A2E105798D}"/>
    <cellStyle name="Ergebnis 3 3 51" xfId="24627" xr:uid="{7B35DC52-C860-40A0-880D-4AD83AD03901}"/>
    <cellStyle name="Ergebnis 3 3 52" xfId="25118" xr:uid="{B1669FC7-CD34-4F9E-90BD-13A60484E4CC}"/>
    <cellStyle name="Ergebnis 3 3 53" xfId="25545" xr:uid="{CAFE9A1D-AC81-4D73-866C-ED8BBAAA7EC0}"/>
    <cellStyle name="Ergebnis 3 3 54" xfId="26075" xr:uid="{D8EC33C3-F8A1-4944-9A08-2363BF94C296}"/>
    <cellStyle name="Ergebnis 3 3 55" xfId="26469" xr:uid="{45E0882B-D404-4BE0-A2AA-989633FB4A7B}"/>
    <cellStyle name="Ergebnis 3 3 56" xfId="26835" xr:uid="{D265EE54-9A77-49CC-86EF-AC2157733DC0}"/>
    <cellStyle name="Ergebnis 3 3 57" xfId="27254" xr:uid="{7AEC214E-D560-4596-9640-18C3BFC59302}"/>
    <cellStyle name="Ergebnis 3 3 58" xfId="27816" xr:uid="{31B78BB9-D82F-497E-9516-5688307DFBA5}"/>
    <cellStyle name="Ergebnis 3 3 59" xfId="28377" xr:uid="{56751179-9E8B-454A-B012-3001D16E0D78}"/>
    <cellStyle name="Ergebnis 3 3 6" xfId="2945" xr:uid="{26D29504-376B-4946-82DA-B88813321310}"/>
    <cellStyle name="Ergebnis 3 3 60" xfId="28845" xr:uid="{1B65BC1E-180E-4EB2-9A59-42F371000647}"/>
    <cellStyle name="Ergebnis 3 3 61" xfId="29273" xr:uid="{A1FD61DF-1CE7-4B3D-A004-AA95B10A7984}"/>
    <cellStyle name="Ergebnis 3 3 62" xfId="29635" xr:uid="{62077EFF-52A1-44D9-B177-BDDBE5A681F3}"/>
    <cellStyle name="Ergebnis 3 3 63" xfId="30043" xr:uid="{2169DBFF-D837-420E-A051-539E1ECA9AF8}"/>
    <cellStyle name="Ergebnis 3 3 64" xfId="30457" xr:uid="{13BBFED6-EB52-4BB9-BC66-383886A1FB9A}"/>
    <cellStyle name="Ergebnis 3 3 65" xfId="30823" xr:uid="{BA6417FF-8954-4F83-889D-35EB4E859DB4}"/>
    <cellStyle name="Ergebnis 3 3 66" xfId="31081" xr:uid="{1624E971-A7C4-417F-81B9-93C130BCF39A}"/>
    <cellStyle name="Ergebnis 3 3 7" xfId="3323" xr:uid="{D1083687-FC29-4375-B355-FB573D874193}"/>
    <cellStyle name="Ergebnis 3 3 8" xfId="3855" xr:uid="{D5BCCEDC-30D1-4F9C-B506-536F50AA45B8}"/>
    <cellStyle name="Ergebnis 3 3 9" xfId="4293" xr:uid="{7F45A2D9-B119-4BE4-9DCE-83714066EE67}"/>
    <cellStyle name="Ergebnis 3 30" xfId="16962" xr:uid="{0992620E-A2DC-4EB6-B0B1-996C75DBEC6A}"/>
    <cellStyle name="Ergebnis 3 31" xfId="17798" xr:uid="{147761F6-67D8-48B6-99F0-8711E31B9934}"/>
    <cellStyle name="Ergebnis 3 32" xfId="18282" xr:uid="{6D306439-439A-473B-A44F-2BFC7EC35D42}"/>
    <cellStyle name="Ergebnis 3 33" xfId="18991" xr:uid="{C37E4BC1-0A24-4D17-841E-B66458A3651D}"/>
    <cellStyle name="Ergebnis 3 34" xfId="19670" xr:uid="{F2FECA0B-C167-443B-AD48-AED10289831E}"/>
    <cellStyle name="Ergebnis 3 35" xfId="20309" xr:uid="{F0252DA3-43F9-45FB-B6A0-AF077C2A6669}"/>
    <cellStyle name="Ergebnis 3 36" xfId="21934" xr:uid="{935C1E3C-00B0-4F4A-BAAB-FF61C2AA9A80}"/>
    <cellStyle name="Ergebnis 3 37" xfId="22096" xr:uid="{A346BCD8-E35B-4BAD-9967-8D620B32779C}"/>
    <cellStyle name="Ergebnis 3 38" xfId="22881" xr:uid="{4D25E023-FBEB-490C-8FB7-9DC6AD781449}"/>
    <cellStyle name="Ergebnis 3 39" xfId="24390" xr:uid="{659A5145-DFC9-4CA4-9964-A14C95D9E287}"/>
    <cellStyle name="Ergebnis 3 4" xfId="564" xr:uid="{E2C5296F-9785-41CA-B17D-1F39D0DB02A8}"/>
    <cellStyle name="Ergebnis 3 4 10" xfId="5042" xr:uid="{143A5030-CFEC-4EBD-B3A4-4D5BC49078C2}"/>
    <cellStyle name="Ergebnis 3 4 11" xfId="5212" xr:uid="{915C43FA-BA9A-4B5B-93E1-4F6AE5301931}"/>
    <cellStyle name="Ergebnis 3 4 12" xfId="5562" xr:uid="{A3702338-F91D-4F45-9D84-0CD547A488D0}"/>
    <cellStyle name="Ergebnis 3 4 13" xfId="6003" xr:uid="{716F0447-BEA0-4FE8-97DF-B7847A836BDE}"/>
    <cellStyle name="Ergebnis 3 4 14" xfId="6536" xr:uid="{1E460925-62EA-410D-BAFD-C574146E8DA4}"/>
    <cellStyle name="Ergebnis 3 4 15" xfId="7284" xr:uid="{29B1414A-CF1A-455D-87B6-85065EB5C61F}"/>
    <cellStyle name="Ergebnis 3 4 16" xfId="7921" xr:uid="{CA7985A4-6529-42D6-96EE-9D277BCAE318}"/>
    <cellStyle name="Ergebnis 3 4 17" xfId="8544" xr:uid="{FD91DA2B-3E88-4AC5-8610-443B9AFBF3D7}"/>
    <cellStyle name="Ergebnis 3 4 18" xfId="8455" xr:uid="{A0D6D5E1-5076-4B77-B42F-7054BA9A5B51}"/>
    <cellStyle name="Ergebnis 3 4 19" xfId="9498" xr:uid="{D59A2516-99C0-4EEE-BDB4-94754458776D}"/>
    <cellStyle name="Ergebnis 3 4 2" xfId="779" xr:uid="{3FD1FFBF-E1AE-4F2B-9D30-8039DB9B5F39}"/>
    <cellStyle name="Ergebnis 3 4 2 10" xfId="5427" xr:uid="{FD1C7810-40EF-42E3-950F-5F7FCA974CF1}"/>
    <cellStyle name="Ergebnis 3 4 2 11" xfId="2912" xr:uid="{BA78D867-69AC-4DD4-93FE-66D6FA031358}"/>
    <cellStyle name="Ergebnis 3 4 2 12" xfId="4730" xr:uid="{FB284252-4659-4A38-A239-4C41AAD369B4}"/>
    <cellStyle name="Ergebnis 3 4 2 13" xfId="6601" xr:uid="{C3426E1A-EA5D-43E9-9ADE-2293F836E037}"/>
    <cellStyle name="Ergebnis 3 4 2 14" xfId="7499" xr:uid="{8A478A34-0FE2-426E-99D2-88D237B67F39}"/>
    <cellStyle name="Ergebnis 3 4 2 15" xfId="6862" xr:uid="{5BF078AE-0F1D-4A34-9AC9-9B9A69986614}"/>
    <cellStyle name="Ergebnis 3 4 2 16" xfId="8598" xr:uid="{E214EC57-0A3E-4AA4-AB6C-23CDCBD0CA75}"/>
    <cellStyle name="Ergebnis 3 4 2 17" xfId="8800" xr:uid="{78FB82E6-64B8-42E2-9C1C-4EAC1FAE9FCD}"/>
    <cellStyle name="Ergebnis 3 4 2 18" xfId="9713" xr:uid="{A725B230-E8A0-4D7D-BC35-B4DB36A897B7}"/>
    <cellStyle name="Ergebnis 3 4 2 19" xfId="9168" xr:uid="{064806B2-7C94-4C2E-BE93-C0829E4200FD}"/>
    <cellStyle name="Ergebnis 3 4 2 2" xfId="1253" xr:uid="{151A3357-F547-47FB-8503-A6022AB923A3}"/>
    <cellStyle name="Ergebnis 3 4 2 20" xfId="9073" xr:uid="{9FCCF509-149A-43F6-A173-553DE9AB2AC8}"/>
    <cellStyle name="Ergebnis 3 4 2 21" xfId="10365" xr:uid="{1DE38C72-491A-4637-A1C0-640C9595084E}"/>
    <cellStyle name="Ergebnis 3 4 2 22" xfId="11269" xr:uid="{1631BDC6-FDCC-4DEA-90CD-E505267758A4}"/>
    <cellStyle name="Ergebnis 3 4 2 23" xfId="12132" xr:uid="{2FEE7052-695A-46C0-A5D0-A5BA4FB9E53C}"/>
    <cellStyle name="Ergebnis 3 4 2 24" xfId="12605" xr:uid="{563026F3-4797-44DE-9732-783F3E3B24A9}"/>
    <cellStyle name="Ergebnis 3 4 2 25" xfId="13039" xr:uid="{9CBE0387-97C7-4477-A8F9-AB5CAC1E90CF}"/>
    <cellStyle name="Ergebnis 3 4 2 26" xfId="13476" xr:uid="{01F9F924-2E3C-42E8-8FB5-5A78558B2B94}"/>
    <cellStyle name="Ergebnis 3 4 2 27" xfId="13592" xr:uid="{81C901D8-CF61-41BA-B42F-F70F12A9AD89}"/>
    <cellStyle name="Ergebnis 3 4 2 28" xfId="14259" xr:uid="{DCD2DBF1-6304-4325-AF8D-B3878B2ED2B8}"/>
    <cellStyle name="Ergebnis 3 4 2 29" xfId="11850" xr:uid="{36B8E422-3832-4326-860E-583F9DE1784F}"/>
    <cellStyle name="Ergebnis 3 4 2 3" xfId="1427" xr:uid="{79DD957A-9D7E-47F6-9864-722E73E2C745}"/>
    <cellStyle name="Ergebnis 3 4 2 30" xfId="14984" xr:uid="{2F3EBD44-A5EE-4D5B-AAFA-1B649D6D759D}"/>
    <cellStyle name="Ergebnis 3 4 2 31" xfId="14811" xr:uid="{FCF4872C-0331-47CF-BDE4-1E1B701B9016}"/>
    <cellStyle name="Ergebnis 3 4 2 32" xfId="15733" xr:uid="{8AB0CD2B-28A1-41F9-8496-EEE864CF3640}"/>
    <cellStyle name="Ergebnis 3 4 2 33" xfId="16824" xr:uid="{79504158-FEC6-4003-8120-2BF4BE36D346}"/>
    <cellStyle name="Ergebnis 3 4 2 34" xfId="16178" xr:uid="{0E09933A-FC4D-4E49-88B8-9F26665111E0}"/>
    <cellStyle name="Ergebnis 3 4 2 35" xfId="16174" xr:uid="{4692D081-79D4-44EE-AD18-C4F5D23284B1}"/>
    <cellStyle name="Ergebnis 3 4 2 36" xfId="17188" xr:uid="{15AFFCD3-7AAD-47B6-9714-381E913BE7C5}"/>
    <cellStyle name="Ergebnis 3 4 2 37" xfId="18642" xr:uid="{95029DAE-837A-4C80-9F85-3B837A2F54CC}"/>
    <cellStyle name="Ergebnis 3 4 2 38" xfId="18338" xr:uid="{5DA1FD10-3F7C-4176-8524-78E660684688}"/>
    <cellStyle name="Ergebnis 3 4 2 39" xfId="19156" xr:uid="{3901C268-A260-42D8-BA65-2CD8D98DDF07}"/>
    <cellStyle name="Ergebnis 3 4 2 4" xfId="2601" xr:uid="{17CAC0D5-1849-4F0D-B030-F015B2314D56}"/>
    <cellStyle name="Ergebnis 3 4 2 40" xfId="20161" xr:uid="{9D7450D7-985B-4BF0-9FE7-5477080D9A9F}"/>
    <cellStyle name="Ergebnis 3 4 2 41" xfId="19508" xr:uid="{F4631941-8C17-436C-8E63-F541A6226DD9}"/>
    <cellStyle name="Ergebnis 3 4 2 42" xfId="19842" xr:uid="{C0DBA374-3759-4C0C-A7A4-E2D8BBADDF8E}"/>
    <cellStyle name="Ergebnis 3 4 2 43" xfId="21609" xr:uid="{0AF7218C-5B81-4EFE-8FEC-9C6114C382EC}"/>
    <cellStyle name="Ergebnis 3 4 2 44" xfId="20836" xr:uid="{2489CA78-3D5A-4F66-99BA-47AB46594B35}"/>
    <cellStyle name="Ergebnis 3 4 2 45" xfId="20596" xr:uid="{7E1DEFE9-5A7C-40D3-8391-4F10AE68DCD7}"/>
    <cellStyle name="Ergebnis 3 4 2 46" xfId="22601" xr:uid="{2989BA13-D774-4C08-A9E7-9D5FEB4E86AF}"/>
    <cellStyle name="Ergebnis 3 4 2 47" xfId="21764" xr:uid="{01AD671F-F076-47C2-9EB9-A4EA6EA47722}"/>
    <cellStyle name="Ergebnis 3 4 2 48" xfId="22650" xr:uid="{81EDC0C2-631F-4EA6-98CB-4ADD4C19BFE8}"/>
    <cellStyle name="Ergebnis 3 4 2 49" xfId="23961" xr:uid="{8B20914C-8EFC-42C9-9E80-4FF0751A4E5D}"/>
    <cellStyle name="Ergebnis 3 4 2 5" xfId="2758" xr:uid="{C40223B6-48AE-4B6B-983A-E72D2294F2FF}"/>
    <cellStyle name="Ergebnis 3 4 2 50" xfId="24869" xr:uid="{61CAC8A8-3CB2-4A5D-864A-7C3AF0479F8F}"/>
    <cellStyle name="Ergebnis 3 4 2 51" xfId="24224" xr:uid="{DEFE16F6-8B5A-41CE-8AC5-494D0C9B5DDD}"/>
    <cellStyle name="Ergebnis 3 4 2 52" xfId="25785" xr:uid="{C0E6FFCD-D6F6-4EF7-A8AB-1A4A6A596A57}"/>
    <cellStyle name="Ergebnis 3 4 2 53" xfId="25432" xr:uid="{094DA9D0-B86C-4E66-8ED8-5DC6B36CC4A8}"/>
    <cellStyle name="Ergebnis 3 4 2 54" xfId="26721" xr:uid="{E0281803-9D7F-4D05-B1CF-FD7957B627DA}"/>
    <cellStyle name="Ergebnis 3 4 2 55" xfId="27073" xr:uid="{66948167-42AA-41D6-B24A-C65DC38DE8B5}"/>
    <cellStyle name="Ergebnis 3 4 2 56" xfId="27492" xr:uid="{AE26DC99-1099-4897-B4D8-3F1A19E3620C}"/>
    <cellStyle name="Ergebnis 3 4 2 57" xfId="26623" xr:uid="{2D5CEFC3-F8D7-4C98-96C7-EEC1D6204549}"/>
    <cellStyle name="Ergebnis 3 4 2 58" xfId="28619" xr:uid="{87944C7D-C51B-4434-96CC-B5E999FE74E2}"/>
    <cellStyle name="Ergebnis 3 4 2 59" xfId="29086" xr:uid="{43DDD099-DD69-45DD-8482-36C2EEB7B89B}"/>
    <cellStyle name="Ergebnis 3 4 2 6" xfId="3191" xr:uid="{DEDE5AA3-BE3A-4212-B681-848B8326BBF3}"/>
    <cellStyle name="Ergebnis 3 4 2 60" xfId="28222" xr:uid="{D02399A8-DF9F-47B8-A167-348A3CAB0A80}"/>
    <cellStyle name="Ergebnis 3 4 2 61" xfId="29875" xr:uid="{D57DB419-4DCE-497B-B798-E8611E640EC7}"/>
    <cellStyle name="Ergebnis 3 4 2 62" xfId="30281" xr:uid="{B93B5739-0619-41A0-9B85-0D65471B527C}"/>
    <cellStyle name="Ergebnis 3 4 2 63" xfId="30698" xr:uid="{1BB1BA25-24A3-4370-B672-E735E2BEC4AA}"/>
    <cellStyle name="Ergebnis 3 4 2 64" xfId="30619" xr:uid="{0179FD28-A7C2-4933-8A32-0F1A704BAB60}"/>
    <cellStyle name="Ergebnis 3 4 2 65" xfId="31314" xr:uid="{9193C111-BB5D-4B95-9AB5-E0785337801B}"/>
    <cellStyle name="Ergebnis 3 4 2 7" xfId="4097" xr:uid="{B9C44B3B-BBDA-4AFC-AB9F-6C1B6B4AAC41}"/>
    <cellStyle name="Ergebnis 3 4 2 8" xfId="4534" xr:uid="{944040D2-0E9C-40C1-B6C7-53A2B36BAC55}"/>
    <cellStyle name="Ergebnis 3 4 2 9" xfId="5046" xr:uid="{A14B08C0-DCF9-4CA5-981A-F4187E6E5273}"/>
    <cellStyle name="Ergebnis 3 4 20" xfId="10135" xr:uid="{5A54D9C4-CA05-43D7-A91A-A664DD9D90E3}"/>
    <cellStyle name="Ergebnis 3 4 21" xfId="10545" xr:uid="{D23CA299-24C1-403D-A315-D9600BA9D1C5}"/>
    <cellStyle name="Ergebnis 3 4 22" xfId="10479" xr:uid="{251F72A6-7FE2-45AC-9E1D-54007B7DCD05}"/>
    <cellStyle name="Ergebnis 3 4 23" xfId="11165" xr:uid="{1D3174DC-2ED7-43C4-86A1-8BD2332FE186}"/>
    <cellStyle name="Ergebnis 3 4 24" xfId="11917" xr:uid="{857340BC-5F2F-48E7-AF6D-3CE7AC1EFD06}"/>
    <cellStyle name="Ergebnis 3 4 25" xfId="12390" xr:uid="{53DF5AE5-1C78-42DC-956B-A66E195F376F}"/>
    <cellStyle name="Ergebnis 3 4 26" xfId="12824" xr:uid="{CC4F7FA8-B37F-4F4C-98F5-4B6A2B34079B}"/>
    <cellStyle name="Ergebnis 3 4 27" xfId="13261" xr:uid="{9A84F1E0-37A5-42C3-BF88-CC40363B90E8}"/>
    <cellStyle name="Ergebnis 3 4 28" xfId="13174" xr:uid="{7F4494F6-05C5-4EDD-991B-07DAE1001689}"/>
    <cellStyle name="Ergebnis 3 4 29" xfId="14255" xr:uid="{ABCBA4CF-24BF-401E-AFC7-5DE6DF63CD58}"/>
    <cellStyle name="Ergebnis 3 4 3" xfId="1047" xr:uid="{E3E97DB4-C0C9-47D8-B8AB-1A4D08A11A51}"/>
    <cellStyle name="Ergebnis 3 4 30" xfId="14891" xr:uid="{B4D2FFD9-F479-4499-8C51-383EA561B42D}"/>
    <cellStyle name="Ergebnis 3 4 31" xfId="14642" xr:uid="{622832F9-C9DE-4330-9B7F-EC3ACCA9A7D1}"/>
    <cellStyle name="Ergebnis 3 4 32" xfId="15605" xr:uid="{AE3C161C-D0EC-4C9A-8E7D-293D60C8C79D}"/>
    <cellStyle name="Ergebnis 3 4 33" xfId="15929" xr:uid="{10190821-ADD9-4FCB-BC04-0BB6B89EB041}"/>
    <cellStyle name="Ergebnis 3 4 34" xfId="16609" xr:uid="{F244F2D5-87E5-446F-A3F4-B69E294646F8}"/>
    <cellStyle name="Ergebnis 3 4 35" xfId="17254" xr:uid="{A8A21A0C-9454-4172-B101-2776ACB637E0}"/>
    <cellStyle name="Ergebnis 3 4 36" xfId="17698" xr:uid="{AF61B1DD-26E7-44CF-BAD8-A64D21D08EF7}"/>
    <cellStyle name="Ergebnis 3 4 37" xfId="17500" xr:uid="{738C2716-AA9C-4F7D-B929-D3EACB45CA51}"/>
    <cellStyle name="Ergebnis 3 4 38" xfId="18427" xr:uid="{7178606C-D1EC-47F9-8D34-7E0396A55194}"/>
    <cellStyle name="Ergebnis 3 4 39" xfId="18533" xr:uid="{A56AE080-3BE3-4CAF-A8A7-A8BD85DB81F3}"/>
    <cellStyle name="Ergebnis 3 4 4" xfId="1582" xr:uid="{6F0E2FED-52B3-4010-BE52-7AFCEB8F726D}"/>
    <cellStyle name="Ergebnis 3 4 40" xfId="18173" xr:uid="{D6FA14F5-FA2E-455E-9CD8-53A450CE58A1}"/>
    <cellStyle name="Ergebnis 3 4 41" xfId="19946" xr:uid="{6E0A6413-1D90-4911-8248-D3D19EDA97ED}"/>
    <cellStyle name="Ergebnis 3 4 42" xfId="20604" xr:uid="{A57059AE-593D-41BF-BC62-657C8A542982}"/>
    <cellStyle name="Ergebnis 3 4 43" xfId="21059" xr:uid="{7CCFE286-C407-4B9D-BDBB-2870E55EF7B5}"/>
    <cellStyle name="Ergebnis 3 4 44" xfId="21182" xr:uid="{EC751832-CFC2-4867-B6F0-0A4C627FC747}"/>
    <cellStyle name="Ergebnis 3 4 45" xfId="21990" xr:uid="{3CE74E77-3603-4B90-ABBE-F3F251BAB631}"/>
    <cellStyle name="Ergebnis 3 4 46" xfId="22421" xr:uid="{DFBE2350-7B70-403F-9382-51F4F14AE46F}"/>
    <cellStyle name="Ergebnis 3 4 47" xfId="22207" xr:uid="{0529DF27-016D-4CF5-BD89-BF3A8BD3F952}"/>
    <cellStyle name="Ergebnis 3 4 48" xfId="22789" xr:uid="{52F44496-44B4-4349-993C-9FF03099F956}"/>
    <cellStyle name="Ergebnis 3 4 49" xfId="23194" xr:uid="{DE6A5FE4-DA9C-4CA8-82C4-4853FB765FCE}"/>
    <cellStyle name="Ergebnis 3 4 5" xfId="2386" xr:uid="{26B9A721-426C-40D1-8F45-F52A30FB1617}"/>
    <cellStyle name="Ergebnis 3 4 50" xfId="23755" xr:uid="{6FB2B19A-DBED-4C1C-9101-1C449817E764}"/>
    <cellStyle name="Ergebnis 3 4 51" xfId="24654" xr:uid="{16D202D6-30AA-4A09-9589-39F1194DAEAB}"/>
    <cellStyle name="Ergebnis 3 4 52" xfId="25313" xr:uid="{4F8D94C9-8848-44A3-BABC-B3A5CD267C63}"/>
    <cellStyle name="Ergebnis 3 4 53" xfId="25572" xr:uid="{77BBDEFD-041C-49A6-9BCE-AB9C4EB58B2F}"/>
    <cellStyle name="Ergebnis 3 4 54" xfId="24339" xr:uid="{97172BB2-E33B-47FC-8129-4C6AE6D6542A}"/>
    <cellStyle name="Ergebnis 3 4 55" xfId="26717" xr:uid="{6E6AB2E5-4EB1-4E17-BFFF-AF2ACEEEAEA8}"/>
    <cellStyle name="Ergebnis 3 4 56" xfId="26862" xr:uid="{046AC7BD-2A77-4C0C-8D5E-CB53F48ECCD5}"/>
    <cellStyle name="Ergebnis 3 4 57" xfId="27281" xr:uid="{C6BF901B-CDB3-4098-9B19-73EC39DB6A9A}"/>
    <cellStyle name="Ergebnis 3 4 58" xfId="27629" xr:uid="{954B9CA1-6CA0-476B-A96A-866FD6938671}"/>
    <cellStyle name="Ergebnis 3 4 59" xfId="28404" xr:uid="{8EC666B6-E80E-48BF-B0D6-B2E124848CCC}"/>
    <cellStyle name="Ergebnis 3 4 6" xfId="2147" xr:uid="{F10B059A-E109-4BAE-9BD0-9A5FBD6CA250}"/>
    <cellStyle name="Ergebnis 3 4 60" xfId="28872" xr:uid="{7C2F1226-4320-4D25-923A-2A272DDF6D1B}"/>
    <cellStyle name="Ergebnis 3 4 61" xfId="29435" xr:uid="{BB24B6C5-470F-4695-9E8A-3362DB304A3A}"/>
    <cellStyle name="Ergebnis 3 4 62" xfId="29662" xr:uid="{BB97D9AD-9BCA-4E29-A274-8DDF11CF5FA8}"/>
    <cellStyle name="Ergebnis 3 4 63" xfId="30070" xr:uid="{7415CD63-ABC9-4D3D-984A-9CC57A625726}"/>
    <cellStyle name="Ergebnis 3 4 64" xfId="30484" xr:uid="{90DF0000-65E8-4BE7-807F-64ADCCF0C548}"/>
    <cellStyle name="Ergebnis 3 4 65" xfId="28764" xr:uid="{FFB7CBE6-99C9-4231-BDCB-FE20095F0DBB}"/>
    <cellStyle name="Ergebnis 3 4 66" xfId="31108" xr:uid="{9FE0573A-7A79-49CD-A3EE-C349AB58C9FC}"/>
    <cellStyle name="Ergebnis 3 4 7" xfId="2913" xr:uid="{A32C11D7-9071-49CB-A6B5-57904AF41744}"/>
    <cellStyle name="Ergebnis 3 4 8" xfId="3882" xr:uid="{7E22A4D5-E526-4A5A-8C81-C38A9ACEF94C}"/>
    <cellStyle name="Ergebnis 3 4 9" xfId="4320" xr:uid="{EE3C14D2-94E6-4BD4-9726-6BBE9E7703A6}"/>
    <cellStyle name="Ergebnis 3 40" xfId="24208" xr:uid="{57EBF587-5383-4745-89A6-C6E846F478E5}"/>
    <cellStyle name="Ergebnis 3 41" xfId="25148" xr:uid="{CA6D2E07-C46D-4197-BF46-D8D819764BA1}"/>
    <cellStyle name="Ergebnis 3 42" xfId="24392" xr:uid="{5AF1E226-4700-4B39-B3D6-6DF5C076DA72}"/>
    <cellStyle name="Ergebnis 3 43" xfId="24129" xr:uid="{890FBEF8-9132-4A8A-8C4C-64B73E7FC561}"/>
    <cellStyle name="Ergebnis 3 44" xfId="24116" xr:uid="{FE7F4CB8-EFFA-488D-8ADE-31724E0F82C9}"/>
    <cellStyle name="Ergebnis 3 45" xfId="26454" xr:uid="{D3939282-4053-4603-8C39-46AF11DEA7CE}"/>
    <cellStyle name="Ergebnis 3 46" xfId="28161" xr:uid="{BE9CA136-434A-4056-AF1B-2817DE8167B8}"/>
    <cellStyle name="Ergebnis 3 47" xfId="28262" xr:uid="{6C06CDFB-E06A-45A3-9AAA-E97238CA0EF2}"/>
    <cellStyle name="Ergebnis 3 48" xfId="29281" xr:uid="{562BAE1F-C873-45ED-B270-7B1546541E5D}"/>
    <cellStyle name="Ergebnis 3 49" xfId="29280" xr:uid="{D94FD2ED-15ED-4662-A46C-371C492B36A0}"/>
    <cellStyle name="Ergebnis 3 5" xfId="703" xr:uid="{E9F684B1-1AF1-42D2-AD5E-5BEA3BD4E0AC}"/>
    <cellStyle name="Ergebnis 3 5 10" xfId="5351" xr:uid="{CAE8E97E-F37A-4092-AAA8-AAA21D5BBEDF}"/>
    <cellStyle name="Ergebnis 3 5 11" xfId="5105" xr:uid="{C0F9BC9A-DBF9-42DF-8F43-C000051044B0}"/>
    <cellStyle name="Ergebnis 3 5 12" xfId="6249" xr:uid="{90858605-39C9-49B4-B7DF-E1DAA12F0417}"/>
    <cellStyle name="Ergebnis 3 5 13" xfId="6598" xr:uid="{B0C66F37-F92A-42B0-AA8B-39FE386FA90F}"/>
    <cellStyle name="Ergebnis 3 5 14" xfId="7423" xr:uid="{B90D9FEC-86ED-43DC-A409-C58BC45737DB}"/>
    <cellStyle name="Ergebnis 3 5 15" xfId="7105" xr:uid="{E56C5D58-A24F-450E-BF9A-F40B8EBB8682}"/>
    <cellStyle name="Ergebnis 3 5 16" xfId="8587" xr:uid="{98F3FB48-E690-4162-ABDB-A53E63B91070}"/>
    <cellStyle name="Ergebnis 3 5 17" xfId="6873" xr:uid="{DFD5F108-DA05-4091-B690-7D0472E81B64}"/>
    <cellStyle name="Ergebnis 3 5 18" xfId="9637" xr:uid="{56273A5D-EA48-44AF-8969-619DC0F09551}"/>
    <cellStyle name="Ergebnis 3 5 19" xfId="9191" xr:uid="{BC7FF61D-C7A0-4739-9545-6836992D542A}"/>
    <cellStyle name="Ergebnis 3 5 2" xfId="1178" xr:uid="{8DC4AB8B-5056-40A4-92BF-9EE09F04D0B8}"/>
    <cellStyle name="Ergebnis 3 5 20" xfId="8955" xr:uid="{A858BF8A-D3D5-4AF7-A81B-7D7C0C292677}"/>
    <cellStyle name="Ergebnis 3 5 21" xfId="10958" xr:uid="{9AB737E0-4BD1-4574-871B-AA86B1E5F342}"/>
    <cellStyle name="Ergebnis 3 5 22" xfId="10623" xr:uid="{35524508-7BD9-4DF5-941B-84D9F2FEE33A}"/>
    <cellStyle name="Ergebnis 3 5 23" xfId="12056" xr:uid="{C3DE2255-0FEC-4ACC-B0A0-4C5706A1C78A}"/>
    <cellStyle name="Ergebnis 3 5 24" xfId="12529" xr:uid="{55317E54-7AC9-4DB9-A2C5-9D62D1CDA2A4}"/>
    <cellStyle name="Ergebnis 3 5 25" xfId="12963" xr:uid="{B33A8177-33A8-4E02-9E89-34A36E6D2EDD}"/>
    <cellStyle name="Ergebnis 3 5 26" xfId="13400" xr:uid="{A12B9F17-EFD7-45E1-994D-02C2F3BFAAD3}"/>
    <cellStyle name="Ergebnis 3 5 27" xfId="13907" xr:uid="{9069EF28-0130-489B-8EA3-0E5AE19580BB}"/>
    <cellStyle name="Ergebnis 3 5 28" xfId="14132" xr:uid="{C15EEC2D-F827-4A80-BCD2-D1C142B5CEC9}"/>
    <cellStyle name="Ergebnis 3 5 29" xfId="12770" xr:uid="{E6F44EB4-A59D-4162-B0EE-AF2F1157D921}"/>
    <cellStyle name="Ergebnis 3 5 3" xfId="1539" xr:uid="{A9EEA9FB-A935-4E89-8CE1-BF9F5A1A5850}"/>
    <cellStyle name="Ergebnis 3 5 30" xfId="14956" xr:uid="{C93DA9FE-C3D4-423C-98FC-F8C000E4C03A}"/>
    <cellStyle name="Ergebnis 3 5 31" xfId="15107" xr:uid="{4D928868-C78B-42BD-A8C5-0925B221E8D7}"/>
    <cellStyle name="Ergebnis 3 5 32" xfId="14604" xr:uid="{A815D087-1DCF-4476-A5BF-E36FE6D7F464}"/>
    <cellStyle name="Ergebnis 3 5 33" xfId="16748" xr:uid="{92A39282-D680-40A7-B7D1-21909403D413}"/>
    <cellStyle name="Ergebnis 3 5 34" xfId="16427" xr:uid="{9EDCE178-C92D-42CB-943B-C123F335CC8B}"/>
    <cellStyle name="Ergebnis 3 5 35" xfId="16997" xr:uid="{00D4534B-C87D-4E31-8730-C89F6FC89382}"/>
    <cellStyle name="Ergebnis 3 5 36" xfId="16448" xr:uid="{87DCDB02-5861-4174-9E3C-188964188DF0}"/>
    <cellStyle name="Ergebnis 3 5 37" xfId="18566" xr:uid="{920DC816-D5AE-4445-999D-01603C11A59B}"/>
    <cellStyle name="Ergebnis 3 5 38" xfId="18562" xr:uid="{0E62D7BD-388D-4D06-A2CF-F586FB95A0ED}"/>
    <cellStyle name="Ergebnis 3 5 39" xfId="19191" xr:uid="{E86F62BE-0C16-46CA-8240-AAE04142C18B}"/>
    <cellStyle name="Ergebnis 3 5 4" xfId="2525" xr:uid="{1F4BED3E-8666-4209-8356-654500603589}"/>
    <cellStyle name="Ergebnis 3 5 40" xfId="20085" xr:uid="{2F044D35-77F2-47E6-B893-DBD1C73B0B21}"/>
    <cellStyle name="Ergebnis 3 5 41" xfId="19759" xr:uid="{021813EB-3B83-47C4-ACEB-A77D7B209FFD}"/>
    <cellStyle name="Ergebnis 3 5 42" xfId="20659" xr:uid="{08FBA487-EAD7-476D-B0C2-6EBC61306338}"/>
    <cellStyle name="Ergebnis 3 5 43" xfId="20545" xr:uid="{E66AB88B-50AE-4875-816C-F5D3D2AF844C}"/>
    <cellStyle name="Ergebnis 3 5 44" xfId="21284" xr:uid="{A86224F1-EB1F-478E-8026-093F31D6CB39}"/>
    <cellStyle name="Ergebnis 3 5 45" xfId="20635" xr:uid="{BC96DC94-F373-4AEB-9AC5-941CF3F8526E}"/>
    <cellStyle name="Ergebnis 3 5 46" xfId="22887" xr:uid="{06DAC5DC-33C5-4ACD-831E-EDADF0C260CD}"/>
    <cellStyle name="Ergebnis 3 5 47" xfId="22666" xr:uid="{7E415A86-D1A1-47C4-BD7B-BF2414ABCF16}"/>
    <cellStyle name="Ergebnis 3 5 48" xfId="23516" xr:uid="{78FE33D7-708C-4EAA-98BD-CF017CEE35CF}"/>
    <cellStyle name="Ergebnis 3 5 49" xfId="23886" xr:uid="{DB562049-BF0C-4813-82C9-AB0A4DEE390C}"/>
    <cellStyle name="Ergebnis 3 5 5" xfId="3075" xr:uid="{9A530073-A118-4FC3-9816-85D9FF374A40}"/>
    <cellStyle name="Ergebnis 3 5 50" xfId="24793" xr:uid="{1A8ABF60-6A16-46D8-B13F-5DCFD0FCEAC3}"/>
    <cellStyle name="Ergebnis 3 5 51" xfId="24984" xr:uid="{AE587B26-C059-4E1A-ACBF-7AA07BD410B0}"/>
    <cellStyle name="Ergebnis 3 5 52" xfId="25709" xr:uid="{AF80FD15-BFAE-4A87-BB52-0C7D50B25A98}"/>
    <cellStyle name="Ergebnis 3 5 53" xfId="26191" xr:uid="{C5C0077E-1C4E-4C2D-AD44-9FDA4D7EC524}"/>
    <cellStyle name="Ergebnis 3 5 54" xfId="26668" xr:uid="{C72942CB-6CD4-498D-98FA-7A73CDC32463}"/>
    <cellStyle name="Ergebnis 3 5 55" xfId="26997" xr:uid="{A4DAEB0C-1408-4CFB-ABEE-BB143B8C177C}"/>
    <cellStyle name="Ergebnis 3 5 56" xfId="27416" xr:uid="{ECDC674B-E617-49BC-AD80-FF489CB035AB}"/>
    <cellStyle name="Ergebnis 3 5 57" xfId="27759" xr:uid="{BA3B6F1A-1106-465D-A2E5-EEC1E749CB86}"/>
    <cellStyle name="Ergebnis 3 5 58" xfId="28543" xr:uid="{0A4DA060-8BCA-4636-BACD-3E94ABCEB822}"/>
    <cellStyle name="Ergebnis 3 5 59" xfId="29010" xr:uid="{3C17CB14-2673-4D49-A1A7-4BBC9ADAA9F9}"/>
    <cellStyle name="Ergebnis 3 5 6" xfId="3014" xr:uid="{D0C92806-6203-4D9D-A6D6-D57947B94428}"/>
    <cellStyle name="Ergebnis 3 5 60" xfId="28180" xr:uid="{E445B366-0AE0-4C2E-BDEE-2A4A7A420C5A}"/>
    <cellStyle name="Ergebnis 3 5 61" xfId="29800" xr:uid="{D703EA00-7368-4FF2-ADD4-170A7269D660}"/>
    <cellStyle name="Ergebnis 3 5 62" xfId="30206" xr:uid="{537A0BA7-06DC-4CC1-8F64-4BA210D9E89F}"/>
    <cellStyle name="Ergebnis 3 5 63" xfId="30622" xr:uid="{FA3E9BD0-8F74-4289-9728-0969F0D67C9D}"/>
    <cellStyle name="Ergebnis 3 5 64" xfId="30939" xr:uid="{C812A4E7-CA88-438E-815A-A20E5EB925F2}"/>
    <cellStyle name="Ergebnis 3 5 65" xfId="31239" xr:uid="{B33B456A-C175-4853-8AAD-C50DA6EA9D47}"/>
    <cellStyle name="Ergebnis 3 5 7" xfId="4021" xr:uid="{3D8ED432-D35C-4691-A969-9A62B2C0150D}"/>
    <cellStyle name="Ergebnis 3 5 8" xfId="4458" xr:uid="{38CF7C74-D6E9-420C-86AD-8C8E66190C8D}"/>
    <cellStyle name="Ergebnis 3 5 9" xfId="4917" xr:uid="{DAB59CDB-8CC5-491D-BB5F-A9BF6BDAC58C}"/>
    <cellStyle name="Ergebnis 3 50" xfId="28043" xr:uid="{314E6762-DCD6-4B4B-B536-6144EB06FDBD}"/>
    <cellStyle name="Ergebnis 3 51" xfId="27891" xr:uid="{6E4E919F-4FAB-4026-9CF1-A1947EF6C0D9}"/>
    <cellStyle name="Ergebnis 3 6" xfId="961" xr:uid="{75EBB351-6DD1-4F6B-8386-8E0F964B9DFC}"/>
    <cellStyle name="Ergebnis 3 7" xfId="2110" xr:uid="{4830E0A5-893D-4F57-AD40-5C85C7D8AD58}"/>
    <cellStyle name="Ergebnis 3 8" xfId="2075" xr:uid="{BB055321-BA87-447B-ACFC-7EFF20027B6A}"/>
    <cellStyle name="Ergebnis 3 9" xfId="3519" xr:uid="{B3DD4133-C754-4C00-ACB7-4891AA6E7B90}"/>
    <cellStyle name="Ergebnis 4" xfId="553" xr:uid="{45F2BA37-7815-4AD1-8292-AEA357DB24C4}"/>
    <cellStyle name="Ergebnis 4 10" xfId="4825" xr:uid="{476A1B07-03F8-40C0-9FEF-1D3C36850212}"/>
    <cellStyle name="Ergebnis 4 11" xfId="5201" xr:uid="{F2513CCD-2D5B-4119-ACB1-04E883520776}"/>
    <cellStyle name="Ergebnis 4 12" xfId="5543" xr:uid="{E39EFEEF-0A5B-4933-A135-FAF132B05C0D}"/>
    <cellStyle name="Ergebnis 4 13" xfId="5610" xr:uid="{4BB7A7A5-74AC-45AF-888C-E0E4FD3D683D}"/>
    <cellStyle name="Ergebnis 4 14" xfId="6699" xr:uid="{EF9E4B8E-B96A-4BF7-821D-154669B30057}"/>
    <cellStyle name="Ergebnis 4 15" xfId="7273" xr:uid="{A32C42A5-F432-4344-8885-0E5B0A8A1777}"/>
    <cellStyle name="Ergebnis 4 16" xfId="8039" xr:uid="{17CF30AB-121B-4683-8BF6-CE372D2242C8}"/>
    <cellStyle name="Ergebnis 4 17" xfId="7899" xr:uid="{BB2C322D-02D3-4594-893D-0CE8D8457449}"/>
    <cellStyle name="Ergebnis 4 18" xfId="8912" xr:uid="{59B0BB4D-82C4-4070-B88E-9402CFD1D5FB}"/>
    <cellStyle name="Ergebnis 4 19" xfId="9487" xr:uid="{E8D070CB-0B55-4EB5-A09E-0D8687A15B82}"/>
    <cellStyle name="Ergebnis 4 2" xfId="768" xr:uid="{2DC466D7-2721-4027-87E5-C9845C845E3A}"/>
    <cellStyle name="Ergebnis 4 2 10" xfId="5416" xr:uid="{24FB1B57-7E7F-4DA0-9A4B-3F55C1916A8B}"/>
    <cellStyle name="Ergebnis 4 2 11" xfId="4924" xr:uid="{48B49703-B742-446E-9AFE-1ACC2C78E039}"/>
    <cellStyle name="Ergebnis 4 2 12" xfId="5134" xr:uid="{3C48F6D6-E5B2-4167-B046-3B12E5C11F5C}"/>
    <cellStyle name="Ergebnis 4 2 13" xfId="6127" xr:uid="{B548A423-06E8-4337-A1B5-1D44A8A37BDB}"/>
    <cellStyle name="Ergebnis 4 2 14" xfId="7488" xr:uid="{3DEE1756-7908-4365-9C0A-22D0D96627A1}"/>
    <cellStyle name="Ergebnis 4 2 15" xfId="7198" xr:uid="{CAA13810-BC41-4150-81C5-22C9E81C60F4}"/>
    <cellStyle name="Ergebnis 4 2 16" xfId="6743" xr:uid="{72412AD6-856C-4B6D-BC8A-95A11CA2B47E}"/>
    <cellStyle name="Ergebnis 4 2 17" xfId="8880" xr:uid="{FB9F549D-6130-4CEA-8014-2CE32BB0952F}"/>
    <cellStyle name="Ergebnis 4 2 18" xfId="9702" xr:uid="{47E3BF21-72A3-40DF-8681-20D6B1900A11}"/>
    <cellStyle name="Ergebnis 4 2 19" xfId="9411" xr:uid="{A3907154-16ED-4608-818A-CBAA4A5916C1}"/>
    <cellStyle name="Ergebnis 4 2 2" xfId="1242" xr:uid="{72C9361E-2834-4592-88F4-A976C5B64ED8}"/>
    <cellStyle name="Ergebnis 4 2 20" xfId="10087" xr:uid="{13497420-945B-4FDD-9D45-CD762DF34330}"/>
    <cellStyle name="Ergebnis 4 2 21" xfId="9357" xr:uid="{F7971497-3F5B-4A57-8AA4-95849A73ADB3}"/>
    <cellStyle name="Ergebnis 4 2 22" xfId="9345" xr:uid="{9D107F96-CD6A-4D55-9044-0C09CD8A4C57}"/>
    <cellStyle name="Ergebnis 4 2 23" xfId="12121" xr:uid="{9C466695-DB4B-47BB-8234-E2FAE007367E}"/>
    <cellStyle name="Ergebnis 4 2 24" xfId="12594" xr:uid="{B714C4EE-5CCC-4DEC-BDE0-5CAAB5DFE890}"/>
    <cellStyle name="Ergebnis 4 2 25" xfId="13028" xr:uid="{0AD58E35-5653-4721-BC9D-1AB91F219064}"/>
    <cellStyle name="Ergebnis 4 2 26" xfId="13465" xr:uid="{0B4F5B64-D602-4702-B4D5-A7053F625BB9}"/>
    <cellStyle name="Ergebnis 4 2 27" xfId="11566" xr:uid="{C9607157-1C51-4C94-BF3B-C1770C8C3320}"/>
    <cellStyle name="Ergebnis 4 2 28" xfId="13664" xr:uid="{256AF1FC-A66C-44DC-9574-9C8F04AD479A}"/>
    <cellStyle name="Ergebnis 4 2 29" xfId="11718" xr:uid="{74FFC96C-887A-4371-95F4-B6E5D2C31C82}"/>
    <cellStyle name="Ergebnis 4 2 3" xfId="1433" xr:uid="{E691D428-BFF2-4747-A950-D91606D4D468}"/>
    <cellStyle name="Ergebnis 4 2 30" xfId="14660" xr:uid="{3E3E149E-5452-4766-9694-55CF8CDD4F6F}"/>
    <cellStyle name="Ergebnis 4 2 31" xfId="14414" xr:uid="{F40EAF01-6036-48F3-8ED8-D56BFA4F36B7}"/>
    <cellStyle name="Ergebnis 4 2 32" xfId="14649" xr:uid="{CC540FBB-9FC6-413D-8447-023E0D7A0B3C}"/>
    <cellStyle name="Ergebnis 4 2 33" xfId="16813" xr:uid="{10DC7C3D-86CC-40A3-82B9-EFD8097356D0}"/>
    <cellStyle name="Ergebnis 4 2 34" xfId="16520" xr:uid="{2C5D0EAD-D439-4E87-AFA8-4E59E916499C}"/>
    <cellStyle name="Ergebnis 4 2 35" xfId="17205" xr:uid="{1170DCEA-62E5-45B9-90A6-C53833AC8113}"/>
    <cellStyle name="Ergebnis 4 2 36" xfId="17534" xr:uid="{16B20D1B-7448-4D5B-B5E2-8CA842A25871}"/>
    <cellStyle name="Ergebnis 4 2 37" xfId="18631" xr:uid="{D0858DFB-0E00-47A1-A437-242E2794419B}"/>
    <cellStyle name="Ergebnis 4 2 38" xfId="19053" xr:uid="{99ED2A36-C729-4F12-84D3-47393B929112}"/>
    <cellStyle name="Ergebnis 4 2 39" xfId="17372" xr:uid="{441CBF9A-33CD-4EC4-9714-0F5774A63359}"/>
    <cellStyle name="Ergebnis 4 2 4" xfId="2590" xr:uid="{2A7C8A72-9B84-400C-BD6D-F97433EF8DFC}"/>
    <cellStyle name="Ergebnis 4 2 40" xfId="20150" xr:uid="{22EF56D4-B6CD-4CA4-BDD4-6E5575ED84F3}"/>
    <cellStyle name="Ergebnis 4 2 41" xfId="19856" xr:uid="{79D41FF5-3816-4D05-A7F8-BB5E6E12F29E}"/>
    <cellStyle name="Ergebnis 4 2 42" xfId="19563" xr:uid="{C8C301E0-D594-453D-9C1F-F0A966E355D4}"/>
    <cellStyle name="Ergebnis 4 2 43" xfId="20658" xr:uid="{81E4C356-AC87-4525-B878-B7B5B70868DA}"/>
    <cellStyle name="Ergebnis 4 2 44" xfId="21399" xr:uid="{7F1D3D8E-20EA-4E68-9A2A-FBCF35D3DE6D}"/>
    <cellStyle name="Ergebnis 4 2 45" xfId="21598" xr:uid="{2E5A4FD6-772F-406D-BBB1-0938487582D7}"/>
    <cellStyle name="Ergebnis 4 2 46" xfId="20813" xr:uid="{81741841-D622-4807-A294-A74E354BA4CE}"/>
    <cellStyle name="Ergebnis 4 2 47" xfId="23331" xr:uid="{6673E49A-3749-4727-8830-7D24B64A957E}"/>
    <cellStyle name="Ergebnis 4 2 48" xfId="23341" xr:uid="{28955F4C-EF96-4D8E-AC19-D74D5F2B5315}"/>
    <cellStyle name="Ergebnis 4 2 49" xfId="23950" xr:uid="{E42B49ED-4363-4AB9-BC98-5D463B64C87A}"/>
    <cellStyle name="Ergebnis 4 2 5" xfId="2001" xr:uid="{0FFDAC65-BEB2-40C3-BF48-195FFB2D3F78}"/>
    <cellStyle name="Ergebnis 4 2 50" xfId="24858" xr:uid="{904A1A7B-0E44-4C35-B874-C73411DFD297}"/>
    <cellStyle name="Ergebnis 4 2 51" xfId="24551" xr:uid="{372A23CE-A8A3-4B44-B7CC-841C4AD41ACB}"/>
    <cellStyle name="Ergebnis 4 2 52" xfId="25774" xr:uid="{EE598586-BF68-4EC5-86F9-CE67C1DDA649}"/>
    <cellStyle name="Ergebnis 4 2 53" xfId="25400" xr:uid="{AED87604-E033-4448-9443-0A1B6A577655}"/>
    <cellStyle name="Ergebnis 4 2 54" xfId="26293" xr:uid="{9B143243-7EC3-46DB-A55F-E498C507821E}"/>
    <cellStyle name="Ergebnis 4 2 55" xfId="27062" xr:uid="{9F541240-F3D7-4933-A9F4-CB5B6CF9D851}"/>
    <cellStyle name="Ergebnis 4 2 56" xfId="27481" xr:uid="{E1E16C23-1AFF-48CB-A5EC-32B442B5554A}"/>
    <cellStyle name="Ergebnis 4 2 57" xfId="27203" xr:uid="{5DDF061E-2A5C-4AE3-8061-AC78C1DEEF97}"/>
    <cellStyle name="Ergebnis 4 2 58" xfId="28608" xr:uid="{C6FA2F6E-7444-4B32-ACAE-2FFD8451E7CC}"/>
    <cellStyle name="Ergebnis 4 2 59" xfId="29075" xr:uid="{8A91AACD-DE6D-4C01-99E3-F59E42AA83B9}"/>
    <cellStyle name="Ergebnis 4 2 6" xfId="2834" xr:uid="{4395274E-5935-424E-BFF8-D0121F4D052C}"/>
    <cellStyle name="Ergebnis 4 2 60" xfId="28097" xr:uid="{1A2110CA-CE8F-413A-9D3F-EB8CF9EEF0C7}"/>
    <cellStyle name="Ergebnis 4 2 61" xfId="29864" xr:uid="{44F861D0-DBF9-40E5-9741-5DD5B852C6D0}"/>
    <cellStyle name="Ergebnis 4 2 62" xfId="30270" xr:uid="{0F9C933F-5AA6-4D9B-BA12-BF02C6DE6852}"/>
    <cellStyle name="Ergebnis 4 2 63" xfId="30687" xr:uid="{2413D833-D951-4BBB-A916-8BBB8F413AED}"/>
    <cellStyle name="Ergebnis 4 2 64" xfId="30404" xr:uid="{E30724A4-AA4B-44BF-85D4-57CAB5FBA128}"/>
    <cellStyle name="Ergebnis 4 2 65" xfId="31303" xr:uid="{F6D59544-09A4-4182-8004-2DD7EDF58521}"/>
    <cellStyle name="Ergebnis 4 2 7" xfId="4086" xr:uid="{0082D409-9C97-452F-86F1-3C435B350F0C}"/>
    <cellStyle name="Ergebnis 4 2 8" xfId="4523" xr:uid="{7B67F1D7-951C-4784-8DDF-71FDF4BA2D62}"/>
    <cellStyle name="Ergebnis 4 2 9" xfId="2028" xr:uid="{A1FE548F-6818-4D80-8A9A-2D219AA37D4C}"/>
    <cellStyle name="Ergebnis 4 20" xfId="10258" xr:uid="{32B9BF72-FC29-4DE0-9C74-1E2CC12E23AD}"/>
    <cellStyle name="Ergebnis 4 21" xfId="10651" xr:uid="{1E99D002-DB16-435A-9D59-368A6B5D618A}"/>
    <cellStyle name="Ergebnis 4 22" xfId="11004" xr:uid="{829E0147-B393-4E48-8FFE-D89773C047FD}"/>
    <cellStyle name="Ergebnis 4 23" xfId="11316" xr:uid="{4BAB9E33-16BF-4566-B3A0-715860B17838}"/>
    <cellStyle name="Ergebnis 4 24" xfId="11906" xr:uid="{B57891DE-1C77-47F5-B4FE-87129DEEF797}"/>
    <cellStyle name="Ergebnis 4 25" xfId="12379" xr:uid="{1612DB61-21B4-4770-9135-DF5748B19B79}"/>
    <cellStyle name="Ergebnis 4 26" xfId="12813" xr:uid="{52D1C17D-AD63-47DB-8FE7-582EB4F8D67A}"/>
    <cellStyle name="Ergebnis 4 27" xfId="13250" xr:uid="{85252197-CFFB-44B6-ABDC-422EFEE45598}"/>
    <cellStyle name="Ergebnis 4 28" xfId="14023" xr:uid="{CA2ABFF4-1F5C-4F5C-B800-7EF6056946C2}"/>
    <cellStyle name="Ergebnis 4 29" xfId="13707" xr:uid="{2007CE7C-7744-4ACF-BCE8-E662BA79BBEE}"/>
    <cellStyle name="Ergebnis 4 3" xfId="1036" xr:uid="{639E79CB-3ACA-41A6-969D-F0FE174DDDD1}"/>
    <cellStyle name="Ergebnis 4 30" xfId="14794" xr:uid="{96F1FE7C-6A10-430E-9AA4-91DE45F9CC0C}"/>
    <cellStyle name="Ergebnis 4 31" xfId="11577" xr:uid="{3E4B87D3-733D-4621-ACF5-59AC833D5487}"/>
    <cellStyle name="Ergebnis 4 32" xfId="15767" xr:uid="{F9A91D98-366C-4050-93C7-310951633AF9}"/>
    <cellStyle name="Ergebnis 4 33" xfId="15992" xr:uid="{A62CA5EA-9C8F-435E-85D1-9D10C0211E6E}"/>
    <cellStyle name="Ergebnis 4 34" xfId="16598" xr:uid="{98B795C7-60C4-4347-B768-E3089B0AC137}"/>
    <cellStyle name="Ergebnis 4 35" xfId="17380" xr:uid="{D3ABF139-5BA6-44B2-8462-03B4CAC2FEBA}"/>
    <cellStyle name="Ergebnis 4 36" xfId="17822" xr:uid="{2FCCB22A-30D7-42B6-BD7B-9AB70B44FA14}"/>
    <cellStyle name="Ergebnis 4 37" xfId="18298" xr:uid="{694B0BA4-1FAA-4264-8089-92C9B5042D36}"/>
    <cellStyle name="Ergebnis 4 38" xfId="18416" xr:uid="{3B2B5F78-EB47-4A88-A041-E4F12A56D92A}"/>
    <cellStyle name="Ergebnis 4 39" xfId="19109" xr:uid="{6773AB34-A394-43AD-B153-26553473FC64}"/>
    <cellStyle name="Ergebnis 4 4" xfId="1674" xr:uid="{321300C9-FC4F-4B69-9640-6F5F060FEF2F}"/>
    <cellStyle name="Ergebnis 4 40" xfId="19341" xr:uid="{B2D13FCC-1AD0-496D-AFD3-AAAA88ABC5BD}"/>
    <cellStyle name="Ergebnis 4 41" xfId="19935" xr:uid="{E8C25C9B-5774-4B85-B560-C6FA4271A3EB}"/>
    <cellStyle name="Ergebnis 4 42" xfId="20729" xr:uid="{FCE45FE2-7D11-4DD2-BC3A-D15D085E630E}"/>
    <cellStyle name="Ergebnis 4 43" xfId="21188" xr:uid="{34E7C6D3-AC77-4A09-8F9F-D6F19190B092}"/>
    <cellStyle name="Ergebnis 4 44" xfId="21680" xr:uid="{8455CAA5-32FE-4C13-A50F-150CDE88949C}"/>
    <cellStyle name="Ergebnis 4 45" xfId="22119" xr:uid="{6D9C9288-B8E2-4870-9647-715BA952A9B3}"/>
    <cellStyle name="Ergebnis 4 46" xfId="22546" xr:uid="{6D0752CC-3E79-4E9B-BADF-75F63EA6D41E}"/>
    <cellStyle name="Ergebnis 4 47" xfId="22992" xr:uid="{15AD3C93-5CA2-4EEC-A6EB-22D64ACA6A29}"/>
    <cellStyle name="Ergebnis 4 48" xfId="23396" xr:uid="{387ABE72-3D40-475A-9393-4DB4A801AA33}"/>
    <cellStyle name="Ergebnis 4 49" xfId="23662" xr:uid="{4D45067D-2175-4F55-8F5E-AD05D375A67B}"/>
    <cellStyle name="Ergebnis 4 5" xfId="2375" xr:uid="{C544EC4E-4417-4F3E-A38D-0EDDF300F518}"/>
    <cellStyle name="Ergebnis 4 50" xfId="23744" xr:uid="{D6BB8F21-53F7-4F9B-8454-9B52C587231E}"/>
    <cellStyle name="Ergebnis 4 51" xfId="24643" xr:uid="{C12088EF-F688-402D-9D96-6F5FB44D3346}"/>
    <cellStyle name="Ergebnis 4 52" xfId="25434" xr:uid="{7ECC891D-306D-4AAA-BC6B-0FA1763BF8FE}"/>
    <cellStyle name="Ergebnis 4 53" xfId="25561" xr:uid="{4CE704EC-8673-4980-8324-A6D5E1ADC12B}"/>
    <cellStyle name="Ergebnis 4 54" xfId="26300" xr:uid="{2F88FBB3-4511-4CDE-A6FE-6BC236D8FE9E}"/>
    <cellStyle name="Ergebnis 4 55" xfId="25092" xr:uid="{54149791-5426-44E4-95C1-41FA0EC4AB94}"/>
    <cellStyle name="Ergebnis 4 56" xfId="26851" xr:uid="{E43351F8-FA0D-48C7-9E60-B70637D28E85}"/>
    <cellStyle name="Ergebnis 4 57" xfId="27270" xr:uid="{DB70A47F-99BA-44FA-BBBF-A2B4FAFBCD9A}"/>
    <cellStyle name="Ergebnis 4 58" xfId="27615" xr:uid="{C88CFF48-47FD-4CD2-8416-BED468EBB1F1}"/>
    <cellStyle name="Ergebnis 4 59" xfId="28393" xr:uid="{F34E7256-4779-4648-8E8A-98FF5F686375}"/>
    <cellStyle name="Ergebnis 4 6" xfId="3196" xr:uid="{EDF514C8-47ED-4E78-8462-9610ABA3E2AB}"/>
    <cellStyle name="Ergebnis 4 60" xfId="28861" xr:uid="{BB660E7F-82F6-4110-ADC5-125313F81B94}"/>
    <cellStyle name="Ergebnis 4 61" xfId="29543" xr:uid="{86E98CEE-38FE-4CB1-8C31-406DB8B25872}"/>
    <cellStyle name="Ergebnis 4 62" xfId="29651" xr:uid="{0F233971-4289-460E-97BB-D2D5D745F475}"/>
    <cellStyle name="Ergebnis 4 63" xfId="30059" xr:uid="{F7A151FF-AF8B-45E9-9EDF-232033737691}"/>
    <cellStyle name="Ergebnis 4 64" xfId="30473" xr:uid="{616A2D64-3E99-4113-91DA-2A0A698A60C2}"/>
    <cellStyle name="Ergebnis 4 65" xfId="30877" xr:uid="{B6A05500-01AF-4EA7-9C72-A3057D47F2CA}"/>
    <cellStyle name="Ergebnis 4 66" xfId="31097" xr:uid="{228739B8-9EAC-45BE-BA29-7C963A893A95}"/>
    <cellStyle name="Ergebnis 4 7" xfId="3013" xr:uid="{CC5092EE-4B5C-4A60-984A-4657988E0632}"/>
    <cellStyle name="Ergebnis 4 8" xfId="3871" xr:uid="{0D01D34E-4D38-4547-B948-ADA0B8C4EC0A}"/>
    <cellStyle name="Ergebnis 4 9" xfId="4309" xr:uid="{03BF1FA3-8F13-441F-8417-C164162094F1}"/>
    <cellStyle name="Ergebnis 5" xfId="627" xr:uid="{415E1329-B024-4A6B-829F-74950D0644E8}"/>
    <cellStyle name="Ergebnis 5 10" xfId="4787" xr:uid="{DB63B1F1-DA8D-48C6-9287-DC1E4F96FD78}"/>
    <cellStyle name="Ergebnis 5 11" xfId="5275" xr:uid="{E266C72E-9821-4649-998B-3D643065AD2C}"/>
    <cellStyle name="Ergebnis 5 12" xfId="5752" xr:uid="{E3998522-D85C-4F3B-83FE-79C512E9D458}"/>
    <cellStyle name="Ergebnis 5 13" xfId="5157" xr:uid="{25BFAABC-FF71-4D46-98EF-A9EE835117C9}"/>
    <cellStyle name="Ergebnis 5 14" xfId="6121" xr:uid="{B3321FE9-6AF9-4133-A43F-0129F91C8017}"/>
    <cellStyle name="Ergebnis 5 15" xfId="7347" xr:uid="{DA5E8530-94B4-41C0-82B7-3BD434A1A993}"/>
    <cellStyle name="Ergebnis 5 16" xfId="7939" xr:uid="{33FC369C-A970-45E1-AEBE-20F0F288EA57}"/>
    <cellStyle name="Ergebnis 5 17" xfId="7950" xr:uid="{61DCDDB2-04D6-4858-853A-71D8439B159D}"/>
    <cellStyle name="Ergebnis 5 18" xfId="8222" xr:uid="{CCCEE9AB-1B8E-4B5F-B09A-51BFA6DC05AF}"/>
    <cellStyle name="Ergebnis 5 19" xfId="9561" xr:uid="{596486B0-0AB5-486A-A4BF-B0A93BF5F32D}"/>
    <cellStyle name="Ergebnis 5 2" xfId="842" xr:uid="{959AD402-7521-4AFF-91F0-B994BB2DDD3B}"/>
    <cellStyle name="Ergebnis 5 2 10" xfId="5490" xr:uid="{2B1F56D5-0E89-4493-A0E2-CAC9381048EE}"/>
    <cellStyle name="Ergebnis 5 2 11" xfId="3278" xr:uid="{3163E1BE-4938-417F-BF06-5011B53986DE}"/>
    <cellStyle name="Ergebnis 5 2 12" xfId="6106" xr:uid="{9CA003B3-F4ED-40CF-8E44-1A7C4F2C93B9}"/>
    <cellStyle name="Ergebnis 5 2 13" xfId="6009" xr:uid="{AB8E98A4-2A2B-4AD9-8CC9-C41301D3BB24}"/>
    <cellStyle name="Ergebnis 5 2 14" xfId="7562" xr:uid="{11AEA55E-A4C9-453A-8B91-D3CE1B6CDCC7}"/>
    <cellStyle name="Ergebnis 5 2 15" xfId="7032" xr:uid="{E82CE91B-38D4-4214-9BF7-C59054F04CFE}"/>
    <cellStyle name="Ergebnis 5 2 16" xfId="7760" xr:uid="{0762140B-880E-47B3-AEDD-3FA2E20CA1DC}"/>
    <cellStyle name="Ergebnis 5 2 17" xfId="7728" xr:uid="{B5E02B64-DA30-4205-A2AF-AF4C9A21A50E}"/>
    <cellStyle name="Ergebnis 5 2 18" xfId="9776" xr:uid="{20DEB70D-CCCF-436D-9557-67AFE2361E90}"/>
    <cellStyle name="Ergebnis 5 2 19" xfId="9245" xr:uid="{1FCE4082-E5BA-4512-81CC-B43E27939023}"/>
    <cellStyle name="Ergebnis 5 2 2" xfId="1316" xr:uid="{823638C4-1266-4E77-B53C-96362AE9DD95}"/>
    <cellStyle name="Ergebnis 5 2 20" xfId="9907" xr:uid="{974F80A3-58C4-45D5-9489-5851BC3578E9}"/>
    <cellStyle name="Ergebnis 5 2 21" xfId="10781" xr:uid="{46CB6400-4531-478E-ACB9-93E529E2F5FF}"/>
    <cellStyle name="Ergebnis 5 2 22" xfId="9934" xr:uid="{323B0ECA-9471-48FF-B4B4-5DD344735700}"/>
    <cellStyle name="Ergebnis 5 2 23" xfId="12195" xr:uid="{D7A220E4-F567-4932-84EC-12D95773781C}"/>
    <cellStyle name="Ergebnis 5 2 24" xfId="12668" xr:uid="{3E025C36-ECE9-46F5-8FCE-E8DC89C465FF}"/>
    <cellStyle name="Ergebnis 5 2 25" xfId="13102" xr:uid="{D9A15A9E-BE6D-4860-8E86-4B7906A768AD}"/>
    <cellStyle name="Ergebnis 5 2 26" xfId="13539" xr:uid="{CB170B24-DF73-4FE4-A240-2C58A6D1758F}"/>
    <cellStyle name="Ergebnis 5 2 27" xfId="13705" xr:uid="{E766DBA5-748E-4BDE-931E-BE5A3F332F71}"/>
    <cellStyle name="Ergebnis 5 2 28" xfId="13750" xr:uid="{152EC1C6-3048-469D-9149-ED4EC3AF910F}"/>
    <cellStyle name="Ergebnis 5 2 29" xfId="11859" xr:uid="{5CC8E24F-1BCD-4F60-AB98-41FA2B166244}"/>
    <cellStyle name="Ergebnis 5 2 3" xfId="1765" xr:uid="{049B296A-13CA-481F-A143-588269F92691}"/>
    <cellStyle name="Ergebnis 5 2 30" xfId="14702" xr:uid="{A7059D63-8963-4612-A751-D5BFF06B4B83}"/>
    <cellStyle name="Ergebnis 5 2 31" xfId="14126" xr:uid="{3D199C46-865B-41FB-A306-B1C3C663E27C}"/>
    <cellStyle name="Ergebnis 5 2 32" xfId="15122" xr:uid="{4826F4D5-E87D-4FCB-8CDC-AD6477D41A4E}"/>
    <cellStyle name="Ergebnis 5 2 33" xfId="16887" xr:uid="{8DE424E5-F35A-4A75-A1DA-5132750F8E3E}"/>
    <cellStyle name="Ergebnis 5 2 34" xfId="16355" xr:uid="{34B97C34-0752-4357-9DE4-CF00384A63FF}"/>
    <cellStyle name="Ergebnis 5 2 35" xfId="17019" xr:uid="{170C826D-1330-4B75-9ABB-2342B052BDD1}"/>
    <cellStyle name="Ergebnis 5 2 36" xfId="18001" xr:uid="{7E888AA2-4925-4A3A-8E42-FFF37A09045D}"/>
    <cellStyle name="Ergebnis 5 2 37" xfId="18705" xr:uid="{178B376B-DC81-469F-AA11-315BEF59851E}"/>
    <cellStyle name="Ergebnis 5 2 38" xfId="18002" xr:uid="{2808B57A-91A4-4C4E-99D2-7C557862BCA1}"/>
    <cellStyle name="Ergebnis 5 2 39" xfId="19208" xr:uid="{02D5E1E0-CE01-4EF8-BCC0-88C3F2F4B63E}"/>
    <cellStyle name="Ergebnis 5 2 4" xfId="2664" xr:uid="{14C7962D-8A2D-4D51-9738-994D14D01148}"/>
    <cellStyle name="Ergebnis 5 2 40" xfId="20224" xr:uid="{97AA2FD3-C587-4692-B685-DDEA2AB1E8E4}"/>
    <cellStyle name="Ergebnis 5 2 41" xfId="19688" xr:uid="{553847C8-96D6-4EE9-8F4D-D00EA2022F1A}"/>
    <cellStyle name="Ergebnis 5 2 42" xfId="20549" xr:uid="{54A31A1E-CA59-4C0E-BCEE-C9A677793204}"/>
    <cellStyle name="Ergebnis 5 2 43" xfId="21631" xr:uid="{243B64DD-4F19-4214-9A08-970AA91D7F85}"/>
    <cellStyle name="Ergebnis 5 2 44" xfId="20858" xr:uid="{5EE118E6-4F47-4176-92A9-73BF73CDF990}"/>
    <cellStyle name="Ergebnis 5 2 45" xfId="21982" xr:uid="{3C4CA2AE-9B2F-42A5-A8DD-268B19DDA549}"/>
    <cellStyle name="Ergebnis 5 2 46" xfId="22702" xr:uid="{154BF2EA-399C-42FE-BBD4-5CD6E1874ACE}"/>
    <cellStyle name="Ergebnis 5 2 47" xfId="22354" xr:uid="{CC8747BA-29CA-4CE7-83BF-36F6E8E2325E}"/>
    <cellStyle name="Ergebnis 5 2 48" xfId="22742" xr:uid="{73A241F1-4A1D-40CE-99F7-36943FE99F57}"/>
    <cellStyle name="Ergebnis 5 2 49" xfId="24024" xr:uid="{E074B4F4-B59E-495F-A3AC-FF2203DB6938}"/>
    <cellStyle name="Ergebnis 5 2 5" xfId="2870" xr:uid="{E9251B65-EE26-405F-AE63-7B442E63EBC9}"/>
    <cellStyle name="Ergebnis 5 2 50" xfId="24932" xr:uid="{9FFA4E9B-92C1-43CB-A500-AFAFDF9177B7}"/>
    <cellStyle name="Ergebnis 5 2 51" xfId="24397" xr:uid="{463C6ED2-0B64-49A8-A9BF-D6AC3A49ED80}"/>
    <cellStyle name="Ergebnis 5 2 52" xfId="25848" xr:uid="{E56BFD14-A818-421D-8C9A-0ED371E23BFD}"/>
    <cellStyle name="Ergebnis 5 2 53" xfId="25959" xr:uid="{D0CBC816-59F3-4DE0-82AE-21359A43C951}"/>
    <cellStyle name="Ergebnis 5 2 54" xfId="26690" xr:uid="{E34920F3-6A1F-49D4-ABF3-305459023594}"/>
    <cellStyle name="Ergebnis 5 2 55" xfId="27136" xr:uid="{C324910F-47FA-46B3-A093-0A107DA4C8DD}"/>
    <cellStyle name="Ergebnis 5 2 56" xfId="27555" xr:uid="{86F52956-F505-44DC-B6F7-A529C084BDBE}"/>
    <cellStyle name="Ergebnis 5 2 57" xfId="27677" xr:uid="{05629E16-6DA0-439B-A8FF-2AA7A981464C}"/>
    <cellStyle name="Ergebnis 5 2 58" xfId="28682" xr:uid="{28921A09-C2E0-4E5A-BC77-A3727AC7F8AF}"/>
    <cellStyle name="Ergebnis 5 2 59" xfId="29149" xr:uid="{8B20D277-1630-4CC9-A103-355DB3CF8195}"/>
    <cellStyle name="Ergebnis 5 2 6" xfId="3194" xr:uid="{4D057DCF-496F-4A69-9F96-1FB569FCAC0C}"/>
    <cellStyle name="Ergebnis 5 2 60" xfId="27895" xr:uid="{7A8D72CA-8705-4014-9075-3CA54C9F6FEA}"/>
    <cellStyle name="Ergebnis 5 2 61" xfId="29938" xr:uid="{99B46DFF-9EC8-44E0-85D3-AB088284EBCE}"/>
    <cellStyle name="Ergebnis 5 2 62" xfId="30344" xr:uid="{ED400CEA-EA5E-4AC4-9308-C1FC02352D17}"/>
    <cellStyle name="Ergebnis 5 2 63" xfId="30761" xr:uid="{0CAC7F2F-CADF-445D-9E01-81096D926B85}"/>
    <cellStyle name="Ergebnis 5 2 64" xfId="28773" xr:uid="{427B28F2-00DE-4F35-A47D-934D0D4FF3A9}"/>
    <cellStyle name="Ergebnis 5 2 65" xfId="31377" xr:uid="{D9AC2037-39ED-479C-B065-5A159FDE6FAD}"/>
    <cellStyle name="Ergebnis 5 2 7" xfId="4160" xr:uid="{A12E5B67-FDDC-4B24-804D-58B026771542}"/>
    <cellStyle name="Ergebnis 5 2 8" xfId="4597" xr:uid="{3728F91B-908E-4A09-85F5-8763BDBAE088}"/>
    <cellStyle name="Ergebnis 5 2 9" xfId="3715" xr:uid="{FD61874D-CE41-42BD-AAA7-FC82CAC4E59C}"/>
    <cellStyle name="Ergebnis 5 20" xfId="10152" xr:uid="{E8C06741-41D2-46E1-BD0C-C18548460D6F}"/>
    <cellStyle name="Ergebnis 5 21" xfId="10562" xr:uid="{3967C382-452A-4FCB-AFB0-3049D2BC3A74}"/>
    <cellStyle name="Ergebnis 5 22" xfId="10496" xr:uid="{136825BF-CBEA-45F6-BC2B-B950A54AE803}"/>
    <cellStyle name="Ergebnis 5 23" xfId="10722" xr:uid="{CCF44D90-324D-4ABD-9761-8A15772646E6}"/>
    <cellStyle name="Ergebnis 5 24" xfId="11980" xr:uid="{61AB2A6E-F2BF-4DE1-A374-16BD75A43BE5}"/>
    <cellStyle name="Ergebnis 5 25" xfId="12453" xr:uid="{7D21D65F-4696-444D-BFF9-6B92C41DB011}"/>
    <cellStyle name="Ergebnis 5 26" xfId="12887" xr:uid="{0EAB5F9F-92A9-4891-A0D1-85D5C2AFA780}"/>
    <cellStyle name="Ergebnis 5 27" xfId="13324" xr:uid="{60BF74AC-F4D4-4473-BF66-D4C3683902A7}"/>
    <cellStyle name="Ergebnis 5 28" xfId="12756" xr:uid="{FA38D1FE-9652-4FF9-88BF-EBCA4A3C89C2}"/>
    <cellStyle name="Ergebnis 5 29" xfId="13782" xr:uid="{5C8B62DA-9C5B-40EC-A5A5-76F2F813ED79}"/>
    <cellStyle name="Ergebnis 5 3" xfId="1110" xr:uid="{00E35B10-095C-43EC-9EB1-DD559B1489C8}"/>
    <cellStyle name="Ergebnis 5 30" xfId="14853" xr:uid="{0B9C28AC-335D-4526-9F84-852A78981EE8}"/>
    <cellStyle name="Ergebnis 5 31" xfId="14912" xr:uid="{E6841CE6-6814-408D-B35A-6BD00FA18224}"/>
    <cellStyle name="Ergebnis 5 32" xfId="13934" xr:uid="{25392C61-4DB2-43AB-AEA6-D223759ACB6E}"/>
    <cellStyle name="Ergebnis 5 33" xfId="15941" xr:uid="{658C43CE-AD28-4FAF-BEB1-2E26985AFA3B}"/>
    <cellStyle name="Ergebnis 5 34" xfId="16672" xr:uid="{07F4F95F-9EE1-4B70-9A43-0A1865EF5270}"/>
    <cellStyle name="Ergebnis 5 35" xfId="17272" xr:uid="{49E467B9-B4CC-458F-A5CB-FBA66AD80C1A}"/>
    <cellStyle name="Ergebnis 5 36" xfId="17716" xr:uid="{41CE389A-32BD-49B3-98AE-64B2B8DDC435}"/>
    <cellStyle name="Ergebnis 5 37" xfId="17546" xr:uid="{CE832540-B700-41DE-8335-AC4ED75F640A}"/>
    <cellStyle name="Ergebnis 5 38" xfId="18490" xr:uid="{66D21F87-1492-4C4C-B24B-0DB0715E0486}"/>
    <cellStyle name="Ergebnis 5 39" xfId="17750" xr:uid="{C2D6CC28-ABA0-4173-BDB2-2E7DA9100233}"/>
    <cellStyle name="Ergebnis 5 4" xfId="1708" xr:uid="{8BAA7851-D687-469D-B4CA-627A65AA5121}"/>
    <cellStyle name="Ergebnis 5 40" xfId="18054" xr:uid="{9E5EF933-4CAF-4246-923A-DCD65D01A211}"/>
    <cellStyle name="Ergebnis 5 41" xfId="20009" xr:uid="{29497CE1-29AD-44F2-AE9D-DFBC365E7345}"/>
    <cellStyle name="Ergebnis 5 42" xfId="20622" xr:uid="{D7D065EA-B123-4393-B170-32335D940242}"/>
    <cellStyle name="Ergebnis 5 43" xfId="21077" xr:uid="{5037403E-AA51-49AC-BE21-EF76A6AC5C7E}"/>
    <cellStyle name="Ergebnis 5 44" xfId="21234" xr:uid="{143F53AC-3794-4BD8-AAE9-E728AFAC7E6B}"/>
    <cellStyle name="Ergebnis 5 45" xfId="22008" xr:uid="{A491BB30-24DF-442F-BE73-3E7785E60B8C}"/>
    <cellStyle name="Ergebnis 5 46" xfId="22439" xr:uid="{3AD254F6-D7BD-4391-865D-73393502DB39}"/>
    <cellStyle name="Ergebnis 5 47" xfId="21837" xr:uid="{65744BB2-7426-402A-8AA9-385F024D09EF}"/>
    <cellStyle name="Ergebnis 5 48" xfId="21834" xr:uid="{65336432-F31E-450B-BB14-332892E81044}"/>
    <cellStyle name="Ergebnis 5 49" xfId="22525" xr:uid="{CA34D687-2998-4955-9CCB-0E843172C119}"/>
    <cellStyle name="Ergebnis 5 5" xfId="2449" xr:uid="{3001BE7D-C145-481D-8807-0AA4E77C429D}"/>
    <cellStyle name="Ergebnis 5 50" xfId="23818" xr:uid="{414F5DE9-EDA6-4CBA-80EC-BAFAF99B69F0}"/>
    <cellStyle name="Ergebnis 5 51" xfId="24717" xr:uid="{EA1C8511-39F2-43E5-AEAD-FFAEAB03D3F0}"/>
    <cellStyle name="Ergebnis 5 52" xfId="25328" xr:uid="{D566A1BA-E9BE-4156-A3E1-E4CC0E48F2E6}"/>
    <cellStyle name="Ergebnis 5 53" xfId="25635" xr:uid="{62B8BA0B-A12D-451E-8BCE-B504467CC6D4}"/>
    <cellStyle name="Ergebnis 5 54" xfId="24396" xr:uid="{28C26C10-3752-4B55-859B-199AB294EF07}"/>
    <cellStyle name="Ergebnis 5 55" xfId="24444" xr:uid="{C519379D-10B2-4D1C-B4AC-7CF0DC487674}"/>
    <cellStyle name="Ergebnis 5 56" xfId="26925" xr:uid="{579402E6-9D0A-4521-A6CA-56898EF76AB7}"/>
    <cellStyle name="Ergebnis 5 57" xfId="27344" xr:uid="{EC849825-BF56-42FD-89C9-D84A21FF8BA4}"/>
    <cellStyle name="Ergebnis 5 58" xfId="27412" xr:uid="{2E36AD0E-1884-435F-B860-1B98E9E61CC0}"/>
    <cellStyle name="Ergebnis 5 59" xfId="28467" xr:uid="{C33BF486-65EE-477E-A51C-2E7EE0950AFC}"/>
    <cellStyle name="Ergebnis 5 6" xfId="2053" xr:uid="{E90543FC-839E-49EE-8F55-600CB7B78A96}"/>
    <cellStyle name="Ergebnis 5 60" xfId="28935" xr:uid="{B7F25151-1E0A-434E-9F84-BBD46D65B06B}"/>
    <cellStyle name="Ergebnis 5 61" xfId="29451" xr:uid="{2D95AEA4-1B89-4E84-95D1-43757AC3C30C}"/>
    <cellStyle name="Ergebnis 5 62" xfId="29725" xr:uid="{DC4EFA52-5473-4F8F-BC9A-4671F144F305}"/>
    <cellStyle name="Ergebnis 5 63" xfId="30133" xr:uid="{47D931D1-46C8-4725-8713-B849DFE36C15}"/>
    <cellStyle name="Ergebnis 5 64" xfId="30547" xr:uid="{BA2BEAE4-3056-4A8C-8AA9-129806283B1C}"/>
    <cellStyle name="Ergebnis 5 65" xfId="29474" xr:uid="{DC4464B7-854D-4C63-B2FF-2B971A172D2C}"/>
    <cellStyle name="Ergebnis 5 66" xfId="31171" xr:uid="{AA540020-FBFF-4EF0-B3F2-0ED329EBB92E}"/>
    <cellStyle name="Ergebnis 5 7" xfId="2251" xr:uid="{D68E84D1-1720-42AA-8A56-EB18CC140F0B}"/>
    <cellStyle name="Ergebnis 5 8" xfId="3945" xr:uid="{EDC6E5DF-1D21-4355-8015-7C127F470917}"/>
    <cellStyle name="Ergebnis 5 9" xfId="4383" xr:uid="{C347DE66-14AB-4195-BBC5-FC83095E0701}"/>
    <cellStyle name="Ergebnis 6" xfId="634" xr:uid="{D921398B-05F5-40FF-98C7-DC65241FAA9F}"/>
    <cellStyle name="Ergebnis 6 10" xfId="2016" xr:uid="{A543293D-47B5-4371-A72D-5A269EC21BC8}"/>
    <cellStyle name="Ergebnis 6 11" xfId="5282" xr:uid="{6894B068-1585-48C8-A44F-7253F9DC731A}"/>
    <cellStyle name="Ergebnis 6 12" xfId="6001" xr:uid="{49CBDE23-510E-4A05-A8FB-0F3574FCC996}"/>
    <cellStyle name="Ergebnis 6 13" xfId="6363" xr:uid="{5B54155B-2FFF-4D09-96C5-6CCF91092334}"/>
    <cellStyle name="Ergebnis 6 14" xfId="5953" xr:uid="{3AE13FFC-FA61-42B9-B28C-DBDF1B9850F6}"/>
    <cellStyle name="Ergebnis 6 15" xfId="7354" xr:uid="{823F2C07-A8C4-46CB-AA3D-73D075E3327D}"/>
    <cellStyle name="Ergebnis 6 16" xfId="7777" xr:uid="{7515E5D7-0390-4CE1-ADC5-DF10A91B08AD}"/>
    <cellStyle name="Ergebnis 6 17" xfId="7215" xr:uid="{EF4A220A-5381-48ED-8B2D-E467BC4F05FD}"/>
    <cellStyle name="Ergebnis 6 18" xfId="8231" xr:uid="{888C4D5D-7311-4AB4-B5E8-A1679C4F681A}"/>
    <cellStyle name="Ergebnis 6 19" xfId="9568" xr:uid="{C1CF671A-BDF2-439B-B35E-7F4ABDA1B718}"/>
    <cellStyle name="Ergebnis 6 2" xfId="849" xr:uid="{30B951B7-76CE-49F2-A476-CD93CE0B6103}"/>
    <cellStyle name="Ergebnis 6 2 10" xfId="5497" xr:uid="{E1339751-9E66-47C2-9FD5-2134C8E252DA}"/>
    <cellStyle name="Ergebnis 6 2 11" xfId="4978" xr:uid="{FDADA170-70DF-4F8A-9A65-8489E68A3CD1}"/>
    <cellStyle name="Ergebnis 6 2 12" xfId="6315" xr:uid="{27A3B2B5-F35B-4475-8D24-7BB6B4396F49}"/>
    <cellStyle name="Ergebnis 6 2 13" xfId="6677" xr:uid="{9A95A6E4-4B71-4713-864C-B738E278E39A}"/>
    <cellStyle name="Ergebnis 6 2 14" xfId="7569" xr:uid="{85A59CCD-E046-4B1D-8435-46E4CE875CA3}"/>
    <cellStyle name="Ergebnis 6 2 15" xfId="7206" xr:uid="{8F6D5BCD-0FDD-4D1C-9130-EA198A12674C}"/>
    <cellStyle name="Ergebnis 6 2 16" xfId="8204" xr:uid="{DE6E7638-370C-4C77-AD59-B8101E769409}"/>
    <cellStyle name="Ergebnis 6 2 17" xfId="8712" xr:uid="{ACC2FE70-FD68-4DED-B0A3-A67694EB6E99}"/>
    <cellStyle name="Ergebnis 6 2 18" xfId="9783" xr:uid="{5B39C64A-6C82-4521-A80D-2D59E93607CF}"/>
    <cellStyle name="Ergebnis 6 2 19" xfId="9419" xr:uid="{791675F5-77EF-4952-B89F-9316B85BC77B}"/>
    <cellStyle name="Ergebnis 6 2 2" xfId="1323" xr:uid="{897D3228-3F49-4401-AF8C-4E0A7072FCB4}"/>
    <cellStyle name="Ergebnis 6 2 20" xfId="9148" xr:uid="{BF85CF88-A744-4CF1-A77C-7F605A4A4743}"/>
    <cellStyle name="Ergebnis 6 2 21" xfId="10906" xr:uid="{1A320141-A140-472F-89BA-A34C61226DC2}"/>
    <cellStyle name="Ergebnis 6 2 22" xfId="11294" xr:uid="{8CE5E1C5-22CA-4901-B7C7-A147A123E665}"/>
    <cellStyle name="Ergebnis 6 2 23" xfId="12202" xr:uid="{50B7505C-6FD2-4D52-B455-3AF348856F36}"/>
    <cellStyle name="Ergebnis 6 2 24" xfId="12675" xr:uid="{B16B8C5B-AC3B-48BE-8295-576AF1702675}"/>
    <cellStyle name="Ergebnis 6 2 25" xfId="13109" xr:uid="{3887E4C2-D6D5-4568-A65B-E80ED43E006E}"/>
    <cellStyle name="Ergebnis 6 2 26" xfId="13546" xr:uid="{ECA2ED74-D490-41DA-AD8D-BCC2C06F546D}"/>
    <cellStyle name="Ergebnis 6 2 27" xfId="11809" xr:uid="{9F01A702-EF85-4E1E-BAEA-8457A755CAB9}"/>
    <cellStyle name="Ergebnis 6 2 28" xfId="13192" xr:uid="{A0DE402D-7F33-42C0-B335-DD7F7BA593CC}"/>
    <cellStyle name="Ergebnis 6 2 29" xfId="11440" xr:uid="{A9961E05-936B-47E4-9D30-4454BB22082F}"/>
    <cellStyle name="Ergebnis 6 2 3" xfId="1772" xr:uid="{C5E7C9CF-D932-4CB7-83C0-6E765E88BEBF}"/>
    <cellStyle name="Ergebnis 6 2 30" xfId="11609" xr:uid="{87DC7219-3DEF-450B-8687-EE66D6D17E9B}"/>
    <cellStyle name="Ergebnis 6 2 31" xfId="11562" xr:uid="{8ED170C0-5D77-4410-8FC3-61340971A302}"/>
    <cellStyle name="Ergebnis 6 2 32" xfId="13763" xr:uid="{233D33D2-0510-4104-BED5-C478D50D8ADF}"/>
    <cellStyle name="Ergebnis 6 2 33" xfId="16894" xr:uid="{AB6967C1-F16C-48F0-AC00-B1E29D55E66C}"/>
    <cellStyle name="Ergebnis 6 2 34" xfId="16528" xr:uid="{3248B49E-CA8A-4D05-A558-D94E299F4A02}"/>
    <cellStyle name="Ergebnis 6 2 35" xfId="16133" xr:uid="{08280AD8-6A1D-459D-9B6B-84318D01AD08}"/>
    <cellStyle name="Ergebnis 6 2 36" xfId="17729" xr:uid="{6B0BDDC5-C133-45D6-86BA-C3E1C344E93C}"/>
    <cellStyle name="Ergebnis 6 2 37" xfId="18712" xr:uid="{E37618E8-C10A-4928-8E35-2296F315FF82}"/>
    <cellStyle name="Ergebnis 6 2 38" xfId="18793" xr:uid="{6422F268-F388-42AB-B899-38D26F6AD8EE}"/>
    <cellStyle name="Ergebnis 6 2 39" xfId="18970" xr:uid="{E0E079FA-4B35-43F6-87FA-AB3295FE6526}"/>
    <cellStyle name="Ergebnis 6 2 4" xfId="2671" xr:uid="{88E5CBCD-4F39-47CF-91AF-580F43866B18}"/>
    <cellStyle name="Ergebnis 6 2 40" xfId="20231" xr:uid="{7464985D-7574-47B7-BDDC-D189AD6FF1D7}"/>
    <cellStyle name="Ergebnis 6 2 41" xfId="19864" xr:uid="{B0453BF1-6150-42AD-8514-0C77E3344E05}"/>
    <cellStyle name="Ergebnis 6 2 42" xfId="20474" xr:uid="{0A0693B4-02DA-4298-9E1B-3A31D4812092}"/>
    <cellStyle name="Ergebnis 6 2 43" xfId="21157" xr:uid="{98F388FD-35BF-4F87-A37E-DD1361646964}"/>
    <cellStyle name="Ergebnis 6 2 44" xfId="21529" xr:uid="{CC7EFF8D-CCF6-4175-A453-9BC46A6023E6}"/>
    <cellStyle name="Ergebnis 6 2 45" xfId="21962" xr:uid="{82407A96-29DB-4D54-A48F-C57962C1A988}"/>
    <cellStyle name="Ergebnis 6 2 46" xfId="21887" xr:uid="{8D330E0F-8359-4AB3-8919-9A09117BB14F}"/>
    <cellStyle name="Ergebnis 6 2 47" xfId="23065" xr:uid="{33F3AA8A-6864-40D5-8BD9-267FBB43B4D9}"/>
    <cellStyle name="Ergebnis 6 2 48" xfId="23475" xr:uid="{BEE22420-9E3F-489E-A324-457B9EB22BE5}"/>
    <cellStyle name="Ergebnis 6 2 49" xfId="24031" xr:uid="{7C8D1EF2-3CEF-4CE4-94BD-F8DAF9DF1EB7}"/>
    <cellStyle name="Ergebnis 6 2 5" xfId="1852" xr:uid="{D599A4A0-C8DE-4FEE-8460-1C0F638724FF}"/>
    <cellStyle name="Ergebnis 6 2 50" xfId="24939" xr:uid="{004C23FB-4596-4E20-AC10-5295D0806460}"/>
    <cellStyle name="Ergebnis 6 2 51" xfId="24570" xr:uid="{C432443F-E12C-4C3D-93FA-58C2387A1A3B}"/>
    <cellStyle name="Ergebnis 6 2 52" xfId="25855" xr:uid="{25B2CE2F-9013-4D5D-98B2-5F89A56F725B}"/>
    <cellStyle name="Ergebnis 6 2 53" xfId="25014" xr:uid="{45A46974-7A86-4FB0-82BB-745D0BF73B0D}"/>
    <cellStyle name="Ergebnis 6 2 54" xfId="26497" xr:uid="{AB94981F-3A78-4F59-A87D-C2D2CBB4D8A4}"/>
    <cellStyle name="Ergebnis 6 2 55" xfId="27143" xr:uid="{77BEBDE2-2728-4987-BF6C-197B89B61E21}"/>
    <cellStyle name="Ergebnis 6 2 56" xfId="27562" xr:uid="{9B47E769-29B9-4AEE-A32D-0DEA8520AFBA}"/>
    <cellStyle name="Ergebnis 6 2 57" xfId="26713" xr:uid="{AEC01E6F-FC32-46C1-A3C5-D041D21122DC}"/>
    <cellStyle name="Ergebnis 6 2 58" xfId="28689" xr:uid="{44B91235-E0BE-4070-8426-C836610DAE54}"/>
    <cellStyle name="Ergebnis 6 2 59" xfId="29156" xr:uid="{D4D0763D-1933-40CC-86D7-E0F6062CAE57}"/>
    <cellStyle name="Ergebnis 6 2 6" xfId="2788" xr:uid="{C13F77FD-19FE-4176-B180-465846769777}"/>
    <cellStyle name="Ergebnis 6 2 60" xfId="28801" xr:uid="{820F6C73-859C-4D34-9C07-671FCD0527C5}"/>
    <cellStyle name="Ergebnis 6 2 61" xfId="29945" xr:uid="{BC3E7BBD-8C96-401E-8EFB-016859C80DF1}"/>
    <cellStyle name="Ergebnis 6 2 62" xfId="30351" xr:uid="{C477E2D2-80EF-497E-B72C-55BD499B5953}"/>
    <cellStyle name="Ergebnis 6 2 63" xfId="30768" xr:uid="{B6E5A6DF-85C9-47E5-AFB8-6618B6FACCB3}"/>
    <cellStyle name="Ergebnis 6 2 64" xfId="29224" xr:uid="{A4A7247F-B248-4C89-ABCD-31DE914430C6}"/>
    <cellStyle name="Ergebnis 6 2 65" xfId="31384" xr:uid="{8FB09B95-1FDB-4E28-809B-490B5146FABB}"/>
    <cellStyle name="Ergebnis 6 2 7" xfId="4167" xr:uid="{1975F592-416F-451F-86AE-6FD6809F950D}"/>
    <cellStyle name="Ergebnis 6 2 8" xfId="4604" xr:uid="{C93099FB-A27C-42EE-A90F-B90687A03E9B}"/>
    <cellStyle name="Ergebnis 6 2 9" xfId="3626" xr:uid="{B14B91E7-515A-43A1-8144-92A84DF98166}"/>
    <cellStyle name="Ergebnis 6 20" xfId="9990" xr:uid="{7FA9039A-04E8-4256-84F8-DA43920D87B7}"/>
    <cellStyle name="Ergebnis 6 21" xfId="10415" xr:uid="{E202CE44-29BD-4133-9166-D7212C85FA4E}"/>
    <cellStyle name="Ergebnis 6 22" xfId="10575" xr:uid="{7928F047-C780-4938-9D7C-D87DB1BD5C7B}"/>
    <cellStyle name="Ergebnis 6 23" xfId="11216" xr:uid="{ABBA175D-47F5-4D59-9206-CB27974397D7}"/>
    <cellStyle name="Ergebnis 6 24" xfId="11987" xr:uid="{87EDED69-BE05-47CE-9145-361A2A7D2468}"/>
    <cellStyle name="Ergebnis 6 25" xfId="12460" xr:uid="{462EAD7A-795A-43F4-B05A-C31B0B580BEE}"/>
    <cellStyle name="Ergebnis 6 26" xfId="12894" xr:uid="{B216BB83-4D2B-4234-AD3B-EFFFD3942584}"/>
    <cellStyle name="Ergebnis 6 27" xfId="13331" xr:uid="{5E0684D2-2294-4F5E-8863-00A2AE058EFB}"/>
    <cellStyle name="Ergebnis 6 28" xfId="13869" xr:uid="{2723C03E-22E3-4536-9E8B-D4EF03BEF7B8}"/>
    <cellStyle name="Ergebnis 6 29" xfId="12530" xr:uid="{F2C8484D-FD33-4873-AC95-5E312375BE45}"/>
    <cellStyle name="Ergebnis 6 3" xfId="1117" xr:uid="{FC7C49FC-5CF0-4CA9-8041-05BB1E2E6F5F}"/>
    <cellStyle name="Ergebnis 6 30" xfId="14908" xr:uid="{5B2ED34D-593F-4E8A-B6A9-99AF3338C5E5}"/>
    <cellStyle name="Ergebnis 6 31" xfId="15379" xr:uid="{DB070358-6E04-45D3-9B10-D6A358B086F7}"/>
    <cellStyle name="Ergebnis 6 32" xfId="15495" xr:uid="{4B4A5AAC-1FCE-40A9-80A9-3032AF45A295}"/>
    <cellStyle name="Ergebnis 6 33" xfId="15846" xr:uid="{E3FA5F38-009E-405C-B51D-E696130CA5D0}"/>
    <cellStyle name="Ergebnis 6 34" xfId="16679" xr:uid="{D10102A5-6823-4718-B243-7E5B0594D2C7}"/>
    <cellStyle name="Ergebnis 6 35" xfId="17106" xr:uid="{94D94756-AFB6-4EFD-B837-658E79D30EAC}"/>
    <cellStyle name="Ergebnis 6 36" xfId="17553" xr:uid="{CEDB2356-0F3B-4A3B-9985-36124C7112B3}"/>
    <cellStyle name="Ergebnis 6 37" xfId="17476" xr:uid="{99DE8FFD-866E-4D93-A696-B6B71AB0BB06}"/>
    <cellStyle name="Ergebnis 6 38" xfId="18497" xr:uid="{400C00CB-E7E3-46DC-A189-C55EA48E76C0}"/>
    <cellStyle name="Ergebnis 6 39" xfId="17580" xr:uid="{7994D981-D9B2-495B-BADB-6D687365B285}"/>
    <cellStyle name="Ergebnis 6 4" xfId="1684" xr:uid="{A72AC744-85A6-466A-8660-E4CA352FCE0C}"/>
    <cellStyle name="Ergebnis 6 40" xfId="18066" xr:uid="{456E8C33-9745-4191-AA67-55E781846019}"/>
    <cellStyle name="Ergebnis 6 41" xfId="20016" xr:uid="{A6DA8C13-00D3-4A70-BEC1-3FCCCDDB12B9}"/>
    <cellStyle name="Ergebnis 6 42" xfId="20459" xr:uid="{D96FA4E6-30A9-4F2E-A4BB-610B76D313A8}"/>
    <cellStyle name="Ergebnis 6 43" xfId="20912" xr:uid="{3E4F030B-5AB5-49F1-84A7-B1641092C75B}"/>
    <cellStyle name="Ergebnis 6 44" xfId="19601" xr:uid="{C585AB52-ADBD-479B-857B-F4B547239A33}"/>
    <cellStyle name="Ergebnis 6 45" xfId="21841" xr:uid="{D2F9AF57-EF14-48BA-B6FB-151E1859C804}"/>
    <cellStyle name="Ergebnis 6 46" xfId="22278" xr:uid="{EC76AA24-BA6F-4ED5-94FE-7A8B5BBB2D1F}"/>
    <cellStyle name="Ergebnis 6 47" xfId="22853" xr:uid="{0C034937-4D63-4603-ABF6-05067E92666D}"/>
    <cellStyle name="Ergebnis 6 48" xfId="22807" xr:uid="{66048B91-824A-4EDA-B112-2B2FEC181D60}"/>
    <cellStyle name="Ergebnis 6 49" xfId="22098" xr:uid="{317F25F6-AD34-4869-9FEB-5B07BC29D430}"/>
    <cellStyle name="Ergebnis 6 5" xfId="2456" xr:uid="{D662ED98-EBE8-4F38-83B5-9A586CF35B36}"/>
    <cellStyle name="Ergebnis 6 50" xfId="23825" xr:uid="{EBA99F9E-5410-4799-B08D-A75B00743A9F}"/>
    <cellStyle name="Ergebnis 6 51" xfId="24724" xr:uid="{50F09490-243A-49A9-9D40-C41ADFD9AAF7}"/>
    <cellStyle name="Ergebnis 6 52" xfId="25167" xr:uid="{EC969511-3D33-40F7-B319-BD393AC49477}"/>
    <cellStyle name="Ergebnis 6 53" xfId="25642" xr:uid="{A07C2CDA-0BEA-4331-88B8-9ECBA368EB33}"/>
    <cellStyle name="Ergebnis 6 54" xfId="26158" xr:uid="{1A3DE061-B0D3-4559-90B4-2E2DC50171CF}"/>
    <cellStyle name="Ergebnis 6 55" xfId="26418" xr:uid="{0927BE5D-F3A3-49B7-BD74-E1D9C11953C9}"/>
    <cellStyle name="Ergebnis 6 56" xfId="26932" xr:uid="{E71AFA95-66FA-4243-A766-55A35DFA685E}"/>
    <cellStyle name="Ergebnis 6 57" xfId="27351" xr:uid="{88C1C591-D99B-420A-8EE1-03A05827385F}"/>
    <cellStyle name="Ergebnis 6 58" xfId="27655" xr:uid="{50C1C9D5-65E8-4E19-A376-0F0B196A5068}"/>
    <cellStyle name="Ergebnis 6 59" xfId="28474" xr:uid="{F9EE6BEF-682D-4A56-9740-53253FADE5D4}"/>
    <cellStyle name="Ergebnis 6 6" xfId="3036" xr:uid="{FDC59967-1571-45CD-8654-F9026FE6E4BB}"/>
    <cellStyle name="Ergebnis 6 60" xfId="28942" xr:uid="{12FD04B7-CE84-40C4-9ED4-3515C60DFB88}"/>
    <cellStyle name="Ergebnis 6 61" xfId="29314" xr:uid="{7786AF14-E116-4B38-83AB-FAD4A860F595}"/>
    <cellStyle name="Ergebnis 6 62" xfId="29732" xr:uid="{9A6B6C2B-C29B-4E04-B7E0-26082577AA11}"/>
    <cellStyle name="Ergebnis 6 63" xfId="30140" xr:uid="{B6A83467-0506-40BE-9E46-4FBCBD3F6A95}"/>
    <cellStyle name="Ergebnis 6 64" xfId="30554" xr:uid="{1B2844F0-B65F-4CA7-A51E-175F6197C41E}"/>
    <cellStyle name="Ergebnis 6 65" xfId="28317" xr:uid="{541FA952-3957-4944-B1BA-176BECFC39B1}"/>
    <cellStyle name="Ergebnis 6 66" xfId="31178" xr:uid="{D6082A65-D306-44DB-8AB5-9E849E52453B}"/>
    <cellStyle name="Ergebnis 6 7" xfId="3382" xr:uid="{3989118F-25EC-493A-8E51-19504FFAA165}"/>
    <cellStyle name="Ergebnis 6 8" xfId="3952" xr:uid="{803657B6-4F9E-4FEF-8FF8-B9BA4B62790F}"/>
    <cellStyle name="Ergebnis 6 9" xfId="4390" xr:uid="{2A2DFE51-EF46-48CF-BC30-F4AD1DC4E3F8}"/>
    <cellStyle name="Ergebnis 7" xfId="682" xr:uid="{B750EA32-5882-4883-8CDD-AD19EF7AF3B5}"/>
    <cellStyle name="Ergebnis 7 10" xfId="5330" xr:uid="{F4658865-F047-4DCD-8082-59E30EE69EEC}"/>
    <cellStyle name="Ergebnis 7 11" xfId="5999" xr:uid="{5C2FF10C-9C4F-4452-9098-AF5E1CF76677}"/>
    <cellStyle name="Ergebnis 7 12" xfId="6361" xr:uid="{E95948C4-C85B-4830-95D0-247013F65D42}"/>
    <cellStyle name="Ergebnis 7 13" xfId="6701" xr:uid="{25832A6B-5EC9-44E5-B18F-1117BE972AC5}"/>
    <cellStyle name="Ergebnis 7 14" xfId="7402" xr:uid="{97BA3641-1ACA-4F0A-8483-C24413A44214}"/>
    <cellStyle name="Ergebnis 7 15" xfId="8041" xr:uid="{4125011C-13BB-4D0A-8AEE-9A731F5EA55C}"/>
    <cellStyle name="Ergebnis 7 16" xfId="8348" xr:uid="{DC5A3163-E648-4C3E-BE11-EE6108710236}"/>
    <cellStyle name="Ergebnis 7 17" xfId="8914" xr:uid="{B0F0B5AE-ADC6-491E-8029-0B93F9ACB905}"/>
    <cellStyle name="Ergebnis 7 18" xfId="9616" xr:uid="{C7BCC28F-BF2F-4D8C-99D0-420EE62B4A57}"/>
    <cellStyle name="Ergebnis 7 19" xfId="10260" xr:uid="{3996817B-7A10-4A07-9EC8-AAB99901E067}"/>
    <cellStyle name="Ergebnis 7 2" xfId="1164" xr:uid="{F0C0A8C7-AB28-4D89-9C84-528E78EE10EF}"/>
    <cellStyle name="Ergebnis 7 20" xfId="10653" xr:uid="{00D925E8-5059-424A-B69F-6D8D26CA4156}"/>
    <cellStyle name="Ergebnis 7 21" xfId="11006" xr:uid="{8E72D9AC-7A88-49C8-A4C5-06D51C3252B9}"/>
    <cellStyle name="Ergebnis 7 22" xfId="11318" xr:uid="{019575C2-1681-4777-A6CF-407D04DE83DA}"/>
    <cellStyle name="Ergebnis 7 23" xfId="12035" xr:uid="{6EE2FCA6-CDA7-4F48-A124-DA27C5F61AAB}"/>
    <cellStyle name="Ergebnis 7 24" xfId="12508" xr:uid="{9CFDB6A6-6290-464A-9BC5-C0552859E646}"/>
    <cellStyle name="Ergebnis 7 25" xfId="12942" xr:uid="{DAA4AF8B-9F3B-4DF4-8DA0-95ECEE50785C}"/>
    <cellStyle name="Ergebnis 7 26" xfId="13379" xr:uid="{C0579B9C-2964-4741-BD74-E7C1D8C53633}"/>
    <cellStyle name="Ergebnis 7 27" xfId="14025" xr:uid="{6AD0D0A8-7C71-46AF-996B-4BDCEECAA793}"/>
    <cellStyle name="Ergebnis 7 28" xfId="14398" xr:uid="{2792F966-2F2E-4A3E-9731-5A980105524B}"/>
    <cellStyle name="Ergebnis 7 29" xfId="14906" xr:uid="{53C11B58-396F-4643-88C5-160E215359C2}"/>
    <cellStyle name="Ergebnis 7 3" xfId="1722" xr:uid="{FCF744C4-6E19-4502-8E1D-90EE990CA456}"/>
    <cellStyle name="Ergebnis 7 30" xfId="15377" xr:uid="{0EF2E733-5B79-4CA3-9116-940746E068E2}"/>
    <cellStyle name="Ergebnis 7 31" xfId="15769" xr:uid="{84CB7C79-CA63-44DB-9A6E-7A8DA9529D12}"/>
    <cellStyle name="Ergebnis 7 32" xfId="15994" xr:uid="{EB0E37D9-BFC6-4E10-A985-E3C48C3DF469}"/>
    <cellStyle name="Ergebnis 7 33" xfId="16727" xr:uid="{AD03E3BD-30F9-4D15-9281-E1086C765715}"/>
    <cellStyle name="Ergebnis 7 34" xfId="17382" xr:uid="{69C8120B-9D3C-4573-B64B-2807FF9598F3}"/>
    <cellStyle name="Ergebnis 7 35" xfId="17824" xr:uid="{42C6008B-357E-446B-B5FF-AE54B954886F}"/>
    <cellStyle name="Ergebnis 7 36" xfId="18300" xr:uid="{9BF6A849-7838-4C98-996B-6672B405E079}"/>
    <cellStyle name="Ergebnis 7 37" xfId="18545" xr:uid="{87EB4F21-0E28-40D9-9940-5798E2818062}"/>
    <cellStyle name="Ergebnis 7 38" xfId="19111" xr:uid="{AAF0BCED-6FBC-4441-B6F9-2649B8456F59}"/>
    <cellStyle name="Ergebnis 7 39" xfId="19343" xr:uid="{78AFD7A0-7E09-467D-9F8B-33A1018B4B53}"/>
    <cellStyle name="Ergebnis 7 4" xfId="2504" xr:uid="{B153C251-0633-4776-8580-86A36C88BB3F}"/>
    <cellStyle name="Ergebnis 7 40" xfId="20064" xr:uid="{640C1F5B-DEA5-4CF9-BFBA-D14C29F731AB}"/>
    <cellStyle name="Ergebnis 7 41" xfId="20731" xr:uid="{EA6DEFEB-C14E-4096-ACA1-CA383949B480}"/>
    <cellStyle name="Ergebnis 7 42" xfId="21190" xr:uid="{67F199C5-34A7-4534-9D53-10585C26A91B}"/>
    <cellStyle name="Ergebnis 7 43" xfId="21682" xr:uid="{99A9EFD7-2B68-45DE-A1F8-87D10B8C5A8C}"/>
    <cellStyle name="Ergebnis 7 44" xfId="22121" xr:uid="{77C8E99C-7579-402C-9516-65EE3ADFC5C4}"/>
    <cellStyle name="Ergebnis 7 45" xfId="22548" xr:uid="{E1631627-08E8-4F20-B99C-9FD8D92C5DC8}"/>
    <cellStyle name="Ergebnis 7 46" xfId="22994" xr:uid="{9511E72E-0737-41A9-985F-20758B6E7D88}"/>
    <cellStyle name="Ergebnis 7 47" xfId="23398" xr:uid="{AE10BB7E-1310-4D01-AADC-413766B8030A}"/>
    <cellStyle name="Ergebnis 7 48" xfId="23664" xr:uid="{B645FC4E-D581-4AA1-8DD3-DACF57636E56}"/>
    <cellStyle name="Ergebnis 7 49" xfId="23872" xr:uid="{842E2E39-51C6-4E92-977E-7030DB3962CB}"/>
    <cellStyle name="Ergebnis 7 5" xfId="3198" xr:uid="{E695FC18-EEFF-4F06-9428-18D60F517405}"/>
    <cellStyle name="Ergebnis 7 50" xfId="24772" xr:uid="{EC69A39E-13F2-4EA5-9E4A-0601E2EFE6E5}"/>
    <cellStyle name="Ergebnis 7 51" xfId="25436" xr:uid="{C2A94ED1-D264-42D9-8A25-768743CF6D48}"/>
    <cellStyle name="Ergebnis 7 52" xfId="25690" xr:uid="{453D7CDC-D11B-4D7A-B20E-A705B2863E63}"/>
    <cellStyle name="Ergebnis 7 53" xfId="26302" xr:uid="{3FE422F6-9DF6-4E4A-992F-545F8312724D}"/>
    <cellStyle name="Ergebnis 7 54" xfId="26438" xr:uid="{29DCA41F-86C4-41F4-A378-8130A1170014}"/>
    <cellStyle name="Ergebnis 7 55" xfId="26980" xr:uid="{09AA21B0-1EFA-4703-ACE4-CE6C3EF9840F}"/>
    <cellStyle name="Ergebnis 7 56" xfId="27399" xr:uid="{E0BC478C-D751-4915-9D44-9A726DFEC41E}"/>
    <cellStyle name="Ergebnis 7 57" xfId="27413" xr:uid="{03252698-102F-469A-9A19-DFB81C9BE347}"/>
    <cellStyle name="Ergebnis 7 58" xfId="28522" xr:uid="{2E7E46B9-7FCE-4DC3-83E0-79D44A579F1A}"/>
    <cellStyle name="Ergebnis 7 59" xfId="28990" xr:uid="{0BB17324-1E0C-47E6-B5CA-2CC45E0F528A}"/>
    <cellStyle name="Ergebnis 7 6" xfId="2234" xr:uid="{8C9084F4-E000-4D46-8ADB-73E21946E7C2}"/>
    <cellStyle name="Ergebnis 7 60" xfId="29545" xr:uid="{C3D8EC5B-E48E-4E47-B239-847AC4C3D4CE}"/>
    <cellStyle name="Ergebnis 7 61" xfId="29780" xr:uid="{ACBB435F-834A-4689-8FB1-99BB9DFF8BD4}"/>
    <cellStyle name="Ergebnis 7 62" xfId="30187" xr:uid="{5F4C50D6-562D-4CE2-B9FA-8771223C20D5}"/>
    <cellStyle name="Ergebnis 7 63" xfId="30602" xr:uid="{53C5893B-772A-4DD0-84EE-0D120FCC00C4}"/>
    <cellStyle name="Ergebnis 7 64" xfId="30946" xr:uid="{9AF5909E-055C-462F-9A65-BC0A052AF98E}"/>
    <cellStyle name="Ergebnis 7 65" xfId="31225" xr:uid="{81E5160F-5B0D-4350-ABB9-97F5539A98D0}"/>
    <cellStyle name="Ergebnis 7 7" xfId="4000" xr:uid="{F3098A28-3133-4E31-9192-60FBB2A1EBF0}"/>
    <cellStyle name="Ergebnis 7 8" xfId="4438" xr:uid="{91499719-4364-4DDC-9246-432C2CCD5839}"/>
    <cellStyle name="Ergebnis 7 9" xfId="4736" xr:uid="{AE2451B5-9A2F-4DC0-918B-D9B62346FC9F}"/>
    <cellStyle name="Erklärender Text" xfId="48" hidden="1" xr:uid="{E845483F-6FD1-4F2B-816B-45FDB57A505A}"/>
    <cellStyle name="Erklärender Text" xfId="895" hidden="1" xr:uid="{F2423B8B-994A-40F5-83C2-760C70CA1D03}"/>
    <cellStyle name="Erklärender Text" xfId="966" hidden="1" xr:uid="{43471BE0-3CFF-428F-B6F3-B7F252766864}"/>
    <cellStyle name="Erklärender Text" xfId="1389" hidden="1" xr:uid="{D99E5D00-1126-474C-9F6D-FD7B248867DB}"/>
    <cellStyle name="Erklärender Text" xfId="1599" hidden="1" xr:uid="{94F9A3CE-2B13-4572-9DE7-1FA14EEDBB40}"/>
    <cellStyle name="Erklärender Text" xfId="1871" hidden="1" xr:uid="{16CC8DD4-F113-4690-9044-D38269D9AE90}"/>
    <cellStyle name="Erklärender Text" xfId="2134" hidden="1" xr:uid="{F3A0C86C-584E-480D-AD49-076F1C918EE8}"/>
    <cellStyle name="Erklärender Text" xfId="3033" hidden="1" xr:uid="{94B5C457-58E3-4564-858D-A1782B6ECBC2}"/>
    <cellStyle name="Erklärender Text" xfId="1863" hidden="1" xr:uid="{0F49E8E7-A08E-4DB8-A7BB-7D06F97F0C5C}"/>
    <cellStyle name="Erklärender Text" xfId="2168" hidden="1" xr:uid="{B35AF193-7C3E-4FA1-96DE-282AF29EC1E7}"/>
    <cellStyle name="Erklärender Text" xfId="3513" hidden="1" xr:uid="{EFD2178F-8E59-4BEC-B3A3-A1C68E2D2534}"/>
    <cellStyle name="Erklärender Text" xfId="1987" hidden="1" xr:uid="{86B764B6-CAEB-4B05-BD86-D9538B710B15}"/>
    <cellStyle name="Erklärender Text" xfId="2761" hidden="1" xr:uid="{C09119F1-A755-49E9-9919-BAC3DF976030}"/>
    <cellStyle name="Erklärender Text" xfId="3345" hidden="1" xr:uid="{5D644A25-08FC-455E-B992-0FF14CAE5B50}"/>
    <cellStyle name="Erklärender Text" xfId="3320" hidden="1" xr:uid="{68A0F0E5-421D-41F4-B3AE-6B80B5A84A8A}"/>
    <cellStyle name="Erklärender Text" xfId="3310" hidden="1" xr:uid="{12D0F28D-116F-41A0-803D-69D7B830BDD7}"/>
    <cellStyle name="Erklärender Text" xfId="3405" hidden="1" xr:uid="{C3825548-2B66-461A-97F6-5B2FA43372E7}"/>
    <cellStyle name="Erklärender Text" xfId="3611" hidden="1" xr:uid="{8551F196-1AD2-450F-8F29-B24B3F5BC6B1}"/>
    <cellStyle name="Erklärender Text" xfId="4801" hidden="1" xr:uid="{78CBCF42-5020-41E2-B57A-8E72485799DB}"/>
    <cellStyle name="Erklärender Text" xfId="4857" hidden="1" xr:uid="{57442732-593F-4BE5-9DFB-23C8AB2C47A8}"/>
    <cellStyle name="Erklärender Text" xfId="4769" hidden="1" xr:uid="{D2069D6F-E1F0-4815-BCE2-36D238EEFC92}"/>
    <cellStyle name="Erklärender Text" xfId="5626" hidden="1" xr:uid="{665D8766-2413-4F95-92C9-ABBB489094E0}"/>
    <cellStyle name="Erklärender Text" xfId="5719" hidden="1" xr:uid="{06E614C6-0F3E-4046-8BC2-E53042056CE3}"/>
    <cellStyle name="Erklärender Text" xfId="5791" hidden="1" xr:uid="{8D1C1F1C-CD73-4EE8-B5F8-A8D6089C3207}"/>
    <cellStyle name="Erklärender Text" xfId="3729" hidden="1" xr:uid="{BE563C47-C504-4031-ACB8-28CF0FC7C409}"/>
    <cellStyle name="Erklärender Text" xfId="3410" hidden="1" xr:uid="{93A9BBDE-1876-4230-9256-597E7F688810}"/>
    <cellStyle name="Erklärender Text" xfId="6076" hidden="1" xr:uid="{C89B96A1-6103-49CB-9F23-E83F93B9CBDB}"/>
    <cellStyle name="Erklärender Text" xfId="6163" hidden="1" xr:uid="{0B44763D-CD14-41CB-A973-9735ED764242}"/>
    <cellStyle name="Erklärender Text" xfId="6319" hidden="1" xr:uid="{90FA5601-3A35-4A3B-A411-3486EE832E65}"/>
    <cellStyle name="Erklärender Text" xfId="3283" hidden="1" xr:uid="{B36D2B83-1622-44FA-B57F-24B319811D24}"/>
    <cellStyle name="Erklärender Text" xfId="6056" hidden="1" xr:uid="{910A7AE8-3B5C-40AF-9793-543D4790E19A}"/>
    <cellStyle name="Erklärender Text" xfId="6621" hidden="1" xr:uid="{CF67E190-4914-45C2-BE8D-0486DF71B17D}"/>
    <cellStyle name="Erklärender Text" xfId="6635" hidden="1" xr:uid="{0ED0620B-023E-46B5-906D-217D994873BF}"/>
    <cellStyle name="Erklärender Text" xfId="6646" hidden="1" xr:uid="{F5BF0BEF-BD31-41CD-8499-B944A929FC07}"/>
    <cellStyle name="Erklärender Text" xfId="6658" hidden="1" xr:uid="{B8AE0243-38C6-424E-9CAF-B746A7872795}"/>
    <cellStyle name="Erklärender Text" xfId="6668" hidden="1" xr:uid="{81D31870-9923-45D1-BAE9-F42F28D5B495}"/>
    <cellStyle name="Erklärender Text" xfId="6679" hidden="1" xr:uid="{8EAF1F66-8D2C-45A7-B514-60A0923CBBEC}"/>
    <cellStyle name="Erklärender Text" xfId="6785" hidden="1" xr:uid="{03636AE8-60AF-48FC-9E01-C441BB18F9D5}"/>
    <cellStyle name="Erklärender Text" xfId="7062" hidden="1" xr:uid="{CFE9D278-9854-45BA-9FB8-E45121DC4CD5}"/>
    <cellStyle name="Erklärender Text" xfId="7912" hidden="1" xr:uid="{2C7594D4-CB2C-4650-93ED-CFB17CC30406}"/>
    <cellStyle name="Erklärender Text" xfId="6763" hidden="1" xr:uid="{69D22C98-D330-4245-8356-61555205B02E}"/>
    <cellStyle name="Erklärender Text" xfId="8296" hidden="1" xr:uid="{F54E2869-7899-424C-A51B-255748472F02}"/>
    <cellStyle name="Erklärender Text" xfId="8315" hidden="1" xr:uid="{E0F39A6E-1A24-4F64-A8B5-A5E184FE3889}"/>
    <cellStyle name="Erklärender Text" xfId="8374" hidden="1" xr:uid="{6575EF82-29FF-4AB2-9477-1FC3A3E515BB}"/>
    <cellStyle name="Erklärender Text" xfId="8156" hidden="1" xr:uid="{17CFBBDD-8AF2-4721-97D3-20DFEE3107F3}"/>
    <cellStyle name="Erklärender Text" xfId="7745" hidden="1" xr:uid="{E2B6A746-CE12-4BDD-926E-E17BC4862473}"/>
    <cellStyle name="Erklärender Text" xfId="7905" hidden="1" xr:uid="{6D4FC57E-EF9E-4341-98A4-BF8D2B53186D}"/>
    <cellStyle name="Erklärender Text" xfId="7680" hidden="1" xr:uid="{82D18BDB-AB39-4A72-836C-D97A038798E1}"/>
    <cellStyle name="Erklärender Text" xfId="7664" hidden="1" xr:uid="{7DA7FF9C-1DB5-4274-8385-C18BEA8AAAFC}"/>
    <cellStyle name="Erklärender Text" xfId="8173" hidden="1" xr:uid="{31AE2F69-F237-4FC5-88C3-F5F86B64F124}"/>
    <cellStyle name="Erklärender Text" xfId="8050" hidden="1" xr:uid="{B804B04F-2C53-4F44-9532-A6B3C41D48D0}"/>
    <cellStyle name="Erklärender Text" xfId="7806" hidden="1" xr:uid="{DCF00F1C-245F-4231-9A5C-B419720BA86E}"/>
    <cellStyle name="Erklärender Text" xfId="7897" hidden="1" xr:uid="{95DDC1DA-349F-417C-80E6-3B9B917A6DFC}"/>
    <cellStyle name="Erklärender Text" xfId="8078" hidden="1" xr:uid="{8F496B42-4CF0-4FE9-8C50-5760385CB048}"/>
    <cellStyle name="Erklärender Text" xfId="7136" hidden="1" xr:uid="{4562121B-042C-4C63-B5AB-BF5206425B19}"/>
    <cellStyle name="Erklärender Text" xfId="6941" hidden="1" xr:uid="{2AB9C271-6D2B-4CBE-935C-3B4B945FB314}"/>
    <cellStyle name="Erklärender Text" xfId="8823" hidden="1" xr:uid="{E2A0FBF9-66F6-4135-A894-0D7A6E4DA9C0}"/>
    <cellStyle name="Erklärender Text" xfId="8265" hidden="1" xr:uid="{9A2DAE2C-DB5A-47CF-97AF-FDC7CDA11246}"/>
    <cellStyle name="Erklärender Text" xfId="8244" hidden="1" xr:uid="{7C321843-F767-43C4-8777-93BECD8B7BFA}"/>
    <cellStyle name="Erklärender Text" xfId="6852" hidden="1" xr:uid="{E27E852E-7285-48DF-AAFE-BA7DE14C5F18}"/>
    <cellStyle name="Erklärender Text" xfId="8997" hidden="1" xr:uid="{6ABAFB89-9364-4885-9ADA-D6E8D1794DED}"/>
    <cellStyle name="Erklärender Text" xfId="9275" hidden="1" xr:uid="{0AF5D56A-C586-4A33-B20A-9B8D8DD12051}"/>
    <cellStyle name="Erklärender Text" xfId="10125" hidden="1" xr:uid="{0C91417E-3A36-45BE-A3C3-1B518C434DF8}"/>
    <cellStyle name="Erklärender Text" xfId="8975" hidden="1" xr:uid="{5A9C666B-6CE1-4CC0-B33C-DA2C64AF4B7F}"/>
    <cellStyle name="Erklärender Text" xfId="10536" hidden="1" xr:uid="{CBB08B0A-5ED5-4A61-99F1-E0CE6D1CAB56}"/>
    <cellStyle name="Erklärender Text" xfId="10323" hidden="1" xr:uid="{6CFA9236-949B-4BFC-AAAA-EA26914C9CD5}"/>
    <cellStyle name="Erklärender Text" xfId="10308" hidden="1" xr:uid="{D5734CFA-D6B0-46A0-A33B-D624BFC8FB7D}"/>
    <cellStyle name="Erklärender Text" xfId="10445" hidden="1" xr:uid="{60CCB4BA-A7DA-4B87-ABC0-301C71BDF9EB}"/>
    <cellStyle name="Erklärender Text" xfId="10981" hidden="1" xr:uid="{07280DD4-113E-438B-BD23-09205DF7566F}"/>
    <cellStyle name="Erklärender Text" xfId="11243" hidden="1" xr:uid="{88AE72E0-0E8F-4D16-A874-D0E46E6D4EBB}"/>
    <cellStyle name="Erklärender Text" xfId="11050" hidden="1" xr:uid="{34E8029D-470B-4CE6-AA1D-0C409C472E61}"/>
    <cellStyle name="Erklärender Text" xfId="11232" hidden="1" xr:uid="{067AE656-67E7-4786-8D9B-79CE6D7ABA98}"/>
    <cellStyle name="Erklärender Text" xfId="9101" hidden="1" xr:uid="{314F42A3-EF3D-498B-B284-56FAE92C3E7A}"/>
    <cellStyle name="Erklärender Text" xfId="11285" hidden="1" xr:uid="{4E052114-70B4-4D46-8D78-A831F73043DE}"/>
    <cellStyle name="Erklärender Text" xfId="11296" hidden="1" xr:uid="{9DFE380D-D43B-4E33-A9C1-F753AAD971EA}"/>
    <cellStyle name="Erklärender Text" xfId="11403" hidden="1" xr:uid="{81179773-8ECA-4937-88D0-6E8C2E40BBC1}"/>
    <cellStyle name="Erklärender Text" xfId="11689" hidden="1" xr:uid="{D7C48121-CA17-4940-A7BA-2049108C433D}"/>
    <cellStyle name="Erklärender Text" xfId="11799" hidden="1" xr:uid="{91CBB19B-F764-403D-B2AE-83E75BA431C2}"/>
    <cellStyle name="Erklärender Text" xfId="11860" hidden="1" xr:uid="{DEED7CCB-75DC-40B9-B554-2757205F78DC}"/>
    <cellStyle name="Erklärender Text" xfId="11570" hidden="1" xr:uid="{B7845E21-BDAB-48BE-A522-3C7DBE26EBC6}"/>
    <cellStyle name="Erklärender Text" xfId="13866" hidden="1" xr:uid="{307C1CE6-1468-46BB-815F-B55E71ECE021}"/>
    <cellStyle name="Erklärender Text" xfId="11527" hidden="1" xr:uid="{EB90AA9F-A6FF-415D-A85E-63FCAC326CAA}"/>
    <cellStyle name="Erklärender Text" xfId="13393" hidden="1" xr:uid="{A1B9EE57-B252-473C-B9A5-576F4BD8ED97}"/>
    <cellStyle name="Erklärender Text" xfId="14009" hidden="1" xr:uid="{C1B34A89-08A9-494F-A18F-755C88154EA6}"/>
    <cellStyle name="Erklärender Text" xfId="14384" hidden="1" xr:uid="{D8D8949F-0DE0-4FAB-9D06-6B2182D51774}"/>
    <cellStyle name="Erklärender Text" xfId="14569" hidden="1" xr:uid="{9387C3EB-DBEB-4C84-8FD2-EA9D5DBB407E}"/>
    <cellStyle name="Erklärender Text" xfId="11825" hidden="1" xr:uid="{A72F652A-171C-440D-8F68-6FE5351B9E9C}"/>
    <cellStyle name="Erklärender Text" xfId="14997" hidden="1" xr:uid="{C411C615-C088-44EE-8CEE-BEF74C58F3CA}"/>
    <cellStyle name="Erklärender Text" xfId="14557" hidden="1" xr:uid="{C8E2B24A-DBED-4B43-929D-FF5B1B3CC19A}"/>
    <cellStyle name="Erklärender Text" xfId="13846" hidden="1" xr:uid="{7F81A2EC-42CD-43D3-9934-C34D7AFE2CFF}"/>
    <cellStyle name="Erklärender Text" xfId="14091" hidden="1" xr:uid="{1E938FFB-C8E2-421F-9A59-677C42EBA01C}"/>
    <cellStyle name="Erklärender Text" xfId="15345" hidden="1" xr:uid="{6E82B722-D7DF-4239-A9F8-54995E49E977}"/>
    <cellStyle name="Erklärender Text" xfId="15450" hidden="1" xr:uid="{96E608EB-F117-40F3-ADF8-9B5C1274F52C}"/>
    <cellStyle name="Erklärender Text" xfId="15540" hidden="1" xr:uid="{37E00D27-48D1-4A7C-B069-BE7402D15443}"/>
    <cellStyle name="Erklärender Text" xfId="15348" hidden="1" xr:uid="{C3C805B5-6439-4713-B015-BFAF592F8229}"/>
    <cellStyle name="Erklärender Text" xfId="15268" hidden="1" xr:uid="{37EED9F5-DB70-48BE-ABE6-11372D4008CB}"/>
    <cellStyle name="Erklärender Text" xfId="15478" hidden="1" xr:uid="{A22B15FA-59A5-45AA-959A-8262C01F879E}"/>
    <cellStyle name="Erklärender Text" xfId="14526" hidden="1" xr:uid="{7193DC51-75E6-4401-9737-E5DC345A3D3C}"/>
    <cellStyle name="Erklärender Text" xfId="15902" hidden="1" xr:uid="{7EFC3F10-4973-4390-AC1C-DA5A3433DB54}"/>
    <cellStyle name="Erklärender Text" xfId="12320" hidden="1" xr:uid="{4322B920-41C9-46A5-AAEA-AAE9A772758A}"/>
    <cellStyle name="Erklärender Text" xfId="16094" hidden="1" xr:uid="{2BADB311-50B4-43AD-9C0B-2F911D4CEB31}"/>
    <cellStyle name="Erklärender Text" xfId="16384" hidden="1" xr:uid="{EE53E618-746F-45DD-806A-E97C823263CC}"/>
    <cellStyle name="Erklärender Text" xfId="17244" hidden="1" xr:uid="{F31B6A14-9AA0-4B49-BE42-51FF7D20C4C3}"/>
    <cellStyle name="Erklärender Text" xfId="16071" hidden="1" xr:uid="{4D96ACF3-8734-4E04-BD49-B709F99F16AD}"/>
    <cellStyle name="Erklärender Text" xfId="17688" hidden="1" xr:uid="{B56E5392-3B7A-4C22-A3C4-D2F3E6A0880D}"/>
    <cellStyle name="Erklärender Text" xfId="17449" hidden="1" xr:uid="{64794F92-8CE9-4F9E-A393-12BCE1B42A5E}"/>
    <cellStyle name="Erklärender Text" xfId="18106" hidden="1" xr:uid="{F121BBD3-E201-490A-841C-8534084F8A46}"/>
    <cellStyle name="Erklärender Text" xfId="17533" hidden="1" xr:uid="{F141AD9D-F3B5-4C39-8CCD-A90C1F0C60B7}"/>
    <cellStyle name="Erklärender Text" xfId="17197" hidden="1" xr:uid="{C8EE9C0F-12A9-4652-A34D-5953E6168F12}"/>
    <cellStyle name="Erklärender Text" xfId="17962" hidden="1" xr:uid="{247C5AA2-8FFC-475B-B674-5B5B90A2D8E0}"/>
    <cellStyle name="Erklärender Text" xfId="17789" hidden="1" xr:uid="{137A9733-7F95-4DEE-BBEC-17D4EAADEF59}"/>
    <cellStyle name="Erklärender Text" xfId="18185" hidden="1" xr:uid="{DFBE4205-DF60-4EE2-8DFD-5B6223E9AFDE}"/>
    <cellStyle name="Erklärender Text" xfId="18962" hidden="1" xr:uid="{0E344BFC-9F1D-4711-ABFF-B7C7045CDEBB}"/>
    <cellStyle name="Erklärender Text" xfId="17863" hidden="1" xr:uid="{1F7ED2F3-82DC-481A-A483-EA8E5DCE44D3}"/>
    <cellStyle name="Erklärender Text" xfId="17966" hidden="1" xr:uid="{961E854F-B37A-4C72-B46C-FAA9094DF49E}"/>
    <cellStyle name="Erklärender Text" xfId="19061" hidden="1" xr:uid="{AA077D71-16C4-48A2-B365-342EE268A1D5}"/>
    <cellStyle name="Erklärender Text" xfId="19277" hidden="1" xr:uid="{BCCD56BF-740E-4BA5-9A66-0E2CC1A9B1A6}"/>
    <cellStyle name="Erklärender Text" xfId="18894" hidden="1" xr:uid="{52E2C89F-DF81-4EFB-A491-D49E6A9E1861}"/>
    <cellStyle name="Erklärender Text" xfId="19427" hidden="1" xr:uid="{CC1726EA-44F8-45E9-AB67-0FD36318EB4D}"/>
    <cellStyle name="Erklärender Text" xfId="19718" hidden="1" xr:uid="{64BB62E3-3BB5-404C-B7D2-434D367EC4BC}"/>
    <cellStyle name="Erklärender Text" xfId="20594" hidden="1" xr:uid="{D357EF24-983B-4A61-A8BC-6D2C8869B986}"/>
    <cellStyle name="Erklärender Text" xfId="20415" hidden="1" xr:uid="{F99F9C0D-C02F-4C7B-A9C3-4BFFBA5696E4}"/>
    <cellStyle name="Erklärender Text" xfId="21049" hidden="1" xr:uid="{3AFBBE73-8CF1-40A5-BCC3-6BBB1B6529DE}"/>
    <cellStyle name="Erklärender Text" xfId="20807" hidden="1" xr:uid="{B1988331-5C51-4ABA-B96F-920541D0E346}"/>
    <cellStyle name="Erklärender Text" xfId="20447" hidden="1" xr:uid="{B317F7BA-4CCE-4658-888F-FED4AD513FBD}"/>
    <cellStyle name="Erklärender Text" xfId="20818" hidden="1" xr:uid="{6FF97D1E-D508-4DA6-AAFF-CC4F4A2019AD}"/>
    <cellStyle name="Erklärender Text" xfId="19465" hidden="1" xr:uid="{5719918F-CFFC-4CEB-9DB7-AABB97E00474}"/>
    <cellStyle name="Erklärender Text" xfId="21671" hidden="1" xr:uid="{1A8280AB-4657-489E-9CF3-1C6D84BA58F0}"/>
    <cellStyle name="Erklärender Text" xfId="21980" hidden="1" xr:uid="{A26133CC-7E93-4246-8E05-3599CFCA0AAC}"/>
    <cellStyle name="Erklärender Text" xfId="21738" hidden="1" xr:uid="{F9C39B47-F432-4E51-B323-9636633085CB}"/>
    <cellStyle name="Erklärender Text" xfId="22411" hidden="1" xr:uid="{E2F06255-4430-45E7-9602-1A2D032BC34D}"/>
    <cellStyle name="Erklärender Text" xfId="21363" hidden="1" xr:uid="{F9C60F3B-3E5B-43AB-BB32-FE1E2F9A01F7}"/>
    <cellStyle name="Erklärender Text" xfId="22850" hidden="1" xr:uid="{9F05541D-9D7A-4156-AF2E-21E9028D6C3B}"/>
    <cellStyle name="Erklärender Text" xfId="22257" hidden="1" xr:uid="{95773528-BCF3-40D5-9DA8-6ED3B76EFA19}"/>
    <cellStyle name="Erklärender Text" xfId="22204" hidden="1" xr:uid="{83D8FDFC-CD1B-40B1-9AB2-C1AC4D452C26}"/>
    <cellStyle name="Erklärender Text" xfId="23250" hidden="1" xr:uid="{CE16F00C-A6FF-417C-B405-9AA11C93D39B}"/>
    <cellStyle name="Erklärender Text" xfId="22397" hidden="1" xr:uid="{2A88A299-6D27-4124-930D-616070DD37B6}"/>
    <cellStyle name="Erklärender Text" xfId="22428" hidden="1" xr:uid="{23A07C57-CE8C-4BAF-8F71-4AE9A0F7264A}"/>
    <cellStyle name="Erklärender Text" xfId="23389" hidden="1" xr:uid="{48D8C20F-15FD-49FA-9E2F-E9ED7D01D130}"/>
    <cellStyle name="Erklärender Text" xfId="23362" hidden="1" xr:uid="{E5BC7320-285A-436D-B3E6-DE5BE1852CB7}"/>
    <cellStyle name="Erklärender Text" xfId="21865" hidden="1" xr:uid="{C25D259F-4871-4B2C-AD64-54392A90E9B7}"/>
    <cellStyle name="Erklärender Text" xfId="23533" hidden="1" xr:uid="{4F53460B-B7FB-491F-B752-2F95DEF77420}"/>
    <cellStyle name="Erklärender Text" xfId="23628" hidden="1" xr:uid="{B96F49A9-5812-49A9-BC64-53A8FC1F0C03}"/>
    <cellStyle name="Erklärender Text" xfId="24089" hidden="1" xr:uid="{EA92B810-71E6-47CF-99EC-B9B3D926AE46}"/>
    <cellStyle name="Erklärender Text" xfId="23100" hidden="1" xr:uid="{7E1E8C48-073C-4694-8EBE-0FC38A1860C4}"/>
    <cellStyle name="Erklärender Text" xfId="24150" hidden="1" xr:uid="{D5DEBF32-60AB-42B6-8F94-B1BF6BAD5987}"/>
    <cellStyle name="Erklärender Text" xfId="24589" hidden="1" xr:uid="{A80F2BD8-1BF6-45AD-846F-9C2374768264}"/>
    <cellStyle name="Erklärender Text" xfId="24256" hidden="1" xr:uid="{B12470A6-315D-472A-9152-5F1BAF08F0DA}"/>
    <cellStyle name="Erklärender Text" xfId="25269" hidden="1" xr:uid="{1D3CAD19-06AE-45AA-A0CA-B09037FDB2D2}"/>
    <cellStyle name="Erklärender Text" xfId="25000" hidden="1" xr:uid="{1793D7C2-1DEB-4C7D-B209-6F790FFDC7DD}"/>
    <cellStyle name="Erklärender Text" xfId="25192" hidden="1" xr:uid="{CF4D6959-DB54-4CB1-B38A-2254E36567AD}"/>
    <cellStyle name="Erklärender Text" xfId="25089" hidden="1" xr:uid="{0D7C0693-EEB5-43B4-86C5-DD190F3B011D}"/>
    <cellStyle name="Erklärender Text" xfId="26221" hidden="1" xr:uid="{DA4B7AF4-7CE4-4185-A686-ECDAF11128FF}"/>
    <cellStyle name="Erklärender Text" xfId="26388" hidden="1" xr:uid="{06BEAD09-C022-4406-B36C-38925AFAD006}"/>
    <cellStyle name="Erklärender Text" xfId="25490" hidden="1" xr:uid="{CDC47D50-1810-4E15-B177-DD0011320323}"/>
    <cellStyle name="Erklärender Text" xfId="26611" hidden="1" xr:uid="{015D55BD-2811-4129-A58F-B783B1C3CB8B}"/>
    <cellStyle name="Erklärender Text" xfId="26126" hidden="1" xr:uid="{C201ECEC-09D9-42B5-A9CC-4A0034C753CE}"/>
    <cellStyle name="Erklärender Text" xfId="26381" hidden="1" xr:uid="{839305CE-CFE6-49A0-B440-7BBC2BBC2F1A}"/>
    <cellStyle name="Erklärender Text" xfId="26481" hidden="1" xr:uid="{B4BDF991-BFB3-4CC8-813A-365ED3F8E61E}"/>
    <cellStyle name="Erklärender Text" xfId="27740" hidden="1" xr:uid="{EB7F9735-1257-4D0D-8004-B5AA769EC496}"/>
    <cellStyle name="Erklärender Text" xfId="26273" hidden="1" xr:uid="{772F338D-09AD-4EB4-9EC7-E31ACCB4FCCA}"/>
    <cellStyle name="Erklärender Text" xfId="27874" hidden="1" xr:uid="{91C3AF5B-5A52-4A64-81C3-82F91451C9FA}"/>
    <cellStyle name="Erklärender Text" xfId="27645" hidden="1" xr:uid="{1698BB82-DD44-40F4-A9B6-C68585DDF024}"/>
    <cellStyle name="Erklärender Text" xfId="26434" hidden="1" xr:uid="{1CE0F106-90E2-42F1-9F29-4C7E9DB40A8D}"/>
    <cellStyle name="Erklärender Text" xfId="27857" hidden="1" xr:uid="{7175A8E0-CCA6-4DE1-8AD4-F764B7DC174D}"/>
    <cellStyle name="Erklärender Text" xfId="27941" hidden="1" xr:uid="{1B891280-1F45-42A3-A1B9-091FB13B67C3}"/>
    <cellStyle name="Erklärender Text" xfId="28200" hidden="1" xr:uid="{5FAFFF26-2DF8-4664-A4D1-24EA4BDC5EC1}"/>
    <cellStyle name="Erklärender Text" xfId="28297" hidden="1" xr:uid="{ACB8B9BB-5A27-4958-AE04-7A4BA79FEBB2}"/>
    <cellStyle name="Erklärender Text" xfId="29426" hidden="1" xr:uid="{A4720932-9CE1-467B-9798-0C8E3BAD4E2D}"/>
    <cellStyle name="Erklärender Text" xfId="29222" hidden="1" xr:uid="{C88096F8-F188-447D-9788-4C507A3A37B7}"/>
    <cellStyle name="Erklärender Text" xfId="28244" hidden="1" xr:uid="{B31CA7AF-B39D-43CF-92D0-2EB033C2AC33}"/>
    <cellStyle name="Erklärender Text" xfId="29219" hidden="1" xr:uid="{4569C469-4564-4ADA-9D72-242F4C12674D}"/>
    <cellStyle name="Erklärender Text" xfId="29220" hidden="1" xr:uid="{4F483CFD-1470-4F84-8BB2-405EABBA710B}"/>
    <cellStyle name="Erklärender Text" xfId="29582" hidden="1" xr:uid="{D0FE5ED9-A1BB-4FA9-B980-E80B56434FB3}"/>
    <cellStyle name="Erklärender Text" xfId="29768" hidden="1" xr:uid="{598AF4E8-B251-4E02-A3AB-59939FA6A549}"/>
    <cellStyle name="Erklärender Text 2" xfId="394" xr:uid="{A316E00B-2DD6-4B6B-ACC6-2A13099DF183}"/>
    <cellStyle name="Erklärender Text 3" xfId="276" xr:uid="{FB0E2BD3-32B7-40C4-A0F6-5F66D7D80AB9}"/>
    <cellStyle name="Explanatory Text 2" xfId="135" xr:uid="{1C0C5D5F-A9CB-4CCA-AD64-737998BE09EC}"/>
    <cellStyle name="Explanatory Text 3" xfId="226" xr:uid="{1F63E021-F9D5-46DB-A015-2D9EDBE4E23E}"/>
    <cellStyle name="Good 2" xfId="136" xr:uid="{EF6EE00A-458F-4B07-91A7-C73970951E5C}"/>
    <cellStyle name="Good 3" xfId="227" xr:uid="{D679EF5E-A44A-4FD7-B461-290D9A456135}"/>
    <cellStyle name="Good 4" xfId="356" xr:uid="{37423D11-F5E4-4D58-9533-C08BD5112C00}"/>
    <cellStyle name="Gut" xfId="137" xr:uid="{B37D1694-9774-421E-9569-9FB42C74944E}"/>
    <cellStyle name="Heading 1 2" xfId="138" xr:uid="{62C720FE-FC3A-4D90-923D-95E6F220E7DF}"/>
    <cellStyle name="Heading 1 3" xfId="228" xr:uid="{43EBB232-D73B-48E3-A681-B57C06BFE947}"/>
    <cellStyle name="Heading 1 4" xfId="364" xr:uid="{700867FA-BAD8-487B-AD80-1477BD2B2436}"/>
    <cellStyle name="Heading 2 2" xfId="139" xr:uid="{A9B4CE85-4E53-46C2-8265-3BD981269EFD}"/>
    <cellStyle name="Heading 2 3" xfId="229" xr:uid="{A3F1A194-D552-44DA-A756-4626C2BCCBC1}"/>
    <cellStyle name="Heading 2 4" xfId="365" xr:uid="{9285E168-34F4-4122-9EF5-6E21CEC527D2}"/>
    <cellStyle name="Heading 3 2" xfId="140" xr:uid="{9F4981D9-60FD-4563-869D-9680790FC0BA}"/>
    <cellStyle name="Heading 3 3" xfId="230" xr:uid="{1C835878-C527-4D67-AEAA-0C079349966B}"/>
    <cellStyle name="Heading 3 4" xfId="366" xr:uid="{319ABC47-AA54-4F84-96C1-601E52B43C8E}"/>
    <cellStyle name="Heading 4 2" xfId="141" xr:uid="{38808DD9-2D97-432C-A257-62A8050BD48C}"/>
    <cellStyle name="Heading 4 3" xfId="231" xr:uid="{6AB55271-DEB0-48C5-9E26-39B04E373627}"/>
    <cellStyle name="Heading 4 4" xfId="367" xr:uid="{AE1628DD-921A-4552-AE38-03655B224B22}"/>
    <cellStyle name="Headline" xfId="3" xr:uid="{088FA78D-5F00-440C-8345-7B22478FF750}"/>
    <cellStyle name="Hyperlink" xfId="1814" builtinId="8"/>
    <cellStyle name="Input 2" xfId="142" xr:uid="{9828FA01-AA38-4A11-825C-13B7B9BBBFD1}"/>
    <cellStyle name="Input 2 10" xfId="3037" xr:uid="{7BAD97EC-CDC2-4528-8795-B94C8ACFCD18}"/>
    <cellStyle name="Input 2 11" xfId="1933" xr:uid="{32AE62AC-F51B-4A50-89F3-815B7A9196A0}"/>
    <cellStyle name="Input 2 12" xfId="3002" xr:uid="{C2557F0B-1263-4458-90EF-767C44913D96}"/>
    <cellStyle name="Input 2 13" xfId="4776" xr:uid="{E9897968-D604-4343-B62C-8937D4F19047}"/>
    <cellStyle name="Input 2 14" xfId="6705" xr:uid="{C5DDE963-51DF-4BF3-B63E-2CC52CBF1108}"/>
    <cellStyle name="Input 2 15" xfId="6878" xr:uid="{96733177-6521-42E6-BD9C-4A91D9DF428D}"/>
    <cellStyle name="Input 2 16" xfId="7171" xr:uid="{C006D086-32BA-4DBD-8B1A-9F18FFC34131}"/>
    <cellStyle name="Input 2 17" xfId="8654" xr:uid="{D878EC34-4FF7-4986-A6D0-FAEAC7B16255}"/>
    <cellStyle name="Input 2 18" xfId="8538" xr:uid="{C20A680D-92B8-4C80-AC28-4203DB720558}"/>
    <cellStyle name="Input 2 19" xfId="9091" xr:uid="{480E0DE9-FC58-4B28-B281-4301CAF1EC73}"/>
    <cellStyle name="Input 2 2" xfId="556" xr:uid="{1805109A-2446-4F49-B1B2-D50CF908B0BF}"/>
    <cellStyle name="Input 2 2 10" xfId="3163" xr:uid="{F2A77C88-ACB2-461C-94FC-147098B9A36E}"/>
    <cellStyle name="Input 2 2 11" xfId="5204" xr:uid="{232FFF7C-161C-4D22-9EEA-429251629920}"/>
    <cellStyle name="Input 2 2 12" xfId="5619" xr:uid="{09B09F4A-AD76-49E9-8CD7-D6B510D76F42}"/>
    <cellStyle name="Input 2 2 13" xfId="5907" xr:uid="{74275080-ED98-4532-B342-8C3018290C6B}"/>
    <cellStyle name="Input 2 2 14" xfId="6060" xr:uid="{C0B3035A-E101-4538-ABB5-CFB56E4983F9}"/>
    <cellStyle name="Input 2 2 15" xfId="7276" xr:uid="{ECEB9E21-6563-44CE-ADA9-13118A577CA3}"/>
    <cellStyle name="Input 2 2 16" xfId="7726" xr:uid="{8891D7BA-A5B8-40D8-9305-21F04980F9E5}"/>
    <cellStyle name="Input 2 2 17" xfId="7181" xr:uid="{A86E3FE5-8004-4D1E-A0B0-33483EF4824E}"/>
    <cellStyle name="Input 2 2 18" xfId="8594" xr:uid="{521F3193-5E19-4285-B4B5-C9A197064821}"/>
    <cellStyle name="Input 2 2 19" xfId="9490" xr:uid="{FFEFD51B-B894-42E5-AF40-0C7922252C6A}"/>
    <cellStyle name="Input 2 2 2" xfId="771" xr:uid="{925A25E1-F962-4879-9C45-9666CB7AD6D6}"/>
    <cellStyle name="Input 2 2 2 10" xfId="5419" xr:uid="{3E1694F0-16B5-4E8A-A2B6-8597CC7E7E3F}"/>
    <cellStyle name="Input 2 2 2 11" xfId="4758" xr:uid="{6EDC2767-17F3-4C11-A6EE-2FA56765069B}"/>
    <cellStyle name="Input 2 2 2 12" xfId="6042" xr:uid="{C495FD95-747B-47CA-AED3-88F5162AF559}"/>
    <cellStyle name="Input 2 2 2 13" xfId="5710" xr:uid="{A3622D99-B3D8-42E0-9F66-34673C86ADEB}"/>
    <cellStyle name="Input 2 2 2 14" xfId="7491" xr:uid="{91F2CF34-48BB-4E14-8478-7EF03731C1DE}"/>
    <cellStyle name="Input 2 2 2 15" xfId="6963" xr:uid="{9A7EF718-4762-4BFC-9547-5A084B90E9F6}"/>
    <cellStyle name="Input 2 2 2 16" xfId="7025" xr:uid="{B0CDEB32-9AD7-4F16-B5B4-277451E72B98}"/>
    <cellStyle name="Input 2 2 2 17" xfId="8742" xr:uid="{48CA109F-74B2-4755-8EF9-8D625E38A017}"/>
    <cellStyle name="Input 2 2 2 18" xfId="9705" xr:uid="{D432E48D-5CE8-433E-A7C7-0690A70F6A9E}"/>
    <cellStyle name="Input 2 2 2 19" xfId="9176" xr:uid="{680D11AA-AC33-4F95-837E-5851EF7FF7EC}"/>
    <cellStyle name="Input 2 2 2 2" xfId="1245" xr:uid="{88F705BC-8BF0-4098-8453-EC684CCF443D}"/>
    <cellStyle name="Input 2 2 2 20" xfId="9311" xr:uid="{D2777D59-03BB-4872-8796-3DEB61C0242E}"/>
    <cellStyle name="Input 2 2 2 21" xfId="10689" xr:uid="{6B1E8CBA-50E4-4565-90E7-A9B4E4DD0656}"/>
    <cellStyle name="Input 2 2 2 22" xfId="11225" xr:uid="{3A02BDEC-4DDE-40D3-8D3B-B0E3DB9DD3E2}"/>
    <cellStyle name="Input 2 2 2 23" xfId="12124" xr:uid="{93B78A68-DE2C-42EE-A438-F1FED9A28FD5}"/>
    <cellStyle name="Input 2 2 2 24" xfId="12597" xr:uid="{552A7AB0-AAB6-4209-94F1-19F840E0C798}"/>
    <cellStyle name="Input 2 2 2 25" xfId="13031" xr:uid="{87E9BD6C-B8B4-44C5-A9E1-DF65D7EA2990}"/>
    <cellStyle name="Input 2 2 2 26" xfId="13468" xr:uid="{BFF53FE4-F32C-49C9-9FEA-4233896D1422}"/>
    <cellStyle name="Input 2 2 2 27" xfId="13613" xr:uid="{769C77F1-2F21-4C58-B1ED-215DC480B07F}"/>
    <cellStyle name="Input 2 2 2 28" xfId="12053" xr:uid="{69E18910-4765-4780-9175-EE4D236C970F}"/>
    <cellStyle name="Input 2 2 2 29" xfId="11839" xr:uid="{549B82F4-370F-4D90-BAB1-395AA23F5451}"/>
    <cellStyle name="Input 2 2 2 3" xfId="1369" xr:uid="{F7560845-2665-4962-A9B4-EFF94B3B6809}"/>
    <cellStyle name="Input 2 2 2 30" xfId="15068" xr:uid="{306B270D-7F80-46E6-97BD-A4AC05B527FC}"/>
    <cellStyle name="Input 2 2 2 31" xfId="14762" xr:uid="{73C857C3-FDDE-4BA0-B2C4-D2BB68BCD1A4}"/>
    <cellStyle name="Input 2 2 2 32" xfId="15080" xr:uid="{5E11692B-B3E5-4559-A03D-8EF155C92788}"/>
    <cellStyle name="Input 2 2 2 33" xfId="16816" xr:uid="{46DE61EE-C0C0-4524-8AF3-17BC262156AE}"/>
    <cellStyle name="Input 2 2 2 34" xfId="16282" xr:uid="{DC6571CD-C92B-453B-9F43-3DA37ADF51CF}"/>
    <cellStyle name="Input 2 2 2 35" xfId="16420" xr:uid="{7F97627A-2A84-4E4A-AD19-2274CBC31273}"/>
    <cellStyle name="Input 2 2 2 36" xfId="17986" xr:uid="{34E9DB4B-E618-42C0-947C-3684AF066B50}"/>
    <cellStyle name="Input 2 2 2 37" xfId="18634" xr:uid="{B4B3107C-0A25-4BEC-98C7-1BDC6C81FDD6}"/>
    <cellStyle name="Input 2 2 2 38" xfId="18933" xr:uid="{32C772B3-A3CD-40A0-B735-3576793F05FF}"/>
    <cellStyle name="Input 2 2 2 39" xfId="19169" xr:uid="{84BFDF23-CE58-44B7-BD25-62F556A45DD9}"/>
    <cellStyle name="Input 2 2 2 4" xfId="2593" xr:uid="{FB7764AD-06C3-43AA-B9EC-EC6D878E0054}"/>
    <cellStyle name="Input 2 2 2 40" xfId="20153" xr:uid="{DAD849BE-38BD-4A28-8CBB-74C450B31939}"/>
    <cellStyle name="Input 2 2 2 41" xfId="19615" xr:uid="{F717243C-F57E-4032-B365-AF1767C0093A}"/>
    <cellStyle name="Input 2 2 2 42" xfId="19531" xr:uid="{B9B2CA25-E060-4C53-BCBD-EA1BFF7EE2AD}"/>
    <cellStyle name="Input 2 2 2 43" xfId="21582" xr:uid="{6F465257-D38B-47A5-A912-D70F1693C6B7}"/>
    <cellStyle name="Input 2 2 2 44" xfId="21330" xr:uid="{06F49501-9F8D-4A63-A71A-11A209A57715}"/>
    <cellStyle name="Input 2 2 2 45" xfId="22095" xr:uid="{A7C4ABF3-CD68-4938-A330-D539C96E0AF6}"/>
    <cellStyle name="Input 2 2 2 46" xfId="22622" xr:uid="{D90A7A8F-2F94-4463-B1B7-DF61F464D65A}"/>
    <cellStyle name="Input 2 2 2 47" xfId="23220" xr:uid="{95D8E4C3-A007-4D23-9189-67800113EB27}"/>
    <cellStyle name="Input 2 2 2 48" xfId="23437" xr:uid="{DF94A2B2-5891-48AA-A077-30B3D933AE55}"/>
    <cellStyle name="Input 2 2 2 49" xfId="23953" xr:uid="{E0E45B4D-FDC4-482B-AFC8-4B3B6C7BFDF9}"/>
    <cellStyle name="Input 2 2 2 5" xfId="2780" xr:uid="{56C0565F-9B55-46CF-B038-D335DB45F753}"/>
    <cellStyle name="Input 2 2 2 50" xfId="24861" xr:uid="{6F3E173F-59A3-42DA-A91A-F8937EED29C5}"/>
    <cellStyle name="Input 2 2 2 51" xfId="24462" xr:uid="{F5A2D67B-AC2B-4693-8E14-14C619E0D6AA}"/>
    <cellStyle name="Input 2 2 2 52" xfId="25777" xr:uid="{51661B88-9375-4486-BAB1-0C3DF227CC78}"/>
    <cellStyle name="Input 2 2 2 53" xfId="24359" xr:uid="{D4736D3E-1E81-4800-BAE7-566B9625931D}"/>
    <cellStyle name="Input 2 2 2 54" xfId="26068" xr:uid="{85375473-020F-4A13-BA45-6BBB1870ED98}"/>
    <cellStyle name="Input 2 2 2 55" xfId="27065" xr:uid="{D6DB6C35-4047-4CC9-A8B0-32C65CB7D2B1}"/>
    <cellStyle name="Input 2 2 2 56" xfId="27484" xr:uid="{4F98D697-4FAB-4831-8C3A-A633A64C6359}"/>
    <cellStyle name="Input 2 2 2 57" xfId="27202" xr:uid="{5D5EF25B-7B3B-488B-B512-B68E7122B39F}"/>
    <cellStyle name="Input 2 2 2 58" xfId="28611" xr:uid="{B4BE8AD4-0F89-4688-8D54-2D4A9B31769C}"/>
    <cellStyle name="Input 2 2 2 59" xfId="29078" xr:uid="{89E5620D-4E12-4F20-9B7E-8BBA53ACF90D}"/>
    <cellStyle name="Input 2 2 2 6" xfId="3453" xr:uid="{FE1A95ED-B62B-4F38-89AC-F1B2BD6E373B}"/>
    <cellStyle name="Input 2 2 2 60" xfId="28080" xr:uid="{723B6C96-C0FC-4E94-B9F9-C0B6DC835191}"/>
    <cellStyle name="Input 2 2 2 61" xfId="29867" xr:uid="{E848A107-BBCD-4EFD-8C79-203FF66B73E5}"/>
    <cellStyle name="Input 2 2 2 62" xfId="30273" xr:uid="{EF322A48-F640-461F-BD8C-1DEE300C7A6B}"/>
    <cellStyle name="Input 2 2 2 63" xfId="30690" xr:uid="{9D6EDB5A-F568-414E-BED6-EE1BB3264643}"/>
    <cellStyle name="Input 2 2 2 64" xfId="30618" xr:uid="{CBF02FC2-A831-458B-8D6A-6DE7498B5D44}"/>
    <cellStyle name="Input 2 2 2 65" xfId="31306" xr:uid="{7BAB4DB9-D96A-466E-9078-A87F10671286}"/>
    <cellStyle name="Input 2 2 2 7" xfId="4089" xr:uid="{DBF4B845-1A2D-455E-8EE7-C9E9686AE528}"/>
    <cellStyle name="Input 2 2 2 8" xfId="4526" xr:uid="{FFFF577F-A398-49CC-877A-3BC972622393}"/>
    <cellStyle name="Input 2 2 2 9" xfId="2744" xr:uid="{0E306195-71E6-4043-AC65-A01AACD3EF2A}"/>
    <cellStyle name="Input 2 2 20" xfId="9940" xr:uid="{AFDE7E7C-219E-4054-906D-E06DC8754F40}"/>
    <cellStyle name="Input 2 2 21" xfId="10371" xr:uid="{1B8094AA-E047-4A53-B67B-E97BA9B579A7}"/>
    <cellStyle name="Input 2 2 22" xfId="10821" xr:uid="{5C97BA50-FD39-4B93-AE84-B4DDA4457329}"/>
    <cellStyle name="Input 2 2 23" xfId="11092" xr:uid="{66A1BB22-BC1F-47B6-B9F5-932C1AC6B4C8}"/>
    <cellStyle name="Input 2 2 24" xfId="11909" xr:uid="{C85AE0B3-0811-43F3-8FA7-4F240341D452}"/>
    <cellStyle name="Input 2 2 25" xfId="12382" xr:uid="{8545DEA7-434F-4370-A258-5A8A1D12147C}"/>
    <cellStyle name="Input 2 2 26" xfId="12816" xr:uid="{E56F3EE0-F636-400A-A0E5-C8C5420504BC}"/>
    <cellStyle name="Input 2 2 27" xfId="13253" xr:uid="{26E81B3A-EAE5-4842-A772-DB822B5A8856}"/>
    <cellStyle name="Input 2 2 28" xfId="13701" xr:uid="{64BA5EF8-624E-48E1-BC55-4772440D5D59}"/>
    <cellStyle name="Input 2 2 29" xfId="13660" xr:uid="{EA4A3D70-3E1C-4BEC-9D07-BC6A5B5A7CF9}"/>
    <cellStyle name="Input 2 2 3" xfId="1039" xr:uid="{463DE6EF-2632-4085-8370-34AC4E58D2EA}"/>
    <cellStyle name="Input 2 2 30" xfId="14789" xr:uid="{EDC00025-55F0-4C06-AA06-64DC5ED39F3A}"/>
    <cellStyle name="Input 2 2 31" xfId="15015" xr:uid="{4A8EEF10-6450-417D-9514-8800E1FED914}"/>
    <cellStyle name="Input 2 2 32" xfId="14874" xr:uid="{771CCD61-05B2-46F4-99A5-55876C82F7FB}"/>
    <cellStyle name="Input 2 2 33" xfId="15821" xr:uid="{2F3B9025-783B-4014-B10E-80DA71E6D1CC}"/>
    <cellStyle name="Input 2 2 34" xfId="16601" xr:uid="{3651AC16-0603-4F94-A0F0-0ADD75E5AAD7}"/>
    <cellStyle name="Input 2 2 35" xfId="17054" xr:uid="{BEE4DE10-4FA4-451D-BF45-91012A13C4F8}"/>
    <cellStyle name="Input 2 2 36" xfId="17501" xr:uid="{9E41A70F-4116-445C-94AB-C169C11B9E81}"/>
    <cellStyle name="Input 2 2 37" xfId="17963" xr:uid="{B1E47DFE-3643-4989-904D-3ADEA131658C}"/>
    <cellStyle name="Input 2 2 38" xfId="18419" xr:uid="{F9225492-FB9D-4349-B5CF-D10AB7F25780}"/>
    <cellStyle name="Input 2 2 39" xfId="18342" xr:uid="{ABD30A21-186F-4448-A1AB-CFE729559C5F}"/>
    <cellStyle name="Input 2 2 4" xfId="1742" xr:uid="{D0D063BB-7755-4B3D-AF08-29FE36242F02}"/>
    <cellStyle name="Input 2 2 40" xfId="19324" xr:uid="{203EE0B0-1286-453C-92F4-E9D6F37A5616}"/>
    <cellStyle name="Input 2 2 41" xfId="19938" xr:uid="{BA528E05-9BAC-4696-86F3-37E56A27495E}"/>
    <cellStyle name="Input 2 2 42" xfId="20406" xr:uid="{21CF025B-805B-44B5-943E-938FB77EA052}"/>
    <cellStyle name="Input 2 2 43" xfId="20859" xr:uid="{A07FBC43-A5FB-40D0-A639-CDB49342EA09}"/>
    <cellStyle name="Input 2 2 44" xfId="21184" xr:uid="{2FC29F49-0910-40BC-A37D-4F22110D1AF5}"/>
    <cellStyle name="Input 2 2 45" xfId="21791" xr:uid="{0F484CEC-1BDF-4448-BF05-B8E0AE6F60B5}"/>
    <cellStyle name="Input 2 2 46" xfId="22228" xr:uid="{8D27E756-88E0-447E-B6C4-F7228F8B9079}"/>
    <cellStyle name="Input 2 2 47" xfId="22698" xr:uid="{E62940AC-D6D7-4C12-AD14-B78CFEB70DA0}"/>
    <cellStyle name="Input 2 2 48" xfId="22663" xr:uid="{EE497999-0365-4D28-B631-021D94008CBE}"/>
    <cellStyle name="Input 2 2 49" xfId="22615" xr:uid="{98471CC1-9743-4A9C-AEB9-A09B57ABC01E}"/>
    <cellStyle name="Input 2 2 5" xfId="2378" xr:uid="{4B59670A-F926-47E1-B2E6-6B9BA2B4CD4A}"/>
    <cellStyle name="Input 2 2 50" xfId="23747" xr:uid="{44FAECFA-881A-44F2-902D-6A61BAD9BA02}"/>
    <cellStyle name="Input 2 2 51" xfId="24646" xr:uid="{DEDD338E-9CCF-4E3B-A856-47D623C75CC5}"/>
    <cellStyle name="Input 2 2 52" xfId="25114" xr:uid="{C6479A58-14A4-4BC6-9FFE-C578763BA805}"/>
    <cellStyle name="Input 2 2 53" xfId="25564" xr:uid="{A5616E37-9E6C-4E4A-903C-79D11454EB5C}"/>
    <cellStyle name="Input 2 2 54" xfId="26003" xr:uid="{AEB4A397-FBE8-4D21-96DE-6B9E80219BF4}"/>
    <cellStyle name="Input 2 2 55" xfId="26657" xr:uid="{C27E3F01-2C4F-45AF-843B-D41884455D98}"/>
    <cellStyle name="Input 2 2 56" xfId="26854" xr:uid="{547A4CF0-4E9C-48FB-8BC8-44B727D12144}"/>
    <cellStyle name="Input 2 2 57" xfId="27273" xr:uid="{5D1FE4C5-34D3-4DAE-9E7A-7FC7819AADB9}"/>
    <cellStyle name="Input 2 2 58" xfId="26185" xr:uid="{F3E99430-CCFC-48E9-B464-0932B3F4AA4C}"/>
    <cellStyle name="Input 2 2 59" xfId="28396" xr:uid="{75DDD4B6-734C-4BB9-95E4-D02BA4E72A93}"/>
    <cellStyle name="Input 2 2 6" xfId="2866" xr:uid="{564132F5-EAAA-4D58-9447-892326114042}"/>
    <cellStyle name="Input 2 2 60" xfId="28864" xr:uid="{B52845C3-243D-4A22-8F07-39919B3BEDBB}"/>
    <cellStyle name="Input 2 2 61" xfId="29269" xr:uid="{3CCD5DCE-E6BA-4E36-A379-B9CAAB4CFF0A}"/>
    <cellStyle name="Input 2 2 62" xfId="29654" xr:uid="{FB97CA05-27AB-43BC-9EA6-D6A64D6A4D11}"/>
    <cellStyle name="Input 2 2 63" xfId="30062" xr:uid="{1F88C222-9F88-4CC8-AC31-4282946FC400}"/>
    <cellStyle name="Input 2 2 64" xfId="30476" xr:uid="{F78CAD52-D851-48FD-8891-B22C465DB42F}"/>
    <cellStyle name="Input 2 2 65" xfId="30949" xr:uid="{F6C94254-C2E3-4708-A8FC-91DF1C716933}"/>
    <cellStyle name="Input 2 2 66" xfId="31100" xr:uid="{B3399E1C-BC27-47AF-9F10-8384AAD1EE86}"/>
    <cellStyle name="Input 2 2 7" xfId="3505" xr:uid="{987DB198-C605-48C6-A6CB-2E5E30DB5CD8}"/>
    <cellStyle name="Input 2 2 8" xfId="3874" xr:uid="{57E49886-A47E-4864-9B13-DAEF02FD4A1A}"/>
    <cellStyle name="Input 2 2 9" xfId="4312" xr:uid="{49E7C890-9D6D-462B-AD5F-585BF82F5A42}"/>
    <cellStyle name="Input 2 20" xfId="9385" xr:uid="{798261CD-2AFF-483B-A029-17549563FA5B}"/>
    <cellStyle name="Input 2 21" xfId="11322" xr:uid="{BB2BC0F4-CE3F-47B0-8CE0-96B2016B2F36}"/>
    <cellStyle name="Input 2 22" xfId="11502" xr:uid="{D4D40F74-DB7A-41E9-929E-21ADA270BF94}"/>
    <cellStyle name="Input 2 23" xfId="11808" xr:uid="{3D16B1DE-35B8-45F6-B7AF-4A810FA4D063}"/>
    <cellStyle name="Input 2 24" xfId="12285" xr:uid="{51AF823B-7706-45AF-8AC8-9C62640A56AA}"/>
    <cellStyle name="Input 2 25" xfId="11737" xr:uid="{437D0C2B-AAEC-4D2E-B416-C23EFE0DAED9}"/>
    <cellStyle name="Input 2 26" xfId="11646" xr:uid="{F0F140A4-EC5E-4FD3-B464-D35F43AA9C07}"/>
    <cellStyle name="Input 2 27" xfId="14883" xr:uid="{91163802-A9B5-44A6-9B35-9C691DC65BAD}"/>
    <cellStyle name="Input 2 28" xfId="15998" xr:uid="{335BA464-FF62-4500-B892-CBCCE4EA960B}"/>
    <cellStyle name="Input 2 29" xfId="16194" xr:uid="{1D9513DF-0494-4643-9EEC-5EBB403795A9}"/>
    <cellStyle name="Input 2 3" xfId="660" xr:uid="{4919F7F4-B067-4434-8D53-7690C8733545}"/>
    <cellStyle name="Input 2 3 10" xfId="4264" xr:uid="{C9BBFE19-1905-4DB1-8020-986BEE88573B}"/>
    <cellStyle name="Input 2 3 11" xfId="5308" xr:uid="{4999ACCF-6430-4C7C-87F7-BE7ABCB89FA3}"/>
    <cellStyle name="Input 2 3 12" xfId="5548" xr:uid="{0DDB5BE6-FE4C-4CF2-874E-8860B36B44CD}"/>
    <cellStyle name="Input 2 3 13" xfId="6303" xr:uid="{2EF042FF-2BAE-4798-ADE0-12240780A799}"/>
    <cellStyle name="Input 2 3 14" xfId="6301" xr:uid="{66F395BA-0B45-4CCE-89F8-DB84AFD97A3F}"/>
    <cellStyle name="Input 2 3 15" xfId="7380" xr:uid="{204F3FC2-1665-4E28-BB22-E9E131B90A4F}"/>
    <cellStyle name="Input 2 3 16" xfId="7773" xr:uid="{A2F8DFCE-CF7B-4164-BE08-950FDF0E1208}"/>
    <cellStyle name="Input 2 3 17" xfId="7940" xr:uid="{B0F0CA2F-42AA-4465-BDFE-9EE7BFC31E49}"/>
    <cellStyle name="Input 2 3 18" xfId="8383" xr:uid="{DAC6BC42-8B2F-410A-AC33-4366D22D1FA6}"/>
    <cellStyle name="Input 2 3 19" xfId="9594" xr:uid="{86F67767-9A05-46E0-8A29-B4F70F61DCEB}"/>
    <cellStyle name="Input 2 3 2" xfId="875" xr:uid="{38A83B1E-A3AC-4445-8CDA-412CAC39609D}"/>
    <cellStyle name="Input 2 3 2 10" xfId="5523" xr:uid="{AF3D27EB-359F-461E-8D52-E25759D463FE}"/>
    <cellStyle name="Input 2 3 2 11" xfId="6017" xr:uid="{908EDA5D-9893-4246-85CB-E700E32B34B5}"/>
    <cellStyle name="Input 2 3 2 12" xfId="6376" xr:uid="{FD5B0C51-13AC-4AF3-AD02-45FC0DA2A47B}"/>
    <cellStyle name="Input 2 3 2 13" xfId="6714" xr:uid="{47E38975-1C67-48E8-915A-5E19B06DD419}"/>
    <cellStyle name="Input 2 3 2 14" xfId="7595" xr:uid="{C69942E6-D50F-47A6-98E4-E50B9C63D471}"/>
    <cellStyle name="Input 2 3 2 15" xfId="8059" xr:uid="{A2398EE4-5A39-4039-8075-A8DCF0ACCD0B}"/>
    <cellStyle name="Input 2 3 2 16" xfId="8668" xr:uid="{B1A4ED8D-51AF-4A8E-9A20-A1B8F3B40102}"/>
    <cellStyle name="Input 2 3 2 17" xfId="8927" xr:uid="{359EAC21-575B-4825-B49E-EE4AFAE55B34}"/>
    <cellStyle name="Input 2 3 2 18" xfId="9809" xr:uid="{C2256104-30B7-4B37-A72B-87670CC0E37B}"/>
    <cellStyle name="Input 2 3 2 19" xfId="10278" xr:uid="{99B37B25-F3EC-4785-BC2D-5B2DE875CAC2}"/>
    <cellStyle name="Input 2 3 2 2" xfId="1349" xr:uid="{9E5568C5-04E2-4A4F-986B-2C79B1838B44}"/>
    <cellStyle name="Input 2 3 2 20" xfId="10672" xr:uid="{8383A9A5-4DE6-46BF-848C-2AA6060C114E}"/>
    <cellStyle name="Input 2 3 2 21" xfId="11021" xr:uid="{7A4F5B00-C953-434D-AC62-4A2302183704}"/>
    <cellStyle name="Input 2 3 2 22" xfId="11331" xr:uid="{21738E37-2BDB-463B-BEF4-1A136724B2D1}"/>
    <cellStyle name="Input 2 3 2 23" xfId="12228" xr:uid="{13FD650A-EB82-4FD7-8DAB-D8F8C4A5F160}"/>
    <cellStyle name="Input 2 3 2 24" xfId="12701" xr:uid="{7BC12525-DBB1-46B9-8233-FDECD49F0763}"/>
    <cellStyle name="Input 2 3 2 25" xfId="13135" xr:uid="{C19CB6DC-C4F5-450B-8C47-5AB4DE63E449}"/>
    <cellStyle name="Input 2 3 2 26" xfId="13572" xr:uid="{06A5C6DA-B6A7-4417-BD77-3D405660888E}"/>
    <cellStyle name="Input 2 3 2 27" xfId="14044" xr:uid="{BA78047E-1AA1-4480-96B8-99D7255047DD}"/>
    <cellStyle name="Input 2 3 2 28" xfId="14491" xr:uid="{2324A813-C674-4232-A568-0571953378A4}"/>
    <cellStyle name="Input 2 3 2 29" xfId="14925" xr:uid="{B33B7A1A-3CB2-42C1-8103-DD80C4171BB0}"/>
    <cellStyle name="Input 2 3 2 3" xfId="1798" xr:uid="{42329E48-71EF-46DE-95E3-0B371EE8E9CE}"/>
    <cellStyle name="Input 2 3 2 30" xfId="15395" xr:uid="{6AC606CD-CBB9-45E5-8C24-495102206709}"/>
    <cellStyle name="Input 2 3 2 31" xfId="15785" xr:uid="{7F5A1098-713D-4FCB-B639-AE2C4EED06C7}"/>
    <cellStyle name="Input 2 3 2 32" xfId="16007" xr:uid="{D473BFC0-82E3-4216-9033-FD528B9F6365}"/>
    <cellStyle name="Input 2 3 2 33" xfId="16920" xr:uid="{92925FF4-19A3-4B79-B23B-3597F2F931F4}"/>
    <cellStyle name="Input 2 3 2 34" xfId="17401" xr:uid="{A1AE85E7-14FC-413C-84D7-B25E30615AAD}"/>
    <cellStyle name="Input 2 3 2 35" xfId="17842" xr:uid="{AC34E51C-4367-4F5E-A455-9B7275309991}"/>
    <cellStyle name="Input 2 3 2 36" xfId="18317" xr:uid="{001175B2-9648-4B49-BDDD-E7AEF5A3481A}"/>
    <cellStyle name="Input 2 3 2 37" xfId="18738" xr:uid="{52A68868-3768-4877-A12F-1CAF3F8CDFAE}"/>
    <cellStyle name="Input 2 3 2 38" xfId="19125" xr:uid="{A66368C8-C639-496E-ABFA-6DC86507872A}"/>
    <cellStyle name="Input 2 3 2 39" xfId="19355" xr:uid="{9F0D23ED-44E3-40FC-BC31-D3DD61A9464B}"/>
    <cellStyle name="Input 2 3 2 4" xfId="2697" xr:uid="{4537CCAB-080C-4717-A4E4-9A2E588F0498}"/>
    <cellStyle name="Input 2 3 2 40" xfId="20257" xr:uid="{1CA54825-94F2-4C0D-BD89-9EE2FFF91F45}"/>
    <cellStyle name="Input 2 3 2 41" xfId="20750" xr:uid="{7D7C7288-0571-4426-A16B-5BE88526F2A5}"/>
    <cellStyle name="Input 2 3 2 42" xfId="21209" xr:uid="{5E7AAAE4-1349-4EF8-AB8D-E5E578E4B9C3}"/>
    <cellStyle name="Input 2 3 2 43" xfId="21701" xr:uid="{2E1D9CCC-23EE-40A6-8384-DC3FC06C9F49}"/>
    <cellStyle name="Input 2 3 2 44" xfId="22140" xr:uid="{386E63DE-1F2C-4F56-BBA5-E4195F74AEB1}"/>
    <cellStyle name="Input 2 3 2 45" xfId="22567" xr:uid="{38B7EC7A-1183-4E69-88DF-A64CBD790C69}"/>
    <cellStyle name="Input 2 3 2 46" xfId="23012" xr:uid="{7DAF264A-A8C9-4B36-AA09-AA7A8408BCE4}"/>
    <cellStyle name="Input 2 3 2 47" xfId="23414" xr:uid="{607918EE-36CC-420D-89B9-A78113D39EE9}"/>
    <cellStyle name="Input 2 3 2 48" xfId="23677" xr:uid="{B7EA97CE-D4CD-40E7-9460-2AEE248040FB}"/>
    <cellStyle name="Input 2 3 2 49" xfId="24057" xr:uid="{58021187-BE0A-4A8C-B62B-B67411BE4003}"/>
    <cellStyle name="Input 2 3 2 5" xfId="3217" xr:uid="{D8E5E287-D494-4981-B237-50BEC91850A5}"/>
    <cellStyle name="Input 2 3 2 50" xfId="24965" xr:uid="{36582FE3-38B7-4ABE-99D2-F32E18C85424}"/>
    <cellStyle name="Input 2 3 2 51" xfId="25453" xr:uid="{3F368F53-CB42-4922-B505-EEC5EB045D5E}"/>
    <cellStyle name="Input 2 3 2 52" xfId="25881" xr:uid="{12875CD9-6629-44D8-93BE-0D4537F82404}"/>
    <cellStyle name="Input 2 3 2 53" xfId="26319" xr:uid="{320D6B19-2CF8-4A6F-9560-21832BC9CFD9}"/>
    <cellStyle name="Input 2 3 2 54" xfId="26748" xr:uid="{B0FDDEB7-6C7A-441C-B73D-988AFBA77293}"/>
    <cellStyle name="Input 2 3 2 55" xfId="27169" xr:uid="{7F48998B-374F-4A00-B7AF-891881CC8533}"/>
    <cellStyle name="Input 2 3 2 56" xfId="27588" xr:uid="{66B5D4B2-C4F2-4E83-82AE-D2676A6E8271}"/>
    <cellStyle name="Input 2 3 2 57" xfId="26366" xr:uid="{BC58C862-8741-4E68-B946-2D0EF6345FE0}"/>
    <cellStyle name="Input 2 3 2 58" xfId="28715" xr:uid="{CDC68E79-E6A5-4A8A-87CD-1351284F7A90}"/>
    <cellStyle name="Input 2 3 2 59" xfId="29182" xr:uid="{7CF0C58D-612E-403C-AD3C-4DBC7E25EA7D}"/>
    <cellStyle name="Input 2 3 2 6" xfId="3772" xr:uid="{AD420D30-FD09-4EAF-AF20-A78F3892DD88}"/>
    <cellStyle name="Input 2 3 2 60" xfId="29564" xr:uid="{57343628-C53C-4AB2-9425-C1DDC60B376A}"/>
    <cellStyle name="Input 2 3 2 61" xfId="29971" xr:uid="{D75FBC34-D150-4948-B146-D8AD4515087B}"/>
    <cellStyle name="Input 2 3 2 62" xfId="30377" xr:uid="{5B46D08F-3707-461C-A203-A81A3773E139}"/>
    <cellStyle name="Input 2 3 2 63" xfId="30794" xr:uid="{85D5786C-1003-4B81-ABFD-B314E5F21C6C}"/>
    <cellStyle name="Input 2 3 2 64" xfId="31039" xr:uid="{D16A9494-F21B-4849-8967-1D5C320CE077}"/>
    <cellStyle name="Input 2 3 2 65" xfId="31410" xr:uid="{05D4A3EE-03AC-46B5-8D72-86515D391DDA}"/>
    <cellStyle name="Input 2 3 2 7" xfId="4193" xr:uid="{EA78260F-E030-482D-AFDE-474C8FCFE2F7}"/>
    <cellStyle name="Input 2 3 2 8" xfId="4630" xr:uid="{84F02E4B-B62F-4BF7-BBDA-10888EC294A1}"/>
    <cellStyle name="Input 2 3 2 9" xfId="5076" xr:uid="{BEE63B8B-C204-4C97-A5C4-971F6DA23D19}"/>
    <cellStyle name="Input 2 3 20" xfId="9985" xr:uid="{DE975A51-D704-4E01-986C-4DFE7731B5DD}"/>
    <cellStyle name="Input 2 3 21" xfId="10411" xr:uid="{F71B971B-7410-4251-BD33-618D71940695}"/>
    <cellStyle name="Input 2 3 22" xfId="10492" xr:uid="{59B1B0C4-B104-4F5C-88BB-91BB92ED5E8A}"/>
    <cellStyle name="Input 2 3 23" xfId="11204" xr:uid="{098C71BB-4A13-4B91-BA60-D7133733FF63}"/>
    <cellStyle name="Input 2 3 24" xfId="12013" xr:uid="{D68A5B95-7BE5-43AE-9C48-37D85564BC07}"/>
    <cellStyle name="Input 2 3 25" xfId="12486" xr:uid="{CEB32DD0-7667-42DC-B010-E81FC19E12B0}"/>
    <cellStyle name="Input 2 3 26" xfId="12920" xr:uid="{E94E8CA9-630C-446D-9530-49E7DFBBA3E8}"/>
    <cellStyle name="Input 2 3 27" xfId="13357" xr:uid="{EAF9053C-7FC2-451F-B493-AD941FF17C82}"/>
    <cellStyle name="Input 2 3 28" xfId="13929" xr:uid="{68D52FB5-BF41-4AB3-9A6F-AFAF56208B7F}"/>
    <cellStyle name="Input 2 3 29" xfId="14303" xr:uid="{61B09EDB-6655-4196-8B27-4E020DFEB5E2}"/>
    <cellStyle name="Input 2 3 3" xfId="1143" xr:uid="{E33E4122-CEEA-4C5A-AC09-D7508C586F46}"/>
    <cellStyle name="Input 2 3 30" xfId="14639" xr:uid="{85142B9B-8361-4A02-A8C3-A6F9ADA6F54E}"/>
    <cellStyle name="Input 2 3 31" xfId="13634" xr:uid="{19BCE1A8-F654-42CA-BC25-E127A61B7ED1}"/>
    <cellStyle name="Input 2 3 32" xfId="15287" xr:uid="{2CA8B58A-196D-4F78-9EFF-9A4487E94848}"/>
    <cellStyle name="Input 2 3 33" xfId="15843" xr:uid="{2A7783BB-756E-40DC-B31B-BD0E0FBF416C}"/>
    <cellStyle name="Input 2 3 34" xfId="16705" xr:uid="{BF23FFFA-01CA-41CD-BAA7-C32AFB0D05AB}"/>
    <cellStyle name="Input 2 3 35" xfId="17101" xr:uid="{9DD4D3DB-17A9-44F3-B543-BD2686FB5A9A}"/>
    <cellStyle name="Input 2 3 36" xfId="17548" xr:uid="{F41FE514-BE2D-4FA0-84E7-2575E7EED14D}"/>
    <cellStyle name="Input 2 3 37" xfId="18142" xr:uid="{980EF1C3-FC90-40F6-B2E1-95CB28BBCF69}"/>
    <cellStyle name="Input 2 3 38" xfId="18523" xr:uid="{F6DD8D22-581A-42A9-BD3C-F745FC45E91F}"/>
    <cellStyle name="Input 2 3 39" xfId="18207" xr:uid="{EF515B16-9ADB-4D9F-AACB-0386650D3E8F}"/>
    <cellStyle name="Input 2 3 4" xfId="1695" xr:uid="{8D4FBFB9-8FA3-4EF7-BD46-90D9355BE2B0}"/>
    <cellStyle name="Input 2 3 40" xfId="18974" xr:uid="{EA3A63BB-6AFC-47F6-B54B-E2D567974866}"/>
    <cellStyle name="Input 2 3 41" xfId="20042" xr:uid="{7C939833-2501-46C7-8240-591AF277A655}"/>
    <cellStyle name="Input 2 3 42" xfId="20454" xr:uid="{3289866E-EF92-4016-AFDC-5B284829AA11}"/>
    <cellStyle name="Input 2 3 43" xfId="20907" xr:uid="{37C10F6A-8089-4CDB-944E-76DC0520E73D}"/>
    <cellStyle name="Input 2 3 44" xfId="19611" xr:uid="{3164D28F-8220-481B-9CA9-ABF21C2DCE4E}"/>
    <cellStyle name="Input 2 3 45" xfId="21836" xr:uid="{E4662E5D-CE95-422E-8E6C-D28623ED5B05}"/>
    <cellStyle name="Input 2 3 46" xfId="22273" xr:uid="{D01A4364-05DE-4017-999B-EF205FE9874F}"/>
    <cellStyle name="Input 2 3 47" xfId="22905" xr:uid="{F49F0D16-CE10-45EC-B860-BF2B4C24EDD5}"/>
    <cellStyle name="Input 2 3 48" xfId="22863" xr:uid="{51B0F7F4-37A2-4018-B8E4-409B05D0FD63}"/>
    <cellStyle name="Input 2 3 49" xfId="23577" xr:uid="{B47F6A26-92A0-436E-8F8D-DBC16264E6A8}"/>
    <cellStyle name="Input 2 3 5" xfId="2482" xr:uid="{D8666256-095F-43CE-ACE5-68C526341E1E}"/>
    <cellStyle name="Input 2 3 50" xfId="23851" xr:uid="{33F487B7-AFF3-48CC-96B0-AE44EF489168}"/>
    <cellStyle name="Input 2 3 51" xfId="24750" xr:uid="{8AF84E59-76FB-440B-9FD7-AF6596B5B6FE}"/>
    <cellStyle name="Input 2 3 52" xfId="25162" xr:uid="{5DD661F4-0E52-4170-A4ED-0C4E98C007CD}"/>
    <cellStyle name="Input 2 3 53" xfId="25668" xr:uid="{1C851A7A-1BE2-42A0-96FC-2916A45A6549}"/>
    <cellStyle name="Input 2 3 54" xfId="26210" xr:uid="{3ACCD6CD-41B1-4658-BB10-DE23C5A9DFB8}"/>
    <cellStyle name="Input 2 3 55" xfId="26232" xr:uid="{B8450383-BB8C-41F1-AFE6-DD9290E4EDA7}"/>
    <cellStyle name="Input 2 3 56" xfId="26958" xr:uid="{96DA6C5C-57C7-4644-9EDF-1DDDFC6BAA87}"/>
    <cellStyle name="Input 2 3 57" xfId="27377" xr:uid="{439F70C5-1812-4E19-968A-6ECB192FF38C}"/>
    <cellStyle name="Input 2 3 58" xfId="26397" xr:uid="{00C0BD06-01D2-4D1C-8278-435CC5C44254}"/>
    <cellStyle name="Input 2 3 59" xfId="28500" xr:uid="{CD7C98A9-B96B-46E1-BD68-FFEE53E81A51}"/>
    <cellStyle name="Input 2 3 6" xfId="3097" xr:uid="{43F4A20C-CEDD-4B0A-B22E-19DD35540317}"/>
    <cellStyle name="Input 2 3 60" xfId="28968" xr:uid="{07F3F6CA-79C8-4E1C-A818-B73712F79EEB}"/>
    <cellStyle name="Input 2 3 61" xfId="29311" xr:uid="{147696AA-2625-47F5-BC05-439DCB89121B}"/>
    <cellStyle name="Input 2 3 62" xfId="29758" xr:uid="{4E5017DD-4FF4-4610-B922-B1AFD3CA5A96}"/>
    <cellStyle name="Input 2 3 63" xfId="30166" xr:uid="{DA1B6BBB-235A-4FD3-BEEB-32F27B1617DA}"/>
    <cellStyle name="Input 2 3 64" xfId="30580" xr:uid="{556BF807-4D03-45AF-ADE4-32731BA67653}"/>
    <cellStyle name="Input 2 3 65" xfId="30944" xr:uid="{36793502-6F14-490B-95ED-81A4D8113008}"/>
    <cellStyle name="Input 2 3 66" xfId="31204" xr:uid="{C8528D28-8108-49D6-8BA2-DE14549ED3DD}"/>
    <cellStyle name="Input 2 3 7" xfId="3054" xr:uid="{AAA3E27F-5BD6-459D-AE77-8D70AECED349}"/>
    <cellStyle name="Input 2 3 8" xfId="3978" xr:uid="{98291520-49BD-4092-BB78-AE0458196B5F}"/>
    <cellStyle name="Input 2 3 9" xfId="4416" xr:uid="{221147CD-16CE-4C81-91BF-E18B9813F3E0}"/>
    <cellStyle name="Input 2 30" xfId="16492" xr:uid="{E6E3D202-FE29-4EC7-845D-56021163B6D3}"/>
    <cellStyle name="Input 2 31" xfId="17433" xr:uid="{B01D0883-D482-41AE-888D-012CA3AC0AE3}"/>
    <cellStyle name="Input 2 32" xfId="16500" xr:uid="{B7118764-BEEF-4A51-B88F-FF9FA8BC6AD4}"/>
    <cellStyle name="Input 2 33" xfId="18280" xr:uid="{94EFDD60-39A4-41D9-A99A-5D0167DF57B7}"/>
    <cellStyle name="Input 2 34" xfId="19526" xr:uid="{3E0B6A83-85FE-4D4F-8DD5-7B1922FC7B86}"/>
    <cellStyle name="Input 2 35" xfId="19828" xr:uid="{42949FC4-34BE-4428-B5DF-05C2F583495C}"/>
    <cellStyle name="Input 2 36" xfId="20483" xr:uid="{534AD173-EC23-45E2-812C-D7B1AACDC9F6}"/>
    <cellStyle name="Input 2 37" xfId="22224" xr:uid="{39C95C88-DED1-4A03-8713-92F2934C163D}"/>
    <cellStyle name="Input 2 38" xfId="21978" xr:uid="{87E53063-4C02-427F-B1B7-E4E4F99AE390}"/>
    <cellStyle name="Input 2 39" xfId="24247" xr:uid="{8EF270BF-DFB4-4DDA-9D53-B995024EFDDC}"/>
    <cellStyle name="Input 2 4" xfId="671" xr:uid="{8E974FB2-B86E-4828-96F2-46A64E13EC43}"/>
    <cellStyle name="Input 2 4 10" xfId="4830" xr:uid="{CB496A98-1322-4947-A889-0E0556504BBD}"/>
    <cellStyle name="Input 2 4 11" xfId="5319" xr:uid="{48E17F09-2B3D-4FC5-9AB4-D8ECAA9BDE89}"/>
    <cellStyle name="Input 2 4 12" xfId="5553" xr:uid="{226CB143-2C7D-45C5-BDB6-5359BB1808EB}"/>
    <cellStyle name="Input 2 4 13" xfId="6116" xr:uid="{5FA9A5CE-97D8-47A7-BDF8-0427B660FCA7}"/>
    <cellStyle name="Input 2 4 14" xfId="6620" xr:uid="{6FA64E03-5890-4545-A313-C7185D9262B9}"/>
    <cellStyle name="Input 2 4 15" xfId="7391" xr:uid="{321DC71D-5A6B-461B-9ACE-739A97C3F201}"/>
    <cellStyle name="Input 2 4 16" xfId="7695" xr:uid="{A3C6A447-6A7F-4138-97D7-7D3EEC78C4E3}"/>
    <cellStyle name="Input 2 4 17" xfId="8036" xr:uid="{2ED11B56-D20C-4F4F-99EA-1CE0733A5A5F}"/>
    <cellStyle name="Input 2 4 18" xfId="8745" xr:uid="{D1FCB120-0645-489C-83BF-222D1777C3D5}"/>
    <cellStyle name="Input 2 4 19" xfId="9605" xr:uid="{83D01823-47D5-4E4D-B8CD-5ADB8BCCDDD3}"/>
    <cellStyle name="Input 2 4 2" xfId="885" xr:uid="{37063EF5-7879-4B42-89B4-C3C2189D854F}"/>
    <cellStyle name="Input 2 4 2 10" xfId="5533" xr:uid="{034F0424-7EF8-46B8-9122-D1AD15C39C20}"/>
    <cellStyle name="Input 2 4 2 11" xfId="6027" xr:uid="{82C09D98-E550-4779-BB4D-F5A7244000AF}"/>
    <cellStyle name="Input 2 4 2 12" xfId="6386" xr:uid="{C27CEAD8-AB26-4D24-892B-33394C35DDA9}"/>
    <cellStyle name="Input 2 4 2 13" xfId="6724" xr:uid="{3519D841-7439-4298-B3A2-7E088D2043E7}"/>
    <cellStyle name="Input 2 4 2 14" xfId="7605" xr:uid="{9F596E24-F386-4319-A8D1-D400C6A256A7}"/>
    <cellStyle name="Input 2 4 2 15" xfId="8069" xr:uid="{5B8270BE-F4D7-4916-BC95-6B6EEF39921E}"/>
    <cellStyle name="Input 2 4 2 16" xfId="8678" xr:uid="{37A49FB1-5D77-42D7-8474-393F9577020D}"/>
    <cellStyle name="Input 2 4 2 17" xfId="8937" xr:uid="{A4F2E13D-00C1-44F9-AB32-44F1CD321B0A}"/>
    <cellStyle name="Input 2 4 2 18" xfId="9819" xr:uid="{6E7E0921-F5F6-4371-BEEE-885463191F37}"/>
    <cellStyle name="Input 2 4 2 19" xfId="10288" xr:uid="{C5C629E2-1A75-4D21-A189-F54970C87296}"/>
    <cellStyle name="Input 2 4 2 2" xfId="1359" xr:uid="{CCB5FB55-9218-4674-8663-CAE9774818B3}"/>
    <cellStyle name="Input 2 4 2 20" xfId="10682" xr:uid="{94860101-EF7A-40F7-AFDF-171B1AE16CE0}"/>
    <cellStyle name="Input 2 4 2 21" xfId="11031" xr:uid="{9EB428E0-3AA3-42F0-B830-3E5ED327DA2F}"/>
    <cellStyle name="Input 2 4 2 22" xfId="11341" xr:uid="{91C4DA00-0BD1-4DA3-921E-2B5287B24768}"/>
    <cellStyle name="Input 2 4 2 23" xfId="12238" xr:uid="{0DA9970B-0A4D-4CA2-B800-FED4CF3B1EAC}"/>
    <cellStyle name="Input 2 4 2 24" xfId="12711" xr:uid="{8FD0D2FE-A6CC-499C-A1AD-FEF7A240D5E0}"/>
    <cellStyle name="Input 2 4 2 25" xfId="13145" xr:uid="{733191EB-90A6-45DD-91F8-0803B6E7DFAC}"/>
    <cellStyle name="Input 2 4 2 26" xfId="13582" xr:uid="{EB1FA5A0-6C19-4804-85B1-84082C08D437}"/>
    <cellStyle name="Input 2 4 2 27" xfId="14054" xr:uid="{54C4F384-273F-477F-8849-26E016B05B78}"/>
    <cellStyle name="Input 2 4 2 28" xfId="14501" xr:uid="{7C71D5AE-23F0-4FC5-A54A-1CD1D0671FA9}"/>
    <cellStyle name="Input 2 4 2 29" xfId="14935" xr:uid="{CA048F24-1B22-48C8-AEF3-A782D3DF7F45}"/>
    <cellStyle name="Input 2 4 2 3" xfId="1808" xr:uid="{2CD9A0D1-23F2-4A97-A6D7-505E3F873583}"/>
    <cellStyle name="Input 2 4 2 30" xfId="15405" xr:uid="{45E6D55D-5656-4B4C-8F0A-17B790A1E7C1}"/>
    <cellStyle name="Input 2 4 2 31" xfId="15795" xr:uid="{C7ED23DA-AF8B-44A0-AF08-A770FE1F135C}"/>
    <cellStyle name="Input 2 4 2 32" xfId="16017" xr:uid="{2452D8D4-0509-4BB1-A981-AA8CB7F153D5}"/>
    <cellStyle name="Input 2 4 2 33" xfId="16930" xr:uid="{B6853EFA-D103-4176-9D3A-34B39685DD4A}"/>
    <cellStyle name="Input 2 4 2 34" xfId="17411" xr:uid="{EDD33BE3-0702-4285-A181-DB857638A713}"/>
    <cellStyle name="Input 2 4 2 35" xfId="17852" xr:uid="{3875A9F1-CBCC-4E64-90D4-392AA29DAA73}"/>
    <cellStyle name="Input 2 4 2 36" xfId="18327" xr:uid="{31C568C5-6CA0-41B5-9881-89477FAABA5D}"/>
    <cellStyle name="Input 2 4 2 37" xfId="18748" xr:uid="{A6EB7B53-4142-429E-9BF6-DFB14B288944}"/>
    <cellStyle name="Input 2 4 2 38" xfId="19135" xr:uid="{45213F9D-9419-4BAA-BE3B-C2FD60AA61C6}"/>
    <cellStyle name="Input 2 4 2 39" xfId="19365" xr:uid="{82629031-6067-4738-B887-0BCDEE8EF86C}"/>
    <cellStyle name="Input 2 4 2 4" xfId="2707" xr:uid="{2D3CA91B-254A-4ADD-98D9-165334195A78}"/>
    <cellStyle name="Input 2 4 2 40" xfId="20267" xr:uid="{92B1897F-5185-4D56-B4B9-32472E06045C}"/>
    <cellStyle name="Input 2 4 2 41" xfId="20760" xr:uid="{92A98343-2B49-48B8-BFBF-A6BDA432B42D}"/>
    <cellStyle name="Input 2 4 2 42" xfId="21219" xr:uid="{6B4FEF70-36D3-4EAE-8395-2FED24AAE1C9}"/>
    <cellStyle name="Input 2 4 2 43" xfId="21711" xr:uid="{C68A8161-2191-4DB6-9375-68E2108CF288}"/>
    <cellStyle name="Input 2 4 2 44" xfId="22150" xr:uid="{A19A8B0C-7459-44A6-B668-2974B4F7EF3D}"/>
    <cellStyle name="Input 2 4 2 45" xfId="22577" xr:uid="{3E1836F9-A993-4CCF-97A0-F7378042543A}"/>
    <cellStyle name="Input 2 4 2 46" xfId="23022" xr:uid="{A84B149B-80CB-4603-93FD-8C6D00671196}"/>
    <cellStyle name="Input 2 4 2 47" xfId="23424" xr:uid="{341F1C80-7E75-488D-96B5-5D07CBDDC4F0}"/>
    <cellStyle name="Input 2 4 2 48" xfId="23687" xr:uid="{4B594AD1-1330-4768-98CF-F637B08C405C}"/>
    <cellStyle name="Input 2 4 2 49" xfId="24067" xr:uid="{8C98A6D5-139C-41FF-9403-F11B80AF5C71}"/>
    <cellStyle name="Input 2 4 2 5" xfId="3227" xr:uid="{6814C279-8F1C-4F5A-A601-7CC9D4E4F2E1}"/>
    <cellStyle name="Input 2 4 2 50" xfId="24975" xr:uid="{84B8AE89-0B50-4FCA-B8A5-E5F2C6D64092}"/>
    <cellStyle name="Input 2 4 2 51" xfId="25463" xr:uid="{0E41DEA0-DF00-4E3D-BC31-6CEB5E81B070}"/>
    <cellStyle name="Input 2 4 2 52" xfId="25891" xr:uid="{195D6065-AED6-4BF8-873F-0BB74EF7517C}"/>
    <cellStyle name="Input 2 4 2 53" xfId="26329" xr:uid="{6B00433A-DF63-468C-9B16-4D8AD6297F90}"/>
    <cellStyle name="Input 2 4 2 54" xfId="26758" xr:uid="{4833CEEA-1EFB-4C94-8A40-7593B82137C4}"/>
    <cellStyle name="Input 2 4 2 55" xfId="27179" xr:uid="{F759BA47-0905-4E9D-912A-59A74FF21233}"/>
    <cellStyle name="Input 2 4 2 56" xfId="27598" xr:uid="{EA2BC3A0-1F03-4B19-8238-8D98B723C254}"/>
    <cellStyle name="Input 2 4 2 57" xfId="27836" xr:uid="{EBA243B3-C761-4563-8A38-C9AD61ABD23C}"/>
    <cellStyle name="Input 2 4 2 58" xfId="28725" xr:uid="{04BE5940-A199-4605-BBC2-F91FC1095D22}"/>
    <cellStyle name="Input 2 4 2 59" xfId="29192" xr:uid="{245E5E81-8972-4D98-B5D1-658978EE772A}"/>
    <cellStyle name="Input 2 4 2 6" xfId="3782" xr:uid="{EE4D1A85-C5D2-4093-8B82-0F2FD5AA2A6E}"/>
    <cellStyle name="Input 2 4 2 60" xfId="29574" xr:uid="{0FBC5371-DB0E-415D-965F-108E94895A65}"/>
    <cellStyle name="Input 2 4 2 61" xfId="29981" xr:uid="{4ADD25B2-F998-43CD-81DB-CCF93DAD8AD8}"/>
    <cellStyle name="Input 2 4 2 62" xfId="30387" xr:uid="{5AA81A7E-243A-4B33-BAFA-E5C1BAA39323}"/>
    <cellStyle name="Input 2 4 2 63" xfId="30804" xr:uid="{F3497923-8C11-42C8-8BB1-9189E6901CE4}"/>
    <cellStyle name="Input 2 4 2 64" xfId="31049" xr:uid="{1666EA10-43FD-4B7E-8928-6D9F237CD0E6}"/>
    <cellStyle name="Input 2 4 2 65" xfId="31420" xr:uid="{B907424B-550F-4EB0-8AEF-28120FE2229D}"/>
    <cellStyle name="Input 2 4 2 7" xfId="4203" xr:uid="{483F6021-56C2-4FA0-AE9E-C8F11D6520C1}"/>
    <cellStyle name="Input 2 4 2 8" xfId="4640" xr:uid="{3FDFA2B0-CE6A-4112-A40E-1FE6E1918076}"/>
    <cellStyle name="Input 2 4 2 9" xfId="5086" xr:uid="{6A3978E5-98B9-43AB-B8C3-2557D3A2A519}"/>
    <cellStyle name="Input 2 4 20" xfId="9911" xr:uid="{7D9C4109-839A-4930-BD82-5AC4D3092454}"/>
    <cellStyle name="Input 2 4 21" xfId="10341" xr:uid="{5289F576-1932-4B8B-806B-3BCBD178FF87}"/>
    <cellStyle name="Input 2 4 22" xfId="10779" xr:uid="{BED08D5A-FABF-4245-AEF7-6A6BAFC0D176}"/>
    <cellStyle name="Input 2 4 23" xfId="9159" xr:uid="{92801512-072D-4FE4-8DE9-D8F58DB421E4}"/>
    <cellStyle name="Input 2 4 24" xfId="12024" xr:uid="{5B95292E-74AA-432C-8984-2A5AE2787C29}"/>
    <cellStyle name="Input 2 4 25" xfId="12497" xr:uid="{726116A5-4821-40C5-97A7-B7D972FF6487}"/>
    <cellStyle name="Input 2 4 26" xfId="12931" xr:uid="{1293BB82-11C7-468E-828D-D516E17113B8}"/>
    <cellStyle name="Input 2 4 27" xfId="13368" xr:uid="{52700607-BA0C-41FD-9A20-5D5F2DE1C02C}"/>
    <cellStyle name="Input 2 4 28" xfId="13785" xr:uid="{2C17EE63-3BE9-4AB7-8983-9FC2D0E6030C}"/>
    <cellStyle name="Input 2 4 29" xfId="14397" xr:uid="{252375A7-C265-45E4-B3AA-8FB04DE4D5BA}"/>
    <cellStyle name="Input 2 4 3" xfId="1153" xr:uid="{8E8905DD-6FE0-4F99-8D21-50329F9A2330}"/>
    <cellStyle name="Input 2 4 30" xfId="14562" xr:uid="{3F40DE50-4B71-49D3-BC1F-CA0525CF19E0}"/>
    <cellStyle name="Input 2 4 31" xfId="15047" xr:uid="{A62C068A-6FFC-4F9D-8CCA-745EABA20DBA}"/>
    <cellStyle name="Input 2 4 32" xfId="15682" xr:uid="{D6C844E5-3A48-4457-8F67-CEB259967FFE}"/>
    <cellStyle name="Input 2 4 33" xfId="15806" xr:uid="{6C5AD5B2-E523-4503-A37D-1E669D556C52}"/>
    <cellStyle name="Input 2 4 34" xfId="16716" xr:uid="{2E357808-6DA0-48B0-9387-AA6FB04E8C45}"/>
    <cellStyle name="Input 2 4 35" xfId="17023" xr:uid="{B07471EC-47C8-4C77-8F5B-52D0E8E1D7F0}"/>
    <cellStyle name="Input 2 4 36" xfId="17470" xr:uid="{9A062DE3-FB58-43B5-9006-479CD7D4EE1D}"/>
    <cellStyle name="Input 2 4 37" xfId="18136" xr:uid="{89506EBD-C0B5-4873-8696-665065DAAFCF}"/>
    <cellStyle name="Input 2 4 38" xfId="18534" xr:uid="{64884569-46DE-4744-B1CB-402F9CB3C758}"/>
    <cellStyle name="Input 2 4 39" xfId="18371" xr:uid="{4959F60D-2182-4521-9A87-007A1DFCCE79}"/>
    <cellStyle name="Input 2 4 4" xfId="1721" xr:uid="{9C045FDD-6E7C-499D-8830-5C695CEAEE66}"/>
    <cellStyle name="Input 2 4 40" xfId="19305" xr:uid="{D0E512F3-8F0B-42E5-9EA1-1F6B1F5BA673}"/>
    <cellStyle name="Input 2 4 41" xfId="20053" xr:uid="{E3BAA1F3-F61C-4311-B4B0-00231F0D59E7}"/>
    <cellStyle name="Input 2 4 42" xfId="20374" xr:uid="{F53845D1-A1B3-4A88-86F3-B52514C6DF84}"/>
    <cellStyle name="Input 2 4 43" xfId="20828" xr:uid="{23CC10D5-AD30-43DA-80C7-38C9E2AC4AE5}"/>
    <cellStyle name="Input 2 4 44" xfId="21349" xr:uid="{F28D9211-A532-4946-BEFC-4D9C2260F7A6}"/>
    <cellStyle name="Input 2 4 45" xfId="21760" xr:uid="{61E25951-9F43-46FB-916A-8EEF2CFF6F09}"/>
    <cellStyle name="Input 2 4 46" xfId="22199" xr:uid="{7A02AB6F-E6A5-4397-807A-8742C5F9D115}"/>
    <cellStyle name="Input 2 4 47" xfId="22777" xr:uid="{054BEB5B-08DA-42B9-9200-71DD7B64D3D8}"/>
    <cellStyle name="Input 2 4 48" xfId="22614" xr:uid="{FEB27AE7-C9F6-4E5D-B3F6-40AE66832E66}"/>
    <cellStyle name="Input 2 4 49" xfId="22560" xr:uid="{E66DE86A-FD1A-413C-AA49-70F45CBFC958}"/>
    <cellStyle name="Input 2 4 5" xfId="2493" xr:uid="{88F4FBEF-56C6-4492-ABA1-8A50E8004FD8}"/>
    <cellStyle name="Input 2 4 50" xfId="23861" xr:uid="{702D122C-48A4-406B-8C88-B44489133F37}"/>
    <cellStyle name="Input 2 4 51" xfId="24761" xr:uid="{6C99E19F-7950-42C6-927D-35AC40AB65E8}"/>
    <cellStyle name="Input 2 4 52" xfId="25085" xr:uid="{29C383F7-D8E8-4D87-AD52-107FCBACE52F}"/>
    <cellStyle name="Input 2 4 53" xfId="25679" xr:uid="{672DE9BC-CCAA-4C38-B65F-16D0DD5D26C2}"/>
    <cellStyle name="Input 2 4 54" xfId="26081" xr:uid="{8336B925-9A04-4542-9E72-3C68A8830F23}"/>
    <cellStyle name="Input 2 4 55" xfId="25064" xr:uid="{E172EF68-367F-4FAC-B8A2-54536EE8AA12}"/>
    <cellStyle name="Input 2 4 56" xfId="26969" xr:uid="{D6BAF2E8-D887-450E-826A-FA462FF2D585}"/>
    <cellStyle name="Input 2 4 57" xfId="27388" xr:uid="{8B327F14-05D4-4E1D-A1D3-C1030593B31B}"/>
    <cellStyle name="Input 2 4 58" xfId="26433" xr:uid="{879C2D6F-3955-4883-A1D5-AD01B2A61A15}"/>
    <cellStyle name="Input 2 4 59" xfId="28511" xr:uid="{413CB6E3-8137-44EC-BD86-87DEF01F6851}"/>
    <cellStyle name="Input 2 4 6" xfId="2952" xr:uid="{0924420F-4D00-41EB-AC26-64CD6D0F6AE4}"/>
    <cellStyle name="Input 2 4 60" xfId="28979" xr:uid="{D9CEBE6C-B7D6-4D0E-BC94-DEA8BB6477F2}"/>
    <cellStyle name="Input 2 4 61" xfId="29240" xr:uid="{0A6E027B-FAD3-45E2-BE61-3E3D74E4DA1E}"/>
    <cellStyle name="Input 2 4 62" xfId="29769" xr:uid="{742E920A-6680-4854-82AE-09DC4360FDE1}"/>
    <cellStyle name="Input 2 4 63" xfId="30176" xr:uid="{B69C48E9-5CF1-4F7F-9C47-896E60B53054}"/>
    <cellStyle name="Input 2 4 64" xfId="30591" xr:uid="{C6D791E5-E1D1-4F22-A06A-2735A67C150C}"/>
    <cellStyle name="Input 2 4 65" xfId="30398" xr:uid="{2CFDC685-CF98-4D0D-A18F-6FC7BDFCF492}"/>
    <cellStyle name="Input 2 4 66" xfId="31214" xr:uid="{4C7E329B-10EB-495D-A9E5-7A158EC17462}"/>
    <cellStyle name="Input 2 4 7" xfId="3563" xr:uid="{77DA0760-5287-4C6C-9B73-17B3B22FAFBA}"/>
    <cellStyle name="Input 2 4 8" xfId="3989" xr:uid="{EF62C334-1D15-475C-9C94-CD34A2B96038}"/>
    <cellStyle name="Input 2 4 9" xfId="4427" xr:uid="{46595573-CCE4-4DA7-99C5-B7716E4F80F1}"/>
    <cellStyle name="Input 2 40" xfId="25440" xr:uid="{8F5D6DEE-F392-4F56-BFE1-1A70513EA927}"/>
    <cellStyle name="Input 2 41" xfId="25267" xr:uid="{AA8C0140-79DC-41A8-B9B4-77997E75FD78}"/>
    <cellStyle name="Input 2 42" xfId="26306" xr:uid="{9FEFD87B-7EF3-43BF-BEB2-C1A4E6EA4248}"/>
    <cellStyle name="Input 2 43" xfId="26582" xr:uid="{D237782B-5619-400E-B602-0FA62D5D1A11}"/>
    <cellStyle name="Input 2 44" xfId="26547" xr:uid="{F2495A5B-F1E5-4B0F-9BFF-6DD003DCE1F1}"/>
    <cellStyle name="Input 2 45" xfId="27732" xr:uid="{490B2E79-9CF4-4B0C-A759-CB526C25FAD1}"/>
    <cellStyle name="Input 2 46" xfId="28037" xr:uid="{7AE0FEEA-2FF3-4DEE-BBCF-FEBD6249A9D2}"/>
    <cellStyle name="Input 2 47" xfId="28304" xr:uid="{DB2A245D-EB2D-4B52-952A-F657C2AFA0CE}"/>
    <cellStyle name="Input 2 48" xfId="28765" xr:uid="{C4F9E575-12A9-4BC7-B593-A35B7BCF9ABB}"/>
    <cellStyle name="Input 2 49" xfId="27930" xr:uid="{2A253528-BC38-4146-8124-6AE8E63384AE}"/>
    <cellStyle name="Input 2 5" xfId="683" xr:uid="{7C694493-D8B2-45FD-ABE0-A65D4BA4AB73}"/>
    <cellStyle name="Input 2 5 10" xfId="5331" xr:uid="{17BEC1B9-BAE8-4261-B1A6-9DB6786CE9F4}"/>
    <cellStyle name="Input 2 5 11" xfId="5132" xr:uid="{2E1B83AD-EAF2-4470-86B7-1ABE23245BEB}"/>
    <cellStyle name="Input 2 5 12" xfId="6225" xr:uid="{EF5DBFAC-EA9C-438A-A79B-6C0A5397CA5D}"/>
    <cellStyle name="Input 2 5 13" xfId="6055" xr:uid="{D0B18941-B8B7-4B75-B94A-2C0C73ACF354}"/>
    <cellStyle name="Input 2 5 14" xfId="7403" xr:uid="{853C10F4-2B74-42FC-8700-49829FF10900}"/>
    <cellStyle name="Input 2 5 15" xfId="7842" xr:uid="{795EE1F4-85D5-4EDD-9606-9F1367D2978E}"/>
    <cellStyle name="Input 2 5 16" xfId="7031" xr:uid="{24D7624E-BB67-41AA-8319-80816E72A696}"/>
    <cellStyle name="Input 2 5 17" xfId="8827" xr:uid="{70B31893-626F-415F-87BA-7FAF41AD508E}"/>
    <cellStyle name="Input 2 5 18" xfId="9617" xr:uid="{C5943E87-3A33-4D68-921B-166DDF18A694}"/>
    <cellStyle name="Input 2 5 19" xfId="10054" xr:uid="{EB5FEAC6-F756-4525-834E-96F852E936C3}"/>
    <cellStyle name="Input 2 5 2" xfId="1165" xr:uid="{B3F05BE1-28CD-4363-881F-CA5AA20BE16B}"/>
    <cellStyle name="Input 2 5 20" xfId="10474" xr:uid="{8948416B-904D-4397-914A-C9FA56139EAE}"/>
    <cellStyle name="Input 2 5 21" xfId="10887" xr:uid="{66B91530-B3BA-46FD-9291-7FCB7C05B978}"/>
    <cellStyle name="Input 2 5 22" xfId="9389" xr:uid="{016C3588-A58F-4A97-9058-A1E96598C32C}"/>
    <cellStyle name="Input 2 5 23" xfId="12036" xr:uid="{CE7BBD19-47B4-46C8-AAAC-BDDE89ED06D7}"/>
    <cellStyle name="Input 2 5 24" xfId="12509" xr:uid="{4CDF1A42-D480-43AF-8BB1-13E75481FAED}"/>
    <cellStyle name="Input 2 5 25" xfId="12943" xr:uid="{36D64306-1DAF-4D35-BBC0-FD94AF24385F}"/>
    <cellStyle name="Input 2 5 26" xfId="13380" xr:uid="{EA170155-BF87-4CDD-9791-8D2CEB614074}"/>
    <cellStyle name="Input 2 5 27" xfId="13843" xr:uid="{02F17D84-F79A-4223-9314-3233875F8FE9}"/>
    <cellStyle name="Input 2 5 28" xfId="14200" xr:uid="{96E2B99B-A3BF-4802-BC4D-6E52B37F7059}"/>
    <cellStyle name="Input 2 5 29" xfId="14708" xr:uid="{EDEC2DF9-A316-4C9F-A5C1-A6EADC582F15}"/>
    <cellStyle name="Input 2 5 3" xfId="1630" xr:uid="{5AA14901-D54A-4794-9B7B-5F11CDE45B9F}"/>
    <cellStyle name="Input 2 5 30" xfId="14807" xr:uid="{9C7DB80B-A7C3-4610-8648-676673D94789}"/>
    <cellStyle name="Input 2 5 31" xfId="14715" xr:uid="{F1C54BCB-636C-42A5-853A-1568C56FB1D6}"/>
    <cellStyle name="Input 2 5 32" xfId="15884" xr:uid="{C68E2C0E-A285-4BA6-BE1E-0B4B9C4DB54E}"/>
    <cellStyle name="Input 2 5 33" xfId="16728" xr:uid="{DDE1CFE0-F4EB-4E30-87AE-54DCAECA39D6}"/>
    <cellStyle name="Input 2 5 34" xfId="17172" xr:uid="{BF12785B-E24D-414F-8F6F-A1D5203A2037}"/>
    <cellStyle name="Input 2 5 35" xfId="17617" xr:uid="{E7E7529A-54C1-441F-B0CD-0EA5EC84BEF8}"/>
    <cellStyle name="Input 2 5 36" xfId="17466" xr:uid="{BF69DA3D-BC3A-4C2E-8F6B-F57CC163C6D0}"/>
    <cellStyle name="Input 2 5 37" xfId="18546" xr:uid="{11E7F2AC-46D3-42A5-9A24-4B96BBAEECDF}"/>
    <cellStyle name="Input 2 5 38" xfId="19027" xr:uid="{AB34DB04-7648-4FFE-ABD7-B1C20D8E522D}"/>
    <cellStyle name="Input 2 5 39" xfId="19189" xr:uid="{BB221D49-C455-4D1A-94BA-08AD0C3A96BF}"/>
    <cellStyle name="Input 2 5 4" xfId="2505" xr:uid="{0B25F421-9CD8-498E-B025-28145BA52118}"/>
    <cellStyle name="Input 2 5 40" xfId="20065" xr:uid="{1DFC0D83-01CC-416B-83BF-4EFB461FAF2F}"/>
    <cellStyle name="Input 2 5 41" xfId="20524" xr:uid="{C829FECB-84B7-464C-A0C6-CF4D2DADDF43}"/>
    <cellStyle name="Input 2 5 42" xfId="20977" xr:uid="{8BD5595F-0083-433E-A034-115C752E962F}"/>
    <cellStyle name="Input 2 5 43" xfId="21286" xr:uid="{0CE8C647-7C71-4408-B038-9D1816208CEF}"/>
    <cellStyle name="Input 2 5 44" xfId="21908" xr:uid="{CD57DC69-571C-44B0-B62F-B50FCD684EF8}"/>
    <cellStyle name="Input 2 5 45" xfId="22342" xr:uid="{D6252201-4783-447D-BC45-E779808A931D}"/>
    <cellStyle name="Input 2 5 46" xfId="22829" xr:uid="{4E7B9933-82CE-469F-B901-A58525549649}"/>
    <cellStyle name="Input 2 5 47" xfId="23306" xr:uid="{37860C24-3B6A-4BFD-A5ED-01C2B5E1B997}"/>
    <cellStyle name="Input 2 5 48" xfId="23461" xr:uid="{2D1DC3A8-D59F-4DD1-AD2B-623665612B79}"/>
    <cellStyle name="Input 2 5 49" xfId="23873" xr:uid="{F7C8B95B-5D70-48D9-92E1-F7AFE2137015}"/>
    <cellStyle name="Input 2 5 5" xfId="3009" xr:uid="{004EC78A-61E7-4A99-9982-84A34DD17A86}"/>
    <cellStyle name="Input 2 5 50" xfId="24773" xr:uid="{4933C09C-93D9-4801-85FF-3665707C4736}"/>
    <cellStyle name="Input 2 5 51" xfId="25233" xr:uid="{018F3333-95E5-4BE4-83FD-536E811AF02A}"/>
    <cellStyle name="Input 2 5 52" xfId="25691" xr:uid="{801F00D5-9780-4110-BE64-7F3010864D63}"/>
    <cellStyle name="Input 2 5 53" xfId="26133" xr:uid="{C52A4AA7-1FF8-49DE-A766-44DD16E02781}"/>
    <cellStyle name="Input 2 5 54" xfId="25220" xr:uid="{3C2253F1-9C52-4570-B261-36F764A919CB}"/>
    <cellStyle name="Input 2 5 55" xfId="26981" xr:uid="{4B48B857-22D8-40DA-8D05-7FBD3E712093}"/>
    <cellStyle name="Input 2 5 56" xfId="27400" xr:uid="{60340528-D48E-4FB7-BECA-87D0A0853650}"/>
    <cellStyle name="Input 2 5 57" xfId="27728" xr:uid="{992F3A86-87B6-4B3C-A296-E90EE72B3D68}"/>
    <cellStyle name="Input 2 5 58" xfId="28523" xr:uid="{9868D249-E1BD-403C-A76A-D898DD1C2E2C}"/>
    <cellStyle name="Input 2 5 59" xfId="28991" xr:uid="{2BC44965-7F77-4ABC-B72A-70CC188FE0F3}"/>
    <cellStyle name="Input 2 5 6" xfId="3365" xr:uid="{DFAA080B-9CF4-40E0-AC17-D664C77233CC}"/>
    <cellStyle name="Input 2 5 60" xfId="29372" xr:uid="{979E2092-160A-492B-AC62-C0B938FB2366}"/>
    <cellStyle name="Input 2 5 61" xfId="29781" xr:uid="{6EAADA13-B46E-4A1F-AA0B-028827672737}"/>
    <cellStyle name="Input 2 5 62" xfId="30188" xr:uid="{16B23FB2-5AEE-49A7-BE39-DB6CD734E8F0}"/>
    <cellStyle name="Input 2 5 63" xfId="30603" xr:uid="{3FAE775E-9518-4CC2-AA0C-60F8531A4D10}"/>
    <cellStyle name="Input 2 5 64" xfId="30829" xr:uid="{5B3D6525-4D8A-4D80-A589-8FC253341ED6}"/>
    <cellStyle name="Input 2 5 65" xfId="31226" xr:uid="{5D92FF29-E7F3-46F8-A86A-AC41EE0E208D}"/>
    <cellStyle name="Input 2 5 7" xfId="4001" xr:uid="{73CB7F91-1D47-432B-8024-7736B0824FD0}"/>
    <cellStyle name="Input 2 5 8" xfId="4439" xr:uid="{FE0592EC-3E5A-4251-8680-4F8C02073B24}"/>
    <cellStyle name="Input 2 5 9" xfId="4985" xr:uid="{7B2BBCBA-2E18-4ECC-9E01-D2C82A0BE023}"/>
    <cellStyle name="Input 2 50" xfId="30934" xr:uid="{7778F0FB-0ACF-4DE6-BBA6-704BBBC0F216}"/>
    <cellStyle name="Input 2 51" xfId="30990" xr:uid="{99A5BD2E-43BF-41F2-962B-30078D5F653C}"/>
    <cellStyle name="Input 2 6" xfId="925" xr:uid="{69ADF105-792B-4C2B-A8CA-D2EF6FBD9168}"/>
    <cellStyle name="Input 2 7" xfId="1969" xr:uid="{D28078A5-F1B9-447C-901A-52803D612B51}"/>
    <cellStyle name="Input 2 8" xfId="1836" xr:uid="{FB4A1641-9D91-424B-96F9-DF73F755218C}"/>
    <cellStyle name="Input 2 9" xfId="3124" xr:uid="{BB4BCD5C-274C-4701-B17E-C8637E2DB7A6}"/>
    <cellStyle name="Input 3" xfId="232" xr:uid="{DB9D521E-8708-49D2-8FD2-03A070228785}"/>
    <cellStyle name="Input 3 10" xfId="3148" xr:uid="{21E5FAF1-8E30-4F54-B077-78EB3DB9B6C2}"/>
    <cellStyle name="Input 3 11" xfId="4657" xr:uid="{CEBA8AB8-2BF9-4F89-81A8-72DC0FFC78EC}"/>
    <cellStyle name="Input 3 12" xfId="1976" xr:uid="{8AC66FE2-C638-4A94-9CB0-2B7907931BE1}"/>
    <cellStyle name="Input 3 13" xfId="6242" xr:uid="{5BA41F41-9856-4657-BB67-E4060FA2B52F}"/>
    <cellStyle name="Input 3 14" xfId="6644" xr:uid="{91EACA21-1D70-4CE7-BAEA-0B6A7EC59826}"/>
    <cellStyle name="Input 3 15" xfId="6964" xr:uid="{502FA301-5CD2-446E-A080-58030739F519}"/>
    <cellStyle name="Input 3 16" xfId="6851" xr:uid="{2390A72D-B0B5-4E80-83E7-A741BCD50F7C}"/>
    <cellStyle name="Input 3 17" xfId="8472" xr:uid="{120DD8E9-F0AB-471F-A22A-82D19208E0B5}"/>
    <cellStyle name="Input 3 18" xfId="7135" xr:uid="{1C00B851-F6BD-4940-9B91-A1FDF1D0812A}"/>
    <cellStyle name="Input 3 19" xfId="9177" xr:uid="{4B628BFF-5F5A-4A60-91F1-C306A11192FB}"/>
    <cellStyle name="Input 3 2" xfId="588" xr:uid="{E4860540-9DDE-42F7-A222-A8EBB5DE77C9}"/>
    <cellStyle name="Input 3 2 10" xfId="4250" xr:uid="{054A94CF-2DF7-4A6B-BBB6-066BE982F7E0}"/>
    <cellStyle name="Input 3 2 11" xfId="5236" xr:uid="{185BABB7-69CB-423C-BEA7-05E1C3667CBC}"/>
    <cellStyle name="Input 3 2 12" xfId="3789" xr:uid="{4388F1FF-3E2E-4772-ABF7-5A0971643733}"/>
    <cellStyle name="Input 3 2 13" xfId="5141" xr:uid="{177BF533-320E-41BC-B94F-2895447D175F}"/>
    <cellStyle name="Input 3 2 14" xfId="6237" xr:uid="{B943C751-5516-4FF3-BB08-1FCAD36B4A27}"/>
    <cellStyle name="Input 3 2 15" xfId="7308" xr:uid="{F8BD26A9-B291-426B-B749-8A2E517B38A4}"/>
    <cellStyle name="Input 3 2 16" xfId="6974" xr:uid="{CA28011E-6095-4FA3-8663-80407AA27BC4}"/>
    <cellStyle name="Input 3 2 17" xfId="8414" xr:uid="{113F02BA-4526-42E5-B705-F3737F167951}"/>
    <cellStyle name="Input 3 2 18" xfId="8819" xr:uid="{2A361A04-0E6F-4EDF-9B77-6C20525F697C}"/>
    <cellStyle name="Input 3 2 19" xfId="9522" xr:uid="{2D7E73DB-556C-4DFE-9F8A-52E6F0DBD0AA}"/>
    <cellStyle name="Input 3 2 2" xfId="803" xr:uid="{D1FD6DFA-83F7-49E8-9511-F4A1AB66DF30}"/>
    <cellStyle name="Input 3 2 2 10" xfId="5451" xr:uid="{50A59E4E-FC82-48CD-981A-44C83A67B73F}"/>
    <cellStyle name="Input 3 2 2 11" xfId="2130" xr:uid="{366A1D72-D185-4F9C-9258-C43CF8332CBA}"/>
    <cellStyle name="Input 3 2 2 12" xfId="5584" xr:uid="{974E62A8-C3E1-48DB-9E51-4CCB10865655}"/>
    <cellStyle name="Input 3 2 2 13" xfId="6555" xr:uid="{24E37AAE-42E6-4A60-A2BF-33F1AA213645}"/>
    <cellStyle name="Input 3 2 2 14" xfId="7523" xr:uid="{6608F466-F296-4057-A7C7-6743599160E3}"/>
    <cellStyle name="Input 3 2 2 15" xfId="7194" xr:uid="{FEF7F9B8-1B3D-410C-AE32-C4C332F533A8}"/>
    <cellStyle name="Input 3 2 2 16" xfId="6840" xr:uid="{1C38442B-25C0-4E16-B26E-880A9C232DF0}"/>
    <cellStyle name="Input 3 2 2 17" xfId="8367" xr:uid="{082537CD-B469-4669-A186-029D0A540D78}"/>
    <cellStyle name="Input 3 2 2 18" xfId="9737" xr:uid="{6A9CC924-0E78-4FD6-B5BA-23E8DB7D2F53}"/>
    <cellStyle name="Input 3 2 2 19" xfId="9407" xr:uid="{DA93CB61-6097-4EC4-9E48-F6A8EBDB6BCB}"/>
    <cellStyle name="Input 3 2 2 2" xfId="1277" xr:uid="{3AD18AE7-2103-4EB2-9586-90420B3E4285}"/>
    <cellStyle name="Input 3 2 2 20" xfId="9955" xr:uid="{95E175C3-4219-4964-927A-695A646DE1D1}"/>
    <cellStyle name="Input 3 2 2 21" xfId="10504" xr:uid="{AFD749E3-08C1-4FD9-92F0-E3C65B11645B}"/>
    <cellStyle name="Input 3 2 2 22" xfId="10748" xr:uid="{B268D04C-412A-43B7-A188-88EF9279924A}"/>
    <cellStyle name="Input 3 2 2 23" xfId="12156" xr:uid="{79FA0B09-4B2C-499F-A14B-3F26C37D027F}"/>
    <cellStyle name="Input 3 2 2 24" xfId="12629" xr:uid="{B8614489-F34B-4CA5-84F4-401392E9CBAA}"/>
    <cellStyle name="Input 3 2 2 25" xfId="13063" xr:uid="{4269BDA5-C3E9-49F8-9B8B-1CC13FDB3D43}"/>
    <cellStyle name="Input 3 2 2 26" xfId="13500" xr:uid="{DD9287F5-46AE-4F83-8857-6AC537A759B5}"/>
    <cellStyle name="Input 3 2 2 27" xfId="13966" xr:uid="{BBB59368-ACD2-4F25-A915-EB6F11F6E5C1}"/>
    <cellStyle name="Input 3 2 2 28" xfId="11787" xr:uid="{8E16D3A7-D58A-464D-90E9-643278BD2A7C}"/>
    <cellStyle name="Input 3 2 2 29" xfId="12748" xr:uid="{D3E53677-0C24-41EE-8F4D-1D5A8A217BCF}"/>
    <cellStyle name="Input 3 2 2 3" xfId="1681" xr:uid="{A6149A6C-99D6-44C0-B131-B4B40125E394}"/>
    <cellStyle name="Input 3 2 2 30" xfId="15260" xr:uid="{A7875986-89E5-4BDB-B743-9BE1761AC3B9}"/>
    <cellStyle name="Input 3 2 2 31" xfId="15596" xr:uid="{FCD2DF3C-64E0-4F22-9BBB-E0E87D8D799A}"/>
    <cellStyle name="Input 3 2 2 32" xfId="15669" xr:uid="{6BFCCB0D-9EEE-4E87-A161-85F051221248}"/>
    <cellStyle name="Input 3 2 2 33" xfId="16848" xr:uid="{31EED1EB-051E-4092-B06A-A2FD2F7CD57E}"/>
    <cellStyle name="Input 3 2 2 34" xfId="16516" xr:uid="{27181FFE-CE01-48AE-8B7C-04455D7DDA8E}"/>
    <cellStyle name="Input 3 2 2 35" xfId="17068" xr:uid="{36B42B45-1CC0-4758-80DD-EFC02B43548F}"/>
    <cellStyle name="Input 3 2 2 36" xfId="17943" xr:uid="{3E9D0EA5-E02B-450D-9522-A05BBC3A7E61}"/>
    <cellStyle name="Input 3 2 2 37" xfId="18666" xr:uid="{D1AABBBD-7590-4D49-AFFE-2A08DE89EB7A}"/>
    <cellStyle name="Input 3 2 2 38" xfId="17889" xr:uid="{C4070F51-E711-4B60-8C7B-E05D84353B58}"/>
    <cellStyle name="Input 3 2 2 39" xfId="19319" xr:uid="{0B81545D-F981-4F40-9DF6-5DF7DDFD6E10}"/>
    <cellStyle name="Input 3 2 2 4" xfId="2625" xr:uid="{9D53EEDE-4965-4862-AFDD-48304BB727B6}"/>
    <cellStyle name="Input 3 2 2 40" xfId="20185" xr:uid="{020C76C2-4849-45AE-8941-4CDFAA986F90}"/>
    <cellStyle name="Input 3 2 2 41" xfId="19852" xr:uid="{7AE75018-2847-40D9-A3F7-589414D9C8E9}"/>
    <cellStyle name="Input 3 2 2 42" xfId="20613" xr:uid="{BD23EF9E-B752-4301-B303-DE7087CC9820}"/>
    <cellStyle name="Input 3 2 2 43" xfId="21183" xr:uid="{EE82B160-A6AE-476A-97D9-2C1956F2CE23}"/>
    <cellStyle name="Input 3 2 2 44" xfId="20439" xr:uid="{D15E27CE-903E-4A55-9FF2-E09CE472E38C}"/>
    <cellStyle name="Input 3 2 2 45" xfId="22070" xr:uid="{26C402BA-54B8-4104-9002-F9524EE0E68C}"/>
    <cellStyle name="Input 3 2 2 46" xfId="22940" xr:uid="{772EAEB1-E860-4697-9E80-51DAF10D8DAF}"/>
    <cellStyle name="Input 3 2 2 47" xfId="21967" xr:uid="{8226EBAF-D594-481F-B28F-033838FAFCF7}"/>
    <cellStyle name="Input 3 2 2 48" xfId="23231" xr:uid="{9AFDB261-0BF4-4128-9845-D20399D84B35}"/>
    <cellStyle name="Input 3 2 2 49" xfId="23985" xr:uid="{9935C963-ACE2-44C1-8741-4D8D36BF081B}"/>
    <cellStyle name="Input 3 2 2 5" xfId="3136" xr:uid="{12E9E5A7-C123-48C1-9C2C-BAC50402EB79}"/>
    <cellStyle name="Input 3 2 2 50" xfId="24893" xr:uid="{F1C99928-6CDF-4C9B-B37C-B8FC76B62E4B}"/>
    <cellStyle name="Input 3 2 2 51" xfId="24564" xr:uid="{3DC129AE-7C24-40C4-AC5D-8C1B4E9B976C}"/>
    <cellStyle name="Input 3 2 2 52" xfId="25809" xr:uid="{A930651B-B14D-4570-BADE-46F5C14A0689}"/>
    <cellStyle name="Input 3 2 2 53" xfId="24418" xr:uid="{7A1901A1-B5A0-4578-97B8-0593F1996789}"/>
    <cellStyle name="Input 3 2 2 54" xfId="26490" xr:uid="{BBD7C00B-477A-42C8-9473-7001EB48FC16}"/>
    <cellStyle name="Input 3 2 2 55" xfId="27097" xr:uid="{A9ACFC95-0A1F-4405-A28F-8BBA097C3E6B}"/>
    <cellStyle name="Input 3 2 2 56" xfId="27516" xr:uid="{E752BDB9-E2FE-4661-9E79-D917C2FA3661}"/>
    <cellStyle name="Input 3 2 2 57" xfId="27770" xr:uid="{D9885EB1-48D1-4A4D-AEAE-33C0389BC099}"/>
    <cellStyle name="Input 3 2 2 58" xfId="28643" xr:uid="{22837D52-71B3-48C6-A78D-C1AD882B050D}"/>
    <cellStyle name="Input 3 2 2 59" xfId="29110" xr:uid="{E6E2F1FE-17E1-4EB8-99EA-5827DBDD8E55}"/>
    <cellStyle name="Input 3 2 2 6" xfId="2071" xr:uid="{C3E89969-352B-41B6-9A42-DB474B443239}"/>
    <cellStyle name="Input 3 2 2 60" xfId="28793" xr:uid="{DBEECAED-FF69-4B64-9237-6895D58F00F9}"/>
    <cellStyle name="Input 3 2 2 61" xfId="29899" xr:uid="{91FD8887-0446-4C33-A45B-35BE3CB47C20}"/>
    <cellStyle name="Input 3 2 2 62" xfId="30305" xr:uid="{D7593628-88F0-4205-BB38-AA53B86BB18B}"/>
    <cellStyle name="Input 3 2 2 63" xfId="30722" xr:uid="{BC6323B8-6036-4FF2-8441-0E877B7ECB9E}"/>
    <cellStyle name="Input 3 2 2 64" xfId="28279" xr:uid="{202E98E8-F2AB-4955-BEEF-795F63481911}"/>
    <cellStyle name="Input 3 2 2 65" xfId="31338" xr:uid="{50323BAE-C672-4F3A-A6A9-9E2B98D32C58}"/>
    <cellStyle name="Input 3 2 2 7" xfId="4121" xr:uid="{16032E6D-74AE-480E-B5E9-699C8247518F}"/>
    <cellStyle name="Input 3 2 2 8" xfId="4558" xr:uid="{4368F3C6-DF8A-482A-90DD-674758DB253D}"/>
    <cellStyle name="Input 3 2 2 9" xfId="3698" xr:uid="{CCE566B2-4D25-4E57-B1E4-28D0580ED624}"/>
    <cellStyle name="Input 3 2 20" xfId="9315" xr:uid="{A0EDC85B-1CDF-4412-A045-2F864D15FA0E}"/>
    <cellStyle name="Input 3 2 21" xfId="9859" xr:uid="{4AFCB9FB-8C59-4C5B-9EF6-1CEFEEFDD09C}"/>
    <cellStyle name="Input 3 2 22" xfId="10775" xr:uid="{A2E216BF-84FA-4D0C-BDC8-34FD197FC550}"/>
    <cellStyle name="Input 3 2 23" xfId="10927" xr:uid="{9C217728-7286-4EA7-88A8-486276D4BED9}"/>
    <cellStyle name="Input 3 2 24" xfId="11941" xr:uid="{A1959E53-40F1-4DEC-9F43-FF7573ED9918}"/>
    <cellStyle name="Input 3 2 25" xfId="12414" xr:uid="{178ED15F-8310-4253-BF92-87D0C75EA169}"/>
    <cellStyle name="Input 3 2 26" xfId="12848" xr:uid="{0E624C28-E26C-41C6-A492-D0E545C94637}"/>
    <cellStyle name="Input 3 2 27" xfId="13285" xr:uid="{194C21B3-C69C-4D8D-8BE4-5F70EA8152F4}"/>
    <cellStyle name="Input 3 2 28" xfId="13837" xr:uid="{8EB8E659-8927-4724-A1E4-7C4F4FE41D75}"/>
    <cellStyle name="Input 3 2 29" xfId="14282" xr:uid="{90C3C9BA-8498-45B2-8080-836737AA0DA4}"/>
    <cellStyle name="Input 3 2 3" xfId="1071" xr:uid="{0796E8C9-91BD-4603-A6A3-9FAA3FC94BB1}"/>
    <cellStyle name="Input 3 2 30" xfId="14817" xr:uid="{FD9C932B-CB4A-42C0-AB7D-5DAB16B1E152}"/>
    <cellStyle name="Input 3 2 31" xfId="13876" xr:uid="{4F4042C7-A30B-42CD-9F27-4CC8006CB015}"/>
    <cellStyle name="Input 3 2 32" xfId="15652" xr:uid="{856E896C-EA3E-4692-A40B-0FD7A3AABAEF}"/>
    <cellStyle name="Input 3 2 33" xfId="15366" xr:uid="{7820B85A-81E7-4B98-B98B-44FFFE848836}"/>
    <cellStyle name="Input 3 2 34" xfId="16633" xr:uid="{85531718-6FFD-4663-B2F9-DDFC38DE2A8A}"/>
    <cellStyle name="Input 3 2 35" xfId="16294" xr:uid="{F5157DD2-A043-47E7-8149-7A6D8544386A}"/>
    <cellStyle name="Input 3 2 36" xfId="16260" xr:uid="{16724F2A-05E6-4B81-829C-9E327040F135}"/>
    <cellStyle name="Input 3 2 37" xfId="17634" xr:uid="{B0AA69E1-A7CB-46FA-8756-642F6A24B34F}"/>
    <cellStyle name="Input 3 2 38" xfId="18451" xr:uid="{27CE158F-793F-469D-8513-AB251502D2A9}"/>
    <cellStyle name="Input 3 2 39" xfId="18034" xr:uid="{FA05B407-C604-403E-894A-845D979B3E89}"/>
    <cellStyle name="Input 3 2 4" xfId="1673" xr:uid="{7A44C7CD-8D6E-4216-B728-EE6C24791320}"/>
    <cellStyle name="Input 3 2 40" xfId="19303" xr:uid="{3826463D-C28C-446F-AD11-E2EDF2310971}"/>
    <cellStyle name="Input 3 2 41" xfId="19970" xr:uid="{3C01F8D0-32CC-47F4-8196-92306FE581D7}"/>
    <cellStyle name="Input 3 2 42" xfId="20275" xr:uid="{9B309BBB-169A-4188-BEB0-7B6400837B34}"/>
    <cellStyle name="Input 3 2 43" xfId="19577" xr:uid="{43DF345C-149F-4DB8-A0D0-C0EDB23283B2}"/>
    <cellStyle name="Input 3 2 44" xfId="21271" xr:uid="{8C5DE505-ABAE-4F21-A9D4-B520E7644487}"/>
    <cellStyle name="Input 3 2 45" xfId="21490" xr:uid="{8B56EBE5-49C0-4289-B4AA-3AE20E2139AD}"/>
    <cellStyle name="Input 3 2 46" xfId="22083" xr:uid="{1D3D7F1F-AB20-4CC2-B6C8-CF8F8A6E0BA7}"/>
    <cellStyle name="Input 3 2 47" xfId="22823" xr:uid="{35BB63A7-95A8-4247-9FF6-098CB9E9BDE1}"/>
    <cellStyle name="Input 3 2 48" xfId="22982" xr:uid="{F94D9679-A716-4C80-9171-9480DC6FFFD3}"/>
    <cellStyle name="Input 3 2 49" xfId="23646" xr:uid="{48CC3F13-11FF-4901-9355-4E9476DD9600}"/>
    <cellStyle name="Input 3 2 5" xfId="2410" xr:uid="{870C70B0-CCE3-4EC5-BE78-2F826F9A7E7C}"/>
    <cellStyle name="Input 3 2 50" xfId="23779" xr:uid="{068676AA-965F-47E6-A293-42E7EA74D272}"/>
    <cellStyle name="Input 3 2 51" xfId="24678" xr:uid="{CED47C3B-25F0-4F09-A817-48E2D7BDDADE}"/>
    <cellStyle name="Input 3 2 52" xfId="24991" xr:uid="{20AFBCAA-3448-4A91-A0E3-B9400079F1BF}"/>
    <cellStyle name="Input 3 2 53" xfId="25596" xr:uid="{2B43CBA9-23DC-4A39-9750-04C974712B65}"/>
    <cellStyle name="Input 3 2 54" xfId="26127" xr:uid="{110D7908-6E24-4AA7-8446-810A391256AC}"/>
    <cellStyle name="Input 3 2 55" xfId="26568" xr:uid="{2F1EFD98-4149-46F7-9401-686BE29E6BB8}"/>
    <cellStyle name="Input 3 2 56" xfId="26886" xr:uid="{8E8E6652-9726-4A2A-B6F8-A7BAC1502044}"/>
    <cellStyle name="Input 3 2 57" xfId="27305" xr:uid="{25A9242F-0E04-4E28-88BD-F7DCED706640}"/>
    <cellStyle name="Input 3 2 58" xfId="27804" xr:uid="{B062962E-BED8-4165-AED2-FEAA043EC1E2}"/>
    <cellStyle name="Input 3 2 59" xfId="28428" xr:uid="{775428F0-EEF9-4E57-BC3D-F1C38842C10D}"/>
    <cellStyle name="Input 3 2 6" xfId="3003" xr:uid="{5CACBA96-CC46-49E5-839D-635C1D5124E5}"/>
    <cellStyle name="Input 3 2 60" xfId="28896" xr:uid="{AC3874B3-F063-49DE-A27B-488297F384D4}"/>
    <cellStyle name="Input 3 2 61" xfId="28039" xr:uid="{0236B0EC-3AF2-41BE-B01D-5A0ED93E7AE9}"/>
    <cellStyle name="Input 3 2 62" xfId="29686" xr:uid="{F3640B35-2480-4DF8-92F0-922BCC8230DF}"/>
    <cellStyle name="Input 3 2 63" xfId="30094" xr:uid="{B57A1061-1236-4ABF-B7CA-C9B157C08338}"/>
    <cellStyle name="Input 3 2 64" xfId="30508" xr:uid="{92468EAC-E90E-42CA-95AD-5410578F4599}"/>
    <cellStyle name="Input 3 2 65" xfId="28054" xr:uid="{B112AB13-BEDA-4112-9C58-ED08E3E4744B}"/>
    <cellStyle name="Input 3 2 66" xfId="31132" xr:uid="{C9FC7100-3770-4A3D-9739-45A4609EA89A}"/>
    <cellStyle name="Input 3 2 7" xfId="3480" xr:uid="{78B5D595-3486-42E7-873C-B48679DB401E}"/>
    <cellStyle name="Input 3 2 8" xfId="3906" xr:uid="{17A675DC-3BF4-4D02-8075-5F8B2A36F84A}"/>
    <cellStyle name="Input 3 2 9" xfId="4344" xr:uid="{0038155F-DF41-4DC2-81EC-4EB963A65278}"/>
    <cellStyle name="Input 3 20" xfId="9343" xr:uid="{56A2A02F-7213-46A9-AF6B-E8A7637E6C5B}"/>
    <cellStyle name="Input 3 21" xfId="11226" xr:uid="{82B9F2DE-4155-4D8A-97BC-63312423C67C}"/>
    <cellStyle name="Input 3 22" xfId="11588" xr:uid="{AD122808-E0EB-4301-B814-72798E11D1D6}"/>
    <cellStyle name="Input 3 23" xfId="11748" xr:uid="{C893E9EB-52A1-4BAF-9885-A4849DBF1101}"/>
    <cellStyle name="Input 3 24" xfId="11632" xr:uid="{70C10A6E-B59F-48A7-9F5B-E46A54F43C3D}"/>
    <cellStyle name="Input 3 25" xfId="11500" xr:uid="{E6795DDE-5DC7-440A-9AC4-68FA279896C2}"/>
    <cellStyle name="Input 3 26" xfId="11749" xr:uid="{B5B3E15B-D008-4B50-9156-56049794DA4C}"/>
    <cellStyle name="Input 3 27" xfId="14522" xr:uid="{800ED43E-8661-483C-9F26-ABD2495E3F6C}"/>
    <cellStyle name="Input 3 28" xfId="15595" xr:uid="{2E5903E0-258D-4874-8981-D2A9B7A19DFA}"/>
    <cellStyle name="Input 3 29" xfId="16283" xr:uid="{6960A286-5EC2-4271-8613-8BA8D283EA0D}"/>
    <cellStyle name="Input 3 3" xfId="587" xr:uid="{0BE961A3-F770-450F-AD6A-992FF118D9B9}"/>
    <cellStyle name="Input 3 3 10" xfId="2230" xr:uid="{9A4F39F0-672F-402F-BFAF-15B4395363C3}"/>
    <cellStyle name="Input 3 3 11" xfId="5235" xr:uid="{93166A83-0B82-485E-83BF-9F9759DE9A97}"/>
    <cellStyle name="Input 3 3 12" xfId="5956" xr:uid="{F5B28F3C-5EAD-4AEE-A9A9-13EA3A1CA452}"/>
    <cellStyle name="Input 3 3 13" xfId="6099" xr:uid="{DE7FCD68-C660-4976-877E-15A483C7235E}"/>
    <cellStyle name="Input 3 3 14" xfId="6489" xr:uid="{7A25D977-A80A-4DAD-8D09-DC382DF999DE}"/>
    <cellStyle name="Input 3 3 15" xfId="7307" xr:uid="{522403A9-59B2-46AB-A4DE-2AC6BD50DA62}"/>
    <cellStyle name="Input 3 3 16" xfId="6898" xr:uid="{5A51924D-A06C-43E6-B6CC-8E03AE2595D7}"/>
    <cellStyle name="Input 3 3 17" xfId="8567" xr:uid="{6B55F851-9718-40B7-B2C2-C12F78D0C724}"/>
    <cellStyle name="Input 3 3 18" xfId="8504" xr:uid="{07A41D9F-D784-46ED-AD3D-13166ABA26C9}"/>
    <cellStyle name="Input 3 3 19" xfId="9521" xr:uid="{A4B2E98B-CB8C-4039-A4D4-06296DF0DCD2}"/>
    <cellStyle name="Input 3 3 2" xfId="802" xr:uid="{04B7D6A5-C979-423B-9D25-770B4AF2DE88}"/>
    <cellStyle name="Input 3 3 2 10" xfId="5450" xr:uid="{A56A93E0-6831-42F6-99D2-51B270CB8FF4}"/>
    <cellStyle name="Input 3 3 2 11" xfId="3676" xr:uid="{24BEA7D4-2DB6-4674-BCDD-2EF145BBB05F}"/>
    <cellStyle name="Input 3 3 2 12" xfId="5925" xr:uid="{00984DD3-9C90-4566-9F74-11631E1A7FF7}"/>
    <cellStyle name="Input 3 3 2 13" xfId="6613" xr:uid="{916DD8A2-A55F-4F36-A462-6CAE6278D653}"/>
    <cellStyle name="Input 3 3 2 14" xfId="7522" xr:uid="{E57CC347-5694-4036-B7B0-995F5E96FCFF}"/>
    <cellStyle name="Input 3 3 2 15" xfId="7201" xr:uid="{C471428A-8E17-4239-8CE5-8BF7DF808730}"/>
    <cellStyle name="Input 3 3 2 16" xfId="8438" xr:uid="{7ADA61B0-71C7-4974-9F75-AD5FEA12FA4D}"/>
    <cellStyle name="Input 3 3 2 17" xfId="8841" xr:uid="{486D0C2A-AC87-4A81-AEA8-221BFB347A60}"/>
    <cellStyle name="Input 3 3 2 18" xfId="9736" xr:uid="{4C0055ED-C5DE-4F7D-BC5E-387814E4D10B}"/>
    <cellStyle name="Input 3 3 2 19" xfId="9414" xr:uid="{8879BFB9-ED8C-445A-B7E5-C8581CAAA03C}"/>
    <cellStyle name="Input 3 3 2 2" xfId="1276" xr:uid="{5193D4CA-5FF6-4330-A90E-54C17DC9CB58}"/>
    <cellStyle name="Input 3 3 2 20" xfId="10147" xr:uid="{B7315DC9-1952-4FF6-BCB0-3C14E4E64888}"/>
    <cellStyle name="Input 3 3 2 21" xfId="10331" xr:uid="{5E83C809-85D9-4B7E-AF52-9A1DD0CAC523}"/>
    <cellStyle name="Input 3 3 2 22" xfId="10956" xr:uid="{2CA5C061-E2AF-4B62-897F-082C8CCFFE73}"/>
    <cellStyle name="Input 3 3 2 23" xfId="12155" xr:uid="{61FFC056-7D5B-40CF-A4E9-3F8857CEBD5E}"/>
    <cellStyle name="Input 3 3 2 24" xfId="12628" xr:uid="{E98BB11E-C493-4EBE-8377-FF0A780167EB}"/>
    <cellStyle name="Input 3 3 2 25" xfId="13062" xr:uid="{655122BE-135B-4D70-BDC9-ED4C3B29227B}"/>
    <cellStyle name="Input 3 3 2 26" xfId="13499" xr:uid="{EF047D8A-63E8-4A0B-B096-5750B669E31D}"/>
    <cellStyle name="Input 3 3 2 27" xfId="13756" xr:uid="{1219D013-5A63-4C1D-98B9-3C395199B744}"/>
    <cellStyle name="Input 3 3 2 28" xfId="13964" xr:uid="{1A38A21E-AFC5-47B5-AEE9-A9A865BCCBDD}"/>
    <cellStyle name="Input 3 3 2 29" xfId="14262" xr:uid="{7ABEA85C-075C-4D3F-BC4C-AAE8DEB904A1}"/>
    <cellStyle name="Input 3 3 2 3" xfId="1540" xr:uid="{CE5032E1-0603-41A6-A423-8059BBAE9278}"/>
    <cellStyle name="Input 3 3 2 30" xfId="15166" xr:uid="{7C0CC465-A977-4592-B412-D185DE5C81EF}"/>
    <cellStyle name="Input 3 3 2 31" xfId="15614" xr:uid="{2BB1E77F-CD3A-4754-B189-025281944587}"/>
    <cellStyle name="Input 3 3 2 32" xfId="14683" xr:uid="{7D9DD5E0-5566-43DF-846C-3B4DB51AB8EB}"/>
    <cellStyle name="Input 3 3 2 33" xfId="16847" xr:uid="{682A8FE4-DC28-461A-9EF6-2A90202428F7}"/>
    <cellStyle name="Input 3 3 2 34" xfId="16523" xr:uid="{79D00EAC-13F3-4513-B5B3-CCB0A5FBE4F5}"/>
    <cellStyle name="Input 3 3 2 35" xfId="17267" xr:uid="{6772B9F7-4564-49E4-B081-09959BC1C77F}"/>
    <cellStyle name="Input 3 3 2 36" xfId="17374" xr:uid="{8B5E964C-1857-4ADB-9842-6E7BA2DFB369}"/>
    <cellStyle name="Input 3 3 2 37" xfId="18665" xr:uid="{07D4620F-3C13-484F-8CAE-00D2852FCF82}"/>
    <cellStyle name="Input 3 3 2 38" xfId="19025" xr:uid="{5B1706EB-0240-4D29-8C41-0EB4CE58631B}"/>
    <cellStyle name="Input 3 3 2 39" xfId="19232" xr:uid="{E0BECDA7-6809-488F-A918-BC0BAA1AAC83}"/>
    <cellStyle name="Input 3 3 2 4" xfId="2624" xr:uid="{BFB9D7F2-7A7A-415F-A665-0EC00A8975E9}"/>
    <cellStyle name="Input 3 3 2 40" xfId="20184" xr:uid="{98E76703-D45B-4BCC-ACA0-5F0E107B5C62}"/>
    <cellStyle name="Input 3 3 2 41" xfId="19859" xr:uid="{1EB4ABC8-4050-42AD-80D7-9F0D5786A670}"/>
    <cellStyle name="Input 3 3 2 42" xfId="19574" xr:uid="{0BAE0902-7109-4BD3-8DB6-26AF84C08651}"/>
    <cellStyle name="Input 3 3 2 43" xfId="21360" xr:uid="{33BBB32E-41BF-4C10-A181-A3CDE7A3A3AC}"/>
    <cellStyle name="Input 3 3 2 44" xfId="21464" xr:uid="{A47C6886-F39B-45F1-B412-77CDFA515527}"/>
    <cellStyle name="Input 3 3 2 45" xfId="21933" xr:uid="{7C449A6C-9148-40C9-9637-8C71062D481E}"/>
    <cellStyle name="Input 3 3 2 46" xfId="22751" xr:uid="{3ED54A07-4E67-40E6-8C15-0C31DDAB7A4D}"/>
    <cellStyle name="Input 3 3 2 47" xfId="23304" xr:uid="{82FADE7D-C088-45F7-BADD-73DE7D8210F4}"/>
    <cellStyle name="Input 3 3 2 48" xfId="23310" xr:uid="{3BFE424A-B0A1-4119-A371-023F9B677E31}"/>
    <cellStyle name="Input 3 3 2 49" xfId="23984" xr:uid="{ADA35942-6FB8-46FD-A7ED-6D83F38E66BE}"/>
    <cellStyle name="Input 3 3 2 5" xfId="2922" xr:uid="{2DA802B2-2A68-4B7F-803D-2095CFB89BDD}"/>
    <cellStyle name="Input 3 3 2 50" xfId="24892" xr:uid="{648D3EE4-78AB-431B-B6CA-F0CAB71C9374}"/>
    <cellStyle name="Input 3 3 2 51" xfId="24427" xr:uid="{76D4D728-A1BD-43DD-9DF9-CF0111A4973B}"/>
    <cellStyle name="Input 3 3 2 52" xfId="25808" xr:uid="{6E2D8F86-66DC-4FC7-BE5E-FE92BCEC5685}"/>
    <cellStyle name="Input 3 3 2 53" xfId="25249" xr:uid="{DC54CD90-8F98-42C2-87E8-8C1A8870B5E8}"/>
    <cellStyle name="Input 3 3 2 54" xfId="26131" xr:uid="{9D4E5866-4FCD-4561-BC1A-BF61EC19B58F}"/>
    <cellStyle name="Input 3 3 2 55" xfId="27096" xr:uid="{A42B8DEC-46DB-403A-9181-3C17230B8FAA}"/>
    <cellStyle name="Input 3 3 2 56" xfId="27515" xr:uid="{D17BAFDD-906E-4DEA-93F8-4130C8E9FFAB}"/>
    <cellStyle name="Input 3 3 2 57" xfId="27698" xr:uid="{57730369-D8F2-4386-9723-CA855DA5DF8E}"/>
    <cellStyle name="Input 3 3 2 58" xfId="28642" xr:uid="{1AADBB42-E94E-40BD-9CBC-5DC7C3570EE7}"/>
    <cellStyle name="Input 3 3 2 59" xfId="29109" xr:uid="{FA9FB460-C794-4E47-9467-6474995302F7}"/>
    <cellStyle name="Input 3 3 2 6" xfId="3474" xr:uid="{FBE4BCCE-128A-438A-9798-0B1F66B17C8A}"/>
    <cellStyle name="Input 3 3 2 60" xfId="28000" xr:uid="{3FCEC2D9-C385-4A05-8BAA-AB72FACC499B}"/>
    <cellStyle name="Input 3 3 2 61" xfId="29898" xr:uid="{143227E9-027E-4697-982E-2FE9E7C618C7}"/>
    <cellStyle name="Input 3 3 2 62" xfId="30304" xr:uid="{C5101065-0EEB-4BFC-A05E-9EC2825C23E6}"/>
    <cellStyle name="Input 3 3 2 63" xfId="30721" xr:uid="{943CBB85-5D19-44DD-956F-D974AC028BC8}"/>
    <cellStyle name="Input 3 3 2 64" xfId="28289" xr:uid="{ABB61F77-4CFF-43C8-8C6A-18A546E92C0D}"/>
    <cellStyle name="Input 3 3 2 65" xfId="31337" xr:uid="{DFD7115A-1668-4445-82DF-E1317CCD57EA}"/>
    <cellStyle name="Input 3 3 2 7" xfId="4120" xr:uid="{F19B9DC0-C6D8-4E80-A744-31E1D4545BB5}"/>
    <cellStyle name="Input 3 3 2 8" xfId="4557" xr:uid="{E8F22D5E-5517-4582-9645-92A8474C6550}"/>
    <cellStyle name="Input 3 3 2 9" xfId="4243" xr:uid="{F6F23F01-6AB8-4637-B924-8FAEE3A39844}"/>
    <cellStyle name="Input 3 3 20" xfId="9111" xr:uid="{2F2B399D-E558-483D-AC1B-E7D35180A868}"/>
    <cellStyle name="Input 3 3 21" xfId="10186" xr:uid="{B41FFC45-9AB4-4458-A547-622C88C2D30A}"/>
    <cellStyle name="Input 3 3 22" xfId="10924" xr:uid="{97B82400-B67A-4590-A963-6F04120D1671}"/>
    <cellStyle name="Input 3 3 23" xfId="11108" xr:uid="{A695D605-7DBD-45E4-A70B-43325D9C55AA}"/>
    <cellStyle name="Input 3 3 24" xfId="11940" xr:uid="{C16E1904-0782-427B-B760-EDF03A96B232}"/>
    <cellStyle name="Input 3 3 25" xfId="12413" xr:uid="{C9A05C67-5122-4C04-A33F-B1F8B89C89ED}"/>
    <cellStyle name="Input 3 3 26" xfId="12847" xr:uid="{581C28D5-1A1A-4ED5-B13A-659D58AFA2F1}"/>
    <cellStyle name="Input 3 3 27" xfId="13284" xr:uid="{C2D2A700-8574-4E58-AB71-62EFBD890B08}"/>
    <cellStyle name="Input 3 3 28" xfId="13752" xr:uid="{88FCED2C-4B97-4A9C-87B2-74168ECE0D94}"/>
    <cellStyle name="Input 3 3 29" xfId="13909" xr:uid="{4A09C4BC-B1B0-4A1D-B0AE-9E44063936C0}"/>
    <cellStyle name="Input 3 3 3" xfId="1070" xr:uid="{41CEE0C6-01F3-40F6-93B0-5CE2B8CE6D0E}"/>
    <cellStyle name="Input 3 3 30" xfId="14738" xr:uid="{0928E349-8CC6-48C7-B99C-596C52502E57}"/>
    <cellStyle name="Input 3 3 31" xfId="15069" xr:uid="{86967B63-6D25-4ADE-91EB-5D9C70DBEFC7}"/>
    <cellStyle name="Input 3 3 32" xfId="15617" xr:uid="{D5FCCB6C-5DD9-4971-A093-F0DDDF6D9136}"/>
    <cellStyle name="Input 3 3 33" xfId="15762" xr:uid="{2C148C5C-1CFE-4B42-9907-F776F35359A2}"/>
    <cellStyle name="Input 3 3 34" xfId="16632" xr:uid="{6066E8FB-6839-452E-931E-4A49F8EBE7BC}"/>
    <cellStyle name="Input 3 3 35" xfId="16214" xr:uid="{9D8A3DA2-512A-409D-BA50-41A09943EB18}"/>
    <cellStyle name="Input 3 3 36" xfId="17306" xr:uid="{D4208777-8D4C-462B-BD66-1290298D1A9C}"/>
    <cellStyle name="Input 3 3 37" xfId="18122" xr:uid="{F28539A6-B15C-411B-AA61-FC7E2593F218}"/>
    <cellStyle name="Input 3 3 38" xfId="18450" xr:uid="{6123C996-A4AC-4915-9FDA-28FAB21CCF72}"/>
    <cellStyle name="Input 3 3 39" xfId="17010" xr:uid="{EF58D5B2-F7CA-43B7-B999-E8C0EEF418B1}"/>
    <cellStyle name="Input 3 3 4" xfId="1580" xr:uid="{D2EFCA9F-5FF7-4DDF-9166-21592CEB54E9}"/>
    <cellStyle name="Input 3 3 40" xfId="19229" xr:uid="{82196B6D-7E5D-448F-8945-A1EDC2DC24AA}"/>
    <cellStyle name="Input 3 3 41" xfId="19969" xr:uid="{E690F0BE-0B66-484E-901E-E582A59E81DA}"/>
    <cellStyle name="Input 3 3 42" xfId="19547" xr:uid="{BCF39DDC-660B-4B8A-B161-27C4F0444C3F}"/>
    <cellStyle name="Input 3 3 43" xfId="20082" xr:uid="{B0D61D9C-D8A6-4EC1-B9AA-6C5B691F8DF2}"/>
    <cellStyle name="Input 3 3 44" xfId="21353" xr:uid="{70F426D9-0454-4ED1-A9BB-DB5470AF59D1}"/>
    <cellStyle name="Input 3 3 45" xfId="21197" xr:uid="{30F02610-57E0-4A74-9F2F-AF2B0F1B254E}"/>
    <cellStyle name="Input 3 3 46" xfId="22000" xr:uid="{866670EC-4E28-4618-BE46-E77C63487879}"/>
    <cellStyle name="Input 3 3 47" xfId="22747" xr:uid="{BC04565E-D1DB-4AEE-AE2B-5BB468EB695C}"/>
    <cellStyle name="Input 3 3 48" xfId="22990" xr:uid="{B85F51C8-3B80-4A62-A39B-97042B0144C4}"/>
    <cellStyle name="Input 3 3 49" xfId="23491" xr:uid="{F674DDD0-4DDB-4021-B776-99E3669B8159}"/>
    <cellStyle name="Input 3 3 5" xfId="2409" xr:uid="{F8CBDAF1-CAFA-429D-861A-25CE285A8D21}"/>
    <cellStyle name="Input 3 3 50" xfId="23778" xr:uid="{56B37C66-1ED5-4FE8-84C7-9739132435C6}"/>
    <cellStyle name="Input 3 3 51" xfId="24677" xr:uid="{CA5413E1-BF62-460A-9B10-3AB1DB1EA027}"/>
    <cellStyle name="Input 3 3 52" xfId="24521" xr:uid="{BBBF4A16-2FD8-4B0B-90A3-BD761D16EF2F}"/>
    <cellStyle name="Input 3 3 53" xfId="25595" xr:uid="{F751E60E-B949-43A7-9E29-BC498CCB5BDD}"/>
    <cellStyle name="Input 3 3 54" xfId="25999" xr:uid="{FA2CBC0C-EDA8-4601-ADCD-CD94010F6866}"/>
    <cellStyle name="Input 3 3 55" xfId="26383" xr:uid="{3678278F-349B-49AF-80DE-7864105E11B8}"/>
    <cellStyle name="Input 3 3 56" xfId="26885" xr:uid="{8DF79A34-5911-482E-82EF-A18F88797181}"/>
    <cellStyle name="Input 3 3 57" xfId="27304" xr:uid="{5E5683F0-259F-4F94-9F63-B2567FF2C1F7}"/>
    <cellStyle name="Input 3 3 58" xfId="27694" xr:uid="{43101B99-492A-42C2-A0F7-3BA5873AB406}"/>
    <cellStyle name="Input 3 3 59" xfId="28427" xr:uid="{D513DC14-BAAD-400B-B243-77E2AE830D6D}"/>
    <cellStyle name="Input 3 3 6" xfId="2918" xr:uid="{A95E3E4C-1C65-4213-8A7B-8349647B18C2}"/>
    <cellStyle name="Input 3 3 60" xfId="28895" xr:uid="{7D8441E6-1265-46F4-9474-67F3CCD71BE9}"/>
    <cellStyle name="Input 3 3 61" xfId="28079" xr:uid="{89C4AFBD-8364-4C11-95CF-90287241BFC4}"/>
    <cellStyle name="Input 3 3 62" xfId="29685" xr:uid="{E3BF2944-7F01-4E03-949A-2E69D2601304}"/>
    <cellStyle name="Input 3 3 63" xfId="30093" xr:uid="{E60E7702-8702-47DC-B0B7-2660BF200E22}"/>
    <cellStyle name="Input 3 3 64" xfId="30507" xr:uid="{D0466182-0941-42E3-A41F-BE0084E67359}"/>
    <cellStyle name="Input 3 3 65" xfId="30875" xr:uid="{AB9C962C-2596-4A23-9C7F-DA5761DBD33A}"/>
    <cellStyle name="Input 3 3 66" xfId="31131" xr:uid="{9C17C1D4-AEE4-4AAF-82F6-3E89F64CBF61}"/>
    <cellStyle name="Input 3 3 7" xfId="3035" xr:uid="{48F670D2-26D2-4258-BD07-44B5747DC9B2}"/>
    <cellStyle name="Input 3 3 8" xfId="3905" xr:uid="{D8F395E4-805D-4A33-BAA5-6B8784A19A20}"/>
    <cellStyle name="Input 3 3 9" xfId="4343" xr:uid="{9367C389-ED3C-4A2A-8C97-BFE3103EC317}"/>
    <cellStyle name="Input 3 30" xfId="16166" xr:uid="{C19FF874-AC40-4222-A22B-E7DF7B9602AF}"/>
    <cellStyle name="Input 3 31" xfId="17465" xr:uid="{29E5785C-C83A-4091-8EB0-88210F3BD991}"/>
    <cellStyle name="Input 3 32" xfId="18095" xr:uid="{4A6B2212-1752-4640-BF87-D3D25B9FDA00}"/>
    <cellStyle name="Input 3 33" xfId="17282" xr:uid="{40F5FD44-2C32-4A9F-9932-C3BF883D5DAC}"/>
    <cellStyle name="Input 3 34" xfId="19616" xr:uid="{61C5D0A6-AFEE-4BAE-AB46-94D621F26B93}"/>
    <cellStyle name="Input 3 35" xfId="19380" xr:uid="{09FEA69D-CEA2-4839-BCE4-1307F38F4BA3}"/>
    <cellStyle name="Input 3 36" xfId="21965" xr:uid="{A10F7F6B-A05F-45EE-BCBF-CB56E41D1FEB}"/>
    <cellStyle name="Input 3 37" xfId="22539" xr:uid="{395778F0-A1BA-44CB-842B-35720AA6FD01}"/>
    <cellStyle name="Input 3 38" xfId="23452" xr:uid="{2A3D75A5-766C-4129-BA3D-FCB726F0EF58}"/>
    <cellStyle name="Input 3 39" xfId="24337" xr:uid="{9DDC1A40-4DFB-46CF-B2B8-D7738ACE9452}"/>
    <cellStyle name="Input 3 4" xfId="531" xr:uid="{3B4C0FF8-83BB-4419-8601-16E764647C6D}"/>
    <cellStyle name="Input 3 4 10" xfId="4700" xr:uid="{39ACDF01-B293-4337-A416-C928351E9901}"/>
    <cellStyle name="Input 3 4 11" xfId="5179" xr:uid="{F4585C83-9CDB-41C3-AB6E-1C096D7CD359}"/>
    <cellStyle name="Input 3 4 12" xfId="4680" xr:uid="{143F5DC1-1EDF-4DD1-B7AF-82B66443F772}"/>
    <cellStyle name="Input 3 4 13" xfId="6297" xr:uid="{772F3236-C8F4-41ED-9651-9CB556DEEE2F}"/>
    <cellStyle name="Input 3 4 14" xfId="6643" xr:uid="{6A6EE0D3-497A-4C3F-9568-DBB8CD948753}"/>
    <cellStyle name="Input 3 4 15" xfId="7251" xr:uid="{2A0BE5E3-FA2F-4C8D-8E68-385132DA30D8}"/>
    <cellStyle name="Input 3 4 16" xfId="7933" xr:uid="{19C21379-554D-4721-8374-2A541394F98E}"/>
    <cellStyle name="Input 3 4 17" xfId="8562" xr:uid="{206C7414-EBFC-460E-88A6-C97BC1C29765}"/>
    <cellStyle name="Input 3 4 18" xfId="8698" xr:uid="{3F47DCAA-D49F-4BB7-BE59-26D07CA27AA2}"/>
    <cellStyle name="Input 3 4 19" xfId="9465" xr:uid="{B4FB9F41-68A8-495E-ACA3-82114DCEF168}"/>
    <cellStyle name="Input 3 4 2" xfId="746" xr:uid="{3B0D784A-ED2C-492C-B59E-DD88B8AA6C91}"/>
    <cellStyle name="Input 3 4 2 10" xfId="5394" xr:uid="{6B08E4E2-64CB-4777-BEA3-231EC63C842B}"/>
    <cellStyle name="Input 3 4 2 11" xfId="2138" xr:uid="{10EB0635-9C6E-440C-89E5-88F61DAD908F}"/>
    <cellStyle name="Input 3 4 2 12" xfId="6067" xr:uid="{F55C0571-8ED0-4CBF-8DF3-4F6929E1144B}"/>
    <cellStyle name="Input 3 4 2 13" xfId="6464" xr:uid="{52EE36E0-2067-4B4A-8E05-FE4585801BF9}"/>
    <cellStyle name="Input 3 4 2 14" xfId="7466" xr:uid="{72AD6F19-39D5-407F-9F37-D68643AC5F95}"/>
    <cellStyle name="Input 3 4 2 15" xfId="7158" xr:uid="{C412CCA8-04C1-4E35-BAD2-3876DA8118D8}"/>
    <cellStyle name="Input 3 4 2 16" xfId="7770" xr:uid="{1A3CC963-F494-4A3C-9A23-E9CE5BA7F2EF}"/>
    <cellStyle name="Input 3 4 2 17" xfId="8708" xr:uid="{DEFB808C-7FAA-457D-8DDC-321236012448}"/>
    <cellStyle name="Input 3 4 2 18" xfId="9680" xr:uid="{8BE2B0E1-35B3-480B-B52D-76ABCA1DF067}"/>
    <cellStyle name="Input 3 4 2 19" xfId="9373" xr:uid="{69A2AB17-B447-4A2A-86FC-998C21EE43B5}"/>
    <cellStyle name="Input 3 4 2 2" xfId="1220" xr:uid="{39398FBE-CEE7-4771-A897-EEAA07A9600B}"/>
    <cellStyle name="Input 3 4 2 20" xfId="10213" xr:uid="{64F48B97-2BD3-49FE-8150-958F558223AC}"/>
    <cellStyle name="Input 3 4 2 21" xfId="10719" xr:uid="{9C74DDFB-19E4-4744-A819-B40BE7F5F1F0}"/>
    <cellStyle name="Input 3 4 2 22" xfId="11166" xr:uid="{5E5E1D8A-D5E3-49DE-BC2C-7F9C6E4AB6BF}"/>
    <cellStyle name="Input 3 4 2 23" xfId="12099" xr:uid="{C4141C3D-11E2-4F17-8B0F-0F0D96A9FE07}"/>
    <cellStyle name="Input 3 4 2 24" xfId="12572" xr:uid="{7BBDA337-0D97-4100-95B4-D9A7A2CABA19}"/>
    <cellStyle name="Input 3 4 2 25" xfId="13006" xr:uid="{09613734-852C-49C8-AC20-DD63DDB9FE35}"/>
    <cellStyle name="Input 3 4 2 26" xfId="13443" xr:uid="{EED02616-BDEF-4C57-BDF2-7B388D48C2FB}"/>
    <cellStyle name="Input 3 4 2 27" xfId="11667" xr:uid="{53A02693-0BD8-4636-87D7-83A31E304043}"/>
    <cellStyle name="Input 3 4 2 28" xfId="13636" xr:uid="{0C5471B3-710C-47FD-95D5-D1B905030E27}"/>
    <cellStyle name="Input 3 4 2 29" xfId="14289" xr:uid="{8B7DD29A-CF93-41D6-B5AB-348FE2D8D4E0}"/>
    <cellStyle name="Input 3 4 2 3" xfId="1516" xr:uid="{E2306C1B-C263-4641-8561-E95F2B2F5C4D}"/>
    <cellStyle name="Input 3 4 2 30" xfId="15330" xr:uid="{2B6D3C8E-7CC5-4A4D-B788-26508613D14E}"/>
    <cellStyle name="Input 3 4 2 31" xfId="14540" xr:uid="{67D44F02-F93D-47AA-9528-D8F16981BF29}"/>
    <cellStyle name="Input 3 4 2 32" xfId="15673" xr:uid="{50D23C0D-BC46-45BD-8336-675BCEC367E5}"/>
    <cellStyle name="Input 3 4 2 33" xfId="16791" xr:uid="{4D41A428-F90A-4463-BB1A-61D100F21A5B}"/>
    <cellStyle name="Input 3 4 2 34" xfId="16479" xr:uid="{D9D90F50-553B-4C76-A1B4-64644B2B85FB}"/>
    <cellStyle name="Input 3 4 2 35" xfId="17334" xr:uid="{F1F96049-0398-4602-A1E2-46A9EC8AC96C}"/>
    <cellStyle name="Input 3 4 2 36" xfId="17512" xr:uid="{AF4891B2-A209-4D3C-A7EB-0900B504D94A}"/>
    <cellStyle name="Input 3 4 2 37" xfId="18609" xr:uid="{761E33CA-BAF4-4EAF-86C8-EF4F48735E3C}"/>
    <cellStyle name="Input 3 4 2 38" xfId="18789" xr:uid="{D4E4A912-4BB0-4A50-8987-2584D389F692}"/>
    <cellStyle name="Input 3 4 2 39" xfId="19011" xr:uid="{55B0B27B-CB82-4B40-84E8-7716D96E45A4}"/>
    <cellStyle name="Input 3 4 2 4" xfId="2568" xr:uid="{90FE62FC-3179-41CB-BD1D-0C5D2B9BA288}"/>
    <cellStyle name="Input 3 4 2 40" xfId="20128" xr:uid="{69F91476-8472-4B08-BF3C-D9E6EA0B6FDE}"/>
    <cellStyle name="Input 3 4 2 41" xfId="19815" xr:uid="{70C50BE1-A6BB-48FC-9EFD-538899CBA1F5}"/>
    <cellStyle name="Input 3 4 2 42" xfId="19536" xr:uid="{4090AA75-4987-4947-B32A-D5738A810EDC}"/>
    <cellStyle name="Input 3 4 2 43" xfId="21252" xr:uid="{BA0FED16-210D-46DB-8BDE-3F76C6E5BBE2}"/>
    <cellStyle name="Input 3 4 2 44" xfId="21652" xr:uid="{0B0B8D86-FBC4-4D47-9ABA-012966D8EC57}"/>
    <cellStyle name="Input 3 4 2 45" xfId="21078" xr:uid="{47FD692E-DBB9-4661-8A70-1AF25C6E3996}"/>
    <cellStyle name="Input 3 4 2 46" xfId="22193" xr:uid="{8DDFB935-1A33-4220-8C64-72E5A51840AC}"/>
    <cellStyle name="Input 3 4 2 47" xfId="23061" xr:uid="{3543E190-CDA1-4513-BC94-E7407F7B6194}"/>
    <cellStyle name="Input 3 4 2 48" xfId="23094" xr:uid="{B6067819-AC5E-4EF8-A04B-0CFA800F3F15}"/>
    <cellStyle name="Input 3 4 2 49" xfId="23928" xr:uid="{F1066324-189E-4D9A-8605-3FC73AA74242}"/>
    <cellStyle name="Input 3 4 2 5" xfId="2332" xr:uid="{7337D35A-64F4-4E8B-96B9-29E3A0B5F011}"/>
    <cellStyle name="Input 3 4 2 50" xfId="24836" xr:uid="{A5A683A2-F071-4218-B2F4-4A9C68AC57DD}"/>
    <cellStyle name="Input 3 4 2 51" xfId="24526" xr:uid="{DC91A393-8ABE-4E91-9648-0BAD671B7FEC}"/>
    <cellStyle name="Input 3 4 2 52" xfId="25752" xr:uid="{2813498B-5626-418B-B208-2D31AC3BE1BE}"/>
    <cellStyle name="Input 3 4 2 53" xfId="25149" xr:uid="{E3F81272-FF83-493F-BAA3-65D211C150F3}"/>
    <cellStyle name="Input 3 4 2 54" xfId="26291" xr:uid="{E99E9A35-E311-4AEA-BF61-B106323EFD03}"/>
    <cellStyle name="Input 3 4 2 55" xfId="27040" xr:uid="{2DBE40FB-59C4-4DB3-9FB1-87BEA04F268F}"/>
    <cellStyle name="Input 3 4 2 56" xfId="27459" xr:uid="{71A27C55-2DC1-426A-80E3-83D1D5A1938B}"/>
    <cellStyle name="Input 3 4 2 57" xfId="25393" xr:uid="{A3E7EB4C-ADA3-41E9-A4AD-E11BF166CB6A}"/>
    <cellStyle name="Input 3 4 2 58" xfId="28586" xr:uid="{8231D21C-B3D9-4749-BDC0-B3D4D23F1D8C}"/>
    <cellStyle name="Input 3 4 2 59" xfId="29053" xr:uid="{859DB729-B102-4DCF-BCF1-4F063A6E4ACD}"/>
    <cellStyle name="Input 3 4 2 6" xfId="3461" xr:uid="{80439BE7-9712-4F20-8C74-6E5B465FAC96}"/>
    <cellStyle name="Input 3 4 2 60" xfId="28749" xr:uid="{19503F3B-917C-4D55-B032-4552F2DEC923}"/>
    <cellStyle name="Input 3 4 2 61" xfId="29842" xr:uid="{A0A4E5F6-38CB-4999-96FC-7771098C7E6D}"/>
    <cellStyle name="Input 3 4 2 62" xfId="30248" xr:uid="{85075A99-01D7-4AC7-94D7-58FE949EC888}"/>
    <cellStyle name="Input 3 4 2 63" xfId="30665" xr:uid="{240BCAB4-10C8-4D04-87D8-6572F987714A}"/>
    <cellStyle name="Input 3 4 2 64" xfId="30403" xr:uid="{0C2F4481-F17D-4FAA-BDA5-62EAAC197896}"/>
    <cellStyle name="Input 3 4 2 65" xfId="31281" xr:uid="{635226DB-4043-40C4-BDC1-7FCE0FE03E6D}"/>
    <cellStyle name="Input 3 4 2 7" xfId="4064" xr:uid="{8F9B9E50-6891-4884-8725-1BA9D365DE36}"/>
    <cellStyle name="Input 3 4 2 8" xfId="4501" xr:uid="{BFCF04EE-1AA6-47C0-A677-7078CC0F706A}"/>
    <cellStyle name="Input 3 4 2 9" xfId="3414" xr:uid="{65F6FBD8-A90D-4CA0-8BD1-4D2FA600FBCB}"/>
    <cellStyle name="Input 3 4 20" xfId="10146" xr:uid="{1D9A4884-EBAB-4B48-A684-5F0510F03A38}"/>
    <cellStyle name="Input 3 4 21" xfId="10556" xr:uid="{4DB1F49C-C2C8-4FCF-A641-0E4E80A5886B}"/>
    <cellStyle name="Input 3 4 22" xfId="10553" xr:uid="{BA260212-2211-495F-A22A-77C684D42822}"/>
    <cellStyle name="Input 3 4 23" xfId="11049" xr:uid="{F12F4C26-BDEB-4DB6-B1FB-85B3688E0772}"/>
    <cellStyle name="Input 3 4 24" xfId="11884" xr:uid="{000924C8-24E9-453B-94A2-C6FB04670AAC}"/>
    <cellStyle name="Input 3 4 25" xfId="12357" xr:uid="{33551E80-ADF6-4BB4-8865-8CB9B8453A88}"/>
    <cellStyle name="Input 3 4 26" xfId="12791" xr:uid="{0E3D20CA-44E4-4DEF-8122-8521991E4AAB}"/>
    <cellStyle name="Input 3 4 27" xfId="13228" xr:uid="{D9CA839F-626B-4529-9B55-74D09A0A1886}"/>
    <cellStyle name="Input 3 4 28" xfId="11811" xr:uid="{E21BB54D-E0AD-400E-A604-4FD45DA93E8A}"/>
    <cellStyle name="Input 3 4 29" xfId="14443" xr:uid="{79CCFA2D-2352-447D-8AF5-C40F1E2B24ED}"/>
    <cellStyle name="Input 3 4 3" xfId="1014" xr:uid="{F56B4FC3-F4D7-46D2-88F6-A388015DA23A}"/>
    <cellStyle name="Input 3 4 30" xfId="14739" xr:uid="{A2A70D43-5156-4331-BFAA-09334BDC5681}"/>
    <cellStyle name="Input 3 4 31" xfId="14095" xr:uid="{F1CA1D1E-D6E8-4D86-9391-44135D4C71DF}"/>
    <cellStyle name="Input 3 4 32" xfId="15441" xr:uid="{907F5CB3-DC1A-44A7-9C09-2FD53CDD4072}"/>
    <cellStyle name="Input 3 4 33" xfId="15936" xr:uid="{814AE9EF-4EBF-492E-8385-75749805C864}"/>
    <cellStyle name="Input 3 4 34" xfId="16576" xr:uid="{FFC79447-C0EA-444E-8EE7-42739D460DA4}"/>
    <cellStyle name="Input 3 4 35" xfId="17266" xr:uid="{CF08117D-8349-48DA-AFC1-A3659C1FF0E0}"/>
    <cellStyle name="Input 3 4 36" xfId="17710" xr:uid="{92153CA0-3679-4F29-8C2F-C3AE75B4F21C}"/>
    <cellStyle name="Input 3 4 37" xfId="17720" xr:uid="{70148EA7-1A9F-4E56-87EC-5888DCEA21D8}"/>
    <cellStyle name="Input 3 4 38" xfId="18394" xr:uid="{A87F0D64-44E3-41F6-A229-DD69765C9BE6}"/>
    <cellStyle name="Input 3 4 39" xfId="18774" xr:uid="{DA415E29-2C5D-475C-9E0A-7CBD2F988508}"/>
    <cellStyle name="Input 3 4 4" xfId="1701" xr:uid="{9CFC1AFC-182E-431D-B8BF-E59958A13CE5}"/>
    <cellStyle name="Input 3 4 40" xfId="18155" xr:uid="{18E95773-4FF5-4275-A86C-FAAC1C523A86}"/>
    <cellStyle name="Input 3 4 41" xfId="19913" xr:uid="{79212410-6365-4E90-B5BB-60D087ABBF1C}"/>
    <cellStyle name="Input 3 4 42" xfId="20616" xr:uid="{DBDBDDAC-FC2F-46FC-B4D8-FADF7C058370}"/>
    <cellStyle name="Input 3 4 43" xfId="21071" xr:uid="{8DF18A2C-B749-45AE-BC5B-F8DA35163DDA}"/>
    <cellStyle name="Input 3 4 44" xfId="21020" xr:uid="{CFCC1E83-55FE-47DF-BEBA-DB6D769E0AE6}"/>
    <cellStyle name="Input 3 4 45" xfId="22002" xr:uid="{D4A058D6-CEE9-42F4-AA16-F25E07174068}"/>
    <cellStyle name="Input 3 4 46" xfId="22433" xr:uid="{626AF258-9099-4EE3-8493-B291AD2B9CCA}"/>
    <cellStyle name="Input 3 4 47" xfId="21305" xr:uid="{8CED5BCE-7F16-4320-8CE0-B030BB5BE562}"/>
    <cellStyle name="Input 3 4 48" xfId="23043" xr:uid="{9197CA3A-DC10-4C5D-B492-47F97102B397}"/>
    <cellStyle name="Input 3 4 49" xfId="22836" xr:uid="{589C1437-4D32-4969-B72A-C2B652812D32}"/>
    <cellStyle name="Input 3 4 5" xfId="2353" xr:uid="{C0B81B63-05B9-401E-BFE9-18AEC8B30F81}"/>
    <cellStyle name="Input 3 4 50" xfId="23722" xr:uid="{4AE780C7-C520-485A-88A3-102A2A79546F}"/>
    <cellStyle name="Input 3 4 51" xfId="24621" xr:uid="{6D2F2594-7079-4AE1-91A5-F55EE57880AA}"/>
    <cellStyle name="Input 3 4 52" xfId="25322" xr:uid="{1E362173-D469-4908-82AD-1BDC4E4DDFFD}"/>
    <cellStyle name="Input 3 4 53" xfId="25539" xr:uid="{4B38F802-1081-4FAE-AE0B-BDE868687211}"/>
    <cellStyle name="Input 3 4 54" xfId="24327" xr:uid="{8205EE19-08A5-4B10-B185-EAC9E2319328}"/>
    <cellStyle name="Input 3 4 55" xfId="24210" xr:uid="{FCC99AA8-4F39-4149-AEB8-C492C08F402F}"/>
    <cellStyle name="Input 3 4 56" xfId="26829" xr:uid="{D3E123AB-AEA2-45FB-B598-BC0A63B93C10}"/>
    <cellStyle name="Input 3 4 57" xfId="27248" xr:uid="{4371CDA9-4FC8-4A36-BBBE-E7872166046E}"/>
    <cellStyle name="Input 3 4 58" xfId="27631" xr:uid="{34FC272B-157C-4DB2-9F35-81A854AC1A6D}"/>
    <cellStyle name="Input 3 4 59" xfId="28371" xr:uid="{ED1F1F73-CB3F-49B5-8E8D-7027287963A8}"/>
    <cellStyle name="Input 3 4 6" xfId="1964" xr:uid="{E148C2B0-B088-4817-8BB2-C3F3698929C8}"/>
    <cellStyle name="Input 3 4 60" xfId="28839" xr:uid="{71E11862-86EA-44F7-B234-FC4882C9DEAD}"/>
    <cellStyle name="Input 3 4 61" xfId="29446" xr:uid="{F8B7FD43-22EE-4DAC-836E-5C6E919893DC}"/>
    <cellStyle name="Input 3 4 62" xfId="29629" xr:uid="{3005A7BA-6B57-4603-A157-41BD550CA499}"/>
    <cellStyle name="Input 3 4 63" xfId="30037" xr:uid="{3DCE88D2-57E4-4E1D-8AEE-332390CE4D05}"/>
    <cellStyle name="Input 3 4 64" xfId="30451" xr:uid="{B99C51BB-9300-4E35-BA62-83C6F5F03707}"/>
    <cellStyle name="Input 3 4 65" xfId="30876" xr:uid="{C4091A8F-3C19-4DD5-9103-B790CB26AF82}"/>
    <cellStyle name="Input 3 4 66" xfId="31075" xr:uid="{845B4E71-C3F2-4386-BF13-B04D3D7CBE1F}"/>
    <cellStyle name="Input 3 4 7" xfId="2919" xr:uid="{B75CDFC8-20F5-4E10-A8A4-54CE9DED87F4}"/>
    <cellStyle name="Input 3 4 8" xfId="3849" xr:uid="{F44C9DFD-AA5F-4323-8A84-1030FA4B5C87}"/>
    <cellStyle name="Input 3 4 9" xfId="4287" xr:uid="{414E44AE-AB55-4124-822C-54B52754B051}"/>
    <cellStyle name="Input 3 40" xfId="24443" xr:uid="{48FCA1D1-9012-47D9-9117-A191C98FEAB9}"/>
    <cellStyle name="Input 3 41" xfId="24214" xr:uid="{159972BB-FA23-4D94-91D7-4868E8E830BB}"/>
    <cellStyle name="Input 3 42" xfId="25678" xr:uid="{EB89CA04-447A-42A5-82F2-F106562F8768}"/>
    <cellStyle name="Input 3 43" xfId="26118" xr:uid="{692DD2C0-2491-4065-9131-80923A595534}"/>
    <cellStyle name="Input 3 44" xfId="24573" xr:uid="{7798BF0C-E33E-4F1D-9235-97907428F2CC}"/>
    <cellStyle name="Input 3 45" xfId="27605" xr:uid="{F27B051F-2E9F-42DB-AFF9-A372C8FACF03}"/>
    <cellStyle name="Input 3 46" xfId="28111" xr:uid="{49BF5115-9789-462A-966B-C08C0568064E}"/>
    <cellStyle name="Input 3 47" xfId="28251" xr:uid="{C5CE99FC-6949-44C1-849A-3BD676CADAFA}"/>
    <cellStyle name="Input 3 48" xfId="27910" xr:uid="{59016165-9CEA-4A56-A793-E54685106EA5}"/>
    <cellStyle name="Input 3 49" xfId="28081" xr:uid="{DFC04158-6BE6-49A8-B88B-1E481FECC581}"/>
    <cellStyle name="Input 3 5" xfId="689" xr:uid="{E5D25F2D-C348-4B51-9B91-EFD3B775CCB7}"/>
    <cellStyle name="Input 3 5 10" xfId="5337" xr:uid="{AD8F774E-7A69-4ED6-89F8-F338671D8ADC}"/>
    <cellStyle name="Input 3 5 11" xfId="5891" xr:uid="{1CF86E1B-59D9-41D6-B5DA-DD250717FCCE}"/>
    <cellStyle name="Input 3 5 12" xfId="6236" xr:uid="{208C50C2-03BF-4A98-B737-8F022C19CB60}"/>
    <cellStyle name="Input 3 5 13" xfId="3301" xr:uid="{CE86797C-1B81-4F7B-9BBA-7E672C1DA0CB}"/>
    <cellStyle name="Input 3 5 14" xfId="7409" xr:uid="{BDB657ED-490F-43FA-921C-10A4CBA43DAF}"/>
    <cellStyle name="Input 3 5 15" xfId="7886" xr:uid="{F1D8F895-B3FB-4EEA-A957-88C21F2EE1AC}"/>
    <cellStyle name="Input 3 5 16" xfId="8406" xr:uid="{7B8E273E-3B8C-4859-A857-9FFC1FEF9EB8}"/>
    <cellStyle name="Input 3 5 17" xfId="8186" xr:uid="{C13187D9-7964-4CDF-B0C8-E37FB3E9CC95}"/>
    <cellStyle name="Input 3 5 18" xfId="9623" xr:uid="{3C110981-A550-44CF-BBF3-F283A93A37B3}"/>
    <cellStyle name="Input 3 5 19" xfId="10099" xr:uid="{24420A1F-5FF3-47A5-AF3E-4DA16EEF5357}"/>
    <cellStyle name="Input 3 5 2" xfId="1171" xr:uid="{1EA2C184-09A2-4921-A4E6-EE7B499AB945}"/>
    <cellStyle name="Input 3 5 20" xfId="10515" xr:uid="{16C121E3-7279-4225-B408-11B5B7FEA32C}"/>
    <cellStyle name="Input 3 5 21" xfId="10156" xr:uid="{995ABFF5-1888-4CA3-A0BF-F92E9B24D2E6}"/>
    <cellStyle name="Input 3 5 22" xfId="10705" xr:uid="{78B2D53B-BE91-430B-8A84-45588B0915A8}"/>
    <cellStyle name="Input 3 5 23" xfId="12042" xr:uid="{387845C5-E91C-48A3-ACF2-80BA9E696FAE}"/>
    <cellStyle name="Input 3 5 24" xfId="12515" xr:uid="{DFE7DD1D-1A08-4364-A83B-842F180B5381}"/>
    <cellStyle name="Input 3 5 25" xfId="12949" xr:uid="{04EC8F29-93B7-4B70-8900-358CE35E46CB}"/>
    <cellStyle name="Input 3 5 26" xfId="13386" xr:uid="{189BC303-8488-4A69-9F98-AA28FAB36CCB}"/>
    <cellStyle name="Input 3 5 27" xfId="13859" xr:uid="{69C3804B-12AD-47F5-8366-52953AB0B98F}"/>
    <cellStyle name="Input 3 5 28" xfId="13695" xr:uid="{CCF61A84-23A9-4D9D-BCE9-EF26A01F9724}"/>
    <cellStyle name="Input 3 5 29" xfId="14749" xr:uid="{A4E4A31F-E216-495E-B4BD-3BFDFA3ACA92}"/>
    <cellStyle name="Input 3 5 3" xfId="1754" xr:uid="{3216E670-B39A-41D7-B13C-1B18EBE1BAF1}"/>
    <cellStyle name="Input 3 5 30" xfId="15232" xr:uid="{24189BD3-5374-47FB-896C-78B5612599F6}"/>
    <cellStyle name="Input 3 5 31" xfId="14771" xr:uid="{74A5578B-4889-462D-9E72-E0AAAB323F37}"/>
    <cellStyle name="Input 3 5 32" xfId="15910" xr:uid="{3413E1F8-FA44-49E2-85D4-027034F1AEF5}"/>
    <cellStyle name="Input 3 5 33" xfId="16734" xr:uid="{ABB74A94-5051-44B3-87F3-BF8292AE4A69}"/>
    <cellStyle name="Input 3 5 34" xfId="17218" xr:uid="{80497A6A-BB28-4A96-8A59-6726112A1426}"/>
    <cellStyle name="Input 3 5 35" xfId="17664" xr:uid="{673FC1F8-410B-4F15-AC57-83596B29EA4C}"/>
    <cellStyle name="Input 3 5 36" xfId="18221" xr:uid="{A2506036-A717-4F0A-8310-A600117BC618}"/>
    <cellStyle name="Input 3 5 37" xfId="18552" xr:uid="{25E528E8-BEC7-45E6-BB42-F1A58F1841C0}"/>
    <cellStyle name="Input 3 5 38" xfId="18851" xr:uid="{C956920C-328F-4A5D-8B81-BAD387D75EA2}"/>
    <cellStyle name="Input 3 5 39" xfId="19279" xr:uid="{74BD1FA0-F1F6-4773-917A-90C5A7B13C46}"/>
    <cellStyle name="Input 3 5 4" xfId="2511" xr:uid="{BBB966DE-3463-4852-8B5A-EF3A491003DA}"/>
    <cellStyle name="Input 3 5 40" xfId="20071" xr:uid="{72EC3D65-E39E-499C-BAAB-E96D35666980}"/>
    <cellStyle name="Input 3 5 41" xfId="20571" xr:uid="{867FCB37-2823-495A-99B2-116158C5E865}"/>
    <cellStyle name="Input 3 5 42" xfId="21024" xr:uid="{DC34D845-5ADA-474D-8733-5F305EDCC1EE}"/>
    <cellStyle name="Input 3 5 43" xfId="21080" xr:uid="{2319B9E3-3505-4929-893A-854ECF686390}"/>
    <cellStyle name="Input 3 5 44" xfId="21955" xr:uid="{0075FD8D-C8A1-4221-A767-0A37D4260278}"/>
    <cellStyle name="Input 3 5 45" xfId="22386" xr:uid="{2B3DE675-144C-4E9D-8E64-ADD50FF40966}"/>
    <cellStyle name="Input 3 5 46" xfId="22843" xr:uid="{70F7F79F-43C1-4192-BC71-27DF88E1FB05}"/>
    <cellStyle name="Input 3 5 47" xfId="23126" xr:uid="{42AD0AED-B4D2-4556-AAA6-0EA5AECEF724}"/>
    <cellStyle name="Input 3 5 48" xfId="23559" xr:uid="{A14670DF-2CCC-4665-BF15-A0B51E774FCE}"/>
    <cellStyle name="Input 3 5 49" xfId="23879" xr:uid="{7AA035E3-402C-440D-8139-AB90BB0F15E6}"/>
    <cellStyle name="Input 3 5 5" xfId="3025" xr:uid="{B7E28FD4-822C-4D11-94DE-9348772CA200}"/>
    <cellStyle name="Input 3 5 50" xfId="24779" xr:uid="{D92F426A-3DC2-412A-8373-49A01230F3E7}"/>
    <cellStyle name="Input 3 5 51" xfId="25279" xr:uid="{238A6FFB-823E-49F5-AD7E-E0EB63A10F68}"/>
    <cellStyle name="Input 3 5 52" xfId="25697" xr:uid="{77C4D2EC-2A51-4D35-8D6A-B05B4B69F33E}"/>
    <cellStyle name="Input 3 5 53" xfId="26147" xr:uid="{5EBB9AB0-3674-412D-B93E-13731C3EEDE8}"/>
    <cellStyle name="Input 3 5 54" xfId="25953" xr:uid="{8A99F106-3908-4CA4-AAC0-114DE741716B}"/>
    <cellStyle name="Input 3 5 55" xfId="26987" xr:uid="{B1AEC577-DFFD-4A6B-A7E7-6B4133507FE7}"/>
    <cellStyle name="Input 3 5 56" xfId="27406" xr:uid="{9DC58012-EF5C-4F54-8B62-93645FBE5605}"/>
    <cellStyle name="Input 3 5 57" xfId="24109" xr:uid="{17468387-5B17-4179-B51D-C569510BFA75}"/>
    <cellStyle name="Input 3 5 58" xfId="28529" xr:uid="{C7C536C0-5BF9-4FB8-B5CA-D12F5BEB6D92}"/>
    <cellStyle name="Input 3 5 59" xfId="28997" xr:uid="{2FD7EE3E-BFE7-483E-B1F2-A8FADAD5D996}"/>
    <cellStyle name="Input 3 5 6" xfId="1988" xr:uid="{72D9B1D4-15B4-4114-87DE-5D7FC51FE9CB}"/>
    <cellStyle name="Input 3 5 60" xfId="29407" xr:uid="{0F78014D-4703-43C1-8D80-5ABC9A21AEE3}"/>
    <cellStyle name="Input 3 5 61" xfId="29787" xr:uid="{A9A6CF30-FDE3-48AC-A3AC-579DE4F2D6B3}"/>
    <cellStyle name="Input 3 5 62" xfId="30194" xr:uid="{7DBCE8EB-C7E2-48C0-AE1B-615643C4F82A}"/>
    <cellStyle name="Input 3 5 63" xfId="30609" xr:uid="{38E16BE0-40BE-444C-84F1-20B020C6C3BA}"/>
    <cellStyle name="Input 3 5 64" xfId="30980" xr:uid="{E2BD57FE-06CF-4642-A18C-79E24714C809}"/>
    <cellStyle name="Input 3 5 65" xfId="31232" xr:uid="{523269E7-81D8-48DC-A108-59EDE07A7235}"/>
    <cellStyle name="Input 3 5 7" xfId="4007" xr:uid="{FD47397A-3723-47C9-9732-109EE30B557F}"/>
    <cellStyle name="Input 3 5 8" xfId="4445" xr:uid="{51AD45D9-8693-48F0-9740-A7B949EBB29D}"/>
    <cellStyle name="Input 3 5 9" xfId="3805" xr:uid="{744EFBF7-D8E5-4336-A1F5-77E713F1D664}"/>
    <cellStyle name="Input 3 50" xfId="30815" xr:uid="{3137D187-D5BA-4994-982C-280AF994503B}"/>
    <cellStyle name="Input 3 51" xfId="30834" xr:uid="{6BFFCDB7-E80E-4299-9A7D-C1F04DBC9042}"/>
    <cellStyle name="Input 3 6" xfId="932" xr:uid="{D1D7D482-81EB-4424-AEB2-561F104AA2D4}"/>
    <cellStyle name="Input 3 7" xfId="2057" xr:uid="{FF66476C-8450-48EF-93EB-B5C76F4DF6D7}"/>
    <cellStyle name="Input 3 8" xfId="2241" xr:uid="{F88D91D9-4F43-47CC-A2A2-760CC850509D}"/>
    <cellStyle name="Input 3 9" xfId="3756" xr:uid="{F6B62600-31C8-4419-B8DF-8B6ADBC5E465}"/>
    <cellStyle name="Input 4" xfId="343" xr:uid="{F1974FB9-F6E4-4196-90DA-98D79D25093C}"/>
    <cellStyle name="InputCells" xfId="11" xr:uid="{7178EF6D-87E0-48BF-8BBB-763795055469}"/>
    <cellStyle name="InputCells 2" xfId="143" xr:uid="{13413629-C6C4-49D6-96C3-8E202D91CBD8}"/>
    <cellStyle name="InputCells 3" xfId="194" xr:uid="{ADB60E43-8BA5-497E-BC87-59765815C84C}"/>
    <cellStyle name="InputCells 4" xfId="346" xr:uid="{DBFA5568-AE25-4C62-914C-6768DBB8A84D}"/>
    <cellStyle name="InputCells_Bborder_1" xfId="144" xr:uid="{81C0FB55-87CC-4178-8082-4F54C76042B0}"/>
    <cellStyle name="InputCells12" xfId="20" xr:uid="{9A45EE3B-E8BF-4336-B2E4-7B0494E52BE3}"/>
    <cellStyle name="InputCells12 2" xfId="145" xr:uid="{1504E456-1CB1-4234-85E6-6926146A4EB3}"/>
    <cellStyle name="InputCells12 2 2" xfId="420" xr:uid="{FE690286-C3F4-46F4-8B1B-67B352F942A0}"/>
    <cellStyle name="InputCells12 2 2 2" xfId="594" xr:uid="{D677EDA6-DB60-4DD3-9700-B72FA00DB0BB}"/>
    <cellStyle name="InputCells12 2 2 2 10" xfId="4990" xr:uid="{ACB97DC0-2CD6-4C7F-B344-60A718360EF5}"/>
    <cellStyle name="InputCells12 2 2 2 11" xfId="5242" xr:uid="{AF964B8B-31C1-44E3-85D3-E45DDD536895}"/>
    <cellStyle name="InputCells12 2 2 2 12" xfId="3489" xr:uid="{A78E430F-D410-44B8-BF57-74D78D92B295}"/>
    <cellStyle name="InputCells12 2 2 2 13" xfId="5108" xr:uid="{A435A3B2-B846-4DAC-AFF7-A96D8D6B9F88}"/>
    <cellStyle name="InputCells12 2 2 2 14" xfId="6034" xr:uid="{5D1E83CF-F873-48F0-9949-F46C7CA42290}"/>
    <cellStyle name="InputCells12 2 2 2 15" xfId="7314" xr:uid="{565C75A6-4C13-419A-B4B1-FAC8321EFDE2}"/>
    <cellStyle name="InputCells12 2 2 2 16" xfId="7992" xr:uid="{BCA619E9-896E-4FDE-A5B1-9BA494FE5EBC}"/>
    <cellStyle name="InputCells12 2 2 2 17" xfId="8529" xr:uid="{C6022477-95DE-46FD-93CF-DD4583D8E70C}"/>
    <cellStyle name="InputCells12 2 2 2 18" xfId="8272" xr:uid="{31EB33CA-E91B-41BF-B956-39F9230FFBBE}"/>
    <cellStyle name="InputCells12 2 2 2 19" xfId="9528" xr:uid="{FC587709-A5F2-45A0-BA48-F4BF6BD8FAA8}"/>
    <cellStyle name="InputCells12 2 2 2 2" xfId="809" xr:uid="{C9CEDC2F-6D80-4453-9462-6B7209AAAC2A}"/>
    <cellStyle name="InputCells12 2 2 2 2 10" xfId="5457" xr:uid="{2CE6C1B4-0469-4520-823C-51E325E400CD}"/>
    <cellStyle name="InputCells12 2 2 2 2 11" xfId="2729" xr:uid="{F27E5792-B266-4343-9FD3-26BA6698BDCA}"/>
    <cellStyle name="InputCells12 2 2 2 2 12" xfId="6044" xr:uid="{52FFCCCC-5165-45E5-AFEA-96B710DDC047}"/>
    <cellStyle name="InputCells12 2 2 2 2 13" xfId="6548" xr:uid="{64577002-9020-4B2F-8526-F57D2A6A175C}"/>
    <cellStyle name="InputCells12 2 2 2 2 14" xfId="7529" xr:uid="{09D312FB-447C-45D6-B71F-14765D6FDEA9}"/>
    <cellStyle name="InputCells12 2 2 2 2 15" xfId="6879" xr:uid="{790015A4-2B28-44B6-A140-9BD3CA1F4F85}"/>
    <cellStyle name="InputCells12 2 2 2 2 16" xfId="7146" xr:uid="{53DB1E3A-7364-4C1B-AC23-816A9D1DAEC6}"/>
    <cellStyle name="InputCells12 2 2 2 2 17" xfId="8630" xr:uid="{04356F4C-1150-4779-B622-A1C873E89573}"/>
    <cellStyle name="InputCells12 2 2 2 2 18" xfId="9743" xr:uid="{A43DA1FA-7CFB-4B4A-B25F-98CB9E8DCDC7}"/>
    <cellStyle name="InputCells12 2 2 2 2 19" xfId="9092" xr:uid="{CFC4B23A-A136-4807-A715-5ABCB8967CC5}"/>
    <cellStyle name="InputCells12 2 2 2 2 2" xfId="1283" xr:uid="{89561740-0834-4F11-8BDA-9CCD438343B8}"/>
    <cellStyle name="InputCells12 2 2 2 2 20" xfId="10266" xr:uid="{3D338DC6-38E2-4C8C-AF29-1FF1965E59F4}"/>
    <cellStyle name="InputCells12 2 2 2 2 21" xfId="10565" xr:uid="{1BC1E2BA-7989-43DB-BB14-61098DB13D68}"/>
    <cellStyle name="InputCells12 2 2 2 2 22" xfId="8959" xr:uid="{4B8AEB2F-D177-40F2-9F45-F74A86FF00A8}"/>
    <cellStyle name="InputCells12 2 2 2 2 23" xfId="12162" xr:uid="{2642E987-90DB-436F-9E1E-3DE24A7DF12B}"/>
    <cellStyle name="InputCells12 2 2 2 2 24" xfId="12635" xr:uid="{999DDB07-A7A6-447F-B875-7509011E9B80}"/>
    <cellStyle name="InputCells12 2 2 2 2 25" xfId="13069" xr:uid="{A9D35E5C-76EE-4B4C-AE9E-342FC879B57C}"/>
    <cellStyle name="InputCells12 2 2 2 2 26" xfId="13506" xr:uid="{47A0DADA-BD7B-4BF5-A99D-E0FB7B7C55ED}"/>
    <cellStyle name="InputCells12 2 2 2 2 27" xfId="11559" xr:uid="{8932C1EF-F592-45E3-ACF2-87144FBC68A4}"/>
    <cellStyle name="InputCells12 2 2 2 2 28" xfId="11536" xr:uid="{7E359E3C-ADB1-4B62-9607-7A6796DF12DD}"/>
    <cellStyle name="InputCells12 2 2 2 2 29" xfId="14411" xr:uid="{E36E557B-55AD-4E75-AC03-9994EBF07483}"/>
    <cellStyle name="InputCells12 2 2 2 2 3" xfId="1422" xr:uid="{D1F2C808-D760-4F18-BB24-6CABA44BE5CC}"/>
    <cellStyle name="InputCells12 2 2 2 2 30" xfId="15278" xr:uid="{6D89BE81-AA84-4D6D-8AAC-6CEF3BE7788E}"/>
    <cellStyle name="InputCells12 2 2 2 2 31" xfId="15076" xr:uid="{6C3A6EA5-AFD4-4A29-A7DD-DE8526792F7B}"/>
    <cellStyle name="InputCells12 2 2 2 2 32" xfId="14764" xr:uid="{0AD3F840-709D-4E3A-B9FD-9193199C79B4}"/>
    <cellStyle name="InputCells12 2 2 2 2 33" xfId="16854" xr:uid="{F9930BC9-748F-44D7-9833-11D1B1035416}"/>
    <cellStyle name="InputCells12 2 2 2 2 34" xfId="16195" xr:uid="{4A131A37-A550-4C36-B944-A5292A6EABCB}"/>
    <cellStyle name="InputCells12 2 2 2 2 35" xfId="17388" xr:uid="{D2DBCDD3-4E6A-4423-92D5-B7C625C7B28F}"/>
    <cellStyle name="InputCells12 2 2 2 2 36" xfId="18216" xr:uid="{4B4A4BE9-B3A5-40EC-ADF9-66F947D410A7}"/>
    <cellStyle name="InputCells12 2 2 2 2 37" xfId="18672" xr:uid="{363FE542-D604-4849-8D14-122B63F5BDBF}"/>
    <cellStyle name="InputCells12 2 2 2 2 38" xfId="19043" xr:uid="{EE97E129-3D17-431D-AF58-E9695EACAF4B}"/>
    <cellStyle name="InputCells12 2 2 2 2 39" xfId="18909" xr:uid="{8D8430E2-BD77-4CA8-BD06-CBDC8418D829}"/>
    <cellStyle name="InputCells12 2 2 2 2 4" xfId="2631" xr:uid="{303464D1-D02A-44F4-B7A7-FE5F51A3D556}"/>
    <cellStyle name="InputCells12 2 2 2 2 40" xfId="20191" xr:uid="{FE85D68C-4C2D-4084-AF8C-ABD79860ABFA}"/>
    <cellStyle name="InputCells12 2 2 2 2 41" xfId="19527" xr:uid="{9A660C8C-B9CE-424D-93C7-D0E41455887F}"/>
    <cellStyle name="InputCells12 2 2 2 2 42" xfId="19755" xr:uid="{48353126-76CC-4E3A-BB44-5420A5CC8AAE}"/>
    <cellStyle name="InputCells12 2 2 2 2 43" xfId="21281" xr:uid="{AD9CE8DC-49EC-44AA-9C14-139A06C3A480}"/>
    <cellStyle name="InputCells12 2 2 2 2 44" xfId="21661" xr:uid="{BA365E6B-DEA6-4F8C-9F47-1CCA59866A8A}"/>
    <cellStyle name="InputCells12 2 2 2 2 45" xfId="21963" xr:uid="{9FF09F56-3081-47C1-BA60-7BC46CEE12CB}"/>
    <cellStyle name="InputCells12 2 2 2 2 46" xfId="21672" xr:uid="{8E1AC0AB-F513-4431-8622-BD688A14B42F}"/>
    <cellStyle name="InputCells12 2 2 2 2 47" xfId="23320" xr:uid="{61554405-9314-4A89-90E2-11BBAFD7E159}"/>
    <cellStyle name="InputCells12 2 2 2 2 48" xfId="23439" xr:uid="{4F878B97-588E-4C1D-BFAB-6F1369AE1011}"/>
    <cellStyle name="InputCells12 2 2 2 2 49" xfId="23991" xr:uid="{F869D416-0411-4D31-9F9B-06D0426F74A9}"/>
    <cellStyle name="InputCells12 2 2 2 2 5" xfId="2038" xr:uid="{63FE7051-FAD7-47E7-9D44-1567180848A4}"/>
    <cellStyle name="InputCells12 2 2 2 2 50" xfId="24899" xr:uid="{57332645-036D-4E7F-9F7B-D3E34415F0B2}"/>
    <cellStyle name="InputCells12 2 2 2 2 51" xfId="24464" xr:uid="{99A43550-5969-4258-9414-2989172F91AC}"/>
    <cellStyle name="InputCells12 2 2 2 2 52" xfId="25815" xr:uid="{4A4B25E6-D73E-4AB6-8C14-1B05B846466D}"/>
    <cellStyle name="InputCells12 2 2 2 2 53" xfId="25016" xr:uid="{B683A5EF-3375-4C69-80C2-3142C42AD914}"/>
    <cellStyle name="InputCells12 2 2 2 2 54" xfId="26223" xr:uid="{8D5C3852-9203-4CED-968D-289CB1EB01E2}"/>
    <cellStyle name="InputCells12 2 2 2 2 55" xfId="27103" xr:uid="{8D99B565-8B95-469F-9760-0E779BCCC4A8}"/>
    <cellStyle name="InputCells12 2 2 2 2 56" xfId="27522" xr:uid="{99851493-24B1-4433-B828-C5D4B7ACD30E}"/>
    <cellStyle name="InputCells12 2 2 2 2 57" xfId="26548" xr:uid="{1384A7A6-601B-48B8-AB58-BC9A4DECD027}"/>
    <cellStyle name="InputCells12 2 2 2 2 58" xfId="28649" xr:uid="{2F070A46-061A-44A6-9C8C-40EDC74E7402}"/>
    <cellStyle name="InputCells12 2 2 2 2 59" xfId="29116" xr:uid="{787E63CC-6170-49DD-A458-5A43C4BB948E}"/>
    <cellStyle name="InputCells12 2 2 2 2 6" xfId="3696" xr:uid="{BE540FCC-3CC1-4CFC-89C9-D79EBB2885BA}"/>
    <cellStyle name="InputCells12 2 2 2 2 60" xfId="28233" xr:uid="{272C6D0D-A969-4B1A-9236-19C8C0B8F36D}"/>
    <cellStyle name="InputCells12 2 2 2 2 61" xfId="29905" xr:uid="{3945EC1D-36DD-4013-9E62-2C371630602E}"/>
    <cellStyle name="InputCells12 2 2 2 2 62" xfId="30311" xr:uid="{61F5D271-0F30-4279-860D-F9EF2DDAD3C3}"/>
    <cellStyle name="InputCells12 2 2 2 2 63" xfId="30728" xr:uid="{188C5EEC-BB77-40C3-93E6-1A069354A823}"/>
    <cellStyle name="InputCells12 2 2 2 2 64" xfId="29552" xr:uid="{EE9207E6-2B1D-4E43-BAC9-DD8D3574CB35}"/>
    <cellStyle name="InputCells12 2 2 2 2 65" xfId="31344" xr:uid="{7B3C8310-E1BC-48A7-9DBF-AFA69F32C735}"/>
    <cellStyle name="InputCells12 2 2 2 2 7" xfId="4127" xr:uid="{51E7395E-F621-4893-8595-8FB17A7189B2}"/>
    <cellStyle name="InputCells12 2 2 2 2 8" xfId="4564" xr:uid="{546F5136-7E56-404C-BF2C-2543F7003E6F}"/>
    <cellStyle name="InputCells12 2 2 2 2 9" xfId="3239" xr:uid="{231CFB2A-0B58-4AB3-A222-D1D5F8CBB68C}"/>
    <cellStyle name="InputCells12 2 2 2 20" xfId="10208" xr:uid="{9F7DC70A-332B-4D87-929E-320B79C0684D}"/>
    <cellStyle name="InputCells12 2 2 2 21" xfId="10612" xr:uid="{D45ADA2A-2EB1-4834-ACDC-10027D4934F8}"/>
    <cellStyle name="InputCells12 2 2 2 22" xfId="10891" xr:uid="{B50F9B5E-2152-4D35-A75E-E729938FE7B1}"/>
    <cellStyle name="InputCells12 2 2 2 23" xfId="11177" xr:uid="{A8EACFA9-C41D-4355-B614-6D5C40C8FCCE}"/>
    <cellStyle name="InputCells12 2 2 2 24" xfId="11947" xr:uid="{8CD63319-ECB4-4D0F-8005-A8C8BDC00151}"/>
    <cellStyle name="InputCells12 2 2 2 25" xfId="12420" xr:uid="{DCD0A277-F403-4712-897E-45D42A83A437}"/>
    <cellStyle name="InputCells12 2 2 2 26" xfId="12854" xr:uid="{3E35628F-A191-417E-BDB1-7C238256402E}"/>
    <cellStyle name="InputCells12 2 2 2 27" xfId="13291" xr:uid="{EDB30BC0-5B99-42B1-BA7D-9E6BB2010642}"/>
    <cellStyle name="InputCells12 2 2 2 28" xfId="12308" xr:uid="{015075B7-93E2-4C1B-9E9E-4B5455E73F7C}"/>
    <cellStyle name="InputCells12 2 2 2 29" xfId="14205" xr:uid="{3A99B5EB-C68C-42BA-93AD-4B5164707D92}"/>
    <cellStyle name="InputCells12 2 2 2 3" xfId="1077" xr:uid="{EB18A701-2DBE-4B08-9D6A-02739A71F7AE}"/>
    <cellStyle name="InputCells12 2 2 2 30" xfId="14075" xr:uid="{594B30E1-FDFA-4E31-9551-718BED36741D}"/>
    <cellStyle name="InputCells12 2 2 2 31" xfId="15106" xr:uid="{5E65D536-9827-4A2A-AEE7-647F5464908F}"/>
    <cellStyle name="InputCells12 2 2 2 32" xfId="15556" xr:uid="{698528F3-812E-439B-A26A-0C0DD4B16EA8}"/>
    <cellStyle name="InputCells12 2 2 2 33" xfId="15971" xr:uid="{1609ADCE-CDCF-45AE-92BE-9752578DC3AD}"/>
    <cellStyle name="InputCells12 2 2 2 34" xfId="16639" xr:uid="{A26C7A2A-D54F-4E8C-9AE7-2C53149977BA}"/>
    <cellStyle name="InputCells12 2 2 2 35" xfId="17329" xr:uid="{36602476-8DCD-447F-AAE6-C38363793FFF}"/>
    <cellStyle name="InputCells12 2 2 2 36" xfId="17772" xr:uid="{F8B5C185-6BF6-4FB3-A4E1-EA86E6BE4D60}"/>
    <cellStyle name="InputCells12 2 2 2 37" xfId="16552" xr:uid="{4101E24A-92F5-4473-BD0F-1BDBE1EA3BA7}"/>
    <cellStyle name="InputCells12 2 2 2 38" xfId="18457" xr:uid="{51123B0F-EF5A-4735-A218-5E9C99ED9F74}"/>
    <cellStyle name="InputCells12 2 2 2 39" xfId="17589" xr:uid="{7AAFA8B0-4D88-4DFD-89FB-3287486C3C20}"/>
    <cellStyle name="InputCells12 2 2 2 4" xfId="1638" xr:uid="{A6AAAC7D-E723-4854-A160-51DD392CEEDB}"/>
    <cellStyle name="InputCells12 2 2 2 40" xfId="19237" xr:uid="{BCB81BCC-F174-4A89-A743-D7859264EC13}"/>
    <cellStyle name="InputCells12 2 2 2 41" xfId="19976" xr:uid="{B7192AEA-E821-4ED2-B442-4F0B06F34988}"/>
    <cellStyle name="InputCells12 2 2 2 42" xfId="20680" xr:uid="{E7635C1F-4DBB-45C3-9210-57526AC27078}"/>
    <cellStyle name="InputCells12 2 2 2 43" xfId="21136" xr:uid="{0D434695-D111-43C6-AF80-D2BA23DB5F65}"/>
    <cellStyle name="InputCells12 2 2 2 44" xfId="21115" xr:uid="{287A474C-A2BD-499B-B8F2-2610B2F2C98D}"/>
    <cellStyle name="InputCells12 2 2 2 45" xfId="22068" xr:uid="{12087063-CD91-43C1-B89C-18A806A24B66}"/>
    <cellStyle name="InputCells12 2 2 2 46" xfId="22496" xr:uid="{A8F761BC-11DE-425B-BE29-47D1990F0821}"/>
    <cellStyle name="InputCells12 2 2 2 47" xfId="22387" xr:uid="{21D48587-0780-4FF5-86C0-75E9C9525023}"/>
    <cellStyle name="InputCells12 2 2 2 48" xfId="22784" xr:uid="{D9666F5D-A67F-495E-BAF7-EC9AA2907D07}"/>
    <cellStyle name="InputCells12 2 2 2 49" xfId="23464" xr:uid="{728EB2D3-78AA-4F1C-BC9D-906E25553685}"/>
    <cellStyle name="InputCells12 2 2 2 5" xfId="2416" xr:uid="{C14E3446-8175-4052-81E7-F5958FB0E5E3}"/>
    <cellStyle name="InputCells12 2 2 2 50" xfId="23785" xr:uid="{4BAD6C52-A913-4F93-8DC2-CC547D8BFF57}"/>
    <cellStyle name="InputCells12 2 2 2 51" xfId="24684" xr:uid="{D6202E94-B0CF-48CC-95A2-377E0649EFE5}"/>
    <cellStyle name="InputCells12 2 2 2 52" xfId="25383" xr:uid="{703FFAE5-6BC3-4264-9B85-E8790520AAD3}"/>
    <cellStyle name="InputCells12 2 2 2 53" xfId="25602" xr:uid="{B9E2BF6D-9F52-46F4-AD50-298B9FE2E82A}"/>
    <cellStyle name="InputCells12 2 2 2 54" xfId="24508" xr:uid="{3C58E174-BDEE-40C1-94F0-7460CF0065D2}"/>
    <cellStyle name="InputCells12 2 2 2 55" xfId="25940" xr:uid="{928CBA10-0EEC-4AB2-9D65-B56AB75DB11C}"/>
    <cellStyle name="InputCells12 2 2 2 56" xfId="26892" xr:uid="{D47BA7E2-42A2-4A2D-AB32-E9F96FB713D2}"/>
    <cellStyle name="InputCells12 2 2 2 57" xfId="27311" xr:uid="{D006076D-BF20-4D2D-971C-7DCD4B876AB1}"/>
    <cellStyle name="InputCells12 2 2 2 58" xfId="27682" xr:uid="{6B766C94-1B7B-424C-9240-63B4782B8344}"/>
    <cellStyle name="InputCells12 2 2 2 59" xfId="28434" xr:uid="{E3731350-49AF-47EF-B02D-4A42C77A565A}"/>
    <cellStyle name="InputCells12 2 2 2 6" xfId="1954" xr:uid="{1AAEB20B-2BCC-4267-9366-B3EFCA5C0408}"/>
    <cellStyle name="InputCells12 2 2 2 60" xfId="28902" xr:uid="{D2EC759C-8B86-4503-AF10-22B462681017}"/>
    <cellStyle name="InputCells12 2 2 2 61" xfId="29505" xr:uid="{68AA0501-6C10-43F1-8731-99C7FFA51E14}"/>
    <cellStyle name="InputCells12 2 2 2 62" xfId="29692" xr:uid="{19F34B12-9450-4A98-B3BC-168D720FD284}"/>
    <cellStyle name="InputCells12 2 2 2 63" xfId="30100" xr:uid="{24481FEE-5572-45E8-81F0-0888D679C484}"/>
    <cellStyle name="InputCells12 2 2 2 64" xfId="30514" xr:uid="{59361549-758D-46A1-A015-169378ECA3B4}"/>
    <cellStyle name="InputCells12 2 2 2 65" xfId="30418" xr:uid="{D50CC9A3-B47B-47E9-B1E7-63BF981A8F4D}"/>
    <cellStyle name="InputCells12 2 2 2 66" xfId="31138" xr:uid="{AE79D37D-7065-47F2-9951-334B500AF867}"/>
    <cellStyle name="InputCells12 2 2 2 7" xfId="2164" xr:uid="{4FAAC915-5C45-4226-A17C-0C0EC7A509F5}"/>
    <cellStyle name="InputCells12 2 2 2 8" xfId="3912" xr:uid="{A2591DB2-99C0-4172-B5FE-F0866131064D}"/>
    <cellStyle name="InputCells12 2 2 2 9" xfId="4350" xr:uid="{12C35395-42B7-4482-B824-4F7DC1860477}"/>
    <cellStyle name="InputCells12 2 2 3" xfId="719" xr:uid="{23C51A7D-7966-41E6-B11F-B2A27478AB56}"/>
    <cellStyle name="InputCells12 2 2 3 10" xfId="5367" xr:uid="{579A8F00-2A1C-431B-9B8D-B902AE226397}"/>
    <cellStyle name="InputCells12 2 2 3 11" xfId="5825" xr:uid="{F09D3336-D900-43A9-A6EF-687B1C6C15F1}"/>
    <cellStyle name="InputCells12 2 2 3 12" xfId="6218" xr:uid="{595A4A4B-6D47-4FA5-8A9F-865E53F92ADC}"/>
    <cellStyle name="InputCells12 2 2 3 13" xfId="6587" xr:uid="{79FF506C-CBB4-45AA-B220-BB673B0F6955}"/>
    <cellStyle name="InputCells12 2 2 3 14" xfId="7439" xr:uid="{F024AD27-7A40-4A74-9739-AC6F868A4A87}"/>
    <cellStyle name="InputCells12 2 2 3 15" xfId="6932" xr:uid="{924CF952-DE43-41F5-86A0-2E69E34A5A91}"/>
    <cellStyle name="InputCells12 2 2 3 16" xfId="8651" xr:uid="{DB695427-2DBD-40AD-8D0C-90BDA17E9226}"/>
    <cellStyle name="InputCells12 2 2 3 17" xfId="6951" xr:uid="{6D354CB2-6DBD-4F0F-9743-246359E474CA}"/>
    <cellStyle name="InputCells12 2 2 3 18" xfId="9653" xr:uid="{E3CDC040-F9FA-4F7B-A6C5-BF0411F8BC8C}"/>
    <cellStyle name="InputCells12 2 2 3 19" xfId="9035" xr:uid="{0011C01E-A927-4301-B061-C1351727E483}"/>
    <cellStyle name="InputCells12 2 2 3 2" xfId="1193" xr:uid="{231529B4-BE83-4793-9B49-CF89FEB815AB}"/>
    <cellStyle name="InputCells12 2 2 3 20" xfId="9161" xr:uid="{6758D66E-C495-4D4B-80C9-4FCEB5CBCF35}"/>
    <cellStyle name="InputCells12 2 2 3 21" xfId="10761" xr:uid="{EE0692C7-4CD4-48F3-8B2C-DD1EDC49260B}"/>
    <cellStyle name="InputCells12 2 2 3 22" xfId="10951" xr:uid="{0FBA59B7-335C-4EE6-8628-8974FAFF57FD}"/>
    <cellStyle name="InputCells12 2 2 3 23" xfId="12072" xr:uid="{950286B8-0E17-47EA-9903-F3D3F12FEE79}"/>
    <cellStyle name="InputCells12 2 2 3 24" xfId="12545" xr:uid="{52BCFF47-5291-498D-97A5-EE72C11D5E1A}"/>
    <cellStyle name="InputCells12 2 2 3 25" xfId="12979" xr:uid="{E7874A52-B4F0-48D9-9EB3-65C73566629A}"/>
    <cellStyle name="InputCells12 2 2 3 26" xfId="13416" xr:uid="{96B30D68-40C8-4004-88E5-2F4A1310B901}"/>
    <cellStyle name="InputCells12 2 2 3 27" xfId="13896" xr:uid="{8CFE1B7D-B867-4223-899B-00152B17CA3C}"/>
    <cellStyle name="InputCells12 2 2 3 28" xfId="13635" xr:uid="{CA31AF57-14E0-4E34-9C60-E084035896BF}"/>
    <cellStyle name="InputCells12 2 2 3 29" xfId="13728" xr:uid="{D60A72FD-0370-4F7F-A07C-D481C477DDDC}"/>
    <cellStyle name="InputCells12 2 2 3 3" xfId="1546" xr:uid="{A63339AA-BF40-44DD-A35F-A3E60E448A40}"/>
    <cellStyle name="InputCells12 2 2 3 30" xfId="15277" xr:uid="{BB9B03E8-2438-4546-A8D8-802E0573996C}"/>
    <cellStyle name="InputCells12 2 2 3 31" xfId="15690" xr:uid="{49B7C70C-2458-41F0-BE85-8DC7944D5F66}"/>
    <cellStyle name="InputCells12 2 2 3 32" xfId="15492" xr:uid="{F762E58E-A90F-46CE-AB59-D66EA3C78747}"/>
    <cellStyle name="InputCells12 2 2 3 33" xfId="16764" xr:uid="{F0A3B46B-F06B-4FCA-A710-6E296618B4FE}"/>
    <cellStyle name="InputCells12 2 2 3 34" xfId="16250" xr:uid="{1931019B-69AA-482E-86F9-3688C31267DD}"/>
    <cellStyle name="InputCells12 2 2 3 35" xfId="17191" xr:uid="{DCBD96C5-63E7-4829-B63D-4629113B4F43}"/>
    <cellStyle name="InputCells12 2 2 3 36" xfId="17571" xr:uid="{96D606CF-4B78-47E9-BD8C-091341D09C9E}"/>
    <cellStyle name="InputCells12 2 2 3 37" xfId="18582" xr:uid="{3F7974EE-32B9-4FFE-8CC9-41C5F33B4D96}"/>
    <cellStyle name="InputCells12 2 2 3 38" xfId="18350" xr:uid="{912EDAAB-6741-45C8-858E-95D11D2CAD7B}"/>
    <cellStyle name="InputCells12 2 2 3 39" xfId="19294" xr:uid="{26C75E5D-E4EA-4351-87EC-3A7A380916A2}"/>
    <cellStyle name="InputCells12 2 2 3 4" xfId="2541" xr:uid="{7FE74B58-EDCF-42D5-9A67-5B987BE2B3B5}"/>
    <cellStyle name="InputCells12 2 2 3 40" xfId="20101" xr:uid="{1D7E4474-57F7-43BE-A679-21077AB8E77F}"/>
    <cellStyle name="InputCells12 2 2 3 41" xfId="19629" xr:uid="{A032B93F-01C1-497B-86EE-B4276CB68D8C}"/>
    <cellStyle name="InputCells12 2 2 3 42" xfId="20345" xr:uid="{4311921A-1552-4FC9-A78E-CBE1846560B8}"/>
    <cellStyle name="InputCells12 2 2 3 43" xfId="20455" xr:uid="{538B56D6-CB7E-4910-A644-CF22F3322D7B}"/>
    <cellStyle name="InputCells12 2 2 3 44" xfId="20870" xr:uid="{B45B0FA4-D8D5-4D0F-B5BA-582DE33DDBCE}"/>
    <cellStyle name="InputCells12 2 2 3 45" xfId="21686" xr:uid="{D7889AA5-5847-4A5B-94F1-6A14FE376C2B}"/>
    <cellStyle name="InputCells12 2 2 3 46" xfId="22876" xr:uid="{27C00D0F-A96C-4BAF-A59D-42E592E62B48}"/>
    <cellStyle name="InputCells12 2 2 3 47" xfId="22225" xr:uid="{42125DB3-2AF0-446F-91D6-B86B8EEA477C}"/>
    <cellStyle name="InputCells12 2 2 3 48" xfId="23588" xr:uid="{0F1B2BE6-E23F-4253-BB76-8BDB3C576EF6}"/>
    <cellStyle name="InputCells12 2 2 3 49" xfId="23901" xr:uid="{E263491E-A5B8-4F69-B993-F75F1E9DD5B5}"/>
    <cellStyle name="InputCells12 2 2 3 5" xfId="3064" xr:uid="{E39E27F1-DE08-4572-AB54-5D60AA065967}"/>
    <cellStyle name="InputCells12 2 2 3 50" xfId="24809" xr:uid="{9AFC5375-00CF-4BAE-8A22-A424C0F04EDA}"/>
    <cellStyle name="InputCells12 2 2 3 51" xfId="24130" xr:uid="{982E3559-409D-46D6-8F37-E8A99A401E03}"/>
    <cellStyle name="InputCells12 2 2 3 52" xfId="25725" xr:uid="{C1FFB93F-3A90-4D7A-8B3F-33DD49FB5AF9}"/>
    <cellStyle name="InputCells12 2 2 3 53" xfId="26182" xr:uid="{185AC320-4285-4135-A9EC-8455FEEA7961}"/>
    <cellStyle name="InputCells12 2 2 3 54" xfId="26474" xr:uid="{E9042A55-71F6-4471-9070-93B7427F466F}"/>
    <cellStyle name="InputCells12 2 2 3 55" xfId="27013" xr:uid="{C15B4982-8C8B-4D97-85EF-E17C1B1D0AB8}"/>
    <cellStyle name="InputCells12 2 2 3 56" xfId="27432" xr:uid="{FF59A7A9-C782-4591-BADE-E513577C3421}"/>
    <cellStyle name="InputCells12 2 2 3 57" xfId="27737" xr:uid="{A6251166-5321-4379-9E45-08871C59D844}"/>
    <cellStyle name="InputCells12 2 2 3 58" xfId="28559" xr:uid="{86FA304F-334D-45C6-AF51-1B294B7AD2BA}"/>
    <cellStyle name="InputCells12 2 2 3 59" xfId="29026" xr:uid="{9429BCF4-286E-4CEB-8B68-82CE9201D25C}"/>
    <cellStyle name="InputCells12 2 2 3 6" xfId="3753" xr:uid="{0C23C8D9-C2DE-4C36-8A10-663EED208C7F}"/>
    <cellStyle name="InputCells12 2 2 3 60" xfId="28208" xr:uid="{2B42566D-E3DF-4682-80FB-86A3D005BF8D}"/>
    <cellStyle name="InputCells12 2 2 3 61" xfId="29815" xr:uid="{1975FA26-1320-4FC8-A972-9C65E040F475}"/>
    <cellStyle name="InputCells12 2 2 3 62" xfId="30221" xr:uid="{F976D3F8-A69E-4F3C-916F-EFD1DE187041}"/>
    <cellStyle name="InputCells12 2 2 3 63" xfId="30638" xr:uid="{3274709C-95EA-4595-A284-6D1F2BB00821}"/>
    <cellStyle name="InputCells12 2 2 3 64" xfId="30926" xr:uid="{ECCD18A4-FD6B-4AAA-92A5-0BBEDF11B72F}"/>
    <cellStyle name="InputCells12 2 2 3 65" xfId="31254" xr:uid="{E0CF2B95-6522-4A0A-B0B2-8F26BE6F00B4}"/>
    <cellStyle name="InputCells12 2 2 3 7" xfId="4037" xr:uid="{DFD401EC-2E71-4DCE-89CA-AC6D3A749BAD}"/>
    <cellStyle name="InputCells12 2 2 3 8" xfId="4474" xr:uid="{D5699725-F77B-489C-B63B-95AB5BAAE519}"/>
    <cellStyle name="InputCells12 2 2 3 9" xfId="3292" xr:uid="{B859A495-77FD-4596-AF5E-1A1422DE0A7E}"/>
    <cellStyle name="InputCells12 2 3" xfId="279" xr:uid="{FE2ADDC0-E774-4C9A-B1DD-2668BADC81DC}"/>
    <cellStyle name="InputCells12 2 3 10" xfId="3258" xr:uid="{4FFDA76B-0E62-4163-A1F5-334F1245F818}"/>
    <cellStyle name="InputCells12 2 3 11" xfId="3350" xr:uid="{913963E7-84F7-4C50-BF52-77B8B8CE64CF}"/>
    <cellStyle name="InputCells12 2 3 12" xfId="3463" xr:uid="{41AF326F-436C-4779-B11A-1BBA1767C5FA}"/>
    <cellStyle name="InputCells12 2 3 13" xfId="4808" xr:uid="{36A9FB7F-3B73-4CC9-BCED-B51DEC750AEA}"/>
    <cellStyle name="InputCells12 2 3 14" xfId="3745" xr:uid="{6A6916CB-7D5D-4181-832D-8E5DA97A9508}"/>
    <cellStyle name="InputCells12 2 3 15" xfId="5114" xr:uid="{C7851A0D-7CA8-4E15-B494-4612F5F5F0C9}"/>
    <cellStyle name="InputCells12 2 3 16" xfId="6487" xr:uid="{550AFE8F-C737-4BB5-8D9A-3C8B38783FF6}"/>
    <cellStyle name="InputCells12 2 3 17" xfId="7009" xr:uid="{099C7A5A-7711-439C-906A-124B9347F242}"/>
    <cellStyle name="InputCells12 2 3 18" xfId="7639" xr:uid="{FF245449-E901-40E5-BC91-D125C4A5F3B2}"/>
    <cellStyle name="InputCells12 2 3 19" xfId="8134" xr:uid="{6F52477A-7275-461E-8A94-8A41A4D3A228}"/>
    <cellStyle name="InputCells12 2 3 2" xfId="617" xr:uid="{8EAE4368-E289-4F27-91CC-E3325E251677}"/>
    <cellStyle name="InputCells12 2 3 2 10" xfId="2822" xr:uid="{E4FD8745-B74F-4F30-8B4C-73072B196A91}"/>
    <cellStyle name="InputCells12 2 3 2 11" xfId="5265" xr:uid="{14048626-8357-4EDC-8A5C-04C1B5DF7182}"/>
    <cellStyle name="InputCells12 2 3 2 12" xfId="5729" xr:uid="{5D88D210-F461-4608-8EE1-774645AF0B43}"/>
    <cellStyle name="InputCells12 2 3 2 13" xfId="4743" xr:uid="{FAB4CC88-8DC7-4B85-A9AB-F7A60403E94F}"/>
    <cellStyle name="InputCells12 2 3 2 14" xfId="5630" xr:uid="{82E30113-F850-4FDF-B58D-E6B51BFAC81B}"/>
    <cellStyle name="InputCells12 2 3 2 15" xfId="7337" xr:uid="{E92D6047-A6C5-4B7A-994E-4F3BE57DD9D9}"/>
    <cellStyle name="InputCells12 2 3 2 16" xfId="7990" xr:uid="{9E52606A-7580-48E5-8996-4A2EB5061F61}"/>
    <cellStyle name="InputCells12 2 3 2 17" xfId="8550" xr:uid="{A212FBB0-337F-48A8-97E2-53E590D89B0B}"/>
    <cellStyle name="InputCells12 2 3 2 18" xfId="7958" xr:uid="{C125A2C0-AAA1-4878-9459-5A717F29CFB2}"/>
    <cellStyle name="InputCells12 2 3 2 19" xfId="9551" xr:uid="{4B9AF540-EF76-45BF-B116-4DC254C58F79}"/>
    <cellStyle name="InputCells12 2 3 2 2" xfId="832" xr:uid="{6CF6E12C-7A54-423D-A8F8-B51C94AE84AC}"/>
    <cellStyle name="InputCells12 2 3 2 2 10" xfId="5480" xr:uid="{7CF5C80E-56F1-4084-A8C4-60A8EE05444C}"/>
    <cellStyle name="InputCells12 2 3 2 2 11" xfId="4910" xr:uid="{7B029EC0-DE93-418F-A2F5-286C8893EC6C}"/>
    <cellStyle name="InputCells12 2 3 2 2 12" xfId="6180" xr:uid="{8BDAD63D-AEE7-4876-B453-6695A83ECE7B}"/>
    <cellStyle name="InputCells12 2 3 2 2 13" xfId="6593" xr:uid="{94837B54-250E-4B12-B4BA-CC2780F22879}"/>
    <cellStyle name="InputCells12 2 3 2 2 14" xfId="7552" xr:uid="{F49B3765-2F18-47CB-AA04-C4331A32E1B1}"/>
    <cellStyle name="InputCells12 2 3 2 2 15" xfId="7815" xr:uid="{6670362A-A074-43D9-8824-26BEBD441B2D}"/>
    <cellStyle name="InputCells12 2 3 2 2 16" xfId="7753" xr:uid="{685A3BE3-3348-4C07-9051-E7361F57C9B8}"/>
    <cellStyle name="InputCells12 2 3 2 2 17" xfId="8724" xr:uid="{B7746209-E7AD-4C3E-8B15-B06583A56851}"/>
    <cellStyle name="InputCells12 2 3 2 2 18" xfId="9766" xr:uid="{15BCF072-F11F-4455-AFBC-D0A0BCC2F8F6}"/>
    <cellStyle name="InputCells12 2 3 2 2 19" xfId="10028" xr:uid="{DEB588DB-F28F-4019-8F16-11B4DE13C66A}"/>
    <cellStyle name="InputCells12 2 3 2 2 2" xfId="1306" xr:uid="{7192BE28-726B-4459-86A8-DC67E7E74D5D}"/>
    <cellStyle name="InputCells12 2 3 2 2 20" xfId="10448" xr:uid="{08A8E907-32E0-46EC-9E85-12315CD7F080}"/>
    <cellStyle name="InputCells12 2 3 2 2 21" xfId="10794" xr:uid="{C018E002-61D3-400C-838B-47B184DA7594}"/>
    <cellStyle name="InputCells12 2 3 2 2 22" xfId="11268" xr:uid="{3F5B657B-4D10-4578-AF56-20A475E61715}"/>
    <cellStyle name="InputCells12 2 3 2 2 23" xfId="12185" xr:uid="{95850217-913E-4807-8EAE-731A88239018}"/>
    <cellStyle name="InputCells12 2 3 2 2 24" xfId="12658" xr:uid="{4D18526E-F576-4C27-957B-4E66DE62A1F6}"/>
    <cellStyle name="InputCells12 2 3 2 2 25" xfId="13092" xr:uid="{FABB4C19-7C68-42A6-BBA5-0E5A33F102D3}"/>
    <cellStyle name="InputCells12 2 3 2 2 26" xfId="13529" xr:uid="{04CECC70-82FF-45A2-AF0A-4E90EA9D919D}"/>
    <cellStyle name="InputCells12 2 3 2 2 27" xfId="13796" xr:uid="{2C1849C7-C4B1-4F8B-AF6F-5638F44DB2F7}"/>
    <cellStyle name="InputCells12 2 3 2 2 28" xfId="11518" xr:uid="{B0ED9833-1A2A-4BF1-879D-1512A74260EC}"/>
    <cellStyle name="InputCells12 2 3 2 2 29" xfId="14682" xr:uid="{67C694DC-C8AC-4376-8A36-B127FBFD5D19}"/>
    <cellStyle name="InputCells12 2 3 2 2 3" xfId="1552" xr:uid="{E5953B54-E6D6-448F-B24E-2E15D827A033}"/>
    <cellStyle name="InputCells12 2 3 2 2 30" xfId="14994" xr:uid="{C49A2F42-38CF-4233-9216-9A0B63F8F5C9}"/>
    <cellStyle name="InputCells12 2 3 2 2 31" xfId="14171" xr:uid="{241D694C-997A-4CB7-AB27-0479692E8BCE}"/>
    <cellStyle name="InputCells12 2 3 2 2 32" xfId="15866" xr:uid="{12E6AF16-79E8-40B8-A815-347505110491}"/>
    <cellStyle name="InputCells12 2 3 2 2 33" xfId="16877" xr:uid="{66EB8297-6861-4743-9479-20AF1B4FFD0D}"/>
    <cellStyle name="InputCells12 2 3 2 2 34" xfId="17145" xr:uid="{E2F4D396-EFA7-4642-9CCA-A567CB955240}"/>
    <cellStyle name="InputCells12 2 3 2 2 35" xfId="17592" xr:uid="{473EC84E-6DAA-4377-B8C3-36CC9FC95875}"/>
    <cellStyle name="InputCells12 2 3 2 2 36" xfId="17725" xr:uid="{FAAD8588-B241-42C3-8DA6-BA1B72FB9A02}"/>
    <cellStyle name="InputCells12 2 3 2 2 37" xfId="18695" xr:uid="{599EC862-9089-49FD-8787-063B70B27B69}"/>
    <cellStyle name="InputCells12 2 3 2 2 38" xfId="18901" xr:uid="{5C2E8F68-94F5-4105-A7C4-91DE01E5FD2B}"/>
    <cellStyle name="InputCells12 2 3 2 2 39" xfId="19224" xr:uid="{E5A42B4A-3CC6-4EF3-A9F7-8F883C2E5FC9}"/>
    <cellStyle name="InputCells12 2 3 2 2 4" xfId="2654" xr:uid="{643B3D82-50CA-4322-A1D5-142A15321D1F}"/>
    <cellStyle name="InputCells12 2 3 2 2 40" xfId="20214" xr:uid="{2E9E4289-8D37-4AC4-86B3-CBE944ED1C03}"/>
    <cellStyle name="InputCells12 2 3 2 2 41" xfId="20497" xr:uid="{A2E040C3-6921-4147-B294-8D747B5D6CF0}"/>
    <cellStyle name="InputCells12 2 3 2 2 42" xfId="20952" xr:uid="{01070847-C5E0-4649-B2AD-800D81E170B4}"/>
    <cellStyle name="InputCells12 2 3 2 2 43" xfId="21268" xr:uid="{1ED228C1-AB41-46D8-81A8-3E7624CD7A70}"/>
    <cellStyle name="InputCells12 2 3 2 2 44" xfId="21881" xr:uid="{6A5BBE5D-EE83-4B90-9FB4-EEF3C2572342}"/>
    <cellStyle name="InputCells12 2 3 2 2 45" xfId="22317" xr:uid="{7D42C16B-1462-4494-B90A-C13D9FE711DF}"/>
    <cellStyle name="InputCells12 2 3 2 2 46" xfId="22788" xr:uid="{74D7B6CA-1F17-4366-AE13-D876C3680BF3}"/>
    <cellStyle name="InputCells12 2 3 2 2 47" xfId="23176" xr:uid="{3E584887-7DDD-47FF-8C12-8B1B6903F13E}"/>
    <cellStyle name="InputCells12 2 3 2 2 48" xfId="23267" xr:uid="{43A26389-1651-4D9C-A182-7D332C4258F1}"/>
    <cellStyle name="InputCells12 2 3 2 2 49" xfId="24014" xr:uid="{CD3AC4EB-0F7D-463A-96A5-7744D2469C76}"/>
    <cellStyle name="InputCells12 2 3 2 2 5" xfId="2963" xr:uid="{06226469-64A0-43F8-BF3C-749D559C3C66}"/>
    <cellStyle name="InputCells12 2 3 2 2 50" xfId="24922" xr:uid="{F9A71171-3464-4DA9-BC26-C0B47C986189}"/>
    <cellStyle name="InputCells12 2 3 2 2 51" xfId="25206" xr:uid="{1C5676BB-92C4-4A20-AF59-2AC92AA0A20E}"/>
    <cellStyle name="InputCells12 2 3 2 2 52" xfId="25838" xr:uid="{E25C4792-ABBB-46D8-8B1A-F079AE6ED3C2}"/>
    <cellStyle name="InputCells12 2 3 2 2 53" xfId="26090" xr:uid="{D67DFACA-4EDA-4F7F-AF02-53A293AAD0C1}"/>
    <cellStyle name="InputCells12 2 3 2 2 54" xfId="26442" xr:uid="{71F585DA-CC54-4292-9EC9-D4909F10A08D}"/>
    <cellStyle name="InputCells12 2 3 2 2 55" xfId="27126" xr:uid="{0F50F812-8DD8-47B3-8FAB-32E4EC908755}"/>
    <cellStyle name="InputCells12 2 3 2 2 56" xfId="27545" xr:uid="{073DC460-5A76-4EFD-B415-207F5C0E884B}"/>
    <cellStyle name="InputCells12 2 3 2 2 57" xfId="26362" xr:uid="{3BAF869B-DF80-4BEF-93D2-69CCAA3DD502}"/>
    <cellStyle name="InputCells12 2 3 2 2 58" xfId="28672" xr:uid="{E4B0F0E7-6FCD-4149-AAA2-082D694B8B0F}"/>
    <cellStyle name="InputCells12 2 3 2 2 59" xfId="29139" xr:uid="{0991EB7D-948D-4C8C-9488-486A528D761E}"/>
    <cellStyle name="InputCells12 2 3 2 2 6" xfId="2899" xr:uid="{E0BBBF87-355D-4648-9DE1-11F81F22345F}"/>
    <cellStyle name="InputCells12 2 3 2 2 60" xfId="29348" xr:uid="{AE32E0FC-66F6-42E4-B0CE-BA583F1E2E04}"/>
    <cellStyle name="InputCells12 2 3 2 2 61" xfId="29928" xr:uid="{0E047B4C-3580-492C-AB44-9067F4999C1E}"/>
    <cellStyle name="InputCells12 2 3 2 2 62" xfId="30334" xr:uid="{5B8B9521-EF8D-405E-A8E8-91B19D8F5288}"/>
    <cellStyle name="InputCells12 2 3 2 2 63" xfId="30751" xr:uid="{232D16A0-F239-4851-8EF1-20D8FDDA483D}"/>
    <cellStyle name="InputCells12 2 3 2 2 64" xfId="28190" xr:uid="{BD5DEFD8-3578-49FB-80D2-90A5FCF694FC}"/>
    <cellStyle name="InputCells12 2 3 2 2 65" xfId="31367" xr:uid="{C8DA192C-3204-4B86-9A0B-A2E4C566AD09}"/>
    <cellStyle name="InputCells12 2 3 2 2 7" xfId="4150" xr:uid="{AE7E44D3-4C50-41B5-B50A-7FC987A367A3}"/>
    <cellStyle name="InputCells12 2 3 2 2 8" xfId="4587" xr:uid="{29B146D4-C376-4524-BF32-E13D88C5A1C7}"/>
    <cellStyle name="InputCells12 2 3 2 2 9" xfId="3740" xr:uid="{78C2F0DA-D7BE-4D55-9985-94AE70C39F60}"/>
    <cellStyle name="InputCells12 2 3 2 20" xfId="10206" xr:uid="{2DF38090-6D98-40DC-A35E-45B3DE62ADF2}"/>
    <cellStyle name="InputCells12 2 3 2 21" xfId="10610" xr:uid="{ABE3F2D6-B06E-4DA6-8FD7-249ABFBF8920}"/>
    <cellStyle name="InputCells12 2 3 2 22" xfId="9834" xr:uid="{5D206E20-7B82-4EF7-84C0-707E4AE32B58}"/>
    <cellStyle name="InputCells12 2 3 2 23" xfId="11074" xr:uid="{D4193843-B5FB-4963-835D-1468B3DDD828}"/>
    <cellStyle name="InputCells12 2 3 2 24" xfId="11970" xr:uid="{3C22CEA5-CE17-4F28-80DA-7376A3BB34B3}"/>
    <cellStyle name="InputCells12 2 3 2 25" xfId="12443" xr:uid="{6BF53EEB-6D2A-4509-8AA6-7FEEE78A865A}"/>
    <cellStyle name="InputCells12 2 3 2 26" xfId="12877" xr:uid="{890F24D3-77F3-4153-AA21-CF4628DF595F}"/>
    <cellStyle name="InputCells12 2 3 2 27" xfId="13314" xr:uid="{93D18E54-128E-4860-B10E-C725D5BCA705}"/>
    <cellStyle name="InputCells12 2 3 2 28" xfId="11405" xr:uid="{6B5FC175-9B86-4687-ADEC-7FDEC617B44C}"/>
    <cellStyle name="InputCells12 2 3 2 29" xfId="14304" xr:uid="{CE9F1331-244A-4399-BA76-B47D6397BD1F}"/>
    <cellStyle name="InputCells12 2 3 2 3" xfId="1100" xr:uid="{3A37C695-4325-4A00-B933-09D1E0F94E45}"/>
    <cellStyle name="InputCells12 2 3 2 30" xfId="14334" xr:uid="{0B28FC19-C439-4738-805E-364B7AFE3A3C}"/>
    <cellStyle name="InputCells12 2 3 2 31" xfId="15206" xr:uid="{B149DB99-BA6E-4690-89E4-B16CDC1F7DBD}"/>
    <cellStyle name="InputCells12 2 3 2 32" xfId="15619" xr:uid="{ABA139FD-138D-4CB0-B265-63F598F531CA}"/>
    <cellStyle name="InputCells12 2 3 2 33" xfId="15969" xr:uid="{DDCC163F-4FBC-4333-BEC5-7B69B0281587}"/>
    <cellStyle name="InputCells12 2 3 2 34" xfId="16662" xr:uid="{69462503-EB81-4440-9D9F-2A2DFB99BE70}"/>
    <cellStyle name="InputCells12 2 3 2 35" xfId="17327" xr:uid="{D3286130-70E6-415E-969D-00640858C578}"/>
    <cellStyle name="InputCells12 2 3 2 36" xfId="17770" xr:uid="{532EF38B-130C-4D95-ACA3-8B8EBC35CBD1}"/>
    <cellStyle name="InputCells12 2 3 2 37" xfId="16399" xr:uid="{FF03D42A-65F5-41E5-AFEB-F44C579E15AE}"/>
    <cellStyle name="InputCells12 2 3 2 38" xfId="18480" xr:uid="{A7C8B9E5-CCA3-49B4-A27A-338B778A2317}"/>
    <cellStyle name="InputCells12 2 3 2 39" xfId="18556" xr:uid="{78AAB436-78A3-4440-AD09-B2677476820F}"/>
    <cellStyle name="InputCells12 2 3 2 4" xfId="1636" xr:uid="{5A47EA5D-6570-4D69-A23D-50618DAF44D0}"/>
    <cellStyle name="InputCells12 2 3 2 40" xfId="19190" xr:uid="{71800F61-08FE-4D5F-9882-A0E031CCE5D0}"/>
    <cellStyle name="InputCells12 2 3 2 41" xfId="19999" xr:uid="{57BA448A-C54A-45A2-8CF0-4F081356A6CA}"/>
    <cellStyle name="InputCells12 2 3 2 42" xfId="20678" xr:uid="{A1809DF2-44C9-4F6A-843F-E3D3E8ADF66B}"/>
    <cellStyle name="InputCells12 2 3 2 43" xfId="21134" xr:uid="{18262EC4-C5C2-4DDB-B695-7642C837B2D9}"/>
    <cellStyle name="InputCells12 2 3 2 44" xfId="20476" xr:uid="{1681F28E-C940-4B9B-94BF-002548D363AC}"/>
    <cellStyle name="InputCells12 2 3 2 45" xfId="22066" xr:uid="{E01DB7A8-9BC7-4504-84ED-F82E385D07A0}"/>
    <cellStyle name="InputCells12 2 3 2 46" xfId="22494" xr:uid="{533149FF-0848-48A4-B8F3-B93544B0AA81}"/>
    <cellStyle name="InputCells12 2 3 2 47" xfId="22534" xr:uid="{D7FBDEAD-636E-4938-AF6C-19C1E4F672CE}"/>
    <cellStyle name="InputCells12 2 3 2 48" xfId="22365" xr:uid="{3006C8AE-104A-49F0-A6E0-FF3B8B72390F}"/>
    <cellStyle name="InputCells12 2 3 2 49" xfId="23141" xr:uid="{B8DF5205-0988-437E-A043-657419B9A474}"/>
    <cellStyle name="InputCells12 2 3 2 5" xfId="2439" xr:uid="{55AEB57F-3CCA-497C-8C57-3FFACE8A484B}"/>
    <cellStyle name="InputCells12 2 3 2 50" xfId="23808" xr:uid="{EE9407C9-8FAC-49D9-99B2-CF8E6AF84082}"/>
    <cellStyle name="InputCells12 2 3 2 51" xfId="24707" xr:uid="{4AFABA60-EA86-4EB4-8BE9-266E8D81E822}"/>
    <cellStyle name="InputCells12 2 3 2 52" xfId="25381" xr:uid="{582FC105-150F-4D45-8E1A-AE922753D978}"/>
    <cellStyle name="InputCells12 2 3 2 53" xfId="25625" xr:uid="{5A0BF8A2-5E5F-44EF-A323-1011B0A9AFF0}"/>
    <cellStyle name="InputCells12 2 3 2 54" xfId="25191" xr:uid="{B14168F1-E21E-492A-9C6E-C8D72F6DA34C}"/>
    <cellStyle name="InputCells12 2 3 2 55" xfId="25111" xr:uid="{157A170B-B580-42AC-B790-B1FA13285E7E}"/>
    <cellStyle name="InputCells12 2 3 2 56" xfId="26915" xr:uid="{01BE1672-9BDB-4305-A573-EC82C824B463}"/>
    <cellStyle name="InputCells12 2 3 2 57" xfId="27334" xr:uid="{6D9272B3-01FD-4A7F-A780-C11924160895}"/>
    <cellStyle name="InputCells12 2 3 2 58" xfId="27664" xr:uid="{53B587F2-9452-49EC-B2D4-C6E93BB5C795}"/>
    <cellStyle name="InputCells12 2 3 2 59" xfId="28457" xr:uid="{EC9A87C7-0C18-42AC-88F7-BD2DE8564444}"/>
    <cellStyle name="InputCells12 2 3 2 6" xfId="2186" xr:uid="{539A9B68-768B-4A40-97F8-38E321133DEA}"/>
    <cellStyle name="InputCells12 2 3 2 60" xfId="28925" xr:uid="{93AA4F07-B92D-4901-B81D-1727F52870A1}"/>
    <cellStyle name="InputCells12 2 3 2 61" xfId="29503" xr:uid="{FD511D8C-7B3F-4C5F-8193-06CEBA3CE44E}"/>
    <cellStyle name="InputCells12 2 3 2 62" xfId="29715" xr:uid="{0B2067F5-3E61-41C2-9E04-45447CBC1E2C}"/>
    <cellStyle name="InputCells12 2 3 2 63" xfId="30123" xr:uid="{AE5EA3FA-9F31-405D-A26D-B597D43D3869}"/>
    <cellStyle name="InputCells12 2 3 2 64" xfId="30537" xr:uid="{F9ED2652-D94F-47FF-AB2E-95078DB51514}"/>
    <cellStyle name="InputCells12 2 3 2 65" xfId="30975" xr:uid="{5722D885-7187-4D23-8275-E4F3503C0E54}"/>
    <cellStyle name="InputCells12 2 3 2 66" xfId="31161" xr:uid="{1D6E27D0-72BB-42A7-9241-78490DA1F969}"/>
    <cellStyle name="InputCells12 2 3 2 7" xfId="3303" xr:uid="{DD3AD900-D965-48C8-8753-D00078FD6F70}"/>
    <cellStyle name="InputCells12 2 3 2 8" xfId="3935" xr:uid="{FDBCE3AE-479E-49CB-A164-6C9B2EE5AAB7}"/>
    <cellStyle name="InputCells12 2 3 2 9" xfId="4373" xr:uid="{AD4B9C76-9418-4991-BCEC-C94655A892BD}"/>
    <cellStyle name="InputCells12 2 3 20" xfId="8137" xr:uid="{78081E3F-2030-4A9E-BC7D-EEBFCE6221BA}"/>
    <cellStyle name="InputCells12 2 3 21" xfId="9222" xr:uid="{5071F7AC-F162-49C8-9584-BF05AC17ED1B}"/>
    <cellStyle name="InputCells12 2 3 22" xfId="9849" xr:uid="{90FAEDE8-B713-4FF5-AA35-0D35A6B2C9AE}"/>
    <cellStyle name="InputCells12 2 3 23" xfId="9064" xr:uid="{6FD3DE82-9AD1-411E-8CF1-CCED61A60A27}"/>
    <cellStyle name="InputCells12 2 3 24" xfId="10778" xr:uid="{C2968995-A9DB-4569-8A1E-6942E81D6242}"/>
    <cellStyle name="InputCells12 2 3 25" xfId="11239" xr:uid="{0389DE53-96A5-4AD6-80CF-2D0B5B5D9996}"/>
    <cellStyle name="InputCells12 2 3 26" xfId="11635" xr:uid="{EBD18F52-52A4-4D1A-A296-EC17E9CEC4CF}"/>
    <cellStyle name="InputCells12 2 3 27" xfId="12047" xr:uid="{9DCF4090-BAFD-468A-93C6-1A70EA387849}"/>
    <cellStyle name="InputCells12 2 3 28" xfId="11645" xr:uid="{6EC76F6F-D1A2-46D3-996F-BBB76EAC4F3A}"/>
    <cellStyle name="InputCells12 2 3 29" xfId="11806" xr:uid="{E89DC0A3-C489-48C1-8861-4BE2C8DE4663}"/>
    <cellStyle name="InputCells12 2 3 3" xfId="540" xr:uid="{7491A65D-FA3C-487B-BF40-655964F0EFCB}"/>
    <cellStyle name="InputCells12 2 3 3 10" xfId="4839" xr:uid="{A728E525-8069-4536-8C3D-02A2528CB7CA}"/>
    <cellStyle name="InputCells12 2 3 3 11" xfId="5188" xr:uid="{064BEC4D-0059-4E9B-8173-FEEBA5021A7A}"/>
    <cellStyle name="InputCells12 2 3 3 12" xfId="3481" xr:uid="{A11E4E54-CE21-4BEA-8A6A-50A12EF84AA4}"/>
    <cellStyle name="InputCells12 2 3 3 13" xfId="5661" xr:uid="{40E6F649-CBE8-4C7C-8357-A9D00ED3305C}"/>
    <cellStyle name="InputCells12 2 3 3 14" xfId="6678" xr:uid="{49F1B20A-F8C7-47F2-9CCB-578AA43B66CF}"/>
    <cellStyle name="InputCells12 2 3 3 15" xfId="7260" xr:uid="{E2E4E140-B3F8-4547-B319-40FF493CF5E3}"/>
    <cellStyle name="InputCells12 2 3 3 16" xfId="7138" xr:uid="{0D267E9B-8C13-47DD-8110-25E5AF727FFA}"/>
    <cellStyle name="InputCells12 2 3 3 17" xfId="8160" xr:uid="{50CD1C64-3BA4-428F-B70A-A9BA15CE2558}"/>
    <cellStyle name="InputCells12 2 3 3 18" xfId="6944" xr:uid="{CBA2FD20-8A3D-485D-B35C-75AAB6EA93F6}"/>
    <cellStyle name="InputCells12 2 3 3 19" xfId="9474" xr:uid="{44332C5E-641D-4504-AF6A-A9B55DA36906}"/>
    <cellStyle name="InputCells12 2 3 3 2" xfId="755" xr:uid="{DE740F5F-00D6-4D75-865F-8CA2F36D3893}"/>
    <cellStyle name="InputCells12 2 3 3 2 10" xfId="5403" xr:uid="{71520439-2FC1-4A23-A387-E46EAB54CBC1}"/>
    <cellStyle name="InputCells12 2 3 3 2 11" xfId="5908" xr:uid="{581BDE6D-0666-4C95-8148-7CACDA451AFD}"/>
    <cellStyle name="InputCells12 2 3 3 2 12" xfId="5744" xr:uid="{393D3036-ED54-4724-A2CA-E2F83001F532}"/>
    <cellStyle name="InputCells12 2 3 3 2 13" xfId="6617" xr:uid="{1BA7899F-E557-4322-8220-AEEEF6C99BA1}"/>
    <cellStyle name="InputCells12 2 3 3 2 14" xfId="7475" xr:uid="{5DAC2325-34F7-4271-9EF1-7CFBDA2A41C5}"/>
    <cellStyle name="InputCells12 2 3 3 2 15" xfId="7113" xr:uid="{D6FAD18E-E5D3-4241-BFA7-19AF19717B8A}"/>
    <cellStyle name="InputCells12 2 3 3 2 16" xfId="7865" xr:uid="{3B46D0F5-75A7-47E5-ADCD-D17EBE1E45C8}"/>
    <cellStyle name="InputCells12 2 3 3 2 17" xfId="8788" xr:uid="{DB26563E-DA6F-409F-B760-7D99452FDAAA}"/>
    <cellStyle name="InputCells12 2 3 3 2 18" xfId="9689" xr:uid="{533A552C-FB96-4E80-8479-28F7F7A15BA2}"/>
    <cellStyle name="InputCells12 2 3 3 2 19" xfId="9199" xr:uid="{8EC70834-0BB0-4371-A70A-CAFD364593F5}"/>
    <cellStyle name="InputCells12 2 3 3 2 2" xfId="1229" xr:uid="{82669DB1-DA5C-4A93-9476-FF71A37D31F3}"/>
    <cellStyle name="InputCells12 2 3 3 2 20" xfId="9875" xr:uid="{4A4CDA7B-1A4D-4CBA-8C6D-119BB1C4772D}"/>
    <cellStyle name="InputCells12 2 3 3 2 21" xfId="10389" xr:uid="{93AB9A2D-FBCA-412C-ACBF-44CEFCFCBEE4}"/>
    <cellStyle name="InputCells12 2 3 3 2 22" xfId="11067" xr:uid="{31EBCEE6-14D7-4ECE-AB65-18F128EB1D3D}"/>
    <cellStyle name="InputCells12 2 3 3 2 23" xfId="12108" xr:uid="{4AD15DFF-4C30-494F-8FFC-B1C324CFB303}"/>
    <cellStyle name="InputCells12 2 3 3 2 24" xfId="12581" xr:uid="{EEE966BE-E046-4CD4-AE65-F2213C2495EC}"/>
    <cellStyle name="InputCells12 2 3 3 2 25" xfId="13015" xr:uid="{5BAAE21B-A0AD-4FE3-8E18-647284515FF7}"/>
    <cellStyle name="InputCells12 2 3 3 2 26" xfId="13452" xr:uid="{9D27101A-7630-4A65-9651-E0981E2FED4E}"/>
    <cellStyle name="InputCells12 2 3 3 2 27" xfId="12520" xr:uid="{7AA3B519-A7E8-42ED-8B05-79E504907A55}"/>
    <cellStyle name="InputCells12 2 3 3 2 28" xfId="11475" xr:uid="{0503E021-494B-49D5-9038-9FCB85F9920A}"/>
    <cellStyle name="InputCells12 2 3 3 2 29" xfId="14311" xr:uid="{FA1B3F7C-A10F-4259-9E44-89692CB08529}"/>
    <cellStyle name="InputCells12 2 3 3 2 3" xfId="1564" xr:uid="{6849FAF2-1D09-4A47-9EF8-BC349974CB1A}"/>
    <cellStyle name="InputCells12 2 3 3 2 30" xfId="15327" xr:uid="{E035E73A-34AD-4435-9240-EDCA02E1B607}"/>
    <cellStyle name="InputCells12 2 3 3 2 31" xfId="15722" xr:uid="{A2B8F420-D5A5-497F-9463-77A2AE157AC9}"/>
    <cellStyle name="InputCells12 2 3 3 2 32" xfId="15174" xr:uid="{8F2A1421-5887-4542-8C31-9F1073025648}"/>
    <cellStyle name="InputCells12 2 3 3 2 33" xfId="16800" xr:uid="{0E03BEF7-67F1-4CA4-B11B-90BE6859F87C}"/>
    <cellStyle name="InputCells12 2 3 3 2 34" xfId="16435" xr:uid="{FD4B55CF-BC68-4FC6-AE1F-3E25568128AF}"/>
    <cellStyle name="InputCells12 2 3 3 2 35" xfId="16247" xr:uid="{F8CF3BAE-D543-4414-8D35-79E2E11D1F34}"/>
    <cellStyle name="InputCells12 2 3 3 2 36" xfId="18110" xr:uid="{07258838-9A0B-4014-A463-6D182DB458C8}"/>
    <cellStyle name="InputCells12 2 3 3 2 37" xfId="18618" xr:uid="{33141DAE-B38F-4E4A-9096-3AEE6BE42192}"/>
    <cellStyle name="InputCells12 2 3 3 2 38" xfId="18914" xr:uid="{C08321AD-53DB-4FB8-9C7B-96CD5E1136D6}"/>
    <cellStyle name="InputCells12 2 3 3 2 39" xfId="18090" xr:uid="{1E161B98-5E71-4DAB-9FCF-960E6E250A43}"/>
    <cellStyle name="InputCells12 2 3 3 2 4" xfId="2577" xr:uid="{F4B59176-1F12-43C9-BFD4-985A7F8370F7}"/>
    <cellStyle name="InputCells12 2 3 3 2 40" xfId="20137" xr:uid="{59620BEF-3DBB-40E7-800E-A64971BE998E}"/>
    <cellStyle name="InputCells12 2 3 3 2 41" xfId="19481" xr:uid="{B1A3F75A-41AD-430D-9C4C-9962F8F45EA4}"/>
    <cellStyle name="InputCells12 2 3 3 2 42" xfId="19805" xr:uid="{53D7F5D5-A0ED-4F7C-AB27-FDCEFC57AEAA}"/>
    <cellStyle name="InputCells12 2 3 3 2 43" xfId="20882" xr:uid="{40DA7982-9064-4EED-90B4-20E924A12503}"/>
    <cellStyle name="InputCells12 2 3 3 2 44" xfId="21337" xr:uid="{1AB9893A-821B-49DA-B4FD-F9953B744D9C}"/>
    <cellStyle name="InputCells12 2 3 3 2 45" xfId="21280" xr:uid="{97CC4F37-2A2A-4AA9-AF55-C82989ADCCA8}"/>
    <cellStyle name="InputCells12 2 3 3 2 46" xfId="21309" xr:uid="{68655517-5836-4BA5-A95A-B582DBE2C0D3}"/>
    <cellStyle name="InputCells12 2 3 3 2 47" xfId="23195" xr:uid="{FF6A0E64-037D-47D1-9EDC-B8A864296340}"/>
    <cellStyle name="InputCells12 2 3 3 2 48" xfId="23368" xr:uid="{F7B68A66-35CB-400D-A300-7B72B113F3B8}"/>
    <cellStyle name="InputCells12 2 3 3 2 49" xfId="23937" xr:uid="{C6A83CE9-0B61-4803-8D34-3E3E957555D1}"/>
    <cellStyle name="InputCells12 2 3 3 2 5" xfId="2117" xr:uid="{43ED9D6A-FC89-4C2B-99F3-07785250F184}"/>
    <cellStyle name="InputCells12 2 3 3 2 50" xfId="24845" xr:uid="{E604D510-8A4A-496A-99F6-EDDD868F332D}"/>
    <cellStyle name="InputCells12 2 3 3 2 51" xfId="24313" xr:uid="{A009A694-4199-4248-8523-24EE947C139C}"/>
    <cellStyle name="InputCells12 2 3 3 2 52" xfId="25761" xr:uid="{0245A738-ED17-42BC-AA5E-A8026E543851}"/>
    <cellStyle name="InputCells12 2 3 3 2 53" xfId="25126" xr:uid="{BA1D2BAF-274B-4CF0-8CC2-0B4D43ABCFF7}"/>
    <cellStyle name="InputCells12 2 3 3 2 54" xfId="26551" xr:uid="{E703B909-EB15-45CE-B7A3-78DE204A689F}"/>
    <cellStyle name="InputCells12 2 3 3 2 55" xfId="27049" xr:uid="{F352DFBE-E3A7-4C17-B17F-41134A0D7056}"/>
    <cellStyle name="InputCells12 2 3 3 2 56" xfId="27468" xr:uid="{0D988BE0-1A61-46CF-8EFA-89A89051A70D}"/>
    <cellStyle name="InputCells12 2 3 3 2 57" xfId="27200" xr:uid="{7DE1F87D-B15B-40E6-B052-B85EC86F22B1}"/>
    <cellStyle name="InputCells12 2 3 3 2 58" xfId="28595" xr:uid="{6B467C40-2608-409D-B291-0AB5DD3D63A0}"/>
    <cellStyle name="InputCells12 2 3 3 2 59" xfId="29062" xr:uid="{7F97A54E-DB51-40A3-818F-A46ED23BF8F1}"/>
    <cellStyle name="InputCells12 2 3 3 2 6" xfId="3277" xr:uid="{36EBFD72-1C71-4C34-8DCB-68AE22377AE0}"/>
    <cellStyle name="InputCells12 2 3 3 2 60" xfId="28258" xr:uid="{D4A8AF23-E33C-4978-BF73-256DE05270F4}"/>
    <cellStyle name="InputCells12 2 3 3 2 61" xfId="29851" xr:uid="{C2B55263-403E-422B-A87E-85134DB075FE}"/>
    <cellStyle name="InputCells12 2 3 3 2 62" xfId="30257" xr:uid="{5918FB9A-9E1D-4FEF-94C3-F5B45E7F4FE3}"/>
    <cellStyle name="InputCells12 2 3 3 2 63" xfId="30674" xr:uid="{B493B04F-F7AC-40DC-80AD-1EE811699E0F}"/>
    <cellStyle name="InputCells12 2 3 3 2 64" xfId="28766" xr:uid="{1C0AB8E5-9D2F-4F7D-B05F-C58694068751}"/>
    <cellStyle name="InputCells12 2 3 3 2 65" xfId="31290" xr:uid="{ABC71D48-F596-44BE-9DED-B95C8A3BFA4C}"/>
    <cellStyle name="InputCells12 2 3 3 2 7" xfId="4073" xr:uid="{DA360A05-3F63-4536-8FDA-1169A009C5C5}"/>
    <cellStyle name="InputCells12 2 3 3 2 8" xfId="4510" xr:uid="{E9235175-4D8A-470A-91B4-24B59FDA6850}"/>
    <cellStyle name="InputCells12 2 3 3 2 9" xfId="1944" xr:uid="{A3E6C2C7-539F-4349-8968-54CFF6CCF20C}"/>
    <cellStyle name="InputCells12 2 3 3 20" xfId="9630" xr:uid="{090955DB-6FE8-467A-BDD3-B8050CC9DC13}"/>
    <cellStyle name="InputCells12 2 3 3 21" xfId="9976" xr:uid="{77F093E4-DC19-4BB6-9B6D-09312A37AD2D}"/>
    <cellStyle name="InputCells12 2 3 3 22" xfId="10386" xr:uid="{4492458D-B84A-4EAD-BE53-E4F05D115353}"/>
    <cellStyle name="InputCells12 2 3 3 23" xfId="11295" xr:uid="{D101D98D-5880-46E4-ABAA-3841431DC663}"/>
    <cellStyle name="InputCells12 2 3 3 24" xfId="11893" xr:uid="{1ABA52DE-8194-4468-911C-AE2AFB3E85C0}"/>
    <cellStyle name="InputCells12 2 3 3 25" xfId="12366" xr:uid="{FFB1E3FE-E530-4767-97D5-741EBFE79F4B}"/>
    <cellStyle name="InputCells12 2 3 3 26" xfId="12800" xr:uid="{02325DB3-98BF-47B1-A6EB-535EF1A57E2C}"/>
    <cellStyle name="InputCells12 2 3 3 27" xfId="13237" xr:uid="{D3E7FC7F-12DD-4043-996A-CCBD9D752F8B}"/>
    <cellStyle name="InputCells12 2 3 3 28" xfId="11741" xr:uid="{2F35BDA0-EF2F-41A5-B0F2-F853799D220F}"/>
    <cellStyle name="InputCells12 2 3 3 29" xfId="14342" xr:uid="{F01C1AE6-FA8A-49CB-B832-882DB058BC82}"/>
    <cellStyle name="InputCells12 2 3 3 3" xfId="1023" xr:uid="{2AF97464-0C48-45FE-B74C-BCD97F8721F3}"/>
    <cellStyle name="InputCells12 2 3 3 30" xfId="14818" xr:uid="{1F1D821D-F476-46D3-9176-F04E1A66CAC8}"/>
    <cellStyle name="InputCells12 2 3 3 31" xfId="14876" xr:uid="{4686A8EA-D574-4164-A71D-95DDFA27BFFD}"/>
    <cellStyle name="InputCells12 2 3 3 32" xfId="15102" xr:uid="{DF8A956B-91E1-452F-B8B3-97F32BE8CEFD}"/>
    <cellStyle name="InputCells12 2 3 3 33" xfId="14775" xr:uid="{FFB9EB5B-7203-40F7-B6AB-DB46B92357A4}"/>
    <cellStyle name="InputCells12 2 3 3 34" xfId="16585" xr:uid="{FD17FED2-F6DF-40F5-8692-D087B0470D72}"/>
    <cellStyle name="InputCells12 2 3 3 35" xfId="16461" xr:uid="{0213B52D-8F5E-415F-85B1-994F755C42DE}"/>
    <cellStyle name="InputCells12 2 3 3 36" xfId="17302" xr:uid="{C53195D8-7F86-474D-8BAD-39F6BD63CA87}"/>
    <cellStyle name="InputCells12 2 3 3 37" xfId="17544" xr:uid="{46B2F4A2-776D-4FCD-B239-DB9F8B021A8E}"/>
    <cellStyle name="InputCells12 2 3 3 38" xfId="18403" xr:uid="{6889341E-A604-47BF-9C58-0F6E3BA61CF1}"/>
    <cellStyle name="InputCells12 2 3 3 39" xfId="18018" xr:uid="{C3D176F6-99E0-48A4-8137-ABD0C66942B9}"/>
    <cellStyle name="InputCells12 2 3 3 4" xfId="1698" xr:uid="{0C3E6E8C-202B-46B5-AFAB-54F65282182B}"/>
    <cellStyle name="InputCells12 2 3 3 40" xfId="18875" xr:uid="{6AECA577-09B9-49EC-ADC5-3BDB58194AF7}"/>
    <cellStyle name="InputCells12 2 3 3 41" xfId="19922" xr:uid="{06378CBD-434B-4BD1-BFAF-C1E3E8AE1EB3}"/>
    <cellStyle name="InputCells12 2 3 3 42" xfId="20076" xr:uid="{47ECA9C2-90C6-41DF-81F2-28F76F2A39AB}"/>
    <cellStyle name="InputCells12 2 3 3 43" xfId="20450" xr:uid="{D4B78A9B-D3DA-4CA5-93F5-0DDA57321EBF}"/>
    <cellStyle name="InputCells12 2 3 3 44" xfId="20371" xr:uid="{EEBFBDA5-2CDC-464A-A6FD-0CAE8C98AF1B}"/>
    <cellStyle name="InputCells12 2 3 3 45" xfId="20837" xr:uid="{A168C2DA-39F9-4596-B5D1-E3CAB2E71036}"/>
    <cellStyle name="InputCells12 2 3 3 46" xfId="21826" xr:uid="{838E7497-F124-4A3D-A8F6-3695312572F4}"/>
    <cellStyle name="InputCells12 2 3 3 47" xfId="22311" xr:uid="{94112DDC-C911-48BA-B37F-1C7F5B7758A2}"/>
    <cellStyle name="InputCells12 2 3 3 48" xfId="22785" xr:uid="{D94030BD-C272-46E9-B4CC-2BD10D55B8A9}"/>
    <cellStyle name="InputCells12 2 3 3 49" xfId="22804" xr:uid="{2FF6AB9B-7CCE-419B-9959-6875B4F6FCE9}"/>
    <cellStyle name="InputCells12 2 3 3 5" xfId="2362" xr:uid="{2D372D85-48B2-4965-85F6-B36495BE8DF3}"/>
    <cellStyle name="InputCells12 2 3 3 50" xfId="23731" xr:uid="{4683E0D1-6D98-4CE9-9EA5-E9B5045F8497}"/>
    <cellStyle name="InputCells12 2 3 3 51" xfId="24630" xr:uid="{63548553-1237-447C-B2B9-16A31A2CE9A3}"/>
    <cellStyle name="InputCells12 2 3 3 52" xfId="24111" xr:uid="{10644B62-60A5-47B9-BF0A-7068D9AF9FC7}"/>
    <cellStyle name="InputCells12 2 3 3 53" xfId="25548" xr:uid="{D1496C96-DF9B-49E0-A897-53DE33A41B6C}"/>
    <cellStyle name="InputCells12 2 3 3 54" xfId="25050" xr:uid="{2FB366AF-34A6-41E6-A1C9-B23F47173FEA}"/>
    <cellStyle name="InputCells12 2 3 3 55" xfId="26413" xr:uid="{27FF78F6-F154-444A-BAA3-735D37D93B22}"/>
    <cellStyle name="InputCells12 2 3 3 56" xfId="26838" xr:uid="{E1E92924-2D35-4E73-9A4A-E54435F20433}"/>
    <cellStyle name="InputCells12 2 3 3 57" xfId="27257" xr:uid="{29385733-BD8D-4F5E-B944-3A2DB0506485}"/>
    <cellStyle name="InputCells12 2 3 3 58" xfId="27630" xr:uid="{A3894D06-4AC3-489A-A8DF-42C03749CBF9}"/>
    <cellStyle name="InputCells12 2 3 3 59" xfId="28380" xr:uid="{6902EE04-5F82-4296-8933-ABDDD53E2D32}"/>
    <cellStyle name="InputCells12 2 3 3 6" xfId="1838" xr:uid="{D84F965D-40A2-41E2-B4F4-AE14C78E534B}"/>
    <cellStyle name="InputCells12 2 3 3 60" xfId="28848" xr:uid="{282587C3-5FAB-4DF5-8A41-D27183616478}"/>
    <cellStyle name="InputCells12 2 3 3 61" xfId="28155" xr:uid="{5BCE6D4A-04FF-46CF-B8F5-3CBFECB912CA}"/>
    <cellStyle name="InputCells12 2 3 3 62" xfId="29638" xr:uid="{7FB7AE9C-58A7-4905-A24A-4571BB4756FA}"/>
    <cellStyle name="InputCells12 2 3 3 63" xfId="30046" xr:uid="{5396030E-5571-457E-8656-63E5F68EBFFE}"/>
    <cellStyle name="InputCells12 2 3 3 64" xfId="30460" xr:uid="{31FCA3F6-1B86-43EB-809C-8A5BA45CAC1F}"/>
    <cellStyle name="InputCells12 2 3 3 65" xfId="30623" xr:uid="{1408930A-C4E3-4084-AEAB-92955F4592E1}"/>
    <cellStyle name="InputCells12 2 3 3 66" xfId="31084" xr:uid="{FFAFF13C-3A74-4BAC-BF30-B7E8766E604E}"/>
    <cellStyle name="InputCells12 2 3 3 7" xfId="3496" xr:uid="{E7B35A73-D34F-4580-B1DA-58C92C9B8D58}"/>
    <cellStyle name="InputCells12 2 3 3 8" xfId="3858" xr:uid="{C4B98293-005D-4710-9BED-4DD009B991F2}"/>
    <cellStyle name="InputCells12 2 3 3 9" xfId="4296" xr:uid="{4EA1D0B1-A4EE-4D3E-A762-64651B34C2FA}"/>
    <cellStyle name="InputCells12 2 3 30" xfId="13830" xr:uid="{E67942B3-383C-4EFE-9796-34E46AD90226}"/>
    <cellStyle name="InputCells12 2 3 31" xfId="11504" xr:uid="{3A53A9EC-0CC8-482F-823E-AEBC68339754}"/>
    <cellStyle name="InputCells12 2 3 32" xfId="13990" xr:uid="{30A4467D-0A8D-42C5-811D-C811D7F40630}"/>
    <cellStyle name="InputCells12 2 3 33" xfId="15328" xr:uid="{C76804FF-1A16-465F-BAD7-76A47BB78F83}"/>
    <cellStyle name="InputCells12 2 3 34" xfId="15607" xr:uid="{5D3C82DB-D3B4-4297-AB7B-D714FA366508}"/>
    <cellStyle name="InputCells12 2 3 35" xfId="15728" xr:uid="{771E80A6-CBDD-4E09-AD68-48851E5FB735}"/>
    <cellStyle name="InputCells12 2 3 36" xfId="16330" xr:uid="{61427C3B-C410-430D-AC15-70146141D218}"/>
    <cellStyle name="InputCells12 2 3 37" xfId="16965" xr:uid="{F3724ED0-0930-484D-8F2B-2A1C7FC6864B}"/>
    <cellStyle name="InputCells12 2 3 38" xfId="17066" xr:uid="{0E91C4B2-FC4A-4C8E-BA6B-74E9434220EB}"/>
    <cellStyle name="InputCells12 2 3 39" xfId="17903" xr:uid="{B44C48D1-2AD5-4A79-B73D-3A4FCC0D6A91}"/>
    <cellStyle name="InputCells12 2 3 4" xfId="656" xr:uid="{E5A2F4E9-50A4-4E53-84A0-E274BF2AA459}"/>
    <cellStyle name="InputCells12 2 3 4 10" xfId="4903" xr:uid="{C5CA155A-B693-464C-A1A3-9854727C6DC8}"/>
    <cellStyle name="InputCells12 2 3 4 11" xfId="5304" xr:uid="{07B077D7-938B-4ABF-982F-540841AD0BBF}"/>
    <cellStyle name="InputCells12 2 3 4 12" xfId="4670" xr:uid="{B77C22DA-0649-4951-AC04-D4B05F7F93A7}"/>
    <cellStyle name="InputCells12 2 3 4 13" xfId="5747" xr:uid="{1B02DC0F-4636-49FD-BF91-B7ED46687CAC}"/>
    <cellStyle name="InputCells12 2 3 4 14" xfId="4834" xr:uid="{5656CC5D-79A5-491A-9194-50A04895584C}"/>
    <cellStyle name="InputCells12 2 3 4 15" xfId="7376" xr:uid="{1B9D25DB-9288-4077-985D-A502CF89DFA0}"/>
    <cellStyle name="InputCells12 2 3 4 16" xfId="7040" xr:uid="{BD78FD5E-8882-43B0-943F-C133279562E5}"/>
    <cellStyle name="InputCells12 2 3 4 17" xfId="7975" xr:uid="{E38147EC-A4A0-4F56-BFF1-67EF52505174}"/>
    <cellStyle name="InputCells12 2 3 4 18" xfId="8904" xr:uid="{F8DD2BE8-2DEA-421F-A8E2-158EA564CACE}"/>
    <cellStyle name="InputCells12 2 3 4 19" xfId="9590" xr:uid="{0E9876CA-9CC3-4670-8F0A-FF38590CFB70}"/>
    <cellStyle name="InputCells12 2 3 4 2" xfId="871" xr:uid="{D54D62E8-22D1-4160-8DC8-48ADB632D772}"/>
    <cellStyle name="InputCells12 2 3 4 2 10" xfId="5519" xr:uid="{A211002C-6AB8-49DD-8E1B-8E0F128597C7}"/>
    <cellStyle name="InputCells12 2 3 4 2 11" xfId="6013" xr:uid="{96D56737-5235-495E-AFA3-C229C1382AE7}"/>
    <cellStyle name="InputCells12 2 3 4 2 12" xfId="6372" xr:uid="{49DDFF5E-9000-4011-A329-EE0BF53231DC}"/>
    <cellStyle name="InputCells12 2 3 4 2 13" xfId="6710" xr:uid="{F178DC77-70C4-48AB-9023-0AA6E8FC0474}"/>
    <cellStyle name="InputCells12 2 3 4 2 14" xfId="7591" xr:uid="{8CBABF38-1C00-47EE-B099-66183B843505}"/>
    <cellStyle name="InputCells12 2 3 4 2 15" xfId="8055" xr:uid="{60A17DB4-F0AD-4180-ABC6-A7DECF239A3E}"/>
    <cellStyle name="InputCells12 2 3 4 2 16" xfId="8664" xr:uid="{284E0AF0-7D32-4B98-91CE-65E6E4D1966F}"/>
    <cellStyle name="InputCells12 2 3 4 2 17" xfId="8923" xr:uid="{F7C40439-B4AD-4255-8AAC-E1B029B85E85}"/>
    <cellStyle name="InputCells12 2 3 4 2 18" xfId="9805" xr:uid="{2D663DFA-AA30-40DA-B4DE-60CB6326EFE3}"/>
    <cellStyle name="InputCells12 2 3 4 2 19" xfId="10274" xr:uid="{BEB01F5F-2A59-44C0-BDA1-9E32D63843E8}"/>
    <cellStyle name="InputCells12 2 3 4 2 2" xfId="1345" xr:uid="{A4505340-F653-4F52-B6DC-E2E755623DAF}"/>
    <cellStyle name="InputCells12 2 3 4 2 20" xfId="10668" xr:uid="{F71BCE6C-CF3C-4084-8780-AF46FFECEAF5}"/>
    <cellStyle name="InputCells12 2 3 4 2 21" xfId="11017" xr:uid="{0472D808-8118-4406-9A26-D31428F6D98A}"/>
    <cellStyle name="InputCells12 2 3 4 2 22" xfId="11327" xr:uid="{5FA7DBAB-49A9-4FDD-A42A-61C74F303E73}"/>
    <cellStyle name="InputCells12 2 3 4 2 23" xfId="12224" xr:uid="{A4DBE885-7F64-44D6-BB1E-E6B0745ABF48}"/>
    <cellStyle name="InputCells12 2 3 4 2 24" xfId="12697" xr:uid="{76BBA1E3-39F3-495B-839A-614DE6746180}"/>
    <cellStyle name="InputCells12 2 3 4 2 25" xfId="13131" xr:uid="{483F06C9-793E-432B-A9D0-39A090F6F055}"/>
    <cellStyle name="InputCells12 2 3 4 2 26" xfId="13568" xr:uid="{DF3A9151-9253-40C9-BE75-5E9BA118C314}"/>
    <cellStyle name="InputCells12 2 3 4 2 27" xfId="14040" xr:uid="{3F51C312-75A1-435F-917B-1A7A5C05DDE5}"/>
    <cellStyle name="InputCells12 2 3 4 2 28" xfId="14487" xr:uid="{84D9514C-5519-4A9B-B071-A2750912EA56}"/>
    <cellStyle name="InputCells12 2 3 4 2 29" xfId="14921" xr:uid="{40A3B073-5640-43B5-8D5A-4BB86B1F1139}"/>
    <cellStyle name="InputCells12 2 3 4 2 3" xfId="1794" xr:uid="{B649DA07-1776-457F-A327-FD23CF352466}"/>
    <cellStyle name="InputCells12 2 3 4 2 30" xfId="15391" xr:uid="{10D51C16-439F-4D12-A265-46075095A687}"/>
    <cellStyle name="InputCells12 2 3 4 2 31" xfId="15781" xr:uid="{FE28CD2C-17E9-4CB1-9AD1-BCA400962EFF}"/>
    <cellStyle name="InputCells12 2 3 4 2 32" xfId="16003" xr:uid="{9FB1AF65-DF6A-4419-8F51-CBBB341B44B4}"/>
    <cellStyle name="InputCells12 2 3 4 2 33" xfId="16916" xr:uid="{416DD9C8-1B34-4F20-88B0-513E4DA1EEDB}"/>
    <cellStyle name="InputCells12 2 3 4 2 34" xfId="17397" xr:uid="{BCAE5E7D-F052-4F28-9E68-6362390B5356}"/>
    <cellStyle name="InputCells12 2 3 4 2 35" xfId="17838" xr:uid="{D45E4E91-41A2-4EBB-A1B7-0244565035D8}"/>
    <cellStyle name="InputCells12 2 3 4 2 36" xfId="18313" xr:uid="{C522B9BB-FC75-43EE-AAD0-17F104A26FA6}"/>
    <cellStyle name="InputCells12 2 3 4 2 37" xfId="18734" xr:uid="{DBB735D0-16F1-4A2A-A341-427F1B5B79B0}"/>
    <cellStyle name="InputCells12 2 3 4 2 38" xfId="19121" xr:uid="{287152DF-95D7-4C5E-A0F1-A52C377B968F}"/>
    <cellStyle name="InputCells12 2 3 4 2 39" xfId="19351" xr:uid="{1F69CFBB-7DE6-4998-983E-1E6C6B3A86FD}"/>
    <cellStyle name="InputCells12 2 3 4 2 4" xfId="2693" xr:uid="{374E7ECB-C721-4DC7-92C6-5246916D1A92}"/>
    <cellStyle name="InputCells12 2 3 4 2 40" xfId="20253" xr:uid="{C3090E31-F5CA-4EE3-930C-3AC7532BD7B3}"/>
    <cellStyle name="InputCells12 2 3 4 2 41" xfId="20746" xr:uid="{0D2A545E-0A4E-45B1-A8D3-E8DF15765ABD}"/>
    <cellStyle name="InputCells12 2 3 4 2 42" xfId="21205" xr:uid="{14F2EAA3-9561-4501-9F0D-D2CCB34C5B5E}"/>
    <cellStyle name="InputCells12 2 3 4 2 43" xfId="21697" xr:uid="{EC31BD52-6610-4D80-91D2-9E59E7247BF7}"/>
    <cellStyle name="InputCells12 2 3 4 2 44" xfId="22136" xr:uid="{89AF716C-D733-4C5C-906E-981C728AB61A}"/>
    <cellStyle name="InputCells12 2 3 4 2 45" xfId="22563" xr:uid="{E1E51554-1CFB-465E-8525-6CA176E6989A}"/>
    <cellStyle name="InputCells12 2 3 4 2 46" xfId="23008" xr:uid="{435A3F88-0D23-49CD-A659-E91C0D47A21C}"/>
    <cellStyle name="InputCells12 2 3 4 2 47" xfId="23410" xr:uid="{AA5C0979-1ADB-48EE-9D22-B883EA78FE6D}"/>
    <cellStyle name="InputCells12 2 3 4 2 48" xfId="23673" xr:uid="{CBB672EA-2C2E-4D35-916A-928960F93125}"/>
    <cellStyle name="InputCells12 2 3 4 2 49" xfId="24053" xr:uid="{EE8B9C44-CA10-4764-9C69-6E5541987A3C}"/>
    <cellStyle name="InputCells12 2 3 4 2 5" xfId="3213" xr:uid="{B7191F9B-C501-4BE6-8BAE-6525B3C11F02}"/>
    <cellStyle name="InputCells12 2 3 4 2 50" xfId="24961" xr:uid="{63124E47-CC4D-4117-9806-49C97B6887F3}"/>
    <cellStyle name="InputCells12 2 3 4 2 51" xfId="25449" xr:uid="{DD7E4AE2-F191-4837-B6C8-AD4FFCB3B05C}"/>
    <cellStyle name="InputCells12 2 3 4 2 52" xfId="25877" xr:uid="{7F99E560-8BB7-4042-B3A5-B28BDE8385BF}"/>
    <cellStyle name="InputCells12 2 3 4 2 53" xfId="26315" xr:uid="{D58AA927-0DD5-4C1A-AB45-07A8D2496AF0}"/>
    <cellStyle name="InputCells12 2 3 4 2 54" xfId="26744" xr:uid="{ACF1BB8C-492B-490B-8DF2-EC145828A4B3}"/>
    <cellStyle name="InputCells12 2 3 4 2 55" xfId="27165" xr:uid="{8D1A92AA-70A6-4C0D-9A60-D2832486F0AF}"/>
    <cellStyle name="InputCells12 2 3 4 2 56" xfId="27584" xr:uid="{0402B261-30A8-465F-85C1-7EF76951FDAD}"/>
    <cellStyle name="InputCells12 2 3 4 2 57" xfId="26277" xr:uid="{A3D58D16-675C-4686-9153-6A5C20E163AE}"/>
    <cellStyle name="InputCells12 2 3 4 2 58" xfId="28711" xr:uid="{945D391D-3B5B-4C42-B798-219E8F88F965}"/>
    <cellStyle name="InputCells12 2 3 4 2 59" xfId="29178" xr:uid="{530FB08A-1FE3-44A6-82ED-602F60C5DCCA}"/>
    <cellStyle name="InputCells12 2 3 4 2 6" xfId="3768" xr:uid="{1896FB2F-F981-44FE-A8B1-35637241C7F2}"/>
    <cellStyle name="InputCells12 2 3 4 2 60" xfId="29560" xr:uid="{547C1314-BE8E-455A-8C65-24286381C415}"/>
    <cellStyle name="InputCells12 2 3 4 2 61" xfId="29967" xr:uid="{7B4F14A0-C3BA-4D50-AABE-60DC105550F4}"/>
    <cellStyle name="InputCells12 2 3 4 2 62" xfId="30373" xr:uid="{B5EA414A-0915-4D00-96BA-32A75ACB4A77}"/>
    <cellStyle name="InputCells12 2 3 4 2 63" xfId="30790" xr:uid="{982F6113-5D5C-4D15-BB4B-93837394032F}"/>
    <cellStyle name="InputCells12 2 3 4 2 64" xfId="31035" xr:uid="{1E6AE83C-FE81-4C20-AA9A-ECB69D30A7AE}"/>
    <cellStyle name="InputCells12 2 3 4 2 65" xfId="31406" xr:uid="{9E8D9CAB-277C-4ECD-9450-AF5E9778E72D}"/>
    <cellStyle name="InputCells12 2 3 4 2 7" xfId="4189" xr:uid="{AFFE2F03-2CC2-4E1B-8664-E87DA79072A3}"/>
    <cellStyle name="InputCells12 2 3 4 2 8" xfId="4626" xr:uid="{7F362ADD-4BA3-4F1D-A65D-12B83E9A8341}"/>
    <cellStyle name="InputCells12 2 3 4 2 9" xfId="5072" xr:uid="{C0A913D2-742B-45D8-A217-E2C60E31FBBF}"/>
    <cellStyle name="InputCells12 2 3 4 20" xfId="9253" xr:uid="{6DB5EAF2-BE8E-46B4-B25F-6F50D049E746}"/>
    <cellStyle name="InputCells12 2 3 4 21" xfId="9908" xr:uid="{71FBEDA9-E41A-4C05-A032-33E8BC5FEAE1}"/>
    <cellStyle name="InputCells12 2 3 4 22" xfId="10007" xr:uid="{B8B11C6E-3A02-465B-B6BB-AACAE91B7E08}"/>
    <cellStyle name="InputCells12 2 3 4 23" xfId="11043" xr:uid="{047A273E-DBBC-4699-B6B0-49CC1D82E85A}"/>
    <cellStyle name="InputCells12 2 3 4 24" xfId="12009" xr:uid="{E60356B2-9061-45BD-9128-E059ECBC5192}"/>
    <cellStyle name="InputCells12 2 3 4 25" xfId="12482" xr:uid="{61C76C02-1C4E-41E6-A513-E05CC62496C1}"/>
    <cellStyle name="InputCells12 2 3 4 26" xfId="12916" xr:uid="{09C23B17-F1F9-4668-A3FA-B393C837C195}"/>
    <cellStyle name="InputCells12 2 3 4 27" xfId="13353" xr:uid="{26CFA5E1-DEDC-4DEF-94D9-EA655C72FFD3}"/>
    <cellStyle name="InputCells12 2 3 4 28" xfId="13999" xr:uid="{E03EAB28-5D95-4DC3-8C6A-8F142DFDA4FE}"/>
    <cellStyle name="InputCells12 2 3 4 29" xfId="14114" xr:uid="{1378380C-726F-4BB8-935C-FBFE4AB44D8A}"/>
    <cellStyle name="InputCells12 2 3 4 3" xfId="1139" xr:uid="{D6F6984C-86BD-4911-AED5-45574CE15060}"/>
    <cellStyle name="InputCells12 2 3 4 30" xfId="13697" xr:uid="{85DF08E9-B289-4341-900A-71FF41E69948}"/>
    <cellStyle name="InputCells12 2 3 4 31" xfId="14638" xr:uid="{60996011-75A6-4540-8209-6964C10D5F99}"/>
    <cellStyle name="InputCells12 2 3 4 32" xfId="14591" xr:uid="{0E357697-3DA5-42A0-8692-DB51C32B9A63}"/>
    <cellStyle name="InputCells12 2 3 4 33" xfId="14895" xr:uid="{5B1FB40E-F0EF-4E9C-8FA5-3E8C50C809D2}"/>
    <cellStyle name="InputCells12 2 3 4 34" xfId="16701" xr:uid="{B50401CE-FAA7-46DB-BF43-5AA43613B266}"/>
    <cellStyle name="InputCells12 2 3 4 35" xfId="16363" xr:uid="{3C1EF570-8F61-4125-BDBC-72C16828F31D}"/>
    <cellStyle name="InputCells12 2 3 4 36" xfId="17020" xr:uid="{61E35FF9-AF3E-4A68-B04B-C24570684DCC}"/>
    <cellStyle name="InputCells12 2 3 4 37" xfId="18275" xr:uid="{791CF7AB-BB59-4058-8F31-936C86393E60}"/>
    <cellStyle name="InputCells12 2 3 4 38" xfId="18519" xr:uid="{38EDFB19-F693-4068-A389-52B059B90690}"/>
    <cellStyle name="InputCells12 2 3 4 39" xfId="19097" xr:uid="{9F57EF30-7D9E-4BC9-9815-C0C08788F506}"/>
    <cellStyle name="InputCells12 2 3 4 4" xfId="1723" xr:uid="{F8AC1047-B3AD-4E2F-9422-A3092B057364}"/>
    <cellStyle name="InputCells12 2 3 4 40" xfId="19327" xr:uid="{DD4F3625-5F61-4F57-9778-98AC7D391A69}"/>
    <cellStyle name="InputCells12 2 3 4 41" xfId="20038" xr:uid="{C130EF70-991B-49E7-95B9-129FE968DFED}"/>
    <cellStyle name="InputCells12 2 3 4 42" xfId="19696" xr:uid="{33BE59B5-2170-4C1B-A76A-64F453AE268F}"/>
    <cellStyle name="InputCells12 2 3 4 43" xfId="20646" xr:uid="{0EC0A9F3-6FA9-4E3B-AD8F-6D7A381EE605}"/>
    <cellStyle name="InputCells12 2 3 4 44" xfId="21655" xr:uid="{6C7AA0C9-B72D-4498-A353-3CFA9CB9555D}"/>
    <cellStyle name="InputCells12 2 3 4 45" xfId="21623" xr:uid="{359914A8-0B53-4F18-B5FB-1425B64BF7D4}"/>
    <cellStyle name="InputCells12 2 3 4 46" xfId="20868" xr:uid="{67C69BAA-C59A-4825-AF37-5B66C6E5AB59}"/>
    <cellStyle name="InputCells12 2 3 4 47" xfId="22970" xr:uid="{F5A0FFD0-8043-487E-AAF0-BEB3FD9013CE}"/>
    <cellStyle name="InputCells12 2 3 4 48" xfId="23376" xr:uid="{24626F4F-D258-436B-8C62-D798E609D6AD}"/>
    <cellStyle name="InputCells12 2 3 4 49" xfId="23545" xr:uid="{2050E93F-9A2B-466B-8A7C-D3D0418FCDAD}"/>
    <cellStyle name="InputCells12 2 3 4 5" xfId="2478" xr:uid="{1A3EC22E-E5FC-4E9E-A8A1-5D934B2C7219}"/>
    <cellStyle name="InputCells12 2 3 4 50" xfId="23847" xr:uid="{16B4488B-CCD7-4470-8F6F-610358C251DA}"/>
    <cellStyle name="InputCells12 2 3 4 51" xfId="24746" xr:uid="{94C56023-DC33-4F2F-A33A-1BE400687CA6}"/>
    <cellStyle name="InputCells12 2 3 4 52" xfId="24575" xr:uid="{441B4C6E-EB3B-4799-83F2-D30B04D6C5EE}"/>
    <cellStyle name="InputCells12 2 3 4 53" xfId="25664" xr:uid="{B9EEF6BF-D08B-4D14-8B3A-C0B9B1EA7D7D}"/>
    <cellStyle name="InputCells12 2 3 4 54" xfId="26245" xr:uid="{ECDC145C-00F0-4D56-95A8-1B7AD8DCC345}"/>
    <cellStyle name="InputCells12 2 3 4 55" xfId="26130" xr:uid="{8677A6F0-A8EB-4AEA-BB7E-7E9503D02EA7}"/>
    <cellStyle name="InputCells12 2 3 4 56" xfId="26954" xr:uid="{797623DA-8AC9-4C4B-AD54-07AE735D0D5C}"/>
    <cellStyle name="InputCells12 2 3 4 57" xfId="27373" xr:uid="{34FC8DF4-A446-4318-90EC-2ACCB18E40A1}"/>
    <cellStyle name="InputCells12 2 3 4 58" xfId="26156" xr:uid="{E11DA388-9E08-451E-A6BC-5A4FF9AA77FE}"/>
    <cellStyle name="InputCells12 2 3 4 59" xfId="28496" xr:uid="{F3504916-D800-4DC6-9FC4-C120C7FF78FA}"/>
    <cellStyle name="InputCells12 2 3 4 6" xfId="3170" xr:uid="{77CE32B8-BBFD-4E83-9417-194D2F633227}"/>
    <cellStyle name="InputCells12 2 3 4 60" xfId="28964" xr:uid="{2944F142-E061-4444-96F3-BAC74B1EE4B9}"/>
    <cellStyle name="InputCells12 2 3 4 61" xfId="28806" xr:uid="{749DB374-5D9F-4EE0-BF45-BC4ECFAB0931}"/>
    <cellStyle name="InputCells12 2 3 4 62" xfId="29754" xr:uid="{E63CC1F9-C3B6-4CEE-B5D7-5DF58DE626ED}"/>
    <cellStyle name="InputCells12 2 3 4 63" xfId="30162" xr:uid="{0B38FC2E-3AD4-45B3-8E2C-EAE11229A9CA}"/>
    <cellStyle name="InputCells12 2 3 4 64" xfId="30576" xr:uid="{983498C7-3294-4F8A-A3EB-EFD6964D96B4}"/>
    <cellStyle name="InputCells12 2 3 4 65" xfId="30929" xr:uid="{F6F64ECD-1297-4876-88EA-46BCB2F97C46}"/>
    <cellStyle name="InputCells12 2 3 4 66" xfId="31200" xr:uid="{85D1F245-53BE-41B1-A268-0AC3C83D2C5C}"/>
    <cellStyle name="InputCells12 2 3 4 7" xfId="2221" xr:uid="{F4806964-A740-498D-8D77-79BDD7F5A337}"/>
    <cellStyle name="InputCells12 2 3 4 8" xfId="3974" xr:uid="{919906CA-B3C1-4D84-B9A4-63EAEFC0430F}"/>
    <cellStyle name="InputCells12 2 3 4 9" xfId="4412" xr:uid="{C537F4E0-AA08-4F58-BBD7-7C59790730D6}"/>
    <cellStyle name="InputCells12 2 3 40" xfId="16042" xr:uid="{1A2422AD-4C46-4594-B1F7-D4DA269238EF}"/>
    <cellStyle name="InputCells12 2 3 41" xfId="18941" xr:uid="{8EF724C7-1C37-4BEC-9A47-328C83AB94C3}"/>
    <cellStyle name="InputCells12 2 3 42" xfId="19304" xr:uid="{100D9901-5145-4A05-83E7-C17F9D12FFB2}"/>
    <cellStyle name="InputCells12 2 3 43" xfId="19663" xr:uid="{17E5D64E-5EA5-4DAC-815D-8F714D5CA2FB}"/>
    <cellStyle name="InputCells12 2 3 44" xfId="20312" xr:uid="{A96E9ED8-DE5F-4BF4-8364-515C809EEA78}"/>
    <cellStyle name="InputCells12 2 3 45" xfId="20768" xr:uid="{BAF6F404-A0C4-460E-B6AC-507008FD0475}"/>
    <cellStyle name="InputCells12 2 3 46" xfId="20808" xr:uid="{E7DA26D4-5EED-4A3A-917B-F26FE98491AB}"/>
    <cellStyle name="InputCells12 2 3 47" xfId="20933" xr:uid="{20C036B3-F9F0-4D96-A451-FAE4E65C5030}"/>
    <cellStyle name="InputCells12 2 3 48" xfId="20520" xr:uid="{32A91B0B-F147-44BB-A5D9-3831B6964742}"/>
    <cellStyle name="InputCells12 2 3 49" xfId="22817" xr:uid="{45F5610A-9E65-47CE-B395-8ED13D322E63}"/>
    <cellStyle name="InputCells12 2 3 5" xfId="955" xr:uid="{1D0185CC-C02C-468B-9EB5-FB0604CF6D53}"/>
    <cellStyle name="InputCells12 2 3 50" xfId="23228" xr:uid="{73AA755D-DC8D-417B-8D89-28F35C46B35B}"/>
    <cellStyle name="InputCells12 2 3 51" xfId="23627" xr:uid="{AA6167E3-C20B-4D3D-9A7D-40566AB22873}"/>
    <cellStyle name="InputCells12 2 3 52" xfId="23573" xr:uid="{55C63F8C-CF1F-424E-A346-0BBB84444056}"/>
    <cellStyle name="InputCells12 2 3 53" xfId="24383" xr:uid="{7708BCEC-01B1-4380-A6E7-708A53B80291}"/>
    <cellStyle name="InputCells12 2 3 54" xfId="24321" xr:uid="{546BBDCB-B377-4EBB-ABF2-34124CBBBAA4}"/>
    <cellStyle name="InputCells12 2 3 55" xfId="25332" xr:uid="{313EFFBC-BF1C-4BE6-9E26-9B8003362D3D}"/>
    <cellStyle name="InputCells12 2 3 56" xfId="25470" xr:uid="{66BB50F5-0356-42FB-A23B-3EF902C8619B}"/>
    <cellStyle name="InputCells12 2 3 57" xfId="26287" xr:uid="{0B828CBF-59EE-435F-8B96-76D336728C74}"/>
    <cellStyle name="InputCells12 2 3 58" xfId="26187" xr:uid="{B3D61D46-3046-47B2-B46C-DD20F9ECB637}"/>
    <cellStyle name="InputCells12 2 3 59" xfId="24361" xr:uid="{F1D42C3F-778B-4838-B8CF-810F7C2859E7}"/>
    <cellStyle name="InputCells12 2 3 6" xfId="1466" xr:uid="{A1F3AEE5-C514-4C73-8625-1F7942114316}"/>
    <cellStyle name="InputCells12 2 3 60" xfId="26341" xr:uid="{3AF5A910-1CDB-48E8-BD58-D5763F3559B4}"/>
    <cellStyle name="InputCells12 2 3 61" xfId="28154" xr:uid="{188207A8-A861-4155-9A1F-641DE36D221D}"/>
    <cellStyle name="InputCells12 2 3 62" xfId="27913" xr:uid="{BDF99AE2-32DC-47E1-B402-9B4DAC6268DD}"/>
    <cellStyle name="InputCells12 2 3 63" xfId="28271" xr:uid="{9DFDC870-A242-4530-8E16-DDCE958BB940}"/>
    <cellStyle name="InputCells12 2 3 64" xfId="28278" xr:uid="{8050DA9B-9F6A-4E6A-93D4-383C324BE391}"/>
    <cellStyle name="InputCells12 2 3 65" xfId="29382" xr:uid="{C3A77481-C1AD-4EBC-A4F7-0F87900E26EA}"/>
    <cellStyle name="InputCells12 2 3 66" xfId="29245" xr:uid="{DE687883-7BE2-447D-9F1C-C1E5409E35BD}"/>
    <cellStyle name="InputCells12 2 3 67" xfId="28112" xr:uid="{2A3AC8A3-8F07-4801-975F-33E85B08D4AE}"/>
    <cellStyle name="InputCells12 2 3 68" xfId="30879" xr:uid="{5EA69381-F228-441A-A708-FD2707612B31}"/>
    <cellStyle name="InputCells12 2 3 7" xfId="2103" xr:uid="{7DC3CE65-B97A-4248-9DF9-5D964FD4CE63}"/>
    <cellStyle name="InputCells12 2 3 8" xfId="2996" xr:uid="{80151FAB-A821-4521-B299-242A1866B176}"/>
    <cellStyle name="InputCells12 2 3 9" xfId="3682" xr:uid="{E7844D40-875A-4E66-9B2D-E8CD62AB2B32}"/>
    <cellStyle name="InputCells12 3" xfId="419" xr:uid="{3D9B1F67-42BA-466F-9FC4-E8E7C1440165}"/>
    <cellStyle name="InputCells12 3 2" xfId="524" xr:uid="{2F6F1984-1CBF-4224-9EB9-DC20F450CC07}"/>
    <cellStyle name="InputCells12 3 2 10" xfId="4994" xr:uid="{F4A81C16-A9A6-45C6-9C2F-A2D2DB73397D}"/>
    <cellStyle name="InputCells12 3 2 11" xfId="5172" xr:uid="{8140F143-CABD-42A9-A69D-08E25E200B68}"/>
    <cellStyle name="InputCells12 3 2 12" xfId="4648" xr:uid="{FD17314A-F795-49E2-88A5-25F62A0ECBA7}"/>
    <cellStyle name="InputCells12 3 2 13" xfId="4940" xr:uid="{FC0BFAFD-C5DA-4B4D-9F2C-CA40B3803858}"/>
    <cellStyle name="InputCells12 3 2 14" xfId="5993" xr:uid="{8B673789-A682-4E99-A5B3-7B320D5ED217}"/>
    <cellStyle name="InputCells12 3 2 15" xfId="7244" xr:uid="{751FEA31-8C58-486F-A66F-DE487277EE88}"/>
    <cellStyle name="InputCells12 3 2 16" xfId="7183" xr:uid="{5C0F30A1-17EE-40BE-BBC5-89187A95699B}"/>
    <cellStyle name="InputCells12 3 2 17" xfId="6747" xr:uid="{1DC815E9-7BAD-418A-959D-4655EF25767A}"/>
    <cellStyle name="InputCells12 3 2 18" xfId="8252" xr:uid="{C5F74D81-46B9-4403-A821-9D5CDAD27731}"/>
    <cellStyle name="InputCells12 3 2 19" xfId="9458" xr:uid="{F95E2385-2CA3-4938-ADA1-4ADB2A8A9CF1}"/>
    <cellStyle name="InputCells12 3 2 2" xfId="739" xr:uid="{2E598F35-BC91-43C8-BE96-574437B2D108}"/>
    <cellStyle name="InputCells12 3 2 2 10" xfId="5387" xr:uid="{EE149950-428F-40C5-874E-AD344F17C61E}"/>
    <cellStyle name="InputCells12 3 2 2 11" xfId="2772" xr:uid="{87954818-7433-4C33-971F-2AE5FE18DD59}"/>
    <cellStyle name="InputCells12 3 2 2 12" xfId="4647" xr:uid="{74991862-0128-4942-8028-F8F86C41DEA8}"/>
    <cellStyle name="InputCells12 3 2 2 13" xfId="5574" xr:uid="{B977BFB0-59C9-4EBC-BC53-CEF85CED71D3}"/>
    <cellStyle name="InputCells12 3 2 2 14" xfId="7459" xr:uid="{C7920BD9-126A-4FB0-B6E3-8DCE03527FE7}"/>
    <cellStyle name="InputCells12 3 2 2 15" xfId="6885" xr:uid="{0B4A627E-8A3C-4969-BD74-E71CD98F6D4D}"/>
    <cellStyle name="InputCells12 3 2 2 16" xfId="8155" xr:uid="{CDBA63C5-E2B5-4B6F-AA46-0473ECBB371E}"/>
    <cellStyle name="InputCells12 3 2 2 17" xfId="8900" xr:uid="{60FEE456-D812-4809-A679-C780FCD5240B}"/>
    <cellStyle name="InputCells12 3 2 2 18" xfId="9673" xr:uid="{406E493A-9CE9-4215-A3C8-267E90935A6C}"/>
    <cellStyle name="InputCells12 3 2 2 19" xfId="9099" xr:uid="{84971054-0723-46DF-B70F-8EB9FE51E7D0}"/>
    <cellStyle name="InputCells12 3 2 2 2" xfId="1213" xr:uid="{694B56DF-FF88-435C-82C0-6FF70867BD4B}"/>
    <cellStyle name="InputCells12 3 2 2 20" xfId="8993" xr:uid="{90E03417-1979-43F0-BCED-ED58AFD00E10}"/>
    <cellStyle name="InputCells12 3 2 2 21" xfId="9261" xr:uid="{A77BBFD7-A547-432A-9A71-1AC6CEFB7EE2}"/>
    <cellStyle name="InputCells12 3 2 2 22" xfId="11143" xr:uid="{38616CE0-537A-475A-B65F-E373B8251009}"/>
    <cellStyle name="InputCells12 3 2 2 23" xfId="12092" xr:uid="{0A4327A5-5115-44BA-8B68-8720B4F63C05}"/>
    <cellStyle name="InputCells12 3 2 2 24" xfId="12565" xr:uid="{7E76187A-3292-4A72-B2CF-C0E0D4B1BE5B}"/>
    <cellStyle name="InputCells12 3 2 2 25" xfId="12999" xr:uid="{16A802E1-64B6-4B8A-8B5C-E065B23B686C}"/>
    <cellStyle name="InputCells12 3 2 2 26" xfId="13436" xr:uid="{BE1277A0-E9AC-4D1C-9B04-8E3960C5C344}"/>
    <cellStyle name="InputCells12 3 2 2 27" xfId="13625" xr:uid="{1447E6A0-6C2B-4A78-A8EC-22ED5855DDEC}"/>
    <cellStyle name="InputCells12 3 2 2 28" xfId="13877" xr:uid="{5274FE69-967B-457F-A671-4FBBD91A4002}"/>
    <cellStyle name="InputCells12 3 2 2 29" xfId="11467" xr:uid="{A03D8BD6-D469-446D-9AE9-0AE98A38508F}"/>
    <cellStyle name="InputCells12 3 2 2 3" xfId="1437" xr:uid="{C3EED381-6FF4-4F1A-B706-CA71654BEDBC}"/>
    <cellStyle name="InputCells12 3 2 2 30" xfId="14588" xr:uid="{C320020E-79EF-4032-BD64-8EE721A393AF}"/>
    <cellStyle name="InputCells12 3 2 2 31" xfId="15647" xr:uid="{2B0D446E-2009-486F-A9EB-B2EE26C04F9F}"/>
    <cellStyle name="InputCells12 3 2 2 32" xfId="15055" xr:uid="{C2589D34-68C6-4AB2-83FA-C135642A22CA}"/>
    <cellStyle name="InputCells12 3 2 2 33" xfId="16784" xr:uid="{20C2BAE8-26E2-4964-B304-CD70CFB5F66E}"/>
    <cellStyle name="InputCells12 3 2 2 34" xfId="16202" xr:uid="{08A09012-3DD3-47CD-8D79-37686B82BA4A}"/>
    <cellStyle name="InputCells12 3 2 2 35" xfId="16090" xr:uid="{1DD8D75B-5770-45C9-BAEF-17A1A7CB9834}"/>
    <cellStyle name="InputCells12 3 2 2 36" xfId="18253" xr:uid="{B100AD33-3412-460E-8316-8F9DE735D505}"/>
    <cellStyle name="InputCells12 3 2 2 37" xfId="18602" xr:uid="{5E8885E4-5FD0-46F5-AE65-D5F41EDEF0C6}"/>
    <cellStyle name="InputCells12 3 2 2 38" xfId="19076" xr:uid="{F6F7B2F4-9BC1-48FE-95B5-C6BA16648238}"/>
    <cellStyle name="InputCells12 3 2 2 39" xfId="19177" xr:uid="{4097AA4F-193E-46F4-A4E2-D4FD9EAE7963}"/>
    <cellStyle name="InputCells12 3 2 2 4" xfId="2561" xr:uid="{6CEE369B-F55B-4FA2-83B7-8254E51DFD11}"/>
    <cellStyle name="InputCells12 3 2 2 40" xfId="20121" xr:uid="{018351E1-A329-43AB-B314-E70E6AA83594}"/>
    <cellStyle name="InputCells12 3 2 2 41" xfId="19534" xr:uid="{DDEA422E-FF94-4FD3-87EC-A98CCC2AA47F}"/>
    <cellStyle name="InputCells12 3 2 2 42" xfId="20722" xr:uid="{C317843A-BF64-4CE2-A87E-6B7D9437A172}"/>
    <cellStyle name="InputCells12 3 2 2 43" xfId="21153" xr:uid="{534FB567-02F0-4406-B14E-AEA43D9E8279}"/>
    <cellStyle name="InputCells12 3 2 2 44" xfId="20417" xr:uid="{1D40BA1A-E67C-49F3-83A9-7115F7846923}"/>
    <cellStyle name="InputCells12 3 2 2 45" xfId="21761" xr:uid="{46431C3C-D220-44E6-B4FA-D764A77437BE}"/>
    <cellStyle name="InputCells12 3 2 2 46" xfId="22633" xr:uid="{8CD2BEB1-FB20-4B63-8EAF-23528593DA9D}"/>
    <cellStyle name="InputCells12 3 2 2 47" xfId="23354" xr:uid="{743628AE-F7BB-40B6-988D-1EC5A23B757D}"/>
    <cellStyle name="InputCells12 3 2 2 48" xfId="22034" xr:uid="{40B13E26-9033-47ED-9095-155CC0DE3C23}"/>
    <cellStyle name="InputCells12 3 2 2 49" xfId="23921" xr:uid="{2AAFE575-A6FE-4F43-8F4F-C2F476CD19CE}"/>
    <cellStyle name="InputCells12 3 2 2 5" xfId="2792" xr:uid="{5ADF5EC8-77DE-4170-95C5-01861483A185}"/>
    <cellStyle name="InputCells12 3 2 2 50" xfId="24829" xr:uid="{9DA389EE-A800-4D8B-9C05-51A606D005F4}"/>
    <cellStyle name="InputCells12 3 2 2 51" xfId="24121" xr:uid="{D76CF8F9-912D-4262-B0AD-D1886F3F7CA3}"/>
    <cellStyle name="InputCells12 3 2 2 52" xfId="25745" xr:uid="{3CC1DC61-7694-4736-B908-B656E77394FA}"/>
    <cellStyle name="InputCells12 3 2 2 53" xfId="25147" xr:uid="{CED8AD85-514F-413E-B6CF-E9EEF0AA7859}"/>
    <cellStyle name="InputCells12 3 2 2 54" xfId="25415" xr:uid="{B5F1B5C5-645D-43CD-AD6E-44214137DA56}"/>
    <cellStyle name="InputCells12 3 2 2 55" xfId="27033" xr:uid="{8292FA65-9B88-4A15-B529-A942F32FA86E}"/>
    <cellStyle name="InputCells12 3 2 2 56" xfId="27452" xr:uid="{31013F1D-0941-4C23-99C0-56A0ABF84EE4}"/>
    <cellStyle name="InputCells12 3 2 2 57" xfId="25076" xr:uid="{721952F1-7165-4BE6-872E-F5E368188774}"/>
    <cellStyle name="InputCells12 3 2 2 58" xfId="28579" xr:uid="{30766368-D9CD-4FF3-A9E8-534851001A6C}"/>
    <cellStyle name="InputCells12 3 2 2 59" xfId="29046" xr:uid="{DDFC6331-3B46-4F0B-AF36-6FCE3A48EC09}"/>
    <cellStyle name="InputCells12 3 2 2 6" xfId="2264" xr:uid="{A586319B-DD00-4247-AB2C-AFCA042B5829}"/>
    <cellStyle name="InputCells12 3 2 2 60" xfId="28053" xr:uid="{2C5FA96F-B24E-43DB-90D1-45F938629B54}"/>
    <cellStyle name="InputCells12 3 2 2 61" xfId="29835" xr:uid="{9D4F3D42-F7BD-4494-A523-0519DB6D3164}"/>
    <cellStyle name="InputCells12 3 2 2 62" xfId="30241" xr:uid="{2F618CFD-99AE-4978-9C40-9A43691DC064}"/>
    <cellStyle name="InputCells12 3 2 2 63" xfId="30658" xr:uid="{5CE91B25-BABB-495D-A1E2-03FA19F1EE84}"/>
    <cellStyle name="InputCells12 3 2 2 64" xfId="30402" xr:uid="{AF5C36A8-03D7-450D-B0BA-DB7CC0D8946B}"/>
    <cellStyle name="InputCells12 3 2 2 65" xfId="31274" xr:uid="{B8E5D922-FB30-43EC-A470-95B3DD59D12F}"/>
    <cellStyle name="InputCells12 3 2 2 7" xfId="4057" xr:uid="{32BFCEBF-518A-40E4-A531-1E4C78A6FD20}"/>
    <cellStyle name="InputCells12 3 2 2 8" xfId="4494" xr:uid="{1DDE6E89-F317-4DFD-911C-67DA8916FF75}"/>
    <cellStyle name="InputCells12 3 2 2 9" xfId="2934" xr:uid="{25B39DC9-5E79-4808-9907-BA601B5F1E57}"/>
    <cellStyle name="InputCells12 3 2 20" xfId="9396" xr:uid="{AC5C1D63-9D70-4AC3-801B-046BDBE0BA88}"/>
    <cellStyle name="InputCells12 3 2 21" xfId="9069" xr:uid="{94427692-0CE4-43AA-A69B-EFDDA88641FA}"/>
    <cellStyle name="InputCells12 3 2 22" xfId="10970" xr:uid="{1B4298AB-E9C3-4E73-AA40-DA1F3B70DF32}"/>
    <cellStyle name="InputCells12 3 2 23" xfId="10144" xr:uid="{B744369E-F76C-4F5E-AC9F-CD83FF9CA3E1}"/>
    <cellStyle name="InputCells12 3 2 24" xfId="11877" xr:uid="{966A7840-355E-489A-BD65-BD3F08829451}"/>
    <cellStyle name="InputCells12 3 2 25" xfId="12350" xr:uid="{B359B46C-D065-45F2-86E5-F51401D83537}"/>
    <cellStyle name="InputCells12 3 2 26" xfId="12784" xr:uid="{1EF9D6A1-2BBB-471D-8279-079E5B68DC0A}"/>
    <cellStyle name="InputCells12 3 2 27" xfId="13221" xr:uid="{A337E861-39B2-4622-ACF3-709D99B47937}"/>
    <cellStyle name="InputCells12 3 2 28" xfId="13900" xr:uid="{CB265BD7-17B2-45F6-96F4-4A5D657B3363}"/>
    <cellStyle name="InputCells12 3 2 29" xfId="14209" xr:uid="{734A55C9-5A3A-4BC7-A207-81A1B8744C4F}"/>
    <cellStyle name="InputCells12 3 2 3" xfId="1007" xr:uid="{EDEA2055-0DCC-4EF1-AC27-A08244E02252}"/>
    <cellStyle name="InputCells12 3 2 30" xfId="14723" xr:uid="{9B96B2CC-30D7-4197-BC96-E341A970299B}"/>
    <cellStyle name="InputCells12 3 2 31" xfId="14307" xr:uid="{F9831B30-CC39-40AB-A0E5-58F40B49A95C}"/>
    <cellStyle name="InputCells12 3 2 32" xfId="15104" xr:uid="{9B856237-F8A0-498B-924A-9A1B39EB6E25}"/>
    <cellStyle name="InputCells12 3 2 33" xfId="15778" xr:uid="{20D9706A-E726-4FF0-94EE-1A2ADD5FF0C6}"/>
    <cellStyle name="InputCells12 3 2 34" xfId="16569" xr:uid="{E67EED50-03F9-42AB-8760-5C2E4B474252}"/>
    <cellStyle name="InputCells12 3 2 35" xfId="16505" xr:uid="{2502A5AE-D1A7-4E1B-AD7A-3EA32E8DECBB}"/>
    <cellStyle name="InputCells12 3 2 36" xfId="16056" xr:uid="{E979C660-29DC-4245-9385-41712090C18D}"/>
    <cellStyle name="InputCells12 3 2 37" xfId="17294" xr:uid="{19AC67D6-FF13-43BA-ADE4-15A1AF4699D4}"/>
    <cellStyle name="InputCells12 3 2 38" xfId="18387" xr:uid="{34D3B6B9-C6E1-44DC-AAC3-5C2B99EF4F1E}"/>
    <cellStyle name="InputCells12 3 2 39" xfId="18267" xr:uid="{D3937A89-D9F4-42CB-8BEC-F52B5230EF24}"/>
    <cellStyle name="InputCells12 3 2 4" xfId="1570" xr:uid="{C2E4E49B-C02B-4D62-96A3-FA0730B9F8E0}"/>
    <cellStyle name="InputCells12 3 2 40" xfId="19289" xr:uid="{30F79B63-28F3-4AC8-9D17-A83A9FDF5DAA}"/>
    <cellStyle name="InputCells12 3 2 41" xfId="19906" xr:uid="{08C4E10B-CC02-4AE7-AF96-FE48524DEB4B}"/>
    <cellStyle name="InputCells12 3 2 42" xfId="19841" xr:uid="{42CBAA30-9B99-4FEE-B132-541B5CE369AE}"/>
    <cellStyle name="InputCells12 3 2 43" xfId="20709" xr:uid="{CC14CC0E-2752-4368-A28F-356EAECAFA93}"/>
    <cellStyle name="InputCells12 3 2 44" xfId="20953" xr:uid="{7261B1C8-2D38-4602-8F65-746DFDEFA1E8}"/>
    <cellStyle name="InputCells12 3 2 45" xfId="21090" xr:uid="{0F468C40-D964-4AA3-B349-692E5A6BF109}"/>
    <cellStyle name="InputCells12 3 2 46" xfId="22086" xr:uid="{336A8129-3AD1-441E-8CDF-52F2F597A344}"/>
    <cellStyle name="InputCells12 3 2 47" xfId="22880" xr:uid="{3A861F31-9E8D-4578-AEF8-28FA9BD9BE58}"/>
    <cellStyle name="InputCells12 3 2 48" xfId="22709" xr:uid="{CB997242-8A3C-4628-AFCC-EC1E9B715A6A}"/>
    <cellStyle name="InputCells12 3 2 49" xfId="23525" xr:uid="{0C3F25B4-2E04-42F8-BEB2-4DFF38F66F66}"/>
    <cellStyle name="InputCells12 3 2 5" xfId="2346" xr:uid="{1E4A83AC-44D1-4616-8B81-021B53F57546}"/>
    <cellStyle name="InputCells12 3 2 50" xfId="23715" xr:uid="{2C27E573-A882-4C50-94CB-BB9A9BF429EA}"/>
    <cellStyle name="InputCells12 3 2 51" xfId="24614" xr:uid="{E3AD1ADA-0830-41E6-A70B-828F573CF908}"/>
    <cellStyle name="InputCells12 3 2 52" xfId="24415" xr:uid="{DD27A654-4425-49A9-A0FE-45CB38417ABF}"/>
    <cellStyle name="InputCells12 3 2 53" xfId="25532" xr:uid="{B9223DB5-C6E1-40A3-A740-5E8EB7A5A176}"/>
    <cellStyle name="InputCells12 3 2 54" xfId="25992" xr:uid="{DEA1D873-5DA7-4972-A252-5E47D51AA992}"/>
    <cellStyle name="InputCells12 3 2 55" xfId="26047" xr:uid="{696268FD-B63C-4C9B-A49E-8ADCAD815F19}"/>
    <cellStyle name="InputCells12 3 2 56" xfId="26822" xr:uid="{7AAEDA0C-EC84-4ABC-82DD-B2C662DC1BAA}"/>
    <cellStyle name="InputCells12 3 2 57" xfId="27241" xr:uid="{27253D6E-0EE8-47A7-9899-45400C93161F}"/>
    <cellStyle name="InputCells12 3 2 58" xfId="26377" xr:uid="{D371139A-38D9-4C0B-B249-5C070F77A490}"/>
    <cellStyle name="InputCells12 3 2 59" xfId="28364" xr:uid="{93208B70-0980-4D7F-BC18-4CBDFD9FE551}"/>
    <cellStyle name="InputCells12 3 2 6" xfId="3068" xr:uid="{F58AB117-C43B-48FE-B642-FE0E128F5E1B}"/>
    <cellStyle name="InputCells12 3 2 60" xfId="28832" xr:uid="{05BF16DB-D796-41C0-83C2-3331F310C26B}"/>
    <cellStyle name="InputCells12 3 2 61" xfId="28216" xr:uid="{158387D9-DCDD-4750-9457-77EFAD905E5D}"/>
    <cellStyle name="InputCells12 3 2 62" xfId="29622" xr:uid="{B0903C37-54E6-4AF1-B219-6F2BF44EB73F}"/>
    <cellStyle name="InputCells12 3 2 63" xfId="30030" xr:uid="{D0D660FF-FE8F-40E5-A80B-6F2316EC65DA}"/>
    <cellStyle name="InputCells12 3 2 64" xfId="30444" xr:uid="{6E2EE919-EE09-4629-983B-88EE8DF14CE2}"/>
    <cellStyle name="InputCells12 3 2 65" xfId="30839" xr:uid="{3B72DA5B-6063-45AF-B902-A393155B40DB}"/>
    <cellStyle name="InputCells12 3 2 66" xfId="31068" xr:uid="{971AF26F-DD09-40BB-8AEB-98A60BC6723B}"/>
    <cellStyle name="InputCells12 3 2 7" xfId="2157" xr:uid="{A671382C-8A79-43EA-9F88-B43BC40FC619}"/>
    <cellStyle name="InputCells12 3 2 8" xfId="3842" xr:uid="{E799284A-C621-44CA-A8C4-C16FFAE2419C}"/>
    <cellStyle name="InputCells12 3 2 9" xfId="4280" xr:uid="{CE661517-BF62-4674-9B13-6963422A67B2}"/>
    <cellStyle name="InputCells12 3 3" xfId="718" xr:uid="{97BD65BD-95B6-40D7-953E-E56D4000FABB}"/>
    <cellStyle name="InputCells12 3 3 10" xfId="5366" xr:uid="{DFC9353B-832C-4D4B-B96E-B4AAFF43CFB6}"/>
    <cellStyle name="InputCells12 3 3 11" xfId="3264" xr:uid="{AA26C2B8-F5DC-4CC2-8A20-123F39D333E9}"/>
    <cellStyle name="InputCells12 3 3 12" xfId="6252" xr:uid="{6A26F9CE-79B3-48A8-9E5F-16E33BB81DBC}"/>
    <cellStyle name="InputCells12 3 3 13" xfId="6692" xr:uid="{3CE38BEB-1834-43E8-BDE2-EFDE36531E7F}"/>
    <cellStyle name="InputCells12 3 3 14" xfId="7438" xr:uid="{089F6AE1-B367-4F08-9AE5-DDEBF8A13AB3}"/>
    <cellStyle name="InputCells12 3 3 15" xfId="7712" xr:uid="{62D4B69B-0865-4A3C-8BFF-ED4C82146242}"/>
    <cellStyle name="InputCells12 3 3 16" xfId="8144" xr:uid="{F6F33673-B1D9-4451-BBFB-54FF8B2D5703}"/>
    <cellStyle name="InputCells12 3 3 17" xfId="8905" xr:uid="{27934783-336E-4629-A060-127A6D698C61}"/>
    <cellStyle name="InputCells12 3 3 18" xfId="9652" xr:uid="{E6867D2F-573E-41DB-BCBC-98FAD9E0436D}"/>
    <cellStyle name="InputCells12 3 3 19" xfId="9926" xr:uid="{422ABAE6-D5FD-4279-A595-506775A42B49}"/>
    <cellStyle name="InputCells12 3 3 2" xfId="1192" xr:uid="{DA873FC9-5388-4F06-879A-6B3E98773264}"/>
    <cellStyle name="InputCells12 3 3 20" xfId="10357" xr:uid="{BE37EC7F-E9CF-41E0-B75B-B293DE03C16A}"/>
    <cellStyle name="InputCells12 3 3 21" xfId="10861" xr:uid="{1E35F427-73CB-4EFF-8396-1D1617DC2D7C}"/>
    <cellStyle name="InputCells12 3 3 22" xfId="11309" xr:uid="{4384E08D-9A42-480F-9EA6-2C7E43229044}"/>
    <cellStyle name="InputCells12 3 3 23" xfId="12071" xr:uid="{D5D71556-BEC7-45CD-AD86-3F6158E1C4E7}"/>
    <cellStyle name="InputCells12 3 3 24" xfId="12544" xr:uid="{BFB4E924-79F4-42C2-901D-CAB02680B2C1}"/>
    <cellStyle name="InputCells12 3 3 25" xfId="12978" xr:uid="{72FEE780-DDC0-4F78-8998-4B6C7A6C2729}"/>
    <cellStyle name="InputCells12 3 3 26" xfId="13415" xr:uid="{A51A965E-02A5-4925-B55B-57B8D1CB95A8}"/>
    <cellStyle name="InputCells12 3 3 27" xfId="14001" xr:uid="{C8B8EDAB-9E3D-4BBF-BD33-4C00CF7CE17B}"/>
    <cellStyle name="InputCells12 3 3 28" xfId="13732" xr:uid="{225C1AAE-D6AB-43A3-A46F-A9698E06C84B}"/>
    <cellStyle name="InputCells12 3 3 29" xfId="14578" xr:uid="{9AC14BA0-B178-43C0-A6DB-84B618FD8A6D}"/>
    <cellStyle name="InputCells12 3 3 3" xfId="1445" xr:uid="{D3FC9A97-CC5E-46D5-8F5F-27D123B42DD8}"/>
    <cellStyle name="InputCells12 3 3 30" xfId="14674" xr:uid="{0EA6C10F-C88C-467D-B23A-570C60654EB1}"/>
    <cellStyle name="InputCells12 3 3 31" xfId="14629" xr:uid="{5E74C3A8-C5DF-45F3-883D-837B8B29E1A5}"/>
    <cellStyle name="InputCells12 3 3 32" xfId="15814" xr:uid="{FD57BD7E-90CB-47EB-8AEC-382D832B3F05}"/>
    <cellStyle name="InputCells12 3 3 33" xfId="16763" xr:uid="{48B10CE5-8AA3-481F-8E27-60578F87F072}"/>
    <cellStyle name="InputCells12 3 3 34" xfId="17040" xr:uid="{59B3EB52-1640-4E37-B166-419968EB3FFE}"/>
    <cellStyle name="InputCells12 3 3 35" xfId="17488" xr:uid="{DA9B54FE-E44D-4DE6-BBDE-FBEB34EC9883}"/>
    <cellStyle name="InputCells12 3 3 36" xfId="18277" xr:uid="{F72A3C2B-A2EC-4B0E-9B21-DC941258FA2E}"/>
    <cellStyle name="InputCells12 3 3 37" xfId="18581" xr:uid="{711F3045-781E-4C21-A337-D8E297A538D3}"/>
    <cellStyle name="InputCells12 3 3 38" xfId="19098" xr:uid="{8D39FCE6-66AF-4D59-BF13-3FF79ADC8DE7}"/>
    <cellStyle name="InputCells12 3 3 39" xfId="19193" xr:uid="{D1D96F79-0489-42D7-9E3E-890E537A2858}"/>
    <cellStyle name="InputCells12 3 3 4" xfId="2540" xr:uid="{D6697E4F-7985-4E02-A646-7D724710FFAD}"/>
    <cellStyle name="InputCells12 3 3 40" xfId="20100" xr:uid="{C0B9B25E-E843-48D1-8E4B-5ACE25C2AE9B}"/>
    <cellStyle name="InputCells12 3 3 41" xfId="20392" xr:uid="{F08B00F3-414A-4799-86ED-A7424D1BC1F6}"/>
    <cellStyle name="InputCells12 3 3 42" xfId="20845" xr:uid="{7F3D5A59-DF06-4558-86EF-D5CD9FFE57D1}"/>
    <cellStyle name="InputCells12 3 3 43" xfId="21657" xr:uid="{C645A4F3-8BE2-4CFA-818A-E4F26684A0B4}"/>
    <cellStyle name="InputCells12 3 3 44" xfId="21778" xr:uid="{B8B1FB98-7719-44C3-8E2D-AD67A7D3B540}"/>
    <cellStyle name="InputCells12 3 3 45" xfId="22215" xr:uid="{C445C8B2-33A1-49FB-B93B-9C9C9091900B}"/>
    <cellStyle name="InputCells12 3 3 46" xfId="22972" xr:uid="{09589F56-42ED-4C3B-B834-1480739B478E}"/>
    <cellStyle name="InputCells12 3 3 47" xfId="23378" xr:uid="{7AF79550-501D-4060-81A7-0F9725E99C0D}"/>
    <cellStyle name="InputCells12 3 3 48" xfId="23600" xr:uid="{949E575D-5D7C-46CF-BCFA-27FE8530369E}"/>
    <cellStyle name="InputCells12 3 3 49" xfId="23900" xr:uid="{FB0FFB91-21FD-4EE8-9DD2-53A1BF965432}"/>
    <cellStyle name="InputCells12 3 3 5" xfId="3172" xr:uid="{822A697C-7EE4-40F0-B37B-F30B952BEDF9}"/>
    <cellStyle name="InputCells12 3 3 50" xfId="24808" xr:uid="{82AB6F14-3A59-4C6E-85D0-57F7B5DCB32A}"/>
    <cellStyle name="InputCells12 3 3 51" xfId="25102" xr:uid="{8861841E-5225-40E9-AE0D-D3FE3E3D5151}"/>
    <cellStyle name="InputCells12 3 3 52" xfId="25724" xr:uid="{0054EC14-63EC-4809-AC17-D269CD0CC41C}"/>
    <cellStyle name="InputCells12 3 3 53" xfId="26278" xr:uid="{E010E995-42E9-4762-9934-472EE7B23A5B}"/>
    <cellStyle name="InputCells12 3 3 54" xfId="24260" xr:uid="{02C949B6-96FF-40FD-8746-EA2004DDC426}"/>
    <cellStyle name="InputCells12 3 3 55" xfId="27012" xr:uid="{B44774A0-FC77-41DE-BE5A-135BA89831AE}"/>
    <cellStyle name="InputCells12 3 3 56" xfId="27431" xr:uid="{F1CCA602-AF40-4E47-87E7-8FDD4FA65D82}"/>
    <cellStyle name="InputCells12 3 3 57" xfId="27676" xr:uid="{A0A60879-119E-4A6C-8195-3F6DC9A70534}"/>
    <cellStyle name="InputCells12 3 3 58" xfId="28558" xr:uid="{9AB0B817-9A1A-42E0-8571-E426973BB414}"/>
    <cellStyle name="InputCells12 3 3 59" xfId="29025" xr:uid="{0F78E729-EB8E-4978-9EA7-C72B0B11066A}"/>
    <cellStyle name="InputCells12 3 3 6" xfId="3466" xr:uid="{F1E0162E-20B0-4660-B46C-6B133C902AB5}"/>
    <cellStyle name="InputCells12 3 3 60" xfId="29256" xr:uid="{61F58A83-E085-4908-85E1-26C870AB4176}"/>
    <cellStyle name="InputCells12 3 3 61" xfId="29814" xr:uid="{B1730EF7-6D78-437B-BFDF-FC6B6895353F}"/>
    <cellStyle name="InputCells12 3 3 62" xfId="30220" xr:uid="{E0130ABD-66B8-463E-A73A-B8FA9150BD3B}"/>
    <cellStyle name="InputCells12 3 3 63" xfId="30637" xr:uid="{E91E6737-04C3-4080-AD92-EAEC13D4BD9C}"/>
    <cellStyle name="InputCells12 3 3 64" xfId="30430" xr:uid="{B1CB3A9E-C68C-479D-8CF7-8F6FEDE020DC}"/>
    <cellStyle name="InputCells12 3 3 65" xfId="31253" xr:uid="{4B455A02-9FD8-4727-9567-0F47CBA769D5}"/>
    <cellStyle name="InputCells12 3 3 7" xfId="4036" xr:uid="{E4D934F5-3273-4CE6-8022-B8DB02D9044B}"/>
    <cellStyle name="InputCells12 3 3 8" xfId="4473" xr:uid="{D04ADDA7-A400-45BD-9456-8E5A7FA87236}"/>
    <cellStyle name="InputCells12 3 3 9" xfId="3282" xr:uid="{14BE597F-19AA-4CBD-B02C-3B16A779C601}"/>
    <cellStyle name="InputCells12 4" xfId="278" xr:uid="{30E85860-5B50-43DB-82E4-473421F718F4}"/>
    <cellStyle name="InputCells12 4 10" xfId="1966" xr:uid="{B54202E0-93AF-441A-A316-DB0214AE9851}"/>
    <cellStyle name="InputCells12 4 11" xfId="3444" xr:uid="{9ED763FD-2569-47EE-AAA5-7E52150B88F1}"/>
    <cellStyle name="InputCells12 4 12" xfId="3711" xr:uid="{8A47DD1B-AE86-4FBA-8E66-A70D9F90D66E}"/>
    <cellStyle name="InputCells12 4 13" xfId="4811" xr:uid="{9E1B8583-8913-4775-A256-006B15D0DBD8}"/>
    <cellStyle name="InputCells12 4 14" xfId="5622" xr:uid="{BAD0819E-21F5-4916-8533-4A33D9B13B7C}"/>
    <cellStyle name="InputCells12 4 15" xfId="6217" xr:uid="{E4B4A820-F5CE-4DEA-BE81-FF52BDAC6603}"/>
    <cellStyle name="InputCells12 4 16" xfId="6561" xr:uid="{C2C17D01-93A1-4F39-BC77-60429D499D34}"/>
    <cellStyle name="InputCells12 4 17" xfId="7008" xr:uid="{17E6491F-8DBD-46AE-B285-09C51AA19B85}"/>
    <cellStyle name="InputCells12 4 18" xfId="7638" xr:uid="{22752CAA-0CD7-4CC5-978A-C2278A47492C}"/>
    <cellStyle name="InputCells12 4 19" xfId="8106" xr:uid="{A2DC21C2-63C8-4E70-BCD1-7A10CA38CD0B}"/>
    <cellStyle name="InputCells12 4 2" xfId="616" xr:uid="{5392C8F6-62DB-475B-BE99-00899B02E347}"/>
    <cellStyle name="InputCells12 4 2 10" xfId="4786" xr:uid="{B58C5132-8306-4F04-BB1C-C2D998F8215D}"/>
    <cellStyle name="InputCells12 4 2 11" xfId="5264" xr:uid="{5677BA1C-7F6B-4DC2-8166-693C8AA993C3}"/>
    <cellStyle name="InputCells12 4 2 12" xfId="5541" xr:uid="{67F6CAE5-6711-481D-8A1A-9D8AAE3A12A2}"/>
    <cellStyle name="InputCells12 4 2 13" xfId="6033" xr:uid="{78147113-A0E1-426A-8090-83DCF40EC92B}"/>
    <cellStyle name="InputCells12 4 2 14" xfId="4806" xr:uid="{553480A9-178A-4284-80AA-403941A63EEF}"/>
    <cellStyle name="InputCells12 4 2 15" xfId="7336" xr:uid="{0F91D74E-D177-41EC-89B5-6220AE113ED7}"/>
    <cellStyle name="InputCells12 4 2 16" xfId="7731" xr:uid="{0289FB98-F4C6-412D-94C0-774B838AA442}"/>
    <cellStyle name="InputCells12 4 2 17" xfId="8490" xr:uid="{76A9F6FB-6737-4751-B91C-79A78D381331}"/>
    <cellStyle name="InputCells12 4 2 18" xfId="7878" xr:uid="{BD5F34BF-6AAE-4AF4-BF5A-A6EFCE6C187D}"/>
    <cellStyle name="InputCells12 4 2 19" xfId="9550" xr:uid="{6720976B-7251-4E0D-A401-B3E0DABE0ACE}"/>
    <cellStyle name="InputCells12 4 2 2" xfId="831" xr:uid="{908802FF-695D-487B-A75A-4E8E2D948708}"/>
    <cellStyle name="InputCells12 4 2 2 10" xfId="5479" xr:uid="{D9D8E42D-0842-47FA-906C-4A208A9F69F7}"/>
    <cellStyle name="InputCells12 4 2 2 11" xfId="4259" xr:uid="{1D2F22F6-D7D5-410D-9FD0-8F5948BA87C4}"/>
    <cellStyle name="InputCells12 4 2 2 12" xfId="3792" xr:uid="{6A18953B-C7E8-4779-957E-177320F08D56}"/>
    <cellStyle name="InputCells12 4 2 2 13" xfId="6505" xr:uid="{3F9A40C7-928C-4B99-97F7-85CCAD5C88E2}"/>
    <cellStyle name="InputCells12 4 2 2 14" xfId="7551" xr:uid="{1DDBCF17-E96B-4E2C-82C2-BCA4B9E923F2}"/>
    <cellStyle name="InputCells12 4 2 2 15" xfId="8016" xr:uid="{A41366CF-87B1-42E3-B703-9D63B9286A7B}"/>
    <cellStyle name="InputCells12 4 2 2 16" xfId="7130" xr:uid="{D13F5BED-435E-4C94-BDEB-A80CDB110355}"/>
    <cellStyle name="InputCells12 4 2 2 17" xfId="8703" xr:uid="{9F686821-FC2A-45C5-8E8A-6F346827CFD7}"/>
    <cellStyle name="InputCells12 4 2 2 18" xfId="9765" xr:uid="{D461342A-16A1-4877-8013-06DBC5351794}"/>
    <cellStyle name="InputCells12 4 2 2 19" xfId="10234" xr:uid="{8A3F0BB7-D8A3-44E8-B6A0-796271DAAD70}"/>
    <cellStyle name="InputCells12 4 2 2 2" xfId="1305" xr:uid="{6294B62C-FEE1-452E-9FA4-990EA4A842CC}"/>
    <cellStyle name="InputCells12 4 2 2 20" xfId="10631" xr:uid="{3C49CCDA-8E6F-478E-AB13-51AF7F795BEA}"/>
    <cellStyle name="InputCells12 4 2 2 21" xfId="10351" xr:uid="{A11CCC8E-F957-4AF9-8A05-922E3E0A8DD2}"/>
    <cellStyle name="InputCells12 4 2 2 22" xfId="10888" xr:uid="{A4922715-80D0-446A-B3EE-B57895B10109}"/>
    <cellStyle name="InputCells12 4 2 2 23" xfId="12184" xr:uid="{F2D9822D-114C-4712-8BFF-6BE442E0988E}"/>
    <cellStyle name="InputCells12 4 2 2 24" xfId="12657" xr:uid="{B8B7AF78-B7A2-4007-88B6-08787E653A31}"/>
    <cellStyle name="InputCells12 4 2 2 25" xfId="13091" xr:uid="{487FF939-03FF-46BF-B34D-D0D41D4EEA65}"/>
    <cellStyle name="InputCells12 4 2 2 26" xfId="13528" xr:uid="{2F30B4A8-40EF-4036-8131-29702D3E9A4E}"/>
    <cellStyle name="InputCells12 4 2 2 27" xfId="11669" xr:uid="{6D31EE1F-294C-4AB2-BEE6-02469BBF5144}"/>
    <cellStyle name="InputCells12 4 2 2 28" xfId="13981" xr:uid="{AFF3FE6E-D1B3-4384-8102-E55C07F5AD01}"/>
    <cellStyle name="InputCells12 4 2 2 29" xfId="14882" xr:uid="{D4C13BB5-8B01-471F-81BB-CA497799AC20}"/>
    <cellStyle name="InputCells12 4 2 2 3" xfId="1500" xr:uid="{D53929EB-1FA0-461F-B60B-64F764ED340A}"/>
    <cellStyle name="InputCells12 4 2 2 30" xfId="15018" xr:uid="{7C04C7F0-31A2-4809-B0A4-A9180DA4C414}"/>
    <cellStyle name="InputCells12 4 2 2 31" xfId="15613" xr:uid="{BFF4B37F-1F2D-472E-82B8-F77ABC51BC2C}"/>
    <cellStyle name="InputCells12 4 2 2 32" xfId="15980" xr:uid="{7D8D4A15-30C7-459A-9E38-287DD2A0575F}"/>
    <cellStyle name="InputCells12 4 2 2 33" xfId="16876" xr:uid="{7BE76B40-BD72-4504-B57D-012CB95B078A}"/>
    <cellStyle name="InputCells12 4 2 2 34" xfId="17355" xr:uid="{6133C1CC-B859-4319-9861-4CE8FB1BC278}"/>
    <cellStyle name="InputCells12 4 2 2 35" xfId="17797" xr:uid="{D5393D15-AE88-445F-935C-6755CBCDF155}"/>
    <cellStyle name="InputCells12 4 2 2 36" xfId="17995" xr:uid="{B0B8CCF0-AFA1-4E67-A396-291B8063C192}"/>
    <cellStyle name="InputCells12 4 2 2 37" xfId="18694" xr:uid="{A60D6D03-3224-4521-B5AF-BCB698C3C311}"/>
    <cellStyle name="InputCells12 4 2 2 38" xfId="18781" xr:uid="{F0AA4A9F-BA09-49F5-93B9-86532131BEB9}"/>
    <cellStyle name="InputCells12 4 2 2 39" xfId="17932" xr:uid="{4AFA6D0C-9512-4998-B9F4-1F7C48CF484C}"/>
    <cellStyle name="InputCells12 4 2 2 4" xfId="2653" xr:uid="{2237CC57-0ED5-4F6A-A8D5-D7EFC20BC845}"/>
    <cellStyle name="InputCells12 4 2 2 40" xfId="20213" xr:uid="{EB0DCCB0-3108-44E6-A37B-BCFC9301DE3A}"/>
    <cellStyle name="InputCells12 4 2 2 41" xfId="20706" xr:uid="{F2AA5BD8-0C80-4EC7-96B3-49ED3B46E09F}"/>
    <cellStyle name="InputCells12 4 2 2 42" xfId="21163" xr:uid="{AFE5DAC4-8EF5-4C22-AA34-40FC8EF5855E}"/>
    <cellStyle name="InputCells12 4 2 2 43" xfId="21149" xr:uid="{3C571271-386D-4AB4-976F-2A7B98DB7373}"/>
    <cellStyle name="InputCells12 4 2 2 44" xfId="22094" xr:uid="{DB6B58EF-4EBE-4C86-8E46-4EC1FFF64F31}"/>
    <cellStyle name="InputCells12 4 2 2 45" xfId="22522" xr:uid="{0CAC0EB6-AB37-4FE1-98F1-09E902DF83D7}"/>
    <cellStyle name="InputCells12 4 2 2 46" xfId="22045" xr:uid="{EC090D26-0ED2-47F6-B679-4BFB7FDF4988}"/>
    <cellStyle name="InputCells12 4 2 2 47" xfId="23052" xr:uid="{6914E39C-E89A-4204-93B2-7DBF0D964830}"/>
    <cellStyle name="InputCells12 4 2 2 48" xfId="22713" xr:uid="{656E9A41-0CF8-4920-8E84-E7D943B054B9}"/>
    <cellStyle name="InputCells12 4 2 2 49" xfId="24013" xr:uid="{45DF9069-721F-42FA-B020-78C12CB4EB3F}"/>
    <cellStyle name="InputCells12 4 2 2 5" xfId="2169" xr:uid="{CD1233FB-6E43-4FB5-8008-798A96989DBC}"/>
    <cellStyle name="InputCells12 4 2 2 50" xfId="24921" xr:uid="{8A96CE2E-477B-4224-8411-D6591465CEFA}"/>
    <cellStyle name="InputCells12 4 2 2 51" xfId="25409" xr:uid="{CE7455FB-5B25-4FEF-8C5E-82593EDFD430}"/>
    <cellStyle name="InputCells12 4 2 2 52" xfId="25837" xr:uid="{6ECB5D0D-AAD6-4118-8ADC-997571672633}"/>
    <cellStyle name="InputCells12 4 2 2 53" xfId="25363" xr:uid="{9A8A0A16-547C-4472-9971-8EB7B667DCA5}"/>
    <cellStyle name="InputCells12 4 2 2 54" xfId="26541" xr:uid="{63549283-5CC8-4876-895F-6FCB629032CE}"/>
    <cellStyle name="InputCells12 4 2 2 55" xfId="27125" xr:uid="{ADCDD5F0-7341-4C53-8513-1E7A87E70E5D}"/>
    <cellStyle name="InputCells12 4 2 2 56" xfId="27544" xr:uid="{F10A7CAB-0FDB-4307-947F-86BB19185B24}"/>
    <cellStyle name="InputCells12 4 2 2 57" xfId="26781" xr:uid="{80665D2D-D824-4B17-A0C9-677ECC6DFBF6}"/>
    <cellStyle name="InputCells12 4 2 2 58" xfId="28671" xr:uid="{DFDE5FD5-3503-4886-812C-2775A8C64B2E}"/>
    <cellStyle name="InputCells12 4 2 2 59" xfId="29138" xr:uid="{839D54FC-5D44-4EC6-953C-6146581A4947}"/>
    <cellStyle name="InputCells12 4 2 2 6" xfId="3543" xr:uid="{23FC20E8-8529-44FF-9D88-309DDA94D327}"/>
    <cellStyle name="InputCells12 4 2 2 60" xfId="29524" xr:uid="{C15CE7CE-BF4B-409D-B302-9E4D318E5197}"/>
    <cellStyle name="InputCells12 4 2 2 61" xfId="29927" xr:uid="{089D0B49-6BA2-444B-B407-49C362E4E9F1}"/>
    <cellStyle name="InputCells12 4 2 2 62" xfId="30333" xr:uid="{4BDDEF0A-6A50-4A32-9C50-338EDE5295BC}"/>
    <cellStyle name="InputCells12 4 2 2 63" xfId="30750" xr:uid="{D72D4B2E-2CA6-4C90-8504-5772AA8392ED}"/>
    <cellStyle name="InputCells12 4 2 2 64" xfId="28316" xr:uid="{AF61470F-3377-43BE-87F2-6A5F307509A7}"/>
    <cellStyle name="InputCells12 4 2 2 65" xfId="31366" xr:uid="{59C21A0A-0A65-4242-BDAD-AF96B83FAF1C}"/>
    <cellStyle name="InputCells12 4 2 2 7" xfId="4149" xr:uid="{ADE73231-80B4-4B52-9049-BFE3FA619520}"/>
    <cellStyle name="InputCells12 4 2 2 8" xfId="4586" xr:uid="{A17CBED3-3207-4B4C-BBBE-F612E0E5E2E9}"/>
    <cellStyle name="InputCells12 4 2 2 9" xfId="3547" xr:uid="{98C910CE-E77A-4251-B5BA-681DE6D289DB}"/>
    <cellStyle name="InputCells12 4 2 20" xfId="9945" xr:uid="{3EA2A3C8-9A81-42A8-9DF0-8E5CBAEDB159}"/>
    <cellStyle name="InputCells12 4 2 21" xfId="10375" xr:uid="{581CF3DF-CC2B-4886-B9AD-FC9A375B80AD}"/>
    <cellStyle name="InputCells12 4 2 22" xfId="10844" xr:uid="{28CE9264-DCA6-4412-A715-9CFF04B11BAF}"/>
    <cellStyle name="InputCells12 4 2 23" xfId="10106" xr:uid="{2EAAE959-23E6-41A8-B11F-2D96B04A4573}"/>
    <cellStyle name="InputCells12 4 2 24" xfId="11969" xr:uid="{18B95120-692F-4A4D-8AB5-D5249FF4271A}"/>
    <cellStyle name="InputCells12 4 2 25" xfId="12442" xr:uid="{7A6AF2F4-95A0-4D85-B3DA-318D1CC024DF}"/>
    <cellStyle name="InputCells12 4 2 26" xfId="12876" xr:uid="{FC8A0D99-FE96-40EC-AA3D-BF0DB6D11CD4}"/>
    <cellStyle name="InputCells12 4 2 27" xfId="13313" xr:uid="{94BF011B-8767-411C-BE7D-81C92DB65DEC}"/>
    <cellStyle name="InputCells12 4 2 28" xfId="11528" xr:uid="{579CB3A1-60D3-4886-B4F3-F7CBA9C088DE}"/>
    <cellStyle name="InputCells12 4 2 29" xfId="13715" xr:uid="{EB67597F-06CA-43E7-8E26-F6C90DADA714}"/>
    <cellStyle name="InputCells12 4 2 3" xfId="1099" xr:uid="{4E9564BF-5837-4D05-81C7-91E1158AD3D7}"/>
    <cellStyle name="InputCells12 4 2 30" xfId="14655" xr:uid="{E77E1592-7AE1-4386-B894-C0A26B62C5AB}"/>
    <cellStyle name="InputCells12 4 2 31" xfId="15053" xr:uid="{FE785482-42B3-4FEE-8ADF-BB7D48AB510C}"/>
    <cellStyle name="InputCells12 4 2 32" xfId="15659" xr:uid="{D80858E9-2939-4869-9FF2-5CD722DBFEBC}"/>
    <cellStyle name="InputCells12 4 2 33" xfId="15825" xr:uid="{7F6024FE-DB30-430D-B34E-E5224A54FDE8}"/>
    <cellStyle name="InputCells12 4 2 34" xfId="16661" xr:uid="{EE625A43-C029-4808-8CA2-B9CB7689C5D2}"/>
    <cellStyle name="InputCells12 4 2 35" xfId="17059" xr:uid="{3C171BD8-EA20-4705-BEBF-EEF36E83BA0C}"/>
    <cellStyle name="InputCells12 4 2 36" xfId="17505" xr:uid="{818D8D66-D341-4D64-A3EB-19192C3D6683}"/>
    <cellStyle name="InputCells12 4 2 37" xfId="18107" xr:uid="{D51FFC68-C859-429F-81EF-2528B1BC7291}"/>
    <cellStyle name="InputCells12 4 2 38" xfId="18479" xr:uid="{2824634C-49AB-4EEB-BF48-069A305B4D92}"/>
    <cellStyle name="InputCells12 4 2 39" xfId="17518" xr:uid="{2301A8D2-B27F-4210-B8B6-52F396A4888F}"/>
    <cellStyle name="InputCells12 4 2 4" xfId="1728" xr:uid="{7F88AF45-B137-4203-97D9-0533B1A2B686}"/>
    <cellStyle name="InputCells12 4 2 40" xfId="17435" xr:uid="{035911F8-DC54-4E60-8D41-194D1055E574}"/>
    <cellStyle name="InputCells12 4 2 41" xfId="19998" xr:uid="{7EEBBFF8-1433-485C-9FF2-515551856CF7}"/>
    <cellStyle name="InputCells12 4 2 42" xfId="20411" xr:uid="{5B04893D-8B59-4D75-94DB-3143D77C94A5}"/>
    <cellStyle name="InputCells12 4 2 43" xfId="20864" xr:uid="{4B2AADDD-2D59-4A5F-BB83-F79005F38AB3}"/>
    <cellStyle name="InputCells12 4 2 44" xfId="21437" xr:uid="{33643EBE-A6D1-4D5D-8F05-C53347FBE266}"/>
    <cellStyle name="InputCells12 4 2 45" xfId="21796" xr:uid="{D4A700FD-5F09-4FC9-B4AD-48EAAEFBC9E0}"/>
    <cellStyle name="InputCells12 4 2 46" xfId="22233" xr:uid="{152D3010-4414-4F2A-9C1A-E3C23C50BB16}"/>
    <cellStyle name="InputCells12 4 2 47" xfId="21339" xr:uid="{BF833A50-4F77-4F96-B635-C9D4CE14D040}"/>
    <cellStyle name="InputCells12 4 2 48" xfId="21340" xr:uid="{BECFA0C1-BC72-41A4-AD03-A5BF153C9921}"/>
    <cellStyle name="InputCells12 4 2 49" xfId="23650" xr:uid="{998AA417-EDC4-4897-80CD-A0781AD014E6}"/>
    <cellStyle name="InputCells12 4 2 5" xfId="2438" xr:uid="{8FE22EAD-A94A-49D2-9228-F63BD9F6CEA6}"/>
    <cellStyle name="InputCells12 4 2 50" xfId="23807" xr:uid="{9EEBF16B-BF3A-4753-93E7-8D85291DE73A}"/>
    <cellStyle name="InputCells12 4 2 51" xfId="24706" xr:uid="{A5354F04-D0C7-4634-9892-DC419E307CFA}"/>
    <cellStyle name="InputCells12 4 2 52" xfId="25119" xr:uid="{21EEAC8F-222F-41B6-858D-6E7D1885BC56}"/>
    <cellStyle name="InputCells12 4 2 53" xfId="25624" xr:uid="{0706EE65-088B-4024-9EEE-319049D077C7}"/>
    <cellStyle name="InputCells12 4 2 54" xfId="25710" xr:uid="{402ED5C5-E4D9-4A51-AC87-0BA73EB23723}"/>
    <cellStyle name="InputCells12 4 2 55" xfId="26144" xr:uid="{C0AAD08D-631C-494B-8726-96294455C3C4}"/>
    <cellStyle name="InputCells12 4 2 56" xfId="26914" xr:uid="{1E1288FA-FC57-4538-8616-DB7B393C8788}"/>
    <cellStyle name="InputCells12 4 2 57" xfId="27333" xr:uid="{CC3DCAD4-9547-4978-9744-75C5B1821A6F}"/>
    <cellStyle name="InputCells12 4 2 58" xfId="27785" xr:uid="{0C247D3F-3B06-4996-A4A1-8F3918F587B1}"/>
    <cellStyle name="InputCells12 4 2 59" xfId="28456" xr:uid="{4BF0ADC0-F113-454A-8DBB-69CFC817F3D9}"/>
    <cellStyle name="InputCells12 4 2 6" xfId="1909" xr:uid="{1BD1B1B0-F456-4E0E-A641-83DF8B1ADCF3}"/>
    <cellStyle name="InputCells12 4 2 60" xfId="28924" xr:uid="{C7B28426-8CBB-4FAA-B6F5-89BBCC363B85}"/>
    <cellStyle name="InputCells12 4 2 61" xfId="29274" xr:uid="{3564E7B1-F797-4B11-9275-B8A07F0F5033}"/>
    <cellStyle name="InputCells12 4 2 62" xfId="29714" xr:uid="{FC8D7A6C-5987-427E-9339-E890798EDCC6}"/>
    <cellStyle name="InputCells12 4 2 63" xfId="30122" xr:uid="{A6E65038-49C1-4DF0-B35F-6B1A93D9A718}"/>
    <cellStyle name="InputCells12 4 2 64" xfId="30536" xr:uid="{3C468A55-EF86-4AB1-BE92-7A1A376DB93B}"/>
    <cellStyle name="InputCells12 4 2 65" xfId="27922" xr:uid="{8202BE78-0A5D-43A4-A371-CBAB9A68B164}"/>
    <cellStyle name="InputCells12 4 2 66" xfId="31160" xr:uid="{72F01313-52E8-4458-A012-5EE36C768922}"/>
    <cellStyle name="InputCells12 4 2 7" xfId="1864" xr:uid="{5B110120-DD2E-4ECC-B1F0-C522854D9223}"/>
    <cellStyle name="InputCells12 4 2 8" xfId="3934" xr:uid="{5B87E159-C970-4D5B-A736-9CEC9C11B8B2}"/>
    <cellStyle name="InputCells12 4 2 9" xfId="4372" xr:uid="{87BEFDA4-C40B-45CD-8976-156959389D2B}"/>
    <cellStyle name="InputCells12 4 20" xfId="8433" xr:uid="{D31C19C2-4B2F-4E63-B051-04843C7F6AB3}"/>
    <cellStyle name="InputCells12 4 21" xfId="9221" xr:uid="{C3E030EF-DD37-4AD3-96ED-A123C36CF555}"/>
    <cellStyle name="InputCells12 4 22" xfId="9848" xr:uid="{573E207F-7F77-474B-93E0-5D7E420FA4D2}"/>
    <cellStyle name="InputCells12 4 23" xfId="9392" xr:uid="{6B2B4829-E173-4B65-A663-B4090724D68E}"/>
    <cellStyle name="InputCells12 4 24" xfId="10931" xr:uid="{B081591A-FF99-4B37-B900-9669BE6843B7}"/>
    <cellStyle name="InputCells12 4 25" xfId="10840" xr:uid="{7FD4FCAC-DFDE-4353-87AC-92CB88D933FC}"/>
    <cellStyle name="InputCells12 4 26" xfId="11634" xr:uid="{79BA8C5B-9918-4011-9980-736303A80A36}"/>
    <cellStyle name="InputCells12 4 27" xfId="11763" xr:uid="{C6D6872F-EE8A-4821-B420-39C15D9AAB21}"/>
    <cellStyle name="InputCells12 4 28" xfId="11813" xr:uid="{268DAB5C-DD00-4435-A490-1FC75EBB8F9D}"/>
    <cellStyle name="InputCells12 4 29" xfId="11719" xr:uid="{652F6FFB-91A8-4EC2-BE79-2ED4F00B4367}"/>
    <cellStyle name="InputCells12 4 3" xfId="541" xr:uid="{780EBBCB-37A1-436C-87BF-C89EDB91F0DE}"/>
    <cellStyle name="InputCells12 4 3 10" xfId="4931" xr:uid="{6AC98077-B77C-43D2-ACED-FE42090B14F9}"/>
    <cellStyle name="InputCells12 4 3 11" xfId="5189" xr:uid="{9759B152-CBB0-4E0C-B802-B7A0908BFB97}"/>
    <cellStyle name="InputCells12 4 3 12" xfId="5127" xr:uid="{0848E480-56ED-4599-BE1E-C2989B79DAD7}"/>
    <cellStyle name="InputCells12 4 3 13" xfId="5560" xr:uid="{ADD2B036-D008-47E8-A3AB-8F796B8FC544}"/>
    <cellStyle name="InputCells12 4 3 14" xfId="6547" xr:uid="{4522B7E6-0D56-4029-BDC5-9858368BFD48}"/>
    <cellStyle name="InputCells12 4 3 15" xfId="7261" xr:uid="{8A9E29AC-8439-4387-B5BC-2E32452A8F0F}"/>
    <cellStyle name="InputCells12 4 3 16" xfId="7881" xr:uid="{78B6A875-832D-4989-8F6F-D33729B8E090}"/>
    <cellStyle name="InputCells12 4 3 17" xfId="8161" xr:uid="{82B0266D-42EC-4316-9B9E-03191212137E}"/>
    <cellStyle name="InputCells12 4 3 18" xfId="8566" xr:uid="{D61D44C6-7226-4049-9F19-92987703498E}"/>
    <cellStyle name="InputCells12 4 3 19" xfId="9475" xr:uid="{9E5255CA-8209-47D5-85D8-6E2498BBE617}"/>
    <cellStyle name="InputCells12 4 3 2" xfId="756" xr:uid="{2A108688-A165-45ED-B60D-5D5B8D36BCFE}"/>
    <cellStyle name="InputCells12 4 3 2 10" xfId="5404" xr:uid="{67B54A86-10F9-4238-AB07-4ACF0605116B}"/>
    <cellStyle name="InputCells12 4 3 2 11" xfId="5667" xr:uid="{7D5C90C8-A1FF-4CE5-8A11-FB3BB44EC058}"/>
    <cellStyle name="InputCells12 4 3 2 12" xfId="6036" xr:uid="{47E3BF85-9956-434E-953C-D1AE1F78CFCB}"/>
    <cellStyle name="InputCells12 4 3 2 13" xfId="5612" xr:uid="{BD05B404-458F-4526-8623-64EF3CDDB4C1}"/>
    <cellStyle name="InputCells12 4 3 2 14" xfId="7476" xr:uid="{4EB87CF9-72C1-45CE-844C-0382509F29FF}"/>
    <cellStyle name="InputCells12 4 3 2 15" xfId="6961" xr:uid="{1B1A9579-0EBC-437A-A55E-2808E8B1B4D0}"/>
    <cellStyle name="InputCells12 4 3 2 16" xfId="8572" xr:uid="{DCE2DA31-CA79-4FE4-AB6A-9401D0D98A56}"/>
    <cellStyle name="InputCells12 4 3 2 17" xfId="8820" xr:uid="{713DA3E7-9F70-45C5-B167-FFD8EC69139A}"/>
    <cellStyle name="InputCells12 4 3 2 18" xfId="9690" xr:uid="{CD2DA6B5-14DA-4370-84B5-92CEA605B5AA}"/>
    <cellStyle name="InputCells12 4 3 2 19" xfId="9174" xr:uid="{051083D3-FA6F-472B-A747-E24453FF2898}"/>
    <cellStyle name="InputCells12 4 3 2 2" xfId="1230" xr:uid="{4781AEF2-3EF6-4AA6-AD1E-6E0F26576C60}"/>
    <cellStyle name="InputCells12 4 3 2 20" xfId="9096" xr:uid="{140B90CB-A917-4F26-B0B1-F120CCAB2288}"/>
    <cellStyle name="InputCells12 4 3 2 21" xfId="10511" xr:uid="{139ECAC0-26C4-4A50-B743-17EFB90C4871}"/>
    <cellStyle name="InputCells12 4 3 2 22" xfId="11277" xr:uid="{B08B0613-6045-4265-8B81-43BBE1E901B8}"/>
    <cellStyle name="InputCells12 4 3 2 23" xfId="12109" xr:uid="{F78C5207-DA57-4011-BC21-8893DC432A59}"/>
    <cellStyle name="InputCells12 4 3 2 24" xfId="12582" xr:uid="{EA5E9F99-7E24-468A-AFEE-BDE5029D856A}"/>
    <cellStyle name="InputCells12 4 3 2 25" xfId="13016" xr:uid="{218AB1AE-813B-4C99-B97E-FF70E37759BB}"/>
    <cellStyle name="InputCells12 4 3 2 26" xfId="13453" xr:uid="{14B2F1C8-0CFF-4A3E-8A5A-5FEF63CB3A56}"/>
    <cellStyle name="InputCells12 4 3 2 27" xfId="11819" xr:uid="{27065FDA-35E1-455E-BCA4-53751827D95E}"/>
    <cellStyle name="InputCells12 4 3 2 28" xfId="11589" xr:uid="{344A1E60-2E12-4276-BBDF-2CF06D5D6E27}"/>
    <cellStyle name="InputCells12 4 3 2 29" xfId="13879" xr:uid="{D9D63D9A-FBD5-43C0-9C39-6C8D69D52841}"/>
    <cellStyle name="InputCells12 4 3 2 3" xfId="1511" xr:uid="{2A690E0D-D1F4-4CAF-9D2A-0A0BF07EDC63}"/>
    <cellStyle name="InputCells12 4 3 2 30" xfId="15346" xr:uid="{6AE061C0-1683-4EDF-9DC8-2C98832DAC9B}"/>
    <cellStyle name="InputCells12 4 3 2 31" xfId="12268" xr:uid="{8D2256CB-2CFB-43C5-A3D0-FCBA1398293B}"/>
    <cellStyle name="InputCells12 4 3 2 32" xfId="15415" xr:uid="{6A67C29C-FFD1-42FE-A530-2520214D36FD}"/>
    <cellStyle name="InputCells12 4 3 2 33" xfId="16801" xr:uid="{21764AAD-FA3B-4D0E-9F4F-5E07CE36298F}"/>
    <cellStyle name="InputCells12 4 3 2 34" xfId="16280" xr:uid="{6B6C5400-FA06-4EF0-97CE-166413C1247E}"/>
    <cellStyle name="InputCells12 4 3 2 35" xfId="16199" xr:uid="{A240E9E4-BB22-42BE-9F07-69B145C60401}"/>
    <cellStyle name="InputCells12 4 3 2 36" xfId="16074" xr:uid="{AE051BF4-70D9-4E72-B6DC-88A4B39A979D}"/>
    <cellStyle name="InputCells12 4 3 2 37" xfId="18619" xr:uid="{AE7E82F5-03E8-4862-A062-DBCAC0B639C6}"/>
    <cellStyle name="InputCells12 4 3 2 38" xfId="18123" xr:uid="{0CB1FC05-5BAF-4810-8FFB-B2F89715C4DA}"/>
    <cellStyle name="InputCells12 4 3 2 39" xfId="18352" xr:uid="{F28FCFB0-3140-434B-9852-24175340E5CE}"/>
    <cellStyle name="InputCells12 4 3 2 4" xfId="2578" xr:uid="{8D9E983F-56B9-4773-A8B8-FE8177E67C02}"/>
    <cellStyle name="InputCells12 4 3 2 40" xfId="20138" xr:uid="{95FB30A8-BAC2-49BD-8124-3B2DCB4C8F16}"/>
    <cellStyle name="InputCells12 4 3 2 41" xfId="19613" xr:uid="{673217C1-035E-4CB6-9972-C8787DA33B44}"/>
    <cellStyle name="InputCells12 4 3 2 42" xfId="20403" xr:uid="{65284DCD-B9C4-4337-AAE8-BE31728A3B75}"/>
    <cellStyle name="InputCells12 4 3 2 43" xfId="21298" xr:uid="{F6EBA58C-D7E3-4CE4-AB2D-BBC95CE3D3D7}"/>
    <cellStyle name="InputCells12 4 3 2 44" xfId="21387" xr:uid="{7D8E6EA8-51CA-467D-82DD-9C4C466A8299}"/>
    <cellStyle name="InputCells12 4 3 2 45" xfId="21811" xr:uid="{A67009C0-FB95-4D25-9757-9BD5998B0C27}"/>
    <cellStyle name="InputCells12 4 3 2 46" xfId="22181" xr:uid="{C17E768B-4AD4-46D3-9AC9-48243E029E21}"/>
    <cellStyle name="InputCells12 4 3 2 47" xfId="21819" xr:uid="{FE13A5AF-FCE7-489D-9801-1949B93D6DFF}"/>
    <cellStyle name="InputCells12 4 3 2 48" xfId="23431" xr:uid="{3D8C379B-504B-4D17-AA32-CDBE7759DF1F}"/>
    <cellStyle name="InputCells12 4 3 2 49" xfId="23938" xr:uid="{FC21BF1A-CD8C-483E-8666-65479FA2723F}"/>
    <cellStyle name="InputCells12 4 3 2 5" xfId="2041" xr:uid="{E54C4BD2-37C2-4356-9090-564E4C9EE4B1}"/>
    <cellStyle name="InputCells12 4 3 2 50" xfId="24846" xr:uid="{1C33F31F-5175-4274-BED2-250F1B24C705}"/>
    <cellStyle name="InputCells12 4 3 2 51" xfId="24241" xr:uid="{3F3C630B-485B-4B22-AA00-AE239A31C3A0}"/>
    <cellStyle name="InputCells12 4 3 2 52" xfId="25762" xr:uid="{0ACE2577-AC45-4D4F-8C2B-9AE1653D7B18}"/>
    <cellStyle name="InputCells12 4 3 2 53" xfId="25920" xr:uid="{6AFE7C48-5F39-48C1-8702-7FF996390C35}"/>
    <cellStyle name="InputCells12 4 3 2 54" xfId="26385" xr:uid="{62F4E33C-FB5F-443C-912B-813D76D8BDCB}"/>
    <cellStyle name="InputCells12 4 3 2 55" xfId="27050" xr:uid="{4FF2BF2C-38F7-42AB-B4A3-9A1F657E89DE}"/>
    <cellStyle name="InputCells12 4 3 2 56" xfId="27469" xr:uid="{E850C302-44FD-421A-8CCD-BC3836244119}"/>
    <cellStyle name="InputCells12 4 3 2 57" xfId="27193" xr:uid="{DEDBCFDD-E19D-4F41-939A-5DBABD63B32B}"/>
    <cellStyle name="InputCells12 4 3 2 58" xfId="28596" xr:uid="{7372011D-B2BD-4C4E-9632-8D191E1E3023}"/>
    <cellStyle name="InputCells12 4 3 2 59" xfId="29063" xr:uid="{4046F7BE-DB5D-4B57-950E-03CEDD93AD69}"/>
    <cellStyle name="InputCells12 4 3 2 6" xfId="3439" xr:uid="{4E505A8B-FB9D-41B7-8366-40D930E35257}"/>
    <cellStyle name="InputCells12 4 3 2 60" xfId="28738" xr:uid="{C5C3DAC5-9340-4412-A553-FAEA4F64C695}"/>
    <cellStyle name="InputCells12 4 3 2 61" xfId="29852" xr:uid="{97AFC114-3A6C-474B-AB5B-7EF8A66E5761}"/>
    <cellStyle name="InputCells12 4 3 2 62" xfId="30258" xr:uid="{6E985740-6A8B-4E1E-94F4-0E69BD382FE9}"/>
    <cellStyle name="InputCells12 4 3 2 63" xfId="30675" xr:uid="{45578297-324A-4330-8A9D-E45668571691}"/>
    <cellStyle name="InputCells12 4 3 2 64" xfId="29427" xr:uid="{3C2E088E-105F-47D5-B348-450940E78D43}"/>
    <cellStyle name="InputCells12 4 3 2 65" xfId="31291" xr:uid="{089047A2-AA06-4DA7-902A-FCF08F67F803}"/>
    <cellStyle name="InputCells12 4 3 2 7" xfId="4074" xr:uid="{57B403D8-9EC8-4591-8478-07745F671975}"/>
    <cellStyle name="InputCells12 4 3 2 8" xfId="4511" xr:uid="{F251DFF3-B1AB-433B-B82E-187298ED174D}"/>
    <cellStyle name="InputCells12 4 3 2 9" xfId="4236" xr:uid="{07C73246-8AE0-4D07-808E-40A948DB1792}"/>
    <cellStyle name="InputCells12 4 3 20" xfId="10095" xr:uid="{A9CEFE95-F898-4AE0-911B-9F1FF5B1712B}"/>
    <cellStyle name="InputCells12 4 3 21" xfId="10510" xr:uid="{EBF14D05-446F-4631-AA13-C8E42FBDDF3B}"/>
    <cellStyle name="InputCells12 4 3 22" xfId="10811" xr:uid="{C5BFC865-27F2-46A6-B4ED-43A46A68191A}"/>
    <cellStyle name="InputCells12 4 3 23" xfId="11057" xr:uid="{3D6A2BC5-DF8B-4A3B-B539-1C7534087F00}"/>
    <cellStyle name="InputCells12 4 3 24" xfId="11894" xr:uid="{211966D8-4069-4CAF-9DBC-5B7141C8DDAB}"/>
    <cellStyle name="InputCells12 4 3 25" xfId="12367" xr:uid="{63836E60-006D-42D6-8867-04402F305720}"/>
    <cellStyle name="InputCells12 4 3 26" xfId="12801" xr:uid="{A9BB8532-043E-4F9F-82BA-5B0F7CED8B31}"/>
    <cellStyle name="InputCells12 4 3 27" xfId="13238" xr:uid="{79CE65D8-1CA0-4BF0-BDA9-2DB68526FF93}"/>
    <cellStyle name="InputCells12 4 3 28" xfId="12279" xr:uid="{2F815430-7694-4B6A-8AEB-1F018B85E3F5}"/>
    <cellStyle name="InputCells12 4 3 29" xfId="14145" xr:uid="{D4D73CBA-5FE9-41CB-9BA0-EDED12E9001C}"/>
    <cellStyle name="InputCells12 4 3 3" xfId="1024" xr:uid="{23E17E98-9BA7-4C6F-B0A3-A612FAC9CDDE}"/>
    <cellStyle name="InputCells12 4 3 30" xfId="14616" xr:uid="{22164FFD-135A-439F-B6D4-F5574A6ED2ED}"/>
    <cellStyle name="InputCells12 4 3 31" xfId="15013" xr:uid="{BF0794C1-8356-4E81-94BA-E332B8D198D4}"/>
    <cellStyle name="InputCells12 4 3 32" xfId="13662" xr:uid="{BCAB5BC3-2447-4DB6-9A88-FE7A27B2F912}"/>
    <cellStyle name="InputCells12 4 3 33" xfId="15906" xr:uid="{5124C7D1-16F8-40D9-AC2A-DBD8F6B7FB18}"/>
    <cellStyle name="InputCells12 4 3 34" xfId="16586" xr:uid="{90005F1A-64CB-47DF-AEEA-A344FBA29108}"/>
    <cellStyle name="InputCells12 4 3 35" xfId="17213" xr:uid="{13F6F0D1-6542-4E1F-BC9A-9EEBA44055B1}"/>
    <cellStyle name="InputCells12 4 3 36" xfId="17659" xr:uid="{58F307CB-E3FA-44C2-9111-211C19E316ED}"/>
    <cellStyle name="InputCells12 4 3 37" xfId="17728" xr:uid="{F456BC23-620D-402B-A2AD-78DBBC1A6F2B}"/>
    <cellStyle name="InputCells12 4 3 38" xfId="18404" xr:uid="{B99E142E-5658-42D0-B48E-8C6C3959AA94}"/>
    <cellStyle name="InputCells12 4 3 39" xfId="17983" xr:uid="{0889B623-6044-4A5B-965A-8EBFA80C3109}"/>
    <cellStyle name="InputCells12 4 3 4" xfId="1606" xr:uid="{DDC7ADC7-E3FD-4CDD-9DBB-E454FBA9656B}"/>
    <cellStyle name="InputCells12 4 3 40" xfId="19182" xr:uid="{CACABCCC-E844-4416-BCE3-9BD5932F8278}"/>
    <cellStyle name="InputCells12 4 3 41" xfId="19923" xr:uid="{5420EB13-245B-411D-94F2-B553C04AEBC4}"/>
    <cellStyle name="InputCells12 4 3 42" xfId="20566" xr:uid="{EF5BD076-7437-4B91-8422-33129A063D47}"/>
    <cellStyle name="InputCells12 4 3 43" xfId="21019" xr:uid="{DEE721AC-C72A-4CF4-A31F-C079493E26EF}"/>
    <cellStyle name="InputCells12 4 3 44" xfId="20380" xr:uid="{7DD62F93-E554-48EB-9E1D-394A3CB23CBE}"/>
    <cellStyle name="InputCells12 4 3 45" xfId="21950" xr:uid="{BDCD4AF2-4E7C-433A-A6E3-447C5668BE49}"/>
    <cellStyle name="InputCells12 4 3 46" xfId="22381" xr:uid="{7CF77353-53FC-4F3B-8E64-5E154D875802}"/>
    <cellStyle name="InputCells12 4 3 47" xfId="21947" xr:uid="{34DD4C92-89B6-4BE8-A088-F6CE49A25C8A}"/>
    <cellStyle name="InputCells12 4 3 48" xfId="21447" xr:uid="{F07CC408-0CC9-4E7F-A004-20F70380E5BA}"/>
    <cellStyle name="InputCells12 4 3 49" xfId="23569" xr:uid="{FBD00359-ECD6-4020-9A41-2EA67B80BE44}"/>
    <cellStyle name="InputCells12 4 3 5" xfId="2363" xr:uid="{50AF5944-2B88-49FC-B2F6-D5C14B22C5F1}"/>
    <cellStyle name="InputCells12 4 3 50" xfId="23732" xr:uid="{CE6C2103-A137-4F37-8D93-10D220D7DF98}"/>
    <cellStyle name="InputCells12 4 3 51" xfId="24631" xr:uid="{DFA0F734-48DE-449D-96D8-D75A9C3292B5}"/>
    <cellStyle name="InputCells12 4 3 52" xfId="25274" xr:uid="{32D3AE48-DE77-4C84-9736-834452411187}"/>
    <cellStyle name="InputCells12 4 3 53" xfId="25549" xr:uid="{F1DF0B3A-0061-49B9-88A1-6BFB99AD8073}"/>
    <cellStyle name="InputCells12 4 3 54" xfId="24516" xr:uid="{676F171B-F615-4402-B0EF-8168EA3A74C0}"/>
    <cellStyle name="InputCells12 4 3 55" xfId="26227" xr:uid="{E6A7A168-D051-41BB-A96F-6E5293E0A82A}"/>
    <cellStyle name="InputCells12 4 3 56" xfId="26839" xr:uid="{1F74D430-D14A-42BF-9B16-A2FCAF723DE1}"/>
    <cellStyle name="InputCells12 4 3 57" xfId="27258" xr:uid="{3E842B44-0422-4C57-84D4-D0A3D8F3854F}"/>
    <cellStyle name="InputCells12 4 3 58" xfId="27715" xr:uid="{2834DA6E-8555-4B84-BE84-AE8E7EDDDF4F}"/>
    <cellStyle name="InputCells12 4 3 59" xfId="28381" xr:uid="{0AC4A6C7-8DBF-48D9-9629-DFF3287927AC}"/>
    <cellStyle name="InputCells12 4 3 6" xfId="2008" xr:uid="{0D90BBBC-E050-4C41-8445-D0913984368D}"/>
    <cellStyle name="InputCells12 4 3 60" xfId="28849" xr:uid="{66D78098-ED78-421F-9D2E-14C5A01A69FE}"/>
    <cellStyle name="InputCells12 4 3 61" xfId="29403" xr:uid="{1DE3266B-1A06-4C94-9F97-E5122EEA7F54}"/>
    <cellStyle name="InputCells12 4 3 62" xfId="29639" xr:uid="{89C22EF9-2902-4486-936A-4569BBAA0CF0}"/>
    <cellStyle name="InputCells12 4 3 63" xfId="30047" xr:uid="{1B3D5156-5946-45C2-9D33-9278F521D244}"/>
    <cellStyle name="InputCells12 4 3 64" xfId="30461" xr:uid="{72CD6CFD-DA8B-4D05-836E-7A2227DA40A4}"/>
    <cellStyle name="InputCells12 4 3 65" xfId="29227" xr:uid="{BFF7E7E9-7F44-4E76-B2CC-DDB20EA17EEE}"/>
    <cellStyle name="InputCells12 4 3 66" xfId="31085" xr:uid="{332899A5-0E8A-4E00-BD3E-D90984175510}"/>
    <cellStyle name="InputCells12 4 3 7" xfId="2974" xr:uid="{6C47DC35-C77B-4D1F-8D16-64D7ABD6130A}"/>
    <cellStyle name="InputCells12 4 3 8" xfId="3859" xr:uid="{B75A0F14-4B29-40F6-A352-ED9274F41B9F}"/>
    <cellStyle name="InputCells12 4 3 9" xfId="4297" xr:uid="{CC747A2F-CB26-4D16-823C-C94149D3E565}"/>
    <cellStyle name="InputCells12 4 30" xfId="11817" xr:uid="{13192B36-3ACF-46D8-9ED4-60119E2A1E30}"/>
    <cellStyle name="InputCells12 4 31" xfId="13855" xr:uid="{0DF3D31D-6585-40C1-8EF5-7FAB48E5CEE0}"/>
    <cellStyle name="InputCells12 4 32" xfId="14066" xr:uid="{9A7A2CFF-165B-4040-B04C-A0E4AD333AB1}"/>
    <cellStyle name="InputCells12 4 33" xfId="14187" xr:uid="{37F0F936-79CA-44F2-A7B5-1BEE95AC1560}"/>
    <cellStyle name="InputCells12 4 34" xfId="14561" xr:uid="{F148F194-D734-4753-B25B-9D1232ECE662}"/>
    <cellStyle name="InputCells12 4 35" xfId="15413" xr:uid="{D596040A-ED9E-4FDA-8C17-883C394DDFE1}"/>
    <cellStyle name="InputCells12 4 36" xfId="16329" xr:uid="{3979ED8F-9AEB-454F-9473-AE324706DA1A}"/>
    <cellStyle name="InputCells12 4 37" xfId="16964" xr:uid="{C8A1F242-3484-4E26-994A-6EC0A03CF4E0}"/>
    <cellStyle name="InputCells12 4 38" xfId="16047" xr:uid="{9EF19D18-F162-495F-BC55-C1AB7E11F387}"/>
    <cellStyle name="InputCells12 4 39" xfId="16443" xr:uid="{B96DD9A7-011D-4B3C-B8F9-D77746F566AC}"/>
    <cellStyle name="InputCells12 4 4" xfId="515" xr:uid="{DCCE8F4D-7D87-4BC7-8391-B41BD6E22C9A}"/>
    <cellStyle name="InputCells12 4 4 10" xfId="5040" xr:uid="{81717E00-C273-4FEF-8F47-1119EBEF7DC7}"/>
    <cellStyle name="InputCells12 4 4 11" xfId="5163" xr:uid="{B55F65D4-C98C-491D-AC26-C3D891A1B30F}"/>
    <cellStyle name="InputCells12 4 4 12" xfId="4684" xr:uid="{757FA18A-B9D5-4F3D-883A-EE401C699937}"/>
    <cellStyle name="InputCells12 4 4 13" xfId="4649" xr:uid="{F8BA6EA9-AD76-41C1-8CC6-A5B8533F4C9F}"/>
    <cellStyle name="InputCells12 4 4 14" xfId="6590" xr:uid="{55360F80-C31B-4873-B41E-9DA4A2AEDF46}"/>
    <cellStyle name="InputCells12 4 4 15" xfId="7235" xr:uid="{D326E2BF-B292-4C44-A159-02B942326E12}"/>
    <cellStyle name="InputCells12 4 4 16" xfId="7766" xr:uid="{6D1935F2-7D49-402A-A964-1D75F72174C6}"/>
    <cellStyle name="InputCells12 4 4 17" xfId="8150" xr:uid="{6712D893-2ADE-4F6A-BABB-8D7166EB37AD}"/>
    <cellStyle name="InputCells12 4 4 18" xfId="8527" xr:uid="{B72F39A9-95F0-4F8D-8DFD-7A0820788A2B}"/>
    <cellStyle name="InputCells12 4 4 19" xfId="9449" xr:uid="{FCC03048-D094-4B96-955F-6F23781BA129}"/>
    <cellStyle name="InputCells12 4 4 2" xfId="730" xr:uid="{3081BBD2-02FA-480D-8E7E-E247CC2F2CE1}"/>
    <cellStyle name="InputCells12 4 4 2 10" xfId="5378" xr:uid="{01652166-E7F5-4A04-AC26-EA1296391BC2}"/>
    <cellStyle name="InputCells12 4 4 2 11" xfId="4679" xr:uid="{9B5E1E6E-5F33-4AFE-9626-1AB80CBE064C}"/>
    <cellStyle name="InputCells12 4 4 2 12" xfId="6267" xr:uid="{76251DF8-0C3D-4906-835B-F89626D09983}"/>
    <cellStyle name="InputCells12 4 4 2 13" xfId="6683" xr:uid="{91AB6611-6D76-450A-BB50-C5D10192961C}"/>
    <cellStyle name="InputCells12 4 4 2 14" xfId="7450" xr:uid="{249CD354-0631-44F1-9BA2-942D5FEBBA0E}"/>
    <cellStyle name="InputCells12 4 4 2 15" xfId="6819" xr:uid="{B1135BD9-DE60-42C7-A288-A50BB36CEF12}"/>
    <cellStyle name="InputCells12 4 4 2 16" xfId="6892" xr:uid="{26419025-59AA-4FB5-9071-EA59C9EA4C34}"/>
    <cellStyle name="InputCells12 4 4 2 17" xfId="8835" xr:uid="{3398CBC3-D523-4060-B238-1CCEDF5062BD}"/>
    <cellStyle name="InputCells12 4 4 2 18" xfId="9664" xr:uid="{C4B9D9D5-F338-4E62-8F5A-367FFD575ABB}"/>
    <cellStyle name="InputCells12 4 4 2 19" xfId="9146" xr:uid="{0F5976FE-2E72-4BEF-9DAB-6AA62D448449}"/>
    <cellStyle name="InputCells12 4 4 2 2" xfId="1204" xr:uid="{C7E27C61-4ADC-4439-BF0A-3719D1E67DE1}"/>
    <cellStyle name="InputCells12 4 4 2 20" xfId="10074" xr:uid="{B194F804-7D56-442F-9B4E-026184FE421E}"/>
    <cellStyle name="InputCells12 4 4 2 21" xfId="10895" xr:uid="{24BF3F79-2B11-40E6-AA58-8C4F68C0E5B3}"/>
    <cellStyle name="InputCells12 4 4 2 22" xfId="11300" xr:uid="{8CA80C59-D8F8-4D18-9ACA-BDA574C3031D}"/>
    <cellStyle name="InputCells12 4 4 2 23" xfId="12083" xr:uid="{4465F717-4156-44F0-85A6-3FDD685A0223}"/>
    <cellStyle name="InputCells12 4 4 2 24" xfId="12556" xr:uid="{6C13C40B-5B64-41D8-AEEC-7A8506BBB664}"/>
    <cellStyle name="InputCells12 4 4 2 25" xfId="12990" xr:uid="{B49D29A6-15E2-4E5D-B20D-E353D0179BE8}"/>
    <cellStyle name="InputCells12 4 4 2 26" xfId="13427" xr:uid="{B8261D33-FB98-459C-A4D2-0AEA71D5055D}"/>
    <cellStyle name="InputCells12 4 4 2 27" xfId="13685" xr:uid="{172A63FE-8194-41A8-BE44-0DE7B7FAEF6F}"/>
    <cellStyle name="InputCells12 4 4 2 28" xfId="13717" xr:uid="{6756AC2C-0EDB-488C-AC18-F1E0C2392561}"/>
    <cellStyle name="InputCells12 4 4 2 29" xfId="12250" xr:uid="{FD3148B8-55D7-4800-A5D5-38667DDDC7AF}"/>
    <cellStyle name="InputCells12 4 4 2 3" xfId="1441" xr:uid="{143ACD98-5B71-41DC-B603-A3AEC0A5CC77}"/>
    <cellStyle name="InputCells12 4 4 2 30" xfId="14234" xr:uid="{F001E5E5-26C8-4139-A72F-E205677C33A4}"/>
    <cellStyle name="InputCells12 4 4 2 31" xfId="15741" xr:uid="{F8DD5CDF-C7E6-4E85-818E-4E69CEC44095}"/>
    <cellStyle name="InputCells12 4 4 2 32" xfId="15464" xr:uid="{189DBD3B-8474-4370-920E-0D0158B5F29C}"/>
    <cellStyle name="InputCells12 4 4 2 33" xfId="16775" xr:uid="{C72C378B-9234-4C54-95A6-BE87EEF956EB}"/>
    <cellStyle name="InputCells12 4 4 2 34" xfId="16131" xr:uid="{DF6E0CBA-7D6C-4286-B42D-0460E119B7F3}"/>
    <cellStyle name="InputCells12 4 4 2 35" xfId="16998" xr:uid="{87490EDC-890C-4596-97E0-91AC64F49215}"/>
    <cellStyle name="InputCells12 4 4 2 36" xfId="18257" xr:uid="{801982B4-0CFB-491A-A5B6-EA2B9F0AC31F}"/>
    <cellStyle name="InputCells12 4 4 2 37" xfId="18593" xr:uid="{2676F7C2-0FB4-4D75-A803-51B0836EAB95}"/>
    <cellStyle name="InputCells12 4 4 2 38" xfId="19081" xr:uid="{175669F2-52B8-45BB-BC23-B5FEBC2616E4}"/>
    <cellStyle name="InputCells12 4 4 2 39" xfId="19203" xr:uid="{49407123-A75F-488E-9A00-6F03A219180C}"/>
    <cellStyle name="InputCells12 4 4 2 4" xfId="2552" xr:uid="{E5362BA2-B762-476A-8AB9-47FA0D5E8FEA}"/>
    <cellStyle name="InputCells12 4 4 2 40" xfId="20112" xr:uid="{6CF65510-1C68-482C-9BAA-B800A29C94F5}"/>
    <cellStyle name="InputCells12 4 4 2 41" xfId="19760" xr:uid="{CB86DAFD-C123-470E-86E8-C1DD1C72DA01}"/>
    <cellStyle name="InputCells12 4 4 2 42" xfId="20452" xr:uid="{A3E5BDBC-991A-4C45-BD53-BB60CD77797D}"/>
    <cellStyle name="InputCells12 4 4 2 43" xfId="21508" xr:uid="{16631BDA-B413-41BD-A6F8-503C75754E8F}"/>
    <cellStyle name="InputCells12 4 4 2 44" xfId="21512" xr:uid="{79C7291B-E613-4655-9EB2-25C35AAF2F14}"/>
    <cellStyle name="InputCells12 4 4 2 45" xfId="21471" xr:uid="{9D778F6B-C076-41F2-B41F-FC20F41AAC63}"/>
    <cellStyle name="InputCells12 4 4 2 46" xfId="22684" xr:uid="{F06C6487-976B-4834-B52A-58833F892819}"/>
    <cellStyle name="InputCells12 4 4 2 47" xfId="23359" xr:uid="{A2683304-232C-4C82-B446-E66553AE5DBB}"/>
    <cellStyle name="InputCells12 4 4 2 48" xfId="23467" xr:uid="{D2D51951-D869-4D63-A228-C03B15ADC52B}"/>
    <cellStyle name="InputCells12 4 4 2 49" xfId="23912" xr:uid="{EFC6112A-4B54-41D3-AB76-D4BC8F26D68B}"/>
    <cellStyle name="InputCells12 4 4 2 5" xfId="2850" xr:uid="{EFDFD4C1-F756-4E32-B956-13AD5EF1AC54}"/>
    <cellStyle name="InputCells12 4 4 2 50" xfId="24820" xr:uid="{273FFA16-23AF-4476-9184-96D2A0317DA0}"/>
    <cellStyle name="InputCells12 4 4 2 51" xfId="24982" xr:uid="{0856902C-D60D-477D-96F1-B37A1E7E54E3}"/>
    <cellStyle name="InputCells12 4 4 2 52" xfId="25736" xr:uid="{FBC76443-6FC2-4849-B2FA-3EDB64F8775C}"/>
    <cellStyle name="InputCells12 4 4 2 53" xfId="25988" xr:uid="{D54D1990-AE7A-4841-AAE7-9B5B76C2BF77}"/>
    <cellStyle name="InputCells12 4 4 2 54" xfId="25075" xr:uid="{523762EA-92E8-4821-95FB-5850AA85ADEF}"/>
    <cellStyle name="InputCells12 4 4 2 55" xfId="27024" xr:uid="{780097DA-6999-4EC3-8B28-B601DCF3AB3E}"/>
    <cellStyle name="InputCells12 4 4 2 56" xfId="27443" xr:uid="{CA5A157B-D7C8-4520-B941-E8BBADABE77E}"/>
    <cellStyle name="InputCells12 4 4 2 57" xfId="27823" xr:uid="{77BDAD04-A5E1-405A-8652-9ECE8F4DF948}"/>
    <cellStyle name="InputCells12 4 4 2 58" xfId="28570" xr:uid="{0CC04F2B-130B-4196-BCD9-A734F0024E0C}"/>
    <cellStyle name="InputCells12 4 4 2 59" xfId="29037" xr:uid="{077D9B5E-FEBA-4B4B-9647-965C0337B5CD}"/>
    <cellStyle name="InputCells12 4 4 2 6" xfId="2950" xr:uid="{A19930F4-9DEF-4750-BEDF-E7420DDC8448}"/>
    <cellStyle name="InputCells12 4 4 2 60" xfId="28167" xr:uid="{C66B903F-A486-4455-9E6F-B75C7DC2E3D8}"/>
    <cellStyle name="InputCells12 4 4 2 61" xfId="29826" xr:uid="{1075831F-E22B-47C6-A965-3BF061A6DEC6}"/>
    <cellStyle name="InputCells12 4 4 2 62" xfId="30232" xr:uid="{5A30CD8E-40AA-4E6C-8FA6-B01A46D068CF}"/>
    <cellStyle name="InputCells12 4 4 2 63" xfId="30649" xr:uid="{9B165FD1-002A-4D36-86BC-08E5EBE525B1}"/>
    <cellStyle name="InputCells12 4 4 2 64" xfId="28757" xr:uid="{9A40FB95-BA17-4BFE-B902-CD0537011FC4}"/>
    <cellStyle name="InputCells12 4 4 2 65" xfId="31265" xr:uid="{8F3865CC-E637-48CD-884D-B67AA0CD0E5E}"/>
    <cellStyle name="InputCells12 4 4 2 7" xfId="4048" xr:uid="{B778E842-4DC9-4058-B176-F2DD27E3629F}"/>
    <cellStyle name="InputCells12 4 4 2 8" xfId="4485" xr:uid="{ED1AE89B-0590-4069-8315-D0DF01E9B6BA}"/>
    <cellStyle name="InputCells12 4 4 2 9" xfId="2796" xr:uid="{EE36BEB8-E523-4D4B-862C-E6F60387FA9D}"/>
    <cellStyle name="InputCells12 4 4 20" xfId="9979" xr:uid="{25EF9A30-BF95-46BE-B1E1-E209ADE42B5F}"/>
    <cellStyle name="InputCells12 4 4 21" xfId="10406" xr:uid="{A5A27CCE-4C1D-4DDE-8AE9-F3FA4A281B78}"/>
    <cellStyle name="InputCells12 4 4 22" xfId="10860" xr:uid="{27517558-BFDE-4EE4-953E-D9B8998A3CB5}"/>
    <cellStyle name="InputCells12 4 4 23" xfId="11199" xr:uid="{626D1607-2666-4635-AF3D-F10383315559}"/>
    <cellStyle name="InputCells12 4 4 24" xfId="11868" xr:uid="{82159BB4-8997-4C70-AA7F-E05B57A4C454}"/>
    <cellStyle name="InputCells12 4 4 25" xfId="12341" xr:uid="{AB5C7557-CA3C-4B99-AE61-A14A5CEC7FA7}"/>
    <cellStyle name="InputCells12 4 4 26" xfId="12775" xr:uid="{11ECC173-C34B-4C81-9389-D94AB554461E}"/>
    <cellStyle name="InputCells12 4 4 27" xfId="13212" xr:uid="{6F6B9D5A-E4CB-44E1-BF19-82F4B9FC40D1}"/>
    <cellStyle name="InputCells12 4 4 28" xfId="13984" xr:uid="{00E0973B-DADD-4E88-9887-3429ABA10B42}"/>
    <cellStyle name="InputCells12 4 4 29" xfId="14253" xr:uid="{16804A21-AC75-4C30-A40D-B905C9CF1102}"/>
    <cellStyle name="InputCells12 4 4 3" xfId="998" xr:uid="{E3A72D73-BE88-42A9-8CF7-642B0CB40613}"/>
    <cellStyle name="InputCells12 4 4 30" xfId="14724" xr:uid="{DA710BE6-A41E-4EDF-A38E-39F4495A4ECD}"/>
    <cellStyle name="InputCells12 4 4 31" xfId="14913" xr:uid="{6FC24DBB-C722-45A0-A83A-EADDD11F519C}"/>
    <cellStyle name="InputCells12 4 4 32" xfId="15179" xr:uid="{6E552B27-6C23-4FDA-B4B7-80B2030E1794}"/>
    <cellStyle name="InputCells12 4 4 33" xfId="15840" xr:uid="{643FF178-1EAD-4B29-83CD-6260F120CB53}"/>
    <cellStyle name="InputCells12 4 4 34" xfId="16560" xr:uid="{862991C0-B9EC-42AD-9D53-2495011BD048}"/>
    <cellStyle name="InputCells12 4 4 35" xfId="17094" xr:uid="{B0A81153-744B-4780-8D3E-109E12D22AFF}"/>
    <cellStyle name="InputCells12 4 4 36" xfId="17542" xr:uid="{16B6D9DE-9E5B-455D-9814-3014BF867BB2}"/>
    <cellStyle name="InputCells12 4 4 37" xfId="16284" xr:uid="{22EFF420-3B45-46A2-8D78-8F4CF5B4818B}"/>
    <cellStyle name="InputCells12 4 4 38" xfId="18378" xr:uid="{5A1EE92D-ED52-4B87-967C-8097BD702BA3}"/>
    <cellStyle name="InputCells12 4 4 39" xfId="17467" xr:uid="{F01DBA8B-1AE9-40D6-84B7-B202CC37DEF6}"/>
    <cellStyle name="InputCells12 4 4 4" xfId="1641" xr:uid="{42C7AEFE-F7C9-4ED1-AA14-673705A4141F}"/>
    <cellStyle name="InputCells12 4 4 40" xfId="19258" xr:uid="{8B98FAB2-DEE9-499D-B460-0B2A5236AC0F}"/>
    <cellStyle name="InputCells12 4 4 41" xfId="19897" xr:uid="{6021D000-912D-46A4-AF35-B159F62DA5DE}"/>
    <cellStyle name="InputCells12 4 4 42" xfId="20448" xr:uid="{4507F055-DB30-4023-A46C-619AA3A13770}"/>
    <cellStyle name="InputCells12 4 4 43" xfId="20900" xr:uid="{AACABB48-85B8-4DB7-B29B-D83E7934EEF1}"/>
    <cellStyle name="InputCells12 4 4 44" xfId="20514" xr:uid="{CADA933D-B898-40FD-9E4A-9095FCEBFF85}"/>
    <cellStyle name="InputCells12 4 4 45" xfId="21830" xr:uid="{A91B371F-8F10-4769-89E1-3C87A902A05C}"/>
    <cellStyle name="InputCells12 4 4 46" xfId="22266" xr:uid="{30E414F0-687C-4781-A93F-7C9F20CC9C98}"/>
    <cellStyle name="InputCells12 4 4 47" xfId="22956" xr:uid="{27DBB416-CAFD-4A7E-A3D9-D8068964391F}"/>
    <cellStyle name="InputCells12 4 4 48" xfId="20935" xr:uid="{9F12E59C-6609-46DE-B6FE-1EEF7E4AFDB3}"/>
    <cellStyle name="InputCells12 4 4 49" xfId="23606" xr:uid="{F0FBF990-8173-4EB3-AB12-3B929C1086B7}"/>
    <cellStyle name="InputCells12 4 4 5" xfId="2337" xr:uid="{6EDD1A1D-59FC-453F-B5E5-279D947C6669}"/>
    <cellStyle name="InputCells12 4 4 50" xfId="23706" xr:uid="{1E96F33D-9E15-4FDB-AC2C-4E138363119B}"/>
    <cellStyle name="InputCells12 4 4 51" xfId="24605" xr:uid="{86A3C265-DC87-4EBB-82AA-46A56FD53840}"/>
    <cellStyle name="InputCells12 4 4 52" xfId="25155" xr:uid="{CC3244A3-D19F-4DDE-AC3E-583F873EC93B}"/>
    <cellStyle name="InputCells12 4 4 53" xfId="25523" xr:uid="{44282435-4F92-4298-8831-07A351461470}"/>
    <cellStyle name="InputCells12 4 4 54" xfId="26263" xr:uid="{9E3A4563-BE8A-462F-8EB8-0396A1F6A077}"/>
    <cellStyle name="InputCells12 4 4 55" xfId="26715" xr:uid="{77A27DEC-7798-422D-AF12-F8FF233FAF46}"/>
    <cellStyle name="InputCells12 4 4 56" xfId="26813" xr:uid="{2DED78BC-11E0-46EE-964C-96819730F385}"/>
    <cellStyle name="InputCells12 4 4 57" xfId="27232" xr:uid="{09C6AF04-F54C-43E8-8A2A-02516311EC10}"/>
    <cellStyle name="InputCells12 4 4 58" xfId="26662" xr:uid="{FE16E961-3B51-4297-B9AB-7C78583F09A1}"/>
    <cellStyle name="InputCells12 4 4 59" xfId="28355" xr:uid="{40F650F2-1FC0-45D4-B5AD-F7F50C55114E}"/>
    <cellStyle name="InputCells12 4 4 6" xfId="3155" xr:uid="{48C29249-04E3-49AD-915E-AD148B31944D}"/>
    <cellStyle name="InputCells12 4 4 60" xfId="28823" xr:uid="{97554CCF-B649-4A8A-962E-9FA9F4DB83DC}"/>
    <cellStyle name="InputCells12 4 4 61" xfId="29305" xr:uid="{CC75B92D-42DA-48CC-AA69-15AE69ABDD05}"/>
    <cellStyle name="InputCells12 4 4 62" xfId="29613" xr:uid="{99805373-A028-4D5C-80D8-A6F3233EF5F1}"/>
    <cellStyle name="InputCells12 4 4 63" xfId="30021" xr:uid="{7DEEF84A-974D-454E-924E-A6079834A93D}"/>
    <cellStyle name="InputCells12 4 4 64" xfId="30435" xr:uid="{F00F3FAE-4F18-440F-B422-0BB29D2F6102}"/>
    <cellStyle name="InputCells12 4 4 65" xfId="30840" xr:uid="{B7C9C1EA-0C91-42B6-9EB2-1E7E7B127366}"/>
    <cellStyle name="InputCells12 4 4 66" xfId="31059" xr:uid="{2FB9056B-2521-4B19-B7C1-1E6597E037ED}"/>
    <cellStyle name="InputCells12 4 4 7" xfId="2715" xr:uid="{8B4FCA68-73B4-484D-97E1-ECE71B3B0EAC}"/>
    <cellStyle name="InputCells12 4 4 8" xfId="3833" xr:uid="{032F69A2-882B-4F12-B7FF-D01F39559B14}"/>
    <cellStyle name="InputCells12 4 4 9" xfId="4271" xr:uid="{CAB42A9B-EA93-43DD-A9A6-39A3547CE57D}"/>
    <cellStyle name="InputCells12 4 40" xfId="17914" xr:uid="{99CB56B2-8A3D-4148-B0E2-28B54FFD4179}"/>
    <cellStyle name="InputCells12 4 41" xfId="17905" xr:uid="{DFEF4B71-A59E-44EB-AB91-41C78CF7A26A}"/>
    <cellStyle name="InputCells12 4 42" xfId="19184" xr:uid="{E2C0DA23-6DB5-4C07-B837-5E5C385CCCD7}"/>
    <cellStyle name="InputCells12 4 43" xfId="19662" xr:uid="{518D64D5-6D23-4CAA-8E57-E30A7D3C189D}"/>
    <cellStyle name="InputCells12 4 44" xfId="20311" xr:uid="{B6D19FA3-AF2D-4A5F-94DB-0C88E8A2593A}"/>
    <cellStyle name="InputCells12 4 45" xfId="20767" xr:uid="{34DF63CB-536F-4164-9D74-8C8FFEE90F9F}"/>
    <cellStyle name="InputCells12 4 46" xfId="19825" xr:uid="{ABC9977F-DDAE-40BB-B525-758675D3E06C}"/>
    <cellStyle name="InputCells12 4 47" xfId="20794" xr:uid="{A31AC483-F3DB-4B01-AC1F-CA7032B8B94D}"/>
    <cellStyle name="InputCells12 4 48" xfId="21368" xr:uid="{03A628B0-5695-4E74-A1CE-C8376EF7A3D7}"/>
    <cellStyle name="InputCells12 4 49" xfId="19500" xr:uid="{8714413D-D982-46C1-85F4-1486B1FC8AA3}"/>
    <cellStyle name="InputCells12 4 5" xfId="954" xr:uid="{A0620748-B936-4ED7-BD7A-A2912E7DE538}"/>
    <cellStyle name="InputCells12 4 50" xfId="21810" xr:uid="{5CA89E71-9D96-4056-B517-1A47F9A9B775}"/>
    <cellStyle name="InputCells12 4 51" xfId="23496" xr:uid="{5235F41E-2A24-4508-87B3-DDFA7F638146}"/>
    <cellStyle name="InputCells12 4 52" xfId="23590" xr:uid="{32A80D8E-9A0A-4E4F-BF23-A275BA417597}"/>
    <cellStyle name="InputCells12 4 53" xfId="24382" xr:uid="{57B13AB3-57A9-4EED-8FB4-305A9F7FE7E7}"/>
    <cellStyle name="InputCells12 4 54" xfId="25027" xr:uid="{3A9D08DF-7C65-4414-8368-358A72DBB6DC}"/>
    <cellStyle name="InputCells12 4 55" xfId="25356" xr:uid="{71DECA83-263A-4526-BC3E-14EF060EC882}"/>
    <cellStyle name="InputCells12 4 56" xfId="26120" xr:uid="{16BD5488-1AE7-4CA3-8211-D08B215D91F2}"/>
    <cellStyle name="InputCells12 4 57" xfId="26499" xr:uid="{C24525A7-79D9-4843-BD99-29A6263A1F0D}"/>
    <cellStyle name="InputCells12 4 58" xfId="24326" xr:uid="{DFC49395-39F6-494A-8378-5342AD3A4D98}"/>
    <cellStyle name="InputCells12 4 59" xfId="25993" xr:uid="{F9BF92A0-CABA-4ECC-9092-A7C768D12AE4}"/>
    <cellStyle name="InputCells12 4 6" xfId="1467" xr:uid="{A01EB62F-6B3B-4031-BD63-26E2F3CC3A1A}"/>
    <cellStyle name="InputCells12 4 60" xfId="26766" xr:uid="{39F8C118-6F1D-4518-9FBB-E0934547A191}"/>
    <cellStyle name="InputCells12 4 61" xfId="28153" xr:uid="{84B01118-FDE1-4921-A8DE-054B0A5B762F}"/>
    <cellStyle name="InputCells12 4 62" xfId="27915" xr:uid="{049F9DBC-0AB5-4FA8-91C3-CC4E1BFDBC7E}"/>
    <cellStyle name="InputCells12 4 63" xfId="28126" xr:uid="{BB0413E2-0E7E-4932-B914-C94FDADF9BBB}"/>
    <cellStyle name="InputCells12 4 64" xfId="28237" xr:uid="{DA244795-36BC-4F4C-B13B-6396222A41F3}"/>
    <cellStyle name="InputCells12 4 65" xfId="29557" xr:uid="{FF9C596F-4264-48FD-963B-A3E160280C32}"/>
    <cellStyle name="InputCells12 4 66" xfId="29549" xr:uid="{0BD66FE6-ACAB-4AE0-9A98-7E0B722F8AF1}"/>
    <cellStyle name="InputCells12 4 67" xfId="29387" xr:uid="{C8A4DB16-B6A6-4439-946F-FE525F97FE9E}"/>
    <cellStyle name="InputCells12 4 68" xfId="30961" xr:uid="{D8621077-7013-42B9-BB03-5C9F3DD97B92}"/>
    <cellStyle name="InputCells12 4 7" xfId="2102" xr:uid="{45D49C4E-90A9-4937-A59C-6CB6005329EF}"/>
    <cellStyle name="InputCells12 4 8" xfId="1846" xr:uid="{ECE9C893-F2B9-4C21-9B60-DEF4C31C4F0F}"/>
    <cellStyle name="InputCells12 4 9" xfId="2316" xr:uid="{D4529C7F-95DF-4D41-BB48-6A34B0E80645}"/>
    <cellStyle name="InputCells12 5" xfId="73" xr:uid="{8C3FC201-9EAB-4B31-ABDE-C0C76DF6F3A8}"/>
    <cellStyle name="InputCells12 5 10" xfId="16125" xr:uid="{898FC4DA-5619-4462-87A7-5A1CCBC3827E}"/>
    <cellStyle name="InputCells12 5 11" xfId="17482" xr:uid="{20B79D4C-F90F-438C-86B3-56F4E57D92B4}"/>
    <cellStyle name="InputCells12 5 12" xfId="19458" xr:uid="{B3D47032-9E1B-453D-8E2D-10503C781A99}"/>
    <cellStyle name="InputCells12 5 13" xfId="22245" xr:uid="{D8F5D713-B53C-4564-8714-5E35FC3BDA52}"/>
    <cellStyle name="InputCells12 5 14" xfId="24179" xr:uid="{3C045AA2-75A5-4A13-A5F3-BC66831482A9}"/>
    <cellStyle name="InputCells12 5 15" xfId="25245" xr:uid="{F93D296D-DE9A-4EFA-8A93-5ED14CD9780B}"/>
    <cellStyle name="InputCells12 5 16" xfId="27972" xr:uid="{FE6E461D-1480-45AB-AA7E-A87CC25CCC0B}"/>
    <cellStyle name="InputCells12 5 2" xfId="918" xr:uid="{04249042-DF96-4AFD-AA6C-7C875F8FA97F}"/>
    <cellStyle name="InputCells12 5 3" xfId="1901" xr:uid="{E784F422-9201-4A57-BAE7-1CD01C4FDD62}"/>
    <cellStyle name="InputCells12 5 4" xfId="3343" xr:uid="{CC130645-4BF9-412B-B84B-36B26F5D6183}"/>
    <cellStyle name="InputCells12 5 5" xfId="4884" xr:uid="{D4DC8D6F-7909-4D43-A4D7-502635FE6DF3}"/>
    <cellStyle name="InputCells12 5 6" xfId="6814" xr:uid="{29CC8442-29C2-4220-ACED-682464A2F1F7}"/>
    <cellStyle name="InputCells12 5 7" xfId="8549" xr:uid="{88510C0A-BEED-47E8-B480-634A82DA1471}"/>
    <cellStyle name="InputCells12 5 8" xfId="9028" xr:uid="{D4B4577D-1E86-4D89-9E68-4FEF6ACBD956}"/>
    <cellStyle name="InputCells12 5 9" xfId="11433" xr:uid="{00DD92C6-7089-417A-98CE-59138E38DE76}"/>
    <cellStyle name="InputCells12_BBorder" xfId="26" xr:uid="{A548877D-CD0E-4EE1-AF8A-A48040FD15B0}"/>
    <cellStyle name="IntCells" xfId="146" xr:uid="{60A6EB5D-B81F-43AA-901F-0BD9FC364854}"/>
    <cellStyle name="KP_thin_border_dark_grey" xfId="36" xr:uid="{9A5D44AD-0AB4-4B47-919C-0306CE6B33EA}"/>
    <cellStyle name="Linked Cell 2" xfId="147" xr:uid="{7EE34B36-FC81-4D3C-AD66-5D6BCE5844C3}"/>
    <cellStyle name="Linked Cell 3" xfId="233" xr:uid="{CAC52111-5401-4ABF-A777-E2FBFCF25BD5}"/>
    <cellStyle name="Linked Cell 4" xfId="368" xr:uid="{B057DC18-DF59-4369-9A03-55AA4B8E5987}"/>
    <cellStyle name="Neutral 2" xfId="148" xr:uid="{5590DDE8-FE6C-4E52-B634-3385057E35ED}"/>
    <cellStyle name="Neutral 3" xfId="234" xr:uid="{76C3C4A1-ED08-4D0D-B83B-67799571E6AF}"/>
    <cellStyle name="Normaali 2" xfId="149" xr:uid="{EBC00AB2-6051-48C8-9A98-CA17581EE2BE}"/>
    <cellStyle name="Normaali 2 2" xfId="150" xr:uid="{E820EDC1-CFDC-4F9C-9BBC-A95DBCD7204B}"/>
    <cellStyle name="Normal" xfId="0" builtinId="0"/>
    <cellStyle name="Normal 10" xfId="371" xr:uid="{830A227B-37CB-4483-9101-5740DF03F2C8}"/>
    <cellStyle name="Normal 10 2" xfId="440" xr:uid="{8EA894EF-5AA3-4827-83A6-6BFD37D13D77}"/>
    <cellStyle name="Normal 11" xfId="399" xr:uid="{5ED62D92-C3EF-4341-B6AD-6D616C972F91}"/>
    <cellStyle name="Normal 11 2" xfId="441" xr:uid="{972F9425-232F-4796-9BCC-C33E4DAB7F2C}"/>
    <cellStyle name="Normal 12" xfId="510" xr:uid="{AAA54ADB-CA73-4FF1-BF32-B243FBA5D2AB}"/>
    <cellStyle name="Normal 12 2" xfId="670" xr:uid="{F8037825-F997-457D-A7C2-7840F3455A84}"/>
    <cellStyle name="Normal 13" xfId="31426" xr:uid="{60D849C8-45AB-44A0-9913-F8DB4936B683}"/>
    <cellStyle name="Normal 2" xfId="5" xr:uid="{91032084-917E-4CBC-A5C2-440FE949CDC0}"/>
    <cellStyle name="Normal 2 2" xfId="151" xr:uid="{83ECB069-8B74-4C1A-AAF5-96E825D6952A}"/>
    <cellStyle name="Normal 2 2 2" xfId="152" xr:uid="{5EBA34FB-0F27-410C-900B-C3BDF682C323}"/>
    <cellStyle name="Normal 2 3" xfId="153" xr:uid="{A7E81D7C-B4DD-45BC-84B1-E58556C8D26B}"/>
    <cellStyle name="Normal 2 3 2" xfId="421" xr:uid="{A98B3531-03BC-4817-B5E0-22A948C5B23D}"/>
    <cellStyle name="Normal 2 3 2 2" xfId="2243" xr:uid="{4D5164C6-BFD2-4347-83C8-D44B00A06E6D}"/>
    <cellStyle name="Normal 2 3 3" xfId="1980" xr:uid="{75C535EA-B623-48A3-A6E8-D1B86D98B191}"/>
    <cellStyle name="Normal 2 4" xfId="40" xr:uid="{CAC392B0-A231-44B0-A2FC-1F2A41F185D3}"/>
    <cellStyle name="Normal 3" xfId="1" xr:uid="{00000000-0005-0000-0000-000001000000}"/>
    <cellStyle name="Normal 3 2" xfId="154" xr:uid="{AD8EEC0E-57E3-42D1-BF2A-4BE9DDA55823}"/>
    <cellStyle name="Normal 3 2 2" xfId="41" xr:uid="{3861B005-A154-447E-90D0-2F22582F0768}"/>
    <cellStyle name="Normal 3 3" xfId="195" xr:uid="{DA5E2677-7BF1-4EC8-B4C9-CEC16C381A25}"/>
    <cellStyle name="Normal 3 4" xfId="357" xr:uid="{51E879DC-CABE-4CBB-B36C-A880625FF8B1}"/>
    <cellStyle name="Normal 3 5" xfId="37" xr:uid="{9AB6D151-1871-4D82-A3CF-54BE2DDEE62A}"/>
    <cellStyle name="Normal 4" xfId="155" xr:uid="{BB782A3A-132A-4DB6-BF5B-C3E87957D7F7}"/>
    <cellStyle name="Normal 4 2" xfId="156" xr:uid="{82727431-625B-4D3E-A899-0EAB8D80A418}"/>
    <cellStyle name="Normal 4 2 2" xfId="157" xr:uid="{7271FE33-47E9-4666-86D8-4FD1851D7FF7}"/>
    <cellStyle name="Normal 4 2 3" xfId="422" xr:uid="{F66C92D7-4D6F-4FC3-95F1-1FCF5D5DEB83}"/>
    <cellStyle name="Normal 4 3" xfId="196" xr:uid="{79911653-78A5-4DB1-AD6C-20C1430511AB}"/>
    <cellStyle name="Normal 4 3 2" xfId="423" xr:uid="{13EB3205-32CE-4864-A9D9-9BDC8B6F4BDA}"/>
    <cellStyle name="Normal 5" xfId="158" xr:uid="{8F237282-353E-4084-8431-EA2B02D17964}"/>
    <cellStyle name="Normal 5 2" xfId="289" xr:uid="{93B8A054-D2B6-4ABF-8A72-6A2CFFE77A0C}"/>
    <cellStyle name="Normal 5 2 2" xfId="296" xr:uid="{9919FE0D-7CDA-45CA-A79E-07408CD609C4}"/>
    <cellStyle name="Normal 5 2 2 2" xfId="302" xr:uid="{D93076A8-6485-445B-A42C-7E53349EEFEB}"/>
    <cellStyle name="Normal 5 2 2 2 2" xfId="317" xr:uid="{359AFC38-3583-447B-9490-15D9FE3A64A6}"/>
    <cellStyle name="Normal 5 2 2 2 2 2" xfId="446" xr:uid="{76930CAB-847A-4336-8662-36A7AFF8536B}"/>
    <cellStyle name="Normal 5 2 2 2 3" xfId="445" xr:uid="{B1495AEC-5F2D-4582-8C2A-AECC774C7A6E}"/>
    <cellStyle name="Normal 5 2 2 3" xfId="316" xr:uid="{5AAA4E7B-D0C1-4F5A-BF13-3DE7EB763F2E}"/>
    <cellStyle name="Normal 5 2 2 3 2" xfId="447" xr:uid="{4DC33795-7126-4E2F-94D0-E1FCEC6BCBC9}"/>
    <cellStyle name="Normal 5 2 2 4" xfId="444" xr:uid="{5BB3B97C-7F59-4588-8FE6-B6F9CEA779D4}"/>
    <cellStyle name="Normal 5 2 3" xfId="301" xr:uid="{8EE9746C-4B47-47CC-8D54-41F359011B4D}"/>
    <cellStyle name="Normal 5 2 3 2" xfId="318" xr:uid="{050007AF-A4FE-442D-BA6E-E93829EFD11C}"/>
    <cellStyle name="Normal 5 2 3 2 2" xfId="449" xr:uid="{AE1C602E-7852-4A70-972D-F2E7B5EF2BBE}"/>
    <cellStyle name="Normal 5 2 3 3" xfId="448" xr:uid="{F12E0D49-42FF-4F01-99CE-769A516847D7}"/>
    <cellStyle name="Normal 5 2 4" xfId="315" xr:uid="{3ABFBF82-A53D-4160-BB4D-108B3FC2CCAA}"/>
    <cellStyle name="Normal 5 2 4 2" xfId="450" xr:uid="{6EFA785F-F0ED-4775-897D-8C6066089775}"/>
    <cellStyle name="Normal 5 2 5" xfId="424" xr:uid="{D1DEDE17-3EF5-45A8-8705-39F4C6409860}"/>
    <cellStyle name="Normal 5 2 5 2" xfId="451" xr:uid="{F275E865-CEE1-4DD0-8884-7ACEC4A5FC49}"/>
    <cellStyle name="Normal 5 2 6" xfId="443" xr:uid="{B42F8FFC-5242-4E60-A429-F7291507EC1B}"/>
    <cellStyle name="Normal 5 3" xfId="293" xr:uid="{A602D451-A0D8-4D33-8A46-54527D5D9A28}"/>
    <cellStyle name="Normal 5 3 2" xfId="303" xr:uid="{2A0C2A5E-262D-4F6E-9101-F72D789132FC}"/>
    <cellStyle name="Normal 5 3 2 2" xfId="320" xr:uid="{D5D4E6E5-DE2E-47FD-A26B-AE86E8C1E2E7}"/>
    <cellStyle name="Normal 5 3 2 2 2" xfId="454" xr:uid="{016F9E56-1D29-4FAA-A7F1-7C002B10B205}"/>
    <cellStyle name="Normal 5 3 2 3" xfId="453" xr:uid="{DED3EB29-E5AA-4434-89FB-C900169BD428}"/>
    <cellStyle name="Normal 5 3 3" xfId="319" xr:uid="{0ADF63DB-6980-4662-948B-B74C8FAF61C9}"/>
    <cellStyle name="Normal 5 3 3 2" xfId="455" xr:uid="{91DFB202-D06E-4123-8530-AEF672543B8F}"/>
    <cellStyle name="Normal 5 3 4" xfId="452" xr:uid="{AC0DA96C-79CE-4554-85C3-363E5F129053}"/>
    <cellStyle name="Normal 5 4" xfId="300" xr:uid="{58087C44-ED8E-4D99-8529-94AAAE92F2A2}"/>
    <cellStyle name="Normal 5 4 2" xfId="321" xr:uid="{A2249AFB-6980-4ED0-B83E-2934E8EB26DB}"/>
    <cellStyle name="Normal 5 4 2 2" xfId="457" xr:uid="{B1CC5BCE-DF4F-4F3D-B901-664193F672E1}"/>
    <cellStyle name="Normal 5 4 3" xfId="456" xr:uid="{46C0E625-3DB1-48DE-87AE-57118F0A261C}"/>
    <cellStyle name="Normal 5 5" xfId="314" xr:uid="{39457B5E-1858-4816-8E99-8890FBBAA1A8}"/>
    <cellStyle name="Normal 5 5 2" xfId="458" xr:uid="{DDB08CE7-9DA8-4944-87B1-1F437C430466}"/>
    <cellStyle name="Normal 5 6" xfId="358" xr:uid="{438968F2-EB56-4321-9D16-9E7FC6E6B38B}"/>
    <cellStyle name="Normal 5 7" xfId="442" xr:uid="{986F4432-37BB-43B0-9458-09ADFAECFDD8}"/>
    <cellStyle name="Normal 5 8" xfId="280" xr:uid="{9E00E9F7-A841-4058-9B76-B65426616FA8}"/>
    <cellStyle name="Normal 6" xfId="159" xr:uid="{E61F29B1-D3E4-4FF7-8771-F48F7EE3341B}"/>
    <cellStyle name="Normal 6 10" xfId="425" xr:uid="{D12C1F6E-9132-42FD-BDB9-0E0BB3DE255C}"/>
    <cellStyle name="Normal 6 10 2" xfId="460" xr:uid="{A0DF9630-2B0E-4DF0-8531-21553A1676AE}"/>
    <cellStyle name="Normal 6 11" xfId="459" xr:uid="{A3A86156-42C3-4153-8737-B2BAB7217541}"/>
    <cellStyle name="Normal 6 2" xfId="290" xr:uid="{308FA2C4-8526-48AD-AA17-11CEE7F49A80}"/>
    <cellStyle name="Normal 6 2 2" xfId="297" xr:uid="{E66EBEE0-A848-46C7-9780-155EC4394347}"/>
    <cellStyle name="Normal 6 2 2 2" xfId="306" xr:uid="{8EC0D0B7-EB7D-4BD5-AB5A-19C5007A53D9}"/>
    <cellStyle name="Normal 6 2 2 2 2" xfId="325" xr:uid="{C531E324-B883-4F87-8B09-9694922A5905}"/>
    <cellStyle name="Normal 6 2 2 2 2 2" xfId="464" xr:uid="{3A691EAA-C975-4C37-A882-B33335B04EBD}"/>
    <cellStyle name="Normal 6 2 2 2 3" xfId="463" xr:uid="{C92C781E-1DC7-476D-8093-FE9BDA1D7294}"/>
    <cellStyle name="Normal 6 2 2 3" xfId="324" xr:uid="{651A1212-6A50-41F2-8041-45BCDD7F3BA7}"/>
    <cellStyle name="Normal 6 2 2 3 2" xfId="465" xr:uid="{3ACF6614-4F53-4419-96F8-9ED00F6843CA}"/>
    <cellStyle name="Normal 6 2 2 4" xfId="462" xr:uid="{1BCD7A1B-BA73-4209-B8E3-E983F5C22A71}"/>
    <cellStyle name="Normal 6 2 3" xfId="305" xr:uid="{4FDB9BEA-ABF3-465C-89E7-D6DDDEC45F90}"/>
    <cellStyle name="Normal 6 2 3 2" xfId="326" xr:uid="{98914965-D641-41A1-82EA-041F3BE053E6}"/>
    <cellStyle name="Normal 6 2 3 2 2" xfId="467" xr:uid="{9FD1C3A8-04D9-45CE-BC08-2738E606B8FE}"/>
    <cellStyle name="Normal 6 2 3 3" xfId="466" xr:uid="{CC111367-9A24-458B-AB90-EBB4E456CF68}"/>
    <cellStyle name="Normal 6 2 4" xfId="323" xr:uid="{67781670-E671-4B47-9347-4BBD880C23C4}"/>
    <cellStyle name="Normal 6 2 4 2" xfId="468" xr:uid="{8646FDD6-3118-4C47-BA18-B765C72181CA}"/>
    <cellStyle name="Normal 6 2 5" xfId="426" xr:uid="{30C1CF9F-4B94-46BD-9618-767EA2051239}"/>
    <cellStyle name="Normal 6 2 5 2" xfId="469" xr:uid="{2833F69A-7C03-48D0-A20F-D73C0AD69B4D}"/>
    <cellStyle name="Normal 6 2 6" xfId="461" xr:uid="{3A0D064A-9D02-4483-8883-7E86C58CA4B0}"/>
    <cellStyle name="Normal 6 3" xfId="292" xr:uid="{EBEC68F0-0844-4935-B828-7A77589CE24A}"/>
    <cellStyle name="Normal 6 3 2" xfId="299" xr:uid="{59E78793-D313-41E5-B72B-FE832674D26C}"/>
    <cellStyle name="Normal 6 3 2 2" xfId="308" xr:uid="{771D9D44-7415-4087-93FD-B1D2548FA0BC}"/>
    <cellStyle name="Normal 6 3 2 2 2" xfId="329" xr:uid="{4A905138-D62A-4B21-8203-7F4BE8EE20A6}"/>
    <cellStyle name="Normal 6 3 2 2 2 2" xfId="473" xr:uid="{31042D9C-B245-44A6-BF11-9C16DFF4B160}"/>
    <cellStyle name="Normal 6 3 2 2 3" xfId="472" xr:uid="{04931410-A1B6-4093-B9C5-1442AF13F4DE}"/>
    <cellStyle name="Normal 6 3 2 3" xfId="328" xr:uid="{C22A4A5A-5CF6-46D5-A0A8-14819D4BD554}"/>
    <cellStyle name="Normal 6 3 2 3 2" xfId="474" xr:uid="{19DF7FE4-2312-49F9-AE16-7BAB338E8FF8}"/>
    <cellStyle name="Normal 6 3 2 4" xfId="471" xr:uid="{BA02C17C-A070-4D9B-837A-E815751F00C0}"/>
    <cellStyle name="Normal 6 3 3" xfId="307" xr:uid="{2FDC6F3D-5479-4E55-A4AF-3A3C7E75DE3A}"/>
    <cellStyle name="Normal 6 3 3 2" xfId="330" xr:uid="{9AD4785C-AE0F-4062-A2FA-66B5F7D49B46}"/>
    <cellStyle name="Normal 6 3 3 2 2" xfId="476" xr:uid="{DB7FA24F-9815-44F6-9A3C-828F467DC29A}"/>
    <cellStyle name="Normal 6 3 3 3" xfId="475" xr:uid="{68EC3157-07A8-44C1-8EA9-8F9B6110203F}"/>
    <cellStyle name="Normal 6 3 4" xfId="327" xr:uid="{272AB0AA-63CF-47C6-A874-19E1DFCC11E3}"/>
    <cellStyle name="Normal 6 3 4 2" xfId="477" xr:uid="{EC016FA7-5189-49C3-B740-CE0051ADBDF1}"/>
    <cellStyle name="Normal 6 3 5" xfId="470" xr:uid="{E30C6FD9-1556-4C18-B3F1-CADFBE5309C3}"/>
    <cellStyle name="Normal 6 4" xfId="294" xr:uid="{BFD2E210-B4B1-490D-9965-A959DD8529D6}"/>
    <cellStyle name="Normal 6 4 2" xfId="309" xr:uid="{61C1E179-5844-4533-BDFB-87BECFEEF4E9}"/>
    <cellStyle name="Normal 6 4 2 2" xfId="332" xr:uid="{42EB4C27-8689-4A6F-B97F-60330BA39D1D}"/>
    <cellStyle name="Normal 6 4 2 2 2" xfId="480" xr:uid="{5774BB8A-1EC9-4E43-8608-A9E7416587D5}"/>
    <cellStyle name="Normal 6 4 2 3" xfId="479" xr:uid="{AB223AA7-1F87-4E29-B37C-2C0AEB336CB3}"/>
    <cellStyle name="Normal 6 4 3" xfId="331" xr:uid="{D9E9449F-8D4C-4B5D-BABC-65A4473557C4}"/>
    <cellStyle name="Normal 6 4 3 2" xfId="481" xr:uid="{2B02EDAC-C9CC-4DA6-8C0B-7322E919D254}"/>
    <cellStyle name="Normal 6 4 4" xfId="478" xr:uid="{9B0719DF-37AC-454D-8193-F65AAB9858AA}"/>
    <cellStyle name="Normal 6 5" xfId="304" xr:uid="{274C4AD4-7365-4C7C-B5D6-C7935E163C6D}"/>
    <cellStyle name="Normal 6 5 2" xfId="333" xr:uid="{A318CB62-0DC2-4441-81A1-585270717554}"/>
    <cellStyle name="Normal 6 5 2 2" xfId="483" xr:uid="{8E5F365B-5B7C-4524-B409-1CB4B545F988}"/>
    <cellStyle name="Normal 6 5 3" xfId="482" xr:uid="{D82442DA-8643-44AB-A31A-5678F4D9780F}"/>
    <cellStyle name="Normal 6 6" xfId="322" xr:uid="{45721E1C-DD49-46A4-8597-6106D4B10DAD}"/>
    <cellStyle name="Normal 6 6 2" xfId="484" xr:uid="{75298F91-C3B9-4F95-9E0E-EC4C50D0C666}"/>
    <cellStyle name="Normal 6 7" xfId="359" xr:uid="{FD6BD21E-7430-496A-A7E2-87407F330806}"/>
    <cellStyle name="Normal 6 7 2" xfId="485" xr:uid="{69F4D824-8F82-438B-931B-196E1BEF5D87}"/>
    <cellStyle name="Normal 6 8" xfId="395" xr:uid="{60F05EB2-6453-46F2-827A-BA4643AC9477}"/>
    <cellStyle name="Normal 6 8 2" xfId="486" xr:uid="{3216BD90-E3E6-4764-8108-498DD06E7747}"/>
    <cellStyle name="Normal 6 9" xfId="398" xr:uid="{6C7F9437-3FE7-47DA-9C5E-9FF2B21F4276}"/>
    <cellStyle name="Normal 6 9 2" xfId="487" xr:uid="{BDF39223-EE15-454A-8B3A-0BE26C388571}"/>
    <cellStyle name="Normal 7" xfId="35" xr:uid="{1FB27423-ABE3-479A-86C0-39983D5EB1E3}"/>
    <cellStyle name="Normal 7 2" xfId="291" xr:uid="{FF538993-F6FD-48D9-86B9-9C8CBBA2CCA2}"/>
    <cellStyle name="Normal 7 2 2" xfId="298" xr:uid="{425A6701-8679-4E4E-8906-7B2381E15285}"/>
    <cellStyle name="Normal 7 2 2 2" xfId="312" xr:uid="{00510D07-3F9A-4244-BB8C-344038323E36}"/>
    <cellStyle name="Normal 7 2 2 2 2" xfId="337" xr:uid="{BF3316FE-AF1F-43E2-940D-521674212493}"/>
    <cellStyle name="Normal 7 2 2 2 2 2" xfId="492" xr:uid="{8ECD9C63-85DE-41A2-8975-C76F97D1ECB6}"/>
    <cellStyle name="Normal 7 2 2 2 3" xfId="491" xr:uid="{A818C8AB-F0A3-4EDE-A59B-9B0190E71478}"/>
    <cellStyle name="Normal 7 2 2 3" xfId="336" xr:uid="{DF63BE66-CD45-4CDA-B8C3-18F813CEB798}"/>
    <cellStyle name="Normal 7 2 2 3 2" xfId="493" xr:uid="{4D403E1F-1E45-41D3-91CA-635FD5CA95FA}"/>
    <cellStyle name="Normal 7 2 2 4" xfId="490" xr:uid="{A7C980E1-113B-4058-BF69-2810AD15590F}"/>
    <cellStyle name="Normal 7 2 3" xfId="311" xr:uid="{D995DF0D-761A-4401-B671-F168A7F43FA5}"/>
    <cellStyle name="Normal 7 2 3 2" xfId="338" xr:uid="{8C45E9A8-B91A-4C0F-863D-CE95EB93EC62}"/>
    <cellStyle name="Normal 7 2 3 2 2" xfId="495" xr:uid="{F07B24D2-FF5A-40CC-898E-BB483E6352DD}"/>
    <cellStyle name="Normal 7 2 3 3" xfId="494" xr:uid="{80446933-BF64-4E88-A4FA-879C7B51A1EF}"/>
    <cellStyle name="Normal 7 2 4" xfId="335" xr:uid="{AA47B84B-5103-4483-8A66-05473C16D23E}"/>
    <cellStyle name="Normal 7 2 4 2" xfId="496" xr:uid="{88DDB9E5-7503-42E5-8D81-9D5AF70E8534}"/>
    <cellStyle name="Normal 7 2 5" xfId="427" xr:uid="{1CF2CA7B-D5CD-48B3-93DE-7B5C4F4BE793}"/>
    <cellStyle name="Normal 7 2 5 2" xfId="497" xr:uid="{47A3E3E9-A570-4C25-AF02-8E2BCF3AD7C7}"/>
    <cellStyle name="Normal 7 2 6" xfId="489" xr:uid="{D9E2A0AB-4AEC-4B0F-A5BD-CB072DA4DA34}"/>
    <cellStyle name="Normal 7 3" xfId="295" xr:uid="{C5A0E816-2950-4EC4-825B-E33D9808AD29}"/>
    <cellStyle name="Normal 7 3 2" xfId="313" xr:uid="{72C7ED50-B098-44D8-84CC-6372E27A1C1D}"/>
    <cellStyle name="Normal 7 3 2 2" xfId="340" xr:uid="{AB8ABB99-65F5-452B-8FB2-7CD294CA63C3}"/>
    <cellStyle name="Normal 7 3 2 2 2" xfId="500" xr:uid="{9F1D5C13-2C46-4C5A-BE93-940A9822E9B0}"/>
    <cellStyle name="Normal 7 3 2 3" xfId="499" xr:uid="{26D56F72-FCE0-46D2-AE19-D6A5E866AF6C}"/>
    <cellStyle name="Normal 7 3 3" xfId="339" xr:uid="{02124AFF-BD5D-4091-AE5C-741017953BFB}"/>
    <cellStyle name="Normal 7 3 3 2" xfId="501" xr:uid="{7F59BC1F-00C9-4685-BCCE-23AFAFA655A4}"/>
    <cellStyle name="Normal 7 3 4" xfId="498" xr:uid="{2FB00E75-9971-4C2A-B3F3-78FE90EB0D45}"/>
    <cellStyle name="Normal 7 4" xfId="310" xr:uid="{722B6A4B-3692-420A-B4C0-6881CDA4BD32}"/>
    <cellStyle name="Normal 7 4 2" xfId="341" xr:uid="{64567387-5B5C-4115-8647-AAA46EDA287B}"/>
    <cellStyle name="Normal 7 4 2 2" xfId="503" xr:uid="{FF9987E7-F7C8-411D-9FDA-C3CA33119C2A}"/>
    <cellStyle name="Normal 7 4 3" xfId="502" xr:uid="{4F9302ED-F5CE-4030-99A5-F520AF0AE6E9}"/>
    <cellStyle name="Normal 7 5" xfId="334" xr:uid="{856480C4-F222-4F21-B24B-4F38AA9E8E94}"/>
    <cellStyle name="Normal 7 5 2" xfId="504" xr:uid="{C67562C5-EE5F-4DC9-A861-6092845A7D97}"/>
    <cellStyle name="Normal 7 6" xfId="347" xr:uid="{0F2BB43D-A8EF-4BE6-8183-424DCA931577}"/>
    <cellStyle name="Normal 7 7" xfId="488" xr:uid="{64E21DC8-5CD8-4716-B6AA-A0CFE94A366A}"/>
    <cellStyle name="Normal 7 8" xfId="288" xr:uid="{ACED72C8-0778-4EB7-ACB3-23FEB856FA41}"/>
    <cellStyle name="Normal 8" xfId="235" xr:uid="{0EDC839C-2D56-45FB-8175-7B0CAA5FD459}"/>
    <cellStyle name="Normal 8 2" xfId="429" xr:uid="{3927BB9F-0B00-460A-B727-1D557657E0D3}"/>
    <cellStyle name="Normal 8 3" xfId="428" xr:uid="{1A2C11F6-D2DF-4142-BBF0-1CE0C406DDF5}"/>
    <cellStyle name="Normal 9" xfId="342" xr:uid="{DCAA7AA7-DED5-43E5-93BD-729BF5C6342D}"/>
    <cellStyle name="Normal 9 2" xfId="505" xr:uid="{D9EBC724-65D7-4F4D-B8F5-ED1CCCE356D3}"/>
    <cellStyle name="Normal GHG Numbers (0.00)" xfId="160" xr:uid="{F951F8D5-251D-4848-98BF-9233A0DA7C3C}"/>
    <cellStyle name="Normal GHG Numbers (0.00) 2" xfId="161" xr:uid="{4832CD5B-AAF2-4B1B-9EAE-3DD274AB962E}"/>
    <cellStyle name="Normal GHG Numbers (0.00) 3" xfId="38" xr:uid="{0DA708F6-3F69-4DAB-9AFC-E8EAC849D768}"/>
    <cellStyle name="Normal GHG Numbers (0.00) 3 2" xfId="430" xr:uid="{D2E78790-3A2B-4D55-A052-DC2E3E04EFF2}"/>
    <cellStyle name="Normal GHG Numbers (0.00) 3 2 2" xfId="579" xr:uid="{EE54812B-4DBC-49AE-806C-26BF145C52BB}"/>
    <cellStyle name="Normal GHG Numbers (0.00) 3 2 2 10" xfId="4767" xr:uid="{120341FA-1BBA-4EFE-B983-427036190683}"/>
    <cellStyle name="Normal GHG Numbers (0.00) 3 2 2 11" xfId="5227" xr:uid="{DDAFC8B8-E6C9-4D07-A7F0-278C10BA16C5}"/>
    <cellStyle name="Normal GHG Numbers (0.00) 3 2 2 12" xfId="3585" xr:uid="{321149B1-C269-4D7E-A735-E8F30E66B115}"/>
    <cellStyle name="Normal GHG Numbers (0.00) 3 2 2 13" xfId="6330" xr:uid="{7045FA6A-9F64-4E46-B092-268D24FE6424}"/>
    <cellStyle name="Normal GHG Numbers (0.00) 3 2 2 14" xfId="5724" xr:uid="{D0AEDAA4-0608-4AC7-9F2B-916C657E43AF}"/>
    <cellStyle name="Normal GHG Numbers (0.00) 3 2 2 15" xfId="7299" xr:uid="{9D288505-2A93-4B17-81D3-1A66CCEB66CD}"/>
    <cellStyle name="Normal GHG Numbers (0.00) 3 2 2 16" xfId="7841" xr:uid="{0CF327AD-CFE5-49DF-B1B9-E9924E22660E}"/>
    <cellStyle name="Normal GHG Numbers (0.00) 3 2 2 17" xfId="8375" xr:uid="{BA14C83D-2B16-4713-9B3A-4AABBF1BE6D7}"/>
    <cellStyle name="Normal GHG Numbers (0.00) 3 2 2 18" xfId="8337" xr:uid="{FC8A266C-3565-4273-9A30-51D3CC607990}"/>
    <cellStyle name="Normal GHG Numbers (0.00) 3 2 2 19" xfId="9513" xr:uid="{84F382F4-9985-4204-865F-A5127A68629A}"/>
    <cellStyle name="Normal GHG Numbers (0.00) 3 2 2 2" xfId="794" xr:uid="{5D703A99-7032-4FBF-9DE2-CABA8D771818}"/>
    <cellStyle name="Normal GHG Numbers (0.00) 3 2 2 2 10" xfId="5442" xr:uid="{8FE6221A-C397-4926-91DB-179C292C85EB}"/>
    <cellStyle name="Normal GHG Numbers (0.00) 3 2 2 2 11" xfId="5702" xr:uid="{3ABFBC38-A9BC-473E-B665-1086C55E891C}"/>
    <cellStyle name="Normal GHG Numbers (0.00) 3 2 2 2 12" xfId="5550" xr:uid="{472CC988-B0B9-43C7-B225-48AE0878004A}"/>
    <cellStyle name="Normal GHG Numbers (0.00) 3 2 2 2 13" xfId="6253" xr:uid="{EB98420F-9A2F-4BBD-972A-05E97D529E4F}"/>
    <cellStyle name="Normal GHG Numbers (0.00) 3 2 2 2 14" xfId="7514" xr:uid="{68BA86B2-AE90-4D90-B87A-816A75EB555F}"/>
    <cellStyle name="Normal GHG Numbers (0.00) 3 2 2 2 15" xfId="7845" xr:uid="{6F6BE4BA-F83D-4B69-AE20-ED48D3259869}"/>
    <cellStyle name="Normal GHG Numbers (0.00) 3 2 2 2 16" xfId="8615" xr:uid="{BB0104E2-1F90-4544-A10B-90E7F5267717}"/>
    <cellStyle name="Normal GHG Numbers (0.00) 3 2 2 2 17" xfId="8730" xr:uid="{D896D0E8-9B32-44CF-B859-AFF531A5A611}"/>
    <cellStyle name="Normal GHG Numbers (0.00) 3 2 2 2 18" xfId="9728" xr:uid="{FD25AFA3-0908-4E44-810C-562338571CA7}"/>
    <cellStyle name="Normal GHG Numbers (0.00) 3 2 2 2 19" xfId="10057" xr:uid="{31BB35D9-6960-4D97-BB4A-AC612D099D3E}"/>
    <cellStyle name="Normal GHG Numbers (0.00) 3 2 2 2 2" xfId="1268" xr:uid="{5D84533C-3F8B-469C-B76B-36278666384B}"/>
    <cellStyle name="Normal GHG Numbers (0.00) 3 2 2 2 20" xfId="10477" xr:uid="{717EA920-DB1E-4ACB-AFEF-0F3233A495FB}"/>
    <cellStyle name="Normal GHG Numbers (0.00) 3 2 2 2 21" xfId="10721" xr:uid="{D35B653F-C426-4785-9224-679F30AD2AF7}"/>
    <cellStyle name="Normal GHG Numbers (0.00) 3 2 2 2 22" xfId="11213" xr:uid="{A6356E46-5499-4100-8150-3DCCD38C97E0}"/>
    <cellStyle name="Normal GHG Numbers (0.00) 3 2 2 2 23" xfId="12147" xr:uid="{C5A43C8B-09BE-4E3B-AF5F-A4DEEB9C9785}"/>
    <cellStyle name="Normal GHG Numbers (0.00) 3 2 2 2 24" xfId="12620" xr:uid="{1F9282BC-74B8-45B4-8932-02B1A7D5C18A}"/>
    <cellStyle name="Normal GHG Numbers (0.00) 3 2 2 2 25" xfId="13054" xr:uid="{59EDFF80-3426-4AE8-B3E0-0D7D168B86A1}"/>
    <cellStyle name="Normal GHG Numbers (0.00) 3 2 2 2 26" xfId="13491" xr:uid="{CC3FC1FA-4417-493A-AC71-C5E48C6DF872}"/>
    <cellStyle name="Normal GHG Numbers (0.00) 3 2 2 2 27" xfId="11611" xr:uid="{5AB14F8E-77B5-4C98-A2A2-8360A91BE6CE}"/>
    <cellStyle name="Normal GHG Numbers (0.00) 3 2 2 2 28" xfId="14031" xr:uid="{16CC8C1A-07CF-4DE1-B516-75055933F715}"/>
    <cellStyle name="Normal GHG Numbers (0.00) 3 2 2 2 29" xfId="14711" xr:uid="{AE10565F-21D3-4CE8-9669-ED9407D5C2D3}"/>
    <cellStyle name="Normal GHG Numbers (0.00) 3 2 2 2 3" xfId="1505" xr:uid="{FBBB8F22-6B53-47B1-9F1F-1B8EF2F324BB}"/>
    <cellStyle name="Normal GHG Numbers (0.00) 3 2 2 2 30" xfId="15006" xr:uid="{DC0C41FB-4D12-43CC-9EB6-B176B7C0885B}"/>
    <cellStyle name="Normal GHG Numbers (0.00) 3 2 2 2 31" xfId="13677" xr:uid="{DCFBB973-4BEB-430A-9EF0-D21B4E9A67AC}"/>
    <cellStyle name="Normal GHG Numbers (0.00) 3 2 2 2 32" xfId="15887" xr:uid="{CDC85D6B-EE61-4729-B56B-7331C8EB3C9B}"/>
    <cellStyle name="Normal GHG Numbers (0.00) 3 2 2 2 33" xfId="16839" xr:uid="{2FD62F81-EBD5-4A3E-9FA8-8B8F41982E0A}"/>
    <cellStyle name="Normal GHG Numbers (0.00) 3 2 2 2 34" xfId="17175" xr:uid="{3FD552C9-F33E-4989-A71B-44A447525EBC}"/>
    <cellStyle name="Normal GHG Numbers (0.00) 3 2 2 2 35" xfId="17620" xr:uid="{6C1470A5-79DB-4843-AA66-1CFC80A94428}"/>
    <cellStyle name="Normal GHG Numbers (0.00) 3 2 2 2 36" xfId="18115" xr:uid="{1680E49F-CE48-4446-B7EB-3751D19132BB}"/>
    <cellStyle name="Normal GHG Numbers (0.00) 3 2 2 2 37" xfId="18657" xr:uid="{34706FD9-B402-4AFC-B4BF-719906B958E6}"/>
    <cellStyle name="Normal GHG Numbers (0.00) 3 2 2 2 38" xfId="18839" xr:uid="{B034B343-52C5-406C-9E89-E313AF983318}"/>
    <cellStyle name="Normal GHG Numbers (0.00) 3 2 2 2 39" xfId="19311" xr:uid="{F1F9BC85-004B-4DBA-BEBA-417A47542B2F}"/>
    <cellStyle name="Normal GHG Numbers (0.00) 3 2 2 2 4" xfId="2616" xr:uid="{2335E46A-FEDC-4238-B93C-F91BC3A166A0}"/>
    <cellStyle name="Normal GHG Numbers (0.00) 3 2 2 2 40" xfId="20176" xr:uid="{C0A7EE23-1266-4671-9B44-098CA0B74D4D}"/>
    <cellStyle name="Normal GHG Numbers (0.00) 3 2 2 2 41" xfId="20527" xr:uid="{FAE22938-B3A2-4823-BD52-5038BDF8064F}"/>
    <cellStyle name="Normal GHG Numbers (0.00) 3 2 2 2 42" xfId="20980" xr:uid="{45CED5DF-38A7-4216-8A1B-442DF235062D}"/>
    <cellStyle name="Normal GHG Numbers (0.00) 3 2 2 2 43" xfId="20872" xr:uid="{F191ABFB-C765-4DE4-A175-446666843F18}"/>
    <cellStyle name="Normal GHG Numbers (0.00) 3 2 2 2 44" xfId="21911" xr:uid="{AB4FA269-682B-4F0B-97CE-A52C9745716A}"/>
    <cellStyle name="Normal GHG Numbers (0.00) 3 2 2 2 45" xfId="22345" xr:uid="{74C18159-42BF-4DBB-99BF-EA9F7C35DB32}"/>
    <cellStyle name="Normal GHG Numbers (0.00) 3 2 2 2 46" xfId="21726" xr:uid="{DDFB7504-FFA6-433E-9FF3-A6D0EE28C879}"/>
    <cellStyle name="Normal GHG Numbers (0.00) 3 2 2 2 47" xfId="23114" xr:uid="{09A58007-AE61-4FD5-9058-38466E1A8A2F}"/>
    <cellStyle name="Normal GHG Numbers (0.00) 3 2 2 2 48" xfId="23623" xr:uid="{1013A6F5-C8EF-4E0B-906F-AC39EBD4A621}"/>
    <cellStyle name="Normal GHG Numbers (0.00) 3 2 2 2 49" xfId="23976" xr:uid="{57B4F3BD-92C6-45A6-9F90-42212AA7534B}"/>
    <cellStyle name="Normal GHG Numbers (0.00) 3 2 2 2 5" xfId="2197" xr:uid="{2D1992D2-BC94-419C-82A7-4090C20F1C3D}"/>
    <cellStyle name="Normal GHG Numbers (0.00) 3 2 2 2 50" xfId="24884" xr:uid="{AD2AF282-ECD3-49F6-B916-0B4419A35DBB}"/>
    <cellStyle name="Normal GHG Numbers (0.00) 3 2 2 2 51" xfId="25236" xr:uid="{D3656951-A60E-492B-9B62-C7EB655E81C4}"/>
    <cellStyle name="Normal GHG Numbers (0.00) 3 2 2 2 52" xfId="25800" xr:uid="{C190EBCE-B549-4DEB-ADE5-BF6E3FFA0682}"/>
    <cellStyle name="Normal GHG Numbers (0.00) 3 2 2 2 53" xfId="25288" xr:uid="{E2EFE2EF-C4E2-4F17-ACB4-5EE1ED169C85}"/>
    <cellStyle name="Normal GHG Numbers (0.00) 3 2 2 2 54" xfId="26128" xr:uid="{6E0BCD28-1E0A-4A56-ABCD-7F634174EE03}"/>
    <cellStyle name="Normal GHG Numbers (0.00) 3 2 2 2 55" xfId="27088" xr:uid="{2FF3C929-A53E-442E-A436-FBB087D00219}"/>
    <cellStyle name="Normal GHG Numbers (0.00) 3 2 2 2 56" xfId="27507" xr:uid="{7FFCC206-3D44-49FE-B4CE-AB36A11BEF54}"/>
    <cellStyle name="Normal GHG Numbers (0.00) 3 2 2 2 57" xfId="26586" xr:uid="{D7CDCBAE-5209-4776-A2FA-C92D0DA34712}"/>
    <cellStyle name="Normal GHG Numbers (0.00) 3 2 2 2 58" xfId="28634" xr:uid="{4846BA68-5411-4933-86C0-5EA2B38F10AA}"/>
    <cellStyle name="Normal GHG Numbers (0.00) 3 2 2 2 59" xfId="29101" xr:uid="{69B262C8-346D-4095-A1D3-50D43209C144}"/>
    <cellStyle name="Normal GHG Numbers (0.00) 3 2 2 2 6" xfId="3709" xr:uid="{779AF32F-02FC-449C-88E7-FAB2CB62841C}"/>
    <cellStyle name="Normal GHG Numbers (0.00) 3 2 2 2 60" xfId="29375" xr:uid="{50F62031-2B02-4BB4-A966-6F5A3F3DDF39}"/>
    <cellStyle name="Normal GHG Numbers (0.00) 3 2 2 2 61" xfId="29890" xr:uid="{C5E51149-C268-49A6-A000-9F37EEBDA86C}"/>
    <cellStyle name="Normal GHG Numbers (0.00) 3 2 2 2 62" xfId="30296" xr:uid="{2AFE76D0-4A25-4BC2-863C-A163909B640D}"/>
    <cellStyle name="Normal GHG Numbers (0.00) 3 2 2 2 63" xfId="30713" xr:uid="{4586A2CB-9EAE-4058-B571-9711EEEC10A0}"/>
    <cellStyle name="Normal GHG Numbers (0.00) 3 2 2 2 64" xfId="30409" xr:uid="{144F01A6-C5D3-45CC-B396-D1AF5B1E6D15}"/>
    <cellStyle name="Normal GHG Numbers (0.00) 3 2 2 2 65" xfId="31329" xr:uid="{11E5DDA1-94CC-42B3-A502-8615FF9431BF}"/>
    <cellStyle name="Normal GHG Numbers (0.00) 3 2 2 2 7" xfId="4112" xr:uid="{8508F016-4D87-46CA-B1D1-83EF962A78FB}"/>
    <cellStyle name="Normal GHG Numbers (0.00) 3 2 2 2 8" xfId="4549" xr:uid="{459CE134-0802-4337-A9CB-2C8482061A52}"/>
    <cellStyle name="Normal GHG Numbers (0.00) 3 2 2 2 9" xfId="4241" xr:uid="{B20D3C17-8D62-4C29-94CE-CB5EE19A93CF}"/>
    <cellStyle name="Normal GHG Numbers (0.00) 3 2 2 20" xfId="10053" xr:uid="{525192D1-A387-4BD4-97F3-DCBD7B1448C6}"/>
    <cellStyle name="Normal GHG Numbers (0.00) 3 2 2 21" xfId="10473" xr:uid="{7646CD82-2FC5-409D-8613-ABDA0132F212}"/>
    <cellStyle name="Normal GHG Numbers (0.00) 3 2 2 22" xfId="9346" xr:uid="{75C058E2-20AA-4B7C-8FC7-803B41E65F51}"/>
    <cellStyle name="Normal GHG Numbers (0.00) 3 2 2 23" xfId="11038" xr:uid="{1EA9A278-4EDB-451F-8CF1-72F693923EE1}"/>
    <cellStyle name="Normal GHG Numbers (0.00) 3 2 2 24" xfId="11932" xr:uid="{DE70A118-A57C-452A-8914-114BA7A9C78F}"/>
    <cellStyle name="Normal GHG Numbers (0.00) 3 2 2 25" xfId="12405" xr:uid="{5F8DCEE3-706C-4B98-8183-4E6B0231AF13}"/>
    <cellStyle name="Normal GHG Numbers (0.00) 3 2 2 26" xfId="12839" xr:uid="{1B0677F1-A2D7-4F62-A004-24DB73A88369}"/>
    <cellStyle name="Normal GHG Numbers (0.00) 3 2 2 27" xfId="13276" xr:uid="{FCF7924A-73A4-4563-AF3E-6BD6B0E5C5F1}"/>
    <cellStyle name="Normal GHG Numbers (0.00) 3 2 2 28" xfId="11643" xr:uid="{A88A7CAF-26AF-4267-8DB9-8758D94709AA}"/>
    <cellStyle name="Normal GHG Numbers (0.00) 3 2 2 29" xfId="14406" xr:uid="{089CA17B-54FA-4F9C-95EF-89A70ADEA7C3}"/>
    <cellStyle name="Normal GHG Numbers (0.00) 3 2 2 3" xfId="1062" xr:uid="{9B4452E4-B9B7-467B-BA29-E862A01CA420}"/>
    <cellStyle name="Normal GHG Numbers (0.00) 3 2 2 30" xfId="14687" xr:uid="{D05B3825-6BE4-4200-B10B-04D99ADF2BA6}"/>
    <cellStyle name="Normal GHG Numbers (0.00) 3 2 2 31" xfId="14584" xr:uid="{88224224-A254-4B11-8056-525A13E625C6}"/>
    <cellStyle name="Normal GHG Numbers (0.00) 3 2 2 32" xfId="15170" xr:uid="{BD47F841-7CE2-45A7-B955-1BEC8CD49A56}"/>
    <cellStyle name="Normal GHG Numbers (0.00) 3 2 2 33" xfId="15883" xr:uid="{321CA013-297D-4803-9FFA-17BC71EE70F5}"/>
    <cellStyle name="Normal GHG Numbers (0.00) 3 2 2 34" xfId="16624" xr:uid="{65D799EB-C6D6-44DD-8A5B-5137D565B885}"/>
    <cellStyle name="Normal GHG Numbers (0.00) 3 2 2 35" xfId="17171" xr:uid="{32C82736-CF8C-4757-963E-57F843686D0C}"/>
    <cellStyle name="Normal GHG Numbers (0.00) 3 2 2 36" xfId="17616" xr:uid="{788ADF8F-2145-43E3-89E4-FF21C112B983}"/>
    <cellStyle name="Normal GHG Numbers (0.00) 3 2 2 37" xfId="16338" xr:uid="{F81FD1EC-881B-41B1-8C2E-A0CF1C6A1963}"/>
    <cellStyle name="Normal GHG Numbers (0.00) 3 2 2 38" xfId="18442" xr:uid="{6CE246A5-2C25-49AE-A556-3ED6B23721BD}"/>
    <cellStyle name="Normal GHG Numbers (0.00) 3 2 2 39" xfId="17724" xr:uid="{21A144EE-4C6E-40B6-A1FA-25F40321791F}"/>
    <cellStyle name="Normal GHG Numbers (0.00) 3 2 2 4" xfId="1672" xr:uid="{54F3341F-C7C0-4BEE-B146-4744B422A383}"/>
    <cellStyle name="Normal GHG Numbers (0.00) 3 2 2 40" xfId="19278" xr:uid="{27B3FB4A-E844-4AE5-B6EA-1B6A2686011D}"/>
    <cellStyle name="Normal GHG Numbers (0.00) 3 2 2 41" xfId="19961" xr:uid="{F6C4C5A7-67D5-4364-8FF1-C53617E2BA2C}"/>
    <cellStyle name="Normal GHG Numbers (0.00) 3 2 2 42" xfId="20523" xr:uid="{7107B40F-F3EE-4FF7-AFEB-F42785F6DE08}"/>
    <cellStyle name="Normal GHG Numbers (0.00) 3 2 2 43" xfId="20976" xr:uid="{90C9032C-CD49-4996-A737-2D9B973E74E1}"/>
    <cellStyle name="Normal GHG Numbers (0.00) 3 2 2 44" xfId="20939" xr:uid="{4D037E9E-5143-43CA-9683-3C8C8831EE24}"/>
    <cellStyle name="Normal GHG Numbers (0.00) 3 2 2 45" xfId="21907" xr:uid="{67EFAF39-E971-4F62-909A-49A0689C1306}"/>
    <cellStyle name="Normal GHG Numbers (0.00) 3 2 2 46" xfId="22341" xr:uid="{51CACF51-A134-46E9-9CD7-45D0A82AFEDF}"/>
    <cellStyle name="Normal GHG Numbers (0.00) 3 2 2 47" xfId="22524" xr:uid="{A094C2E1-4971-4B06-B3D9-8CEBAAAE4DB3}"/>
    <cellStyle name="Normal GHG Numbers (0.00) 3 2 2 48" xfId="22714" xr:uid="{06124F59-A74E-490E-BB24-B88EE55D284D}"/>
    <cellStyle name="Normal GHG Numbers (0.00) 3 2 2 49" xfId="23578" xr:uid="{FDE018E4-2057-4741-A013-832344B2D324}"/>
    <cellStyle name="Normal GHG Numbers (0.00) 3 2 2 5" xfId="2401" xr:uid="{5EE882D8-F6BC-4221-849D-3DD7EEBB3ECD}"/>
    <cellStyle name="Normal GHG Numbers (0.00) 3 2 2 50" xfId="23770" xr:uid="{68A9D437-8EA5-4486-BE88-00476B694F1D}"/>
    <cellStyle name="Normal GHG Numbers (0.00) 3 2 2 51" xfId="24669" xr:uid="{9EC50474-D4BF-467A-AFAE-A7874F635B78}"/>
    <cellStyle name="Normal GHG Numbers (0.00) 3 2 2 52" xfId="25232" xr:uid="{97FAED13-5EF1-4EFE-83B8-9B748ABD37E1}"/>
    <cellStyle name="Normal GHG Numbers (0.00) 3 2 2 53" xfId="25587" xr:uid="{F6F26C6B-E55E-48FA-9AB7-A7D76748FAF1}"/>
    <cellStyle name="Normal GHG Numbers (0.00) 3 2 2 54" xfId="25705" xr:uid="{C1209A1D-18C9-4FA5-A94D-26CC318CF5E0}"/>
    <cellStyle name="Normal GHG Numbers (0.00) 3 2 2 55" xfId="25250" xr:uid="{B58153F6-1652-4AFD-B7D8-47F80C4A44DA}"/>
    <cellStyle name="Normal GHG Numbers (0.00) 3 2 2 56" xfId="26877" xr:uid="{4ADF9275-0821-4C9C-B741-048D4792179F}"/>
    <cellStyle name="Normal GHG Numbers (0.00) 3 2 2 57" xfId="27296" xr:uid="{DFE6A669-4914-42D0-AE20-70232B373A32}"/>
    <cellStyle name="Normal GHG Numbers (0.00) 3 2 2 58" xfId="24500" xr:uid="{4B1600B5-9F56-4BDA-B1BD-996DA6EF7606}"/>
    <cellStyle name="Normal GHG Numbers (0.00) 3 2 2 59" xfId="28419" xr:uid="{1C12A281-4F61-47A4-A359-68F71D2DA718}"/>
    <cellStyle name="Normal GHG Numbers (0.00) 3 2 2 6" xfId="2518" xr:uid="{5385044B-6CF5-4BCC-A0F3-98443F957ED9}"/>
    <cellStyle name="Normal GHG Numbers (0.00) 3 2 2 60" xfId="28887" xr:uid="{72F06B2B-9DFD-4B31-8AAC-B3C0B5FCE90C}"/>
    <cellStyle name="Normal GHG Numbers (0.00) 3 2 2 61" xfId="29371" xr:uid="{E12A2B9E-1E94-4562-B51E-0A4129EAC673}"/>
    <cellStyle name="Normal GHG Numbers (0.00) 3 2 2 62" xfId="29677" xr:uid="{E2CE1CB6-1EDC-49C2-823A-E9D27D4B3ACC}"/>
    <cellStyle name="Normal GHG Numbers (0.00) 3 2 2 63" xfId="30085" xr:uid="{AC2E2905-A31B-4123-8130-4333DACB5441}"/>
    <cellStyle name="Normal GHG Numbers (0.00) 3 2 2 64" xfId="30499" xr:uid="{3E800D27-E431-453E-8FEA-81F1894FB561}"/>
    <cellStyle name="Normal GHG Numbers (0.00) 3 2 2 65" xfId="28035" xr:uid="{2E509607-143E-4AD5-A94C-7A80A85FE93C}"/>
    <cellStyle name="Normal GHG Numbers (0.00) 3 2 2 66" xfId="31123" xr:uid="{386E5CC8-A07C-486A-A727-FE2AF4769D2C}"/>
    <cellStyle name="Normal GHG Numbers (0.00) 3 2 2 7" xfId="3456" xr:uid="{B2391F09-CEF7-46DA-8474-5704C488D606}"/>
    <cellStyle name="Normal GHG Numbers (0.00) 3 2 2 8" xfId="3897" xr:uid="{0C97F24F-CE3C-4850-B23B-8FDEF0BB75EE}"/>
    <cellStyle name="Normal GHG Numbers (0.00) 3 2 2 9" xfId="4335" xr:uid="{96B4178A-EFA2-47D1-868C-DF53841AC690}"/>
    <cellStyle name="Normal GHG Numbers (0.00) 3 2 3" xfId="720" xr:uid="{1D018750-0716-4234-9A70-91F8D2AA8A7F}"/>
    <cellStyle name="Normal GHG Numbers (0.00) 3 2 3 10" xfId="5368" xr:uid="{DE89C064-E094-4131-81CB-A7237FC19324}"/>
    <cellStyle name="Normal GHG Numbers (0.00) 3 2 3 11" xfId="6000" xr:uid="{35EB306E-1B18-472E-A7BE-4EDACEC9B44B}"/>
    <cellStyle name="Normal GHG Numbers (0.00) 3 2 3 12" xfId="6362" xr:uid="{5E448DAC-B16A-4847-B7B1-32DA9C2F0C8B}"/>
    <cellStyle name="Normal GHG Numbers (0.00) 3 2 3 13" xfId="6702" xr:uid="{7B8925A0-35C0-4219-B2D8-33A689F2FCDA}"/>
    <cellStyle name="Normal GHG Numbers (0.00) 3 2 3 14" xfId="7440" xr:uid="{0D10E185-B7F7-4B16-993A-A045E4F69780}"/>
    <cellStyle name="Normal GHG Numbers (0.00) 3 2 3 15" xfId="8042" xr:uid="{118B984E-E164-4706-A7DE-5B40494A25A1}"/>
    <cellStyle name="Normal GHG Numbers (0.00) 3 2 3 16" xfId="8405" xr:uid="{E81FAD79-E535-4B45-AE9A-8E6119CE97F5}"/>
    <cellStyle name="Normal GHG Numbers (0.00) 3 2 3 17" xfId="8915" xr:uid="{6F73064E-871B-4910-A807-484128F7D9D5}"/>
    <cellStyle name="Normal GHG Numbers (0.00) 3 2 3 18" xfId="9654" xr:uid="{AA3A21CC-0F03-4381-BEA8-B9683C301119}"/>
    <cellStyle name="Normal GHG Numbers (0.00) 3 2 3 19" xfId="10261" xr:uid="{5E2F03D5-7AA0-49B6-8BAA-21848A212268}"/>
    <cellStyle name="Normal GHG Numbers (0.00) 3 2 3 2" xfId="1194" xr:uid="{68BEA964-561D-4917-9EC8-12E034111260}"/>
    <cellStyle name="Normal GHG Numbers (0.00) 3 2 3 20" xfId="10654" xr:uid="{162E2F56-9CE1-4915-BFD7-809CDE27710B}"/>
    <cellStyle name="Normal GHG Numbers (0.00) 3 2 3 21" xfId="11007" xr:uid="{2A4C7E69-F552-47BC-9255-1BE560A86323}"/>
    <cellStyle name="Normal GHG Numbers (0.00) 3 2 3 22" xfId="11319" xr:uid="{3478BBF1-132C-4B16-AF91-2435B852339A}"/>
    <cellStyle name="Normal GHG Numbers (0.00) 3 2 3 23" xfId="12073" xr:uid="{5431679E-0AE1-41A5-A811-A0825CFFD225}"/>
    <cellStyle name="Normal GHG Numbers (0.00) 3 2 3 24" xfId="12546" xr:uid="{39E93D1D-4F5B-4424-8C2B-621646BD2E18}"/>
    <cellStyle name="Normal GHG Numbers (0.00) 3 2 3 25" xfId="12980" xr:uid="{372DF5CF-4184-4F43-AC51-248624F05A42}"/>
    <cellStyle name="Normal GHG Numbers (0.00) 3 2 3 26" xfId="13417" xr:uid="{C10E8987-02C5-462E-99E4-109B36016584}"/>
    <cellStyle name="Normal GHG Numbers (0.00) 3 2 3 27" xfId="14026" xr:uid="{AB392116-C60A-4880-AB41-30AEB31BEDE3}"/>
    <cellStyle name="Normal GHG Numbers (0.00) 3 2 3 28" xfId="13831" xr:uid="{0F0E9A5F-0984-46F5-8913-3E3C76D602D1}"/>
    <cellStyle name="Normal GHG Numbers (0.00) 3 2 3 29" xfId="14907" xr:uid="{F6530BEB-58F4-4527-AEE1-D65B57F23535}"/>
    <cellStyle name="Normal GHG Numbers (0.00) 3 2 3 3" xfId="1495" xr:uid="{70B0AAD9-3B53-4E67-B7EC-134D054AAA80}"/>
    <cellStyle name="Normal GHG Numbers (0.00) 3 2 3 30" xfId="15378" xr:uid="{EF1D8290-3DBE-444F-9807-E64965F70098}"/>
    <cellStyle name="Normal GHG Numbers (0.00) 3 2 3 31" xfId="15770" xr:uid="{2D1276B7-59F5-4468-A699-F777AD4ABC65}"/>
    <cellStyle name="Normal GHG Numbers (0.00) 3 2 3 32" xfId="15995" xr:uid="{3161CC0A-CD20-4943-AFFA-2B052E21A96D}"/>
    <cellStyle name="Normal GHG Numbers (0.00) 3 2 3 33" xfId="16765" xr:uid="{96186806-9FF4-4BA5-998E-CD46B81D89FC}"/>
    <cellStyle name="Normal GHG Numbers (0.00) 3 2 3 34" xfId="17383" xr:uid="{E824461F-CC11-4895-9E46-70EB78B2CE1C}"/>
    <cellStyle name="Normal GHG Numbers (0.00) 3 2 3 35" xfId="17825" xr:uid="{8E4F29B6-18E2-45AF-831B-C6ECB49B1C37}"/>
    <cellStyle name="Normal GHG Numbers (0.00) 3 2 3 36" xfId="18301" xr:uid="{9C670281-86C4-4741-B9E0-190C18F4EFF0}"/>
    <cellStyle name="Normal GHG Numbers (0.00) 3 2 3 37" xfId="18583" xr:uid="{305D6094-C301-4123-8114-295ECF0A34E7}"/>
    <cellStyle name="Normal GHG Numbers (0.00) 3 2 3 38" xfId="19112" xr:uid="{F5E7B559-F931-4778-BB47-FE91C522076E}"/>
    <cellStyle name="Normal GHG Numbers (0.00) 3 2 3 39" xfId="19344" xr:uid="{8AA8126F-8289-4C00-BB4D-66EA8ABD9260}"/>
    <cellStyle name="Normal GHG Numbers (0.00) 3 2 3 4" xfId="2542" xr:uid="{C06C6B51-74E3-4ABB-830F-F1C1CFC41B2F}"/>
    <cellStyle name="Normal GHG Numbers (0.00) 3 2 3 40" xfId="20102" xr:uid="{7A6D9FD5-1420-4CD7-84D9-76C0C0327835}"/>
    <cellStyle name="Normal GHG Numbers (0.00) 3 2 3 41" xfId="20732" xr:uid="{32483395-FC72-44E3-9F7B-6BE4BFFB8975}"/>
    <cellStyle name="Normal GHG Numbers (0.00) 3 2 3 42" xfId="21191" xr:uid="{2225603A-60B9-45BB-9A8D-25A0E72D8D94}"/>
    <cellStyle name="Normal GHG Numbers (0.00) 3 2 3 43" xfId="21683" xr:uid="{41C5D04F-C1CF-4A3A-923B-811F812899CF}"/>
    <cellStyle name="Normal GHG Numbers (0.00) 3 2 3 44" xfId="22122" xr:uid="{A3ABA5D5-B8B9-4D30-B35A-8864F81D1989}"/>
    <cellStyle name="Normal GHG Numbers (0.00) 3 2 3 45" xfId="22549" xr:uid="{58367181-D740-4FF3-B88E-D120D25A541C}"/>
    <cellStyle name="Normal GHG Numbers (0.00) 3 2 3 46" xfId="22995" xr:uid="{EF9BA248-F31F-4370-9339-E2745E5C4CAC}"/>
    <cellStyle name="Normal GHG Numbers (0.00) 3 2 3 47" xfId="23399" xr:uid="{1EE6E0FD-474E-47C8-9CA6-D3A140A3F8FA}"/>
    <cellStyle name="Normal GHG Numbers (0.00) 3 2 3 48" xfId="23665" xr:uid="{7BEED460-305A-4D78-B699-DBCF75D08B2A}"/>
    <cellStyle name="Normal GHG Numbers (0.00) 3 2 3 49" xfId="23902" xr:uid="{A20297CC-672B-486E-B584-B5A81965CEAB}"/>
    <cellStyle name="Normal GHG Numbers (0.00) 3 2 3 5" xfId="3199" xr:uid="{AE7E3F2D-D966-4749-A7B6-B05E0FC15415}"/>
    <cellStyle name="Normal GHG Numbers (0.00) 3 2 3 50" xfId="24810" xr:uid="{8995FED7-771B-4F33-B3FC-24198C60E2B5}"/>
    <cellStyle name="Normal GHG Numbers (0.00) 3 2 3 51" xfId="25437" xr:uid="{61621189-EC5F-4A5B-ABAB-22429F0CF16E}"/>
    <cellStyle name="Normal GHG Numbers (0.00) 3 2 3 52" xfId="25726" xr:uid="{FC7493BE-2269-401D-A7D4-999F160ED796}"/>
    <cellStyle name="Normal GHG Numbers (0.00) 3 2 3 53" xfId="26303" xr:uid="{C9E43D6C-0E9E-4FAE-B21F-B52EABD769C1}"/>
    <cellStyle name="Normal GHG Numbers (0.00) 3 2 3 54" xfId="26000" xr:uid="{1E642228-48EE-4BBD-B76B-0BEDE52B43CA}"/>
    <cellStyle name="Normal GHG Numbers (0.00) 3 2 3 55" xfId="27014" xr:uid="{0799B0B7-7DA5-4764-B9D5-A2E223C968F7}"/>
    <cellStyle name="Normal GHG Numbers (0.00) 3 2 3 56" xfId="27433" xr:uid="{B7BBBD3A-CC73-44FF-8269-3CD9A72CD5C8}"/>
    <cellStyle name="Normal GHG Numbers (0.00) 3 2 3 57" xfId="27616" xr:uid="{745C73B5-49C8-4AC9-9B9D-15C6305FC0D0}"/>
    <cellStyle name="Normal GHG Numbers (0.00) 3 2 3 58" xfId="28560" xr:uid="{34663441-1474-4B85-818E-D32FC35466EF}"/>
    <cellStyle name="Normal GHG Numbers (0.00) 3 2 3 59" xfId="29027" xr:uid="{4E515B86-2E40-43CD-8E94-40A47C2BE938}"/>
    <cellStyle name="Normal GHG Numbers (0.00) 3 2 3 6" xfId="3367" xr:uid="{18AF27F7-A9B8-49CB-A78A-507FA7C5AED7}"/>
    <cellStyle name="Normal GHG Numbers (0.00) 3 2 3 60" xfId="29546" xr:uid="{F7E5F24F-4675-463C-89C5-69988855EF4A}"/>
    <cellStyle name="Normal GHG Numbers (0.00) 3 2 3 61" xfId="29816" xr:uid="{2451E011-5DCF-43C5-AE5C-A7E02E317977}"/>
    <cellStyle name="Normal GHG Numbers (0.00) 3 2 3 62" xfId="30222" xr:uid="{F6956857-33F8-4DDF-8E16-F13368F79770}"/>
    <cellStyle name="Normal GHG Numbers (0.00) 3 2 3 63" xfId="30639" xr:uid="{E176A625-D95E-41C7-8BD9-FA552DFAAED5}"/>
    <cellStyle name="Normal GHG Numbers (0.00) 3 2 3 64" xfId="30970" xr:uid="{28E3E441-F145-4019-A12B-46843A5C5097}"/>
    <cellStyle name="Normal GHG Numbers (0.00) 3 2 3 65" xfId="31255" xr:uid="{220EDE27-5DA5-4654-9070-B104D79C0C39}"/>
    <cellStyle name="Normal GHG Numbers (0.00) 3 2 3 7" xfId="4038" xr:uid="{2270E619-99EF-4C27-B24E-027A07D9C30A}"/>
    <cellStyle name="Normal GHG Numbers (0.00) 3 2 3 8" xfId="4475" xr:uid="{BF51F9DE-BBBA-4DBE-ADF1-8B194160E6D4}"/>
    <cellStyle name="Normal GHG Numbers (0.00) 3 2 3 9" xfId="3135" xr:uid="{F9D63679-8B03-4343-B2DD-F12E2A269641}"/>
    <cellStyle name="Normal GHG Numbers (0.00) 3 3" xfId="360" xr:uid="{A51E728C-B266-4F36-938D-D1BE00599B84}"/>
    <cellStyle name="Normal GHG Numbers (0.00) 3 3 10" xfId="3428" xr:uid="{23219DF1-D5F4-47F4-82E4-06740D409938}"/>
    <cellStyle name="Normal GHG Numbers (0.00) 3 3 11" xfId="3116" xr:uid="{B4FBCFB0-C528-4E9D-A79A-52CFEF4F6CB7}"/>
    <cellStyle name="Normal GHG Numbers (0.00) 3 3 12" xfId="3087" xr:uid="{6C30C8B4-DC92-4B21-82F0-C5FC0C35AB4A}"/>
    <cellStyle name="Normal GHG Numbers (0.00) 3 3 13" xfId="3333" xr:uid="{B45D8F20-C119-444C-88BC-30550229DCAE}"/>
    <cellStyle name="Normal GHG Numbers (0.00) 3 3 14" xfId="5735" xr:uid="{B4487F20-C928-4A7F-8AC2-BBEA3A8430C1}"/>
    <cellStyle name="Normal GHG Numbers (0.00) 3 3 15" xfId="3269" xr:uid="{DE5E4865-996F-44A1-B11D-2210E67141D9}"/>
    <cellStyle name="Normal GHG Numbers (0.00) 3 3 16" xfId="6063" xr:uid="{36835A4C-F2CC-4566-B832-4585278FE8AF}"/>
    <cellStyle name="Normal GHG Numbers (0.00) 3 3 17" xfId="7087" xr:uid="{246B4744-91FF-4F26-9770-4430C685F4C0}"/>
    <cellStyle name="Normal GHG Numbers (0.00) 3 3 18" xfId="7920" xr:uid="{41AC85B8-2303-41A8-B9A7-6AFC2D8CD67D}"/>
    <cellStyle name="Normal GHG Numbers (0.00) 3 3 19" xfId="7792" xr:uid="{35729DC3-2A83-4BD5-8448-85D9F54BF9EB}"/>
    <cellStyle name="Normal GHG Numbers (0.00) 3 3 2" xfId="638" xr:uid="{F0AE25BA-8247-4E2A-A6C1-456D2BFEF496}"/>
    <cellStyle name="Normal GHG Numbers (0.00) 3 3 2 10" xfId="2145" xr:uid="{EC488CEF-C5D2-42B0-82C9-D7C67354594C}"/>
    <cellStyle name="Normal GHG Numbers (0.00) 3 3 2 11" xfId="5286" xr:uid="{8FAEA889-4BA4-4EA9-8BAA-629C7429AF7B}"/>
    <cellStyle name="Normal GHG Numbers (0.00) 3 3 2 12" xfId="5566" xr:uid="{69F63035-E1F5-47DA-ACDC-4225961250DE}"/>
    <cellStyle name="Normal GHG Numbers (0.00) 3 3 2 13" xfId="5039" xr:uid="{ACEE838E-D6F5-467D-A92C-82F7686FC0D8}"/>
    <cellStyle name="Normal GHG Numbers (0.00) 3 3 2 14" xfId="6422" xr:uid="{F0D5795F-9B29-4F49-9739-D54AFB64927A}"/>
    <cellStyle name="Normal GHG Numbers (0.00) 3 3 2 15" xfId="7358" xr:uid="{4D540AC4-3B33-4B8C-A146-D23088602707}"/>
    <cellStyle name="Normal GHG Numbers (0.00) 3 3 2 16" xfId="8029" xr:uid="{EF6C7AA4-66F3-431D-AB51-3EA704B2A618}"/>
    <cellStyle name="Normal GHG Numbers (0.00) 3 3 2 17" xfId="8308" xr:uid="{8B262714-C27D-4A20-8674-38DEF5F3BE9D}"/>
    <cellStyle name="Normal GHG Numbers (0.00) 3 3 2 18" xfId="8591" xr:uid="{1740C00A-3344-4FE4-9ED6-E3D3B61393AE}"/>
    <cellStyle name="Normal GHG Numbers (0.00) 3 3 2 19" xfId="9572" xr:uid="{3708046B-1BC4-4381-BED5-DF8AFB882C0D}"/>
    <cellStyle name="Normal GHG Numbers (0.00) 3 3 2 2" xfId="853" xr:uid="{8D3E30CE-E73E-4C4B-842E-3D74592C323D}"/>
    <cellStyle name="Normal GHG Numbers (0.00) 3 3 2 2 10" xfId="5501" xr:uid="{34C3AE28-687A-4D54-B842-9E91FF968FC8}"/>
    <cellStyle name="Normal GHG Numbers (0.00) 3 3 2 2 11" xfId="5602" xr:uid="{2B3097E6-2A05-4293-A22D-4F8FE5B8916E}"/>
    <cellStyle name="Normal GHG Numbers (0.00) 3 3 2 2 12" xfId="6241" xr:uid="{F5198D4C-E974-4211-9C9B-F93EEB202B47}"/>
    <cellStyle name="Normal GHG Numbers (0.00) 3 3 2 2 13" xfId="5884" xr:uid="{3AF58D5D-1432-43CD-A5C9-DFC95A0D288A}"/>
    <cellStyle name="Normal GHG Numbers (0.00) 3 3 2 2 14" xfId="7573" xr:uid="{6697710C-0CC1-4412-8DDD-A0D3AE50B341}"/>
    <cellStyle name="Normal GHG Numbers (0.00) 3 3 2 2 15" xfId="7208" xr:uid="{DFEFB3F0-6C8C-4498-8BA4-AF40A5FB3D52}"/>
    <cellStyle name="Normal GHG Numbers (0.00) 3 3 2 2 16" xfId="8379" xr:uid="{CB7C126F-D4D3-47DF-9D82-29809D43E244}"/>
    <cellStyle name="Normal GHG Numbers (0.00) 3 3 2 2 17" xfId="7153" xr:uid="{35FD4F87-A196-46DC-95DD-BC4CC1C8E9FF}"/>
    <cellStyle name="Normal GHG Numbers (0.00) 3 3 2 2 18" xfId="9787" xr:uid="{8ECC6372-1039-49F3-8E7C-7567E224403E}"/>
    <cellStyle name="Normal GHG Numbers (0.00) 3 3 2 2 19" xfId="9421" xr:uid="{1A8786F1-C291-4356-9E9F-26AF88F53FD7}"/>
    <cellStyle name="Normal GHG Numbers (0.00) 3 3 2 2 2" xfId="1327" xr:uid="{B0230C06-35B4-442D-9411-9CF1D2F6D19E}"/>
    <cellStyle name="Normal GHG Numbers (0.00) 3 3 2 2 20" xfId="10253" xr:uid="{B00359C9-3BD4-469D-B263-22985AD6EE40}"/>
    <cellStyle name="Normal GHG Numbers (0.00) 3 3 2 2 21" xfId="10921" xr:uid="{CBFD0022-6D93-4123-B294-54D966D21AFD}"/>
    <cellStyle name="Normal GHG Numbers (0.00) 3 3 2 2 22" xfId="10592" xr:uid="{9A0527AF-78D4-4616-AC97-E629CAE72BE8}"/>
    <cellStyle name="Normal GHG Numbers (0.00) 3 3 2 2 23" xfId="12206" xr:uid="{89CEEAF6-1903-4EE9-8582-057AA90CCF94}"/>
    <cellStyle name="Normal GHG Numbers (0.00) 3 3 2 2 24" xfId="12679" xr:uid="{27ABF1DA-BB77-4EF9-AC23-684718CDCB9B}"/>
    <cellStyle name="Normal GHG Numbers (0.00) 3 3 2 2 25" xfId="13113" xr:uid="{F8E61414-E60B-40EF-98BE-C9D19E18C665}"/>
    <cellStyle name="Normal GHG Numbers (0.00) 3 3 2 2 26" xfId="13550" xr:uid="{A7A6DB88-A389-4ADD-87B1-AAB024635720}"/>
    <cellStyle name="Normal GHG Numbers (0.00) 3 3 2 2 27" xfId="13905" xr:uid="{236FCDEC-0ED4-49AE-9B1B-104CA557540B}"/>
    <cellStyle name="Normal GHG Numbers (0.00) 3 3 2 2 28" xfId="13183" xr:uid="{F5790658-0FAE-4842-A1FC-160927E811F1}"/>
    <cellStyle name="Normal GHG Numbers (0.00) 3 3 2 2 29" xfId="13678" xr:uid="{7D42E091-EF91-41E9-AE6D-F25574262633}"/>
    <cellStyle name="Normal GHG Numbers (0.00) 3 3 2 2 3" xfId="1776" xr:uid="{394AC745-4B30-43AE-ADD0-5250D715D5CA}"/>
    <cellStyle name="Normal GHG Numbers (0.00) 3 3 2 2 30" xfId="15211" xr:uid="{E5430006-9314-41B5-91E0-EE94FBCE31F6}"/>
    <cellStyle name="Normal GHG Numbers (0.00) 3 3 2 2 31" xfId="14659" xr:uid="{2B542561-2846-468D-B346-2B901F167BE7}"/>
    <cellStyle name="Normal GHG Numbers (0.00) 3 3 2 2 32" xfId="15515" xr:uid="{D19429E0-5C30-47EB-A0F0-827B347F37A1}"/>
    <cellStyle name="Normal GHG Numbers (0.00) 3 3 2 2 33" xfId="16898" xr:uid="{954B978C-0B25-460E-B347-86D70539A523}"/>
    <cellStyle name="Normal GHG Numbers (0.00) 3 3 2 2 34" xfId="16530" xr:uid="{4E78E87A-D02A-4147-BEAF-A2A31F13CB66}"/>
    <cellStyle name="Normal GHG Numbers (0.00) 3 3 2 2 35" xfId="17375" xr:uid="{64C60657-A491-4AEE-8CEE-CF87A9188289}"/>
    <cellStyle name="Normal GHG Numbers (0.00) 3 3 2 2 36" xfId="17873" xr:uid="{A48A0E37-7E84-4F60-B214-06B95579AC96}"/>
    <cellStyle name="Normal GHG Numbers (0.00) 3 3 2 2 37" xfId="18716" xr:uid="{26D5278C-DE6E-4C53-B06F-D82BC84D9495}"/>
    <cellStyle name="Normal GHG Numbers (0.00) 3 3 2 2 38" xfId="16474" xr:uid="{E91B0746-0C61-45FD-89B7-6EF1900DB82A}"/>
    <cellStyle name="Normal GHG Numbers (0.00) 3 3 2 2 39" xfId="19292" xr:uid="{F67E068C-2B93-460F-9C8F-F619FF0C7055}"/>
    <cellStyle name="Normal GHG Numbers (0.00) 3 3 2 2 4" xfId="2675" xr:uid="{47A08C93-8869-4826-8A0B-6A054C535E0C}"/>
    <cellStyle name="Normal GHG Numbers (0.00) 3 3 2 2 40" xfId="20235" xr:uid="{461B3BDE-B66C-4F39-A71D-8C6AD2E0E8D9}"/>
    <cellStyle name="Normal GHG Numbers (0.00) 3 3 2 2 41" xfId="19866" xr:uid="{F20B8A03-F81A-46B0-8A44-310F9C09368F}"/>
    <cellStyle name="Normal GHG Numbers (0.00) 3 3 2 2 42" xfId="19794" xr:uid="{8627DEE5-7768-49D6-AE6C-BCE9CD707BA6}"/>
    <cellStyle name="Normal GHG Numbers (0.00) 3 3 2 2 43" xfId="20798" xr:uid="{E619F3D1-8442-4010-A68C-8BFC8EF4A34B}"/>
    <cellStyle name="Normal GHG Numbers (0.00) 3 3 2 2 44" xfId="19833" xr:uid="{FDD0BE6F-F86E-46F7-991B-D1DEC6E18CE9}"/>
    <cellStyle name="Normal GHG Numbers (0.00) 3 3 2 2 45" xfId="22033" xr:uid="{6766422C-A78E-4F30-BB0B-E6E9AC9CA736}"/>
    <cellStyle name="Normal GHG Numbers (0.00) 3 3 2 2 46" xfId="22885" xr:uid="{38DFFC6A-A6A6-4247-AAAE-25AB09586893}"/>
    <cellStyle name="Normal GHG Numbers (0.00) 3 3 2 2 47" xfId="22450" xr:uid="{D6A19FE3-758D-4A84-A30C-FF3FCD00A1ED}"/>
    <cellStyle name="Normal GHG Numbers (0.00) 3 3 2 2 48" xfId="23489" xr:uid="{B9EA6CB2-6FB9-4DD6-ABA0-027F0A62B6E2}"/>
    <cellStyle name="Normal GHG Numbers (0.00) 3 3 2 2 49" xfId="24035" xr:uid="{07DEF7C6-29E7-49E8-8156-6F41AA91F4AF}"/>
    <cellStyle name="Normal GHG Numbers (0.00) 3 3 2 2 5" xfId="3073" xr:uid="{A19D9211-4C43-402C-8FED-3371B89A1245}"/>
    <cellStyle name="Normal GHG Numbers (0.00) 3 3 2 2 50" xfId="24943" xr:uid="{41266D8F-D861-4AFC-9C16-B21F8B3E9984}"/>
    <cellStyle name="Normal GHG Numbers (0.00) 3 3 2 2 51" xfId="24430" xr:uid="{E4BAF5A7-F165-4085-B4AB-6AB0DB846DDC}"/>
    <cellStyle name="Normal GHG Numbers (0.00) 3 3 2 2 52" xfId="25859" xr:uid="{CEE1833D-EAC0-4C9A-B753-CF2D8825C9C7}"/>
    <cellStyle name="Normal GHG Numbers (0.00) 3 3 2 2 53" xfId="26212" xr:uid="{272BE18A-5DCB-42D3-8196-21914B9D986B}"/>
    <cellStyle name="Normal GHG Numbers (0.00) 3 3 2 2 54" xfId="26642" xr:uid="{6AA3BA16-71AC-4EDF-8477-66EEE1E1E67E}"/>
    <cellStyle name="Normal GHG Numbers (0.00) 3 3 2 2 55" xfId="27147" xr:uid="{FEAB5C50-99AE-41DA-88B2-B3732B60670C}"/>
    <cellStyle name="Normal GHG Numbers (0.00) 3 3 2 2 56" xfId="27566" xr:uid="{341D3C8C-F26F-4C56-9F25-A9A11F825B53}"/>
    <cellStyle name="Normal GHG Numbers (0.00) 3 3 2 2 57" xfId="26257" xr:uid="{71A4E193-B1CC-4872-B748-D49FF3384673}"/>
    <cellStyle name="Normal GHG Numbers (0.00) 3 3 2 2 58" xfId="28693" xr:uid="{AE99B8DA-FDAD-4CEF-BEBC-1F801EEAD555}"/>
    <cellStyle name="Normal GHG Numbers (0.00) 3 3 2 2 59" xfId="29160" xr:uid="{8313F157-50AC-4EC0-853C-E965A36E0312}"/>
    <cellStyle name="Normal GHG Numbers (0.00) 3 3 2 2 6" xfId="2953" xr:uid="{D705DE6A-BD68-4511-AF72-27486367E06B}"/>
    <cellStyle name="Normal GHG Numbers (0.00) 3 3 2 2 60" xfId="27995" xr:uid="{79159165-EACE-4DDC-8AE1-9348B6D052CC}"/>
    <cellStyle name="Normal GHG Numbers (0.00) 3 3 2 2 61" xfId="29949" xr:uid="{337DE48C-B5BC-4098-AD40-4E1165D3E52D}"/>
    <cellStyle name="Normal GHG Numbers (0.00) 3 3 2 2 62" xfId="30355" xr:uid="{F3164066-13D6-4F9F-87BA-BDDA0520E6B0}"/>
    <cellStyle name="Normal GHG Numbers (0.00) 3 3 2 2 63" xfId="30772" xr:uid="{F8CB50DC-DB8C-4454-8B4D-CEB716A73CC0}"/>
    <cellStyle name="Normal GHG Numbers (0.00) 3 3 2 2 64" xfId="29998" xr:uid="{84EA6CD4-1280-4082-8CC0-DB84331FA2B5}"/>
    <cellStyle name="Normal GHG Numbers (0.00) 3 3 2 2 65" xfId="31388" xr:uid="{BF390FBC-A4A0-4BF9-B6CC-7D8A89F5D3C8}"/>
    <cellStyle name="Normal GHG Numbers (0.00) 3 3 2 2 7" xfId="4171" xr:uid="{89591EEC-7617-4EAB-8EF9-D32B8A30E3AE}"/>
    <cellStyle name="Normal GHG Numbers (0.00) 3 3 2 2 8" xfId="4608" xr:uid="{D3B6F985-A360-4F87-A16A-8BFEBDB1398B}"/>
    <cellStyle name="Normal GHG Numbers (0.00) 3 3 2 2 9" xfId="2767" xr:uid="{8E87C4CA-5125-44BB-B4A9-0A3D18B8D1C7}"/>
    <cellStyle name="Normal GHG Numbers (0.00) 3 3 2 20" xfId="10249" xr:uid="{07475995-CBDC-465E-8A33-460A00879017}"/>
    <cellStyle name="Normal GHG Numbers (0.00) 3 3 2 21" xfId="10643" xr:uid="{4DD55FC5-26D4-41FD-9FA5-F42210C17B68}"/>
    <cellStyle name="Normal GHG Numbers (0.00) 3 3 2 22" xfId="10998" xr:uid="{85C1C8E5-BF93-4807-B559-4E59A82DD94B}"/>
    <cellStyle name="Normal GHG Numbers (0.00) 3 3 2 23" xfId="11168" xr:uid="{46A8D242-2289-431B-B764-014F680BB221}"/>
    <cellStyle name="Normal GHG Numbers (0.00) 3 3 2 24" xfId="11991" xr:uid="{5D74464A-FC64-457C-865C-42655571113A}"/>
    <cellStyle name="Normal GHG Numbers (0.00) 3 3 2 25" xfId="12464" xr:uid="{CF5F319C-91E8-4542-ACE1-8EEAE63A6727}"/>
    <cellStyle name="Normal GHG Numbers (0.00) 3 3 2 26" xfId="12898" xr:uid="{1B35E921-7792-4496-9DCE-251344F6996F}"/>
    <cellStyle name="Normal GHG Numbers (0.00) 3 3 2 27" xfId="13335" xr:uid="{7E6AB24C-4D88-4AF5-85DF-82609D3FCB2B}"/>
    <cellStyle name="Normal GHG Numbers (0.00) 3 3 2 28" xfId="12740" xr:uid="{12752236-9EF8-4BA0-A4F4-E05DFC7C56BA}"/>
    <cellStyle name="Normal GHG Numbers (0.00) 3 3 2 29" xfId="13891" xr:uid="{D0F39DF5-A2CA-4614-BC67-D58AEA522D4F}"/>
    <cellStyle name="Normal GHG Numbers (0.00) 3 3 2 3" xfId="1121" xr:uid="{F0B9A17D-0CE3-4A4D-8CDD-D2401C874542}"/>
    <cellStyle name="Normal GHG Numbers (0.00) 3 3 2 30" xfId="14854" xr:uid="{6A2FA708-E69F-40C5-9183-9C1E50E5870C}"/>
    <cellStyle name="Normal GHG Numbers (0.00) 3 3 2 31" xfId="15116" xr:uid="{75D4A78B-6B64-4B02-B209-977495498053}"/>
    <cellStyle name="Normal GHG Numbers (0.00) 3 3 2 32" xfId="12315" xr:uid="{55EAA992-2ECF-490F-9BCA-0156DE67162C}"/>
    <cellStyle name="Normal GHG Numbers (0.00) 3 3 2 33" xfId="15987" xr:uid="{2B60C62A-7BB1-42CC-8AD9-F18A8EF96700}"/>
    <cellStyle name="Normal GHG Numbers (0.00) 3 3 2 34" xfId="16683" xr:uid="{8CC3A669-3FD6-4F9F-AD42-B05BFA96AB1D}"/>
    <cellStyle name="Normal GHG Numbers (0.00) 3 3 2 35" xfId="17370" xr:uid="{E04BF7B8-7D81-4C60-98C3-3A30E9C4860F}"/>
    <cellStyle name="Normal GHG Numbers (0.00) 3 3 2 36" xfId="17812" xr:uid="{FEA4A9E2-2699-4D42-9DA0-F1F5BC2CC1F9}"/>
    <cellStyle name="Normal GHG Numbers (0.00) 3 3 2 37" xfId="17931" xr:uid="{B7637556-2FEE-4706-B3CA-54C5391DCC9D}"/>
    <cellStyle name="Normal GHG Numbers (0.00) 3 3 2 38" xfId="18501" xr:uid="{94D355C6-DD1E-4A31-B1B9-BB6D0F2518BF}"/>
    <cellStyle name="Normal GHG Numbers (0.00) 3 3 2 39" xfId="18832" xr:uid="{EA7D557F-23D1-4BDB-8B75-7174B347CBD2}"/>
    <cellStyle name="Normal GHG Numbers (0.00) 3 3 2 4" xfId="1693" xr:uid="{E52D37B6-79C2-435C-AA69-963F8AAE07AD}"/>
    <cellStyle name="Normal GHG Numbers (0.00) 3 3 2 40" xfId="19338" xr:uid="{D5E08874-568E-4F1F-9240-3E1D793D50BF}"/>
    <cellStyle name="Normal GHG Numbers (0.00) 3 3 2 41" xfId="20020" xr:uid="{421A9060-1A54-4C2A-A7A7-907A940231CA}"/>
    <cellStyle name="Normal GHG Numbers (0.00) 3 3 2 42" xfId="20720" xr:uid="{036D87A2-427D-4EF1-B523-D56A0A9D7D03}"/>
    <cellStyle name="Normal GHG Numbers (0.00) 3 3 2 43" xfId="21178" xr:uid="{0AB6D95F-86CB-46B7-B068-DC7C32E5F9C0}"/>
    <cellStyle name="Normal GHG Numbers (0.00) 3 3 2 44" xfId="20457" xr:uid="{EB67118D-5392-4276-B128-1068ACC001EF}"/>
    <cellStyle name="Normal GHG Numbers (0.00) 3 3 2 45" xfId="22109" xr:uid="{35F0BF3D-5766-4DE2-AD6C-9FF4AAF2E6C1}"/>
    <cellStyle name="Normal GHG Numbers (0.00) 3 3 2 46" xfId="22537" xr:uid="{0C32C823-20B0-4A6F-ABED-51550929B3DC}"/>
    <cellStyle name="Normal GHG Numbers (0.00) 3 3 2 47" xfId="22125" xr:uid="{4F82B914-7A6F-42EC-83C6-2658EE8D7EC4}"/>
    <cellStyle name="Normal GHG Numbers (0.00) 3 3 2 48" xfId="23107" xr:uid="{C79281C8-8063-4132-B9FE-56D05F976E70}"/>
    <cellStyle name="Normal GHG Numbers (0.00) 3 3 2 49" xfId="23659" xr:uid="{F9158437-14E8-4092-B897-82F862A9C2E8}"/>
    <cellStyle name="Normal GHG Numbers (0.00) 3 3 2 5" xfId="2460" xr:uid="{ACA9F31A-43B0-4B91-BB26-78C8159D368A}"/>
    <cellStyle name="Normal GHG Numbers (0.00) 3 3 2 50" xfId="23829" xr:uid="{24A2E5CD-9337-4192-BDE8-17E23666AAA0}"/>
    <cellStyle name="Normal GHG Numbers (0.00) 3 3 2 51" xfId="24728" xr:uid="{EF914AAC-B1DF-4EE0-BBCF-AF44459DC16F}"/>
    <cellStyle name="Normal GHG Numbers (0.00) 3 3 2 52" xfId="25424" xr:uid="{A3829783-ACA6-4347-993C-B2436AA92FB5}"/>
    <cellStyle name="Normal GHG Numbers (0.00) 3 3 2 53" xfId="25646" xr:uid="{43278AD6-6A56-4325-9974-9CFCA903FBC1}"/>
    <cellStyle name="Normal GHG Numbers (0.00) 3 3 2 54" xfId="25260" xr:uid="{B0FF627B-A986-4B6D-9D32-CBB1A6AE25D2}"/>
    <cellStyle name="Normal GHG Numbers (0.00) 3 3 2 55" xfId="26649" xr:uid="{F3EC8D52-DD88-44F1-B295-4ECBE0911DBC}"/>
    <cellStyle name="Normal GHG Numbers (0.00) 3 3 2 56" xfId="26936" xr:uid="{D884CE99-E71D-4F69-8136-490AAE7C3F91}"/>
    <cellStyle name="Normal GHG Numbers (0.00) 3 3 2 57" xfId="27355" xr:uid="{7F7C255D-237C-4AEC-92AD-304CB0496E62}"/>
    <cellStyle name="Normal GHG Numbers (0.00) 3 3 2 58" xfId="27662" xr:uid="{AB8BD40A-9BAD-49DC-BCC2-9B9C2266E399}"/>
    <cellStyle name="Normal GHG Numbers (0.00) 3 3 2 59" xfId="28478" xr:uid="{78761C25-5656-4316-849E-A4D034D39737}"/>
    <cellStyle name="Normal GHG Numbers (0.00) 3 3 2 6" xfId="2205" xr:uid="{D9442065-70C6-4FD8-A1FD-7B6E290F4159}"/>
    <cellStyle name="Normal GHG Numbers (0.00) 3 3 2 60" xfId="28946" xr:uid="{291739A6-07A6-4E35-A824-98409E8B5D83}"/>
    <cellStyle name="Normal GHG Numbers (0.00) 3 3 2 61" xfId="29537" xr:uid="{CC43F237-7F86-4F49-82CC-CEBE0CCCF330}"/>
    <cellStyle name="Normal GHG Numbers (0.00) 3 3 2 62" xfId="29736" xr:uid="{F61DD3F1-130A-4645-AB2E-D1890718C5D9}"/>
    <cellStyle name="Normal GHG Numbers (0.00) 3 3 2 63" xfId="30144" xr:uid="{6BE8AAB0-CA3A-4263-8144-BE7D7F5D47ED}"/>
    <cellStyle name="Normal GHG Numbers (0.00) 3 3 2 64" xfId="30558" xr:uid="{D53A71CC-1542-4FA6-B5C9-FEB45694091B}"/>
    <cellStyle name="Normal GHG Numbers (0.00) 3 3 2 65" xfId="28032" xr:uid="{F60503A5-3DE3-4442-92AB-C259AAEAD37E}"/>
    <cellStyle name="Normal GHG Numbers (0.00) 3 3 2 66" xfId="31182" xr:uid="{EA26C5EF-F2EF-4DF7-9435-CB646A0A7520}"/>
    <cellStyle name="Normal GHG Numbers (0.00) 3 3 2 7" xfId="3649" xr:uid="{1353DC64-470C-4739-AD5A-C639656E3B66}"/>
    <cellStyle name="Normal GHG Numbers (0.00) 3 3 2 8" xfId="3956" xr:uid="{73492F34-F8A2-4B59-A8DD-349A1EE1B577}"/>
    <cellStyle name="Normal GHG Numbers (0.00) 3 3 2 9" xfId="4394" xr:uid="{576BB558-441F-4A51-B9AD-29D4E303CABB}"/>
    <cellStyle name="Normal GHG Numbers (0.00) 3 3 20" xfId="8311" xr:uid="{4189964F-09A2-4A8E-9F27-94929AFCD808}"/>
    <cellStyle name="Normal GHG Numbers (0.00) 3 3 21" xfId="9301" xr:uid="{26510DB6-0B17-460A-81D8-A716AF6D0522}"/>
    <cellStyle name="Normal GHG Numbers (0.00) 3 3 22" xfId="10134" xr:uid="{2DC9FD12-0302-48A1-8700-0D6936FF6F2D}"/>
    <cellStyle name="Normal GHG Numbers (0.00) 3 3 23" xfId="10544" xr:uid="{2D823BCE-2CF7-43E6-B1ED-611191017046}"/>
    <cellStyle name="Normal GHG Numbers (0.00) 3 3 24" xfId="9839" xr:uid="{B09876B7-3D7A-4298-B1D9-AD56BECCAC33}"/>
    <cellStyle name="Normal GHG Numbers (0.00) 3 3 25" xfId="9122" xr:uid="{CCDA371F-5C09-49DA-B709-99475A511C73}"/>
    <cellStyle name="Normal GHG Numbers (0.00) 3 3 26" xfId="11714" xr:uid="{2B2BFF92-570C-4414-8996-46EDEEF221DF}"/>
    <cellStyle name="Normal GHG Numbers (0.00) 3 3 27" xfId="11456" xr:uid="{5674E58B-18BE-45D3-89AB-B212F77D3659}"/>
    <cellStyle name="Normal GHG Numbers (0.00) 3 3 28" xfId="11585" xr:uid="{B3884B35-5782-46FA-9DC6-EC373EF860C8}"/>
    <cellStyle name="Normal GHG Numbers (0.00) 3 3 29" xfId="11463" xr:uid="{FB767CD5-3A42-473C-923B-88C6D06D58BB}"/>
    <cellStyle name="Normal GHG Numbers (0.00) 3 3 3" xfId="535" xr:uid="{B01DA47D-AA4B-4827-AC9D-D1F26582A381}"/>
    <cellStyle name="Normal GHG Numbers (0.00) 3 3 3 10" xfId="2142" xr:uid="{00E22404-6835-4E9A-8313-339554DC1C3E}"/>
    <cellStyle name="Normal GHG Numbers (0.00) 3 3 3 11" xfId="5183" xr:uid="{5CE6A227-9CF5-4AA5-ADE7-75DE4CBAF6A6}"/>
    <cellStyle name="Normal GHG Numbers (0.00) 3 3 3 12" xfId="5852" xr:uid="{1D63B907-B04A-4042-BC08-E9D9FC862915}"/>
    <cellStyle name="Normal GHG Numbers (0.00) 3 3 3 13" xfId="4900" xr:uid="{3C5A665C-B81F-4E07-B37D-0CED1A9DD73B}"/>
    <cellStyle name="Normal GHG Numbers (0.00) 3 3 3 14" xfId="6065" xr:uid="{0AEE0F80-8B85-4F6A-A66D-681ECB754FA1}"/>
    <cellStyle name="Normal GHG Numbers (0.00) 3 3 3 15" xfId="7255" xr:uid="{F8CD16BC-8572-4551-B931-1C2CDE4952E1}"/>
    <cellStyle name="Normal GHG Numbers (0.00) 3 3 3 16" xfId="7742" xr:uid="{B4808F7E-7767-4477-8D51-829F1E2B1630}"/>
    <cellStyle name="Normal GHG Numbers (0.00) 3 3 3 17" xfId="7900" xr:uid="{099F7238-D97C-4098-B8A2-D59B9E170EF3}"/>
    <cellStyle name="Normal GHG Numbers (0.00) 3 3 3 18" xfId="8480" xr:uid="{A43E079D-7C12-4BD3-A4A3-AB232D19DF2D}"/>
    <cellStyle name="Normal GHG Numbers (0.00) 3 3 3 19" xfId="9469" xr:uid="{59DFA02D-3563-483C-B364-2AF17F072BD9}"/>
    <cellStyle name="Normal GHG Numbers (0.00) 3 3 3 2" xfId="750" xr:uid="{AD8597DD-2A20-46F8-AB36-0E11B462EC43}"/>
    <cellStyle name="Normal GHG Numbers (0.00) 3 3 3 2 10" xfId="5398" xr:uid="{68E8711D-5587-4062-A216-8CEF3CACAB3E}"/>
    <cellStyle name="Normal GHG Numbers (0.00) 3 3 3 2 11" xfId="5670" xr:uid="{3C693921-D710-43C4-A8D2-0BF3C94CA594}"/>
    <cellStyle name="Normal GHG Numbers (0.00) 3 3 3 2 12" xfId="5851" xr:uid="{A9B38145-59FF-45A8-8B15-85BA03069CB3}"/>
    <cellStyle name="Normal GHG Numbers (0.00) 3 3 3 2 13" xfId="6513" xr:uid="{8E3AA255-4107-4E22-9F5C-49524E0E02AA}"/>
    <cellStyle name="Normal GHG Numbers (0.00) 3 3 3 2 14" xfId="7470" xr:uid="{48312C4F-A6BC-41FA-BE7D-942705447E87}"/>
    <cellStyle name="Normal GHG Numbers (0.00) 3 3 3 2 15" xfId="7091" xr:uid="{E9722783-546D-4F10-A209-DEA21D8C61D0}"/>
    <cellStyle name="Normal GHG Numbers (0.00) 3 3 3 2 16" xfId="7095" xr:uid="{B073EFDF-722A-4BC5-A9F6-78774190C035}"/>
    <cellStyle name="Normal GHG Numbers (0.00) 3 3 3 2 17" xfId="8495" xr:uid="{01194CA5-3C3C-4DF4-8AD0-651E99BBF4D6}"/>
    <cellStyle name="Normal GHG Numbers (0.00) 3 3 3 2 18" xfId="9684" xr:uid="{BF97EC06-0A4B-4F8C-ACC4-0C8A21AFF568}"/>
    <cellStyle name="Normal GHG Numbers (0.00) 3 3 3 2 19" xfId="9304" xr:uid="{B846CDB6-336B-45DB-97BB-771E76BA041D}"/>
    <cellStyle name="Normal GHG Numbers (0.00) 3 3 3 2 2" xfId="1224" xr:uid="{788898D4-50AE-4ED7-B3B6-6B29CAF0E5BA}"/>
    <cellStyle name="Normal GHG Numbers (0.00) 3 3 3 2 20" xfId="9628" xr:uid="{DE3BCAB2-36EA-4FA7-99D8-39AE44CACCFC}"/>
    <cellStyle name="Normal GHG Numbers (0.00) 3 3 3 2 21" xfId="10693" xr:uid="{7D86246F-1641-427B-895D-28161180A319}"/>
    <cellStyle name="Normal GHG Numbers (0.00) 3 3 3 2 22" xfId="11112" xr:uid="{149F92C1-A720-47EF-B2DF-D9E3A1845343}"/>
    <cellStyle name="Normal GHG Numbers (0.00) 3 3 3 2 23" xfId="12103" xr:uid="{1DAE0C5A-9D92-4556-B80C-ECCDBD229460}"/>
    <cellStyle name="Normal GHG Numbers (0.00) 3 3 3 2 24" xfId="12576" xr:uid="{9C0C87AE-88C9-4037-9635-58B5A9276BAC}"/>
    <cellStyle name="Normal GHG Numbers (0.00) 3 3 3 2 25" xfId="13010" xr:uid="{5B567ECF-AA44-41DE-8DF6-11BA01B375B7}"/>
    <cellStyle name="Normal GHG Numbers (0.00) 3 3 3 2 26" xfId="13447" xr:uid="{7B664724-E493-4C45-96BB-E29C2ABF4822}"/>
    <cellStyle name="Normal GHG Numbers (0.00) 3 3 3 2 27" xfId="13609" xr:uid="{63C7D1B7-A6F3-4E0C-9CCD-CA0A6B9AB8C4}"/>
    <cellStyle name="Normal GHG Numbers (0.00) 3 3 3 2 28" xfId="11458" xr:uid="{3EF0628C-688B-4A56-A1A4-2DA21F903B6B}"/>
    <cellStyle name="Normal GHG Numbers (0.00) 3 3 3 2 29" xfId="14071" xr:uid="{7EC7E299-D3DB-4D4A-B742-3A0130A6407E}"/>
    <cellStyle name="Normal GHG Numbers (0.00) 3 3 3 2 3" xfId="1514" xr:uid="{DBFDFECF-A234-4A73-B5A5-92773C42F056}"/>
    <cellStyle name="Normal GHG Numbers (0.00) 3 3 3 2 30" xfId="15293" xr:uid="{C282F60A-3F0B-40E7-82CD-FB41827B4D86}"/>
    <cellStyle name="Normal GHG Numbers (0.00) 3 3 3 2 31" xfId="15702" xr:uid="{E354789C-42A0-4748-8925-9D476D10BF7D}"/>
    <cellStyle name="Normal GHG Numbers (0.00) 3 3 3 2 32" xfId="14773" xr:uid="{4FAAB17C-DE5F-4F34-8CB7-0489750E1EEE}"/>
    <cellStyle name="Normal GHG Numbers (0.00) 3 3 3 2 33" xfId="16795" xr:uid="{0FE37FB7-C0CE-495A-9479-C1947F43A625}"/>
    <cellStyle name="Normal GHG Numbers (0.00) 3 3 3 2 34" xfId="16413" xr:uid="{1FC90FFF-9639-40F9-A264-61D246B90D9F}"/>
    <cellStyle name="Normal GHG Numbers (0.00) 3 3 3 2 35" xfId="16459" xr:uid="{6813F01C-0C3C-4F4F-8665-2EDF891BD80C}"/>
    <cellStyle name="Normal GHG Numbers (0.00) 3 3 3 2 36" xfId="18063" xr:uid="{4B33528A-51BA-4422-9B6D-A41BF5BBF116}"/>
    <cellStyle name="Normal GHG Numbers (0.00) 3 3 3 2 37" xfId="18613" xr:uid="{C6F3C6DD-E945-456C-8CE0-AA6C2B1ECA0A}"/>
    <cellStyle name="Normal GHG Numbers (0.00) 3 3 3 2 38" xfId="18799" xr:uid="{D9ECC2F0-3AA0-4B5C-8455-3A02CC67C72A}"/>
    <cellStyle name="Normal GHG Numbers (0.00) 3 3 3 2 39" xfId="19165" xr:uid="{3312B338-5D7F-4536-A06C-9F85C02A2DD6}"/>
    <cellStyle name="Normal GHG Numbers (0.00) 3 3 3 2 4" xfId="2572" xr:uid="{D0D182A6-FE65-4D30-AB82-A2EF64B2536A}"/>
    <cellStyle name="Normal GHG Numbers (0.00) 3 3 3 2 40" xfId="20132" xr:uid="{7107B960-CD48-4A3A-A574-DD6E3A870390}"/>
    <cellStyle name="Normal GHG Numbers (0.00) 3 3 3 2 41" xfId="19748" xr:uid="{28665BDC-3112-470F-8F40-C754C411993A}"/>
    <cellStyle name="Normal GHG Numbers (0.00) 3 3 3 2 42" xfId="19885" xr:uid="{B0A11BC2-1C27-410F-A6D9-18C64CED1EFA}"/>
    <cellStyle name="Normal GHG Numbers (0.00) 3 3 3 2 43" xfId="21528" xr:uid="{0CFB1C9E-6608-4206-B250-48D96A02AECD}"/>
    <cellStyle name="Normal GHG Numbers (0.00) 3 3 3 2 44" xfId="20625" xr:uid="{88CEF910-D1F2-4F5D-B5C2-644C40A27607}"/>
    <cellStyle name="Normal GHG Numbers (0.00) 3 3 3 2 45" xfId="20638" xr:uid="{B613A516-594F-4325-876C-881952671777}"/>
    <cellStyle name="Normal GHG Numbers (0.00) 3 3 3 2 46" xfId="22618" xr:uid="{A4CFF557-D90B-4119-82AE-09BC5C972147}"/>
    <cellStyle name="Normal GHG Numbers (0.00) 3 3 3 2 47" xfId="23072" xr:uid="{22BA5A24-3DD7-40A1-823D-189C0F6DFE3C}"/>
    <cellStyle name="Normal GHG Numbers (0.00) 3 3 3 2 48" xfId="21350" xr:uid="{29A41C10-0F45-4D95-A38F-7C0C76821F4E}"/>
    <cellStyle name="Normal GHG Numbers (0.00) 3 3 3 2 49" xfId="23932" xr:uid="{804E5044-D3F2-4ECA-9895-B2ADD118A696}"/>
    <cellStyle name="Normal GHG Numbers (0.00) 3 3 3 2 5" xfId="2776" xr:uid="{11F467DC-0114-41DD-B376-CE567DDE76DB}"/>
    <cellStyle name="Normal GHG Numbers (0.00) 3 3 3 2 50" xfId="24840" xr:uid="{013E9463-436D-4B36-B35A-4402C43DFE97}"/>
    <cellStyle name="Normal GHG Numbers (0.00) 3 3 3 2 51" xfId="24240" xr:uid="{C3A28749-07EF-4AE7-BF51-9DAA7952C0B2}"/>
    <cellStyle name="Normal GHG Numbers (0.00) 3 3 3 2 52" xfId="25756" xr:uid="{DDECA160-BD91-47CB-BF0E-475BC101D594}"/>
    <cellStyle name="Normal GHG Numbers (0.00) 3 3 3 2 53" xfId="24133" xr:uid="{D253A00F-DC29-4519-B514-8E6E942DD504}"/>
    <cellStyle name="Normal GHG Numbers (0.00) 3 3 3 2 54" xfId="26686" xr:uid="{6295A17A-8ADF-49A9-8A41-458081DF63F0}"/>
    <cellStyle name="Normal GHG Numbers (0.00) 3 3 3 2 55" xfId="27044" xr:uid="{121EC7E5-34A7-4A1A-94BC-8AC98C60FB1F}"/>
    <cellStyle name="Normal GHG Numbers (0.00) 3 3 3 2 56" xfId="27463" xr:uid="{7FCDD9F2-F48D-4343-91FA-D35F8EDB76C2}"/>
    <cellStyle name="Normal GHG Numbers (0.00) 3 3 3 2 57" xfId="26773" xr:uid="{76CEF3AA-A1FA-45DB-8A8B-F729433B4E5C}"/>
    <cellStyle name="Normal GHG Numbers (0.00) 3 3 3 2 58" xfId="28590" xr:uid="{EABD4064-1B88-4AB7-9B4E-049D1ACA39A4}"/>
    <cellStyle name="Normal GHG Numbers (0.00) 3 3 3 2 59" xfId="29057" xr:uid="{AABE6C60-0F9A-4A3A-926D-B1986F54298E}"/>
    <cellStyle name="Normal GHG Numbers (0.00) 3 3 3 2 6" xfId="3663" xr:uid="{6F05EC90-4F50-4D03-BF22-37CB9E4F0580}"/>
    <cellStyle name="Normal GHG Numbers (0.00) 3 3 3 2 60" xfId="28118" xr:uid="{BFCB95B5-ED20-4B9A-84C3-088A8D3E784E}"/>
    <cellStyle name="Normal GHG Numbers (0.00) 3 3 3 2 61" xfId="29846" xr:uid="{DC90FF82-982D-4CA3-9F79-BB30A9F04DA3}"/>
    <cellStyle name="Normal GHG Numbers (0.00) 3 3 3 2 62" xfId="30252" xr:uid="{A1790C84-CF39-40FC-9301-F94DEB8D7D3B}"/>
    <cellStyle name="Normal GHG Numbers (0.00) 3 3 3 2 63" xfId="30669" xr:uid="{0D693302-DD23-4C9E-A399-4F1F61AA2268}"/>
    <cellStyle name="Normal GHG Numbers (0.00) 3 3 3 2 64" xfId="28041" xr:uid="{DF17DC19-D7DE-482B-979C-551E55E8BF2C}"/>
    <cellStyle name="Normal GHG Numbers (0.00) 3 3 3 2 65" xfId="31285" xr:uid="{AE39CE41-256A-4AE3-A9D7-D9082B4F6521}"/>
    <cellStyle name="Normal GHG Numbers (0.00) 3 3 3 2 7" xfId="4068" xr:uid="{804F99D8-1B70-40CB-9E2C-4E3FAA1252FD}"/>
    <cellStyle name="Normal GHG Numbers (0.00) 3 3 3 2 8" xfId="4505" xr:uid="{E21BD81E-E8C3-4273-8B6A-774F5B46DEA9}"/>
    <cellStyle name="Normal GHG Numbers (0.00) 3 3 3 2 9" xfId="3674" xr:uid="{19551021-4193-4A75-8851-176D8D39AC2B}"/>
    <cellStyle name="Normal GHG Numbers (0.00) 3 3 3 20" xfId="9956" xr:uid="{B3E588C2-190A-4A9C-9D59-B17987F78899}"/>
    <cellStyle name="Normal GHG Numbers (0.00) 3 3 3 21" xfId="10383" xr:uid="{5D391930-41BA-43EC-947D-968DF51F05B6}"/>
    <cellStyle name="Normal GHG Numbers (0.00) 3 3 3 22" xfId="10866" xr:uid="{90EC0988-E7DD-48A5-AABD-4BA77DEFBE61}"/>
    <cellStyle name="Normal GHG Numbers (0.00) 3 3 3 23" xfId="11245" xr:uid="{FEC1306F-33E5-49FE-9D0C-4F5A675FF97A}"/>
    <cellStyle name="Normal GHG Numbers (0.00) 3 3 3 24" xfId="11888" xr:uid="{059FE13A-18E9-40FE-B131-84AB07C04546}"/>
    <cellStyle name="Normal GHG Numbers (0.00) 3 3 3 25" xfId="12361" xr:uid="{06BEC63E-1576-4438-B94C-742FE948A278}"/>
    <cellStyle name="Normal GHG Numbers (0.00) 3 3 3 26" xfId="12795" xr:uid="{13CB2558-6886-4930-9E00-BAC1DE8BB691}"/>
    <cellStyle name="Normal GHG Numbers (0.00) 3 3 3 27" xfId="13232" xr:uid="{AB0F84C8-E181-497B-B673-39A9C49B8C4F}"/>
    <cellStyle name="Normal GHG Numbers (0.00) 3 3 3 28" xfId="13671" xr:uid="{82FFBF27-9667-4C46-9FB8-A58F2482C0B7}"/>
    <cellStyle name="Normal GHG Numbers (0.00) 3 3 3 29" xfId="12743" xr:uid="{5DC82969-7C92-4033-B183-B29EBCB7E4CF}"/>
    <cellStyle name="Normal GHG Numbers (0.00) 3 3 3 3" xfId="1018" xr:uid="{6AD1C006-0F25-4111-B1E4-99210F7FBC32}"/>
    <cellStyle name="Normal GHG Numbers (0.00) 3 3 3 30" xfId="14596" xr:uid="{F722FF49-5CB9-4040-B02D-7516F6ABF1EE}"/>
    <cellStyle name="Normal GHG Numbers (0.00) 3 3 3 31" xfId="14951" xr:uid="{8CDFE2F4-688F-4D51-93C6-1CD8515A707E}"/>
    <cellStyle name="Normal GHG Numbers (0.00) 3 3 3 32" xfId="15273" xr:uid="{2DFD5069-5028-4E95-8829-A65C22A5B5C2}"/>
    <cellStyle name="Normal GHG Numbers (0.00) 3 3 3 33" xfId="15830" xr:uid="{A99E7509-9524-452C-9D15-8975817011ED}"/>
    <cellStyle name="Normal GHG Numbers (0.00) 3 3 3 34" xfId="16580" xr:uid="{C1A09DBA-C72B-42E3-857B-C04830001118}"/>
    <cellStyle name="Normal GHG Numbers (0.00) 3 3 3 35" xfId="17069" xr:uid="{EBFC1233-010A-413D-8A76-B9A27149964D}"/>
    <cellStyle name="Normal GHG Numbers (0.00) 3 3 3 36" xfId="17516" xr:uid="{6A71D104-7B8A-43EE-B67B-FE5D52DAF5DC}"/>
    <cellStyle name="Normal GHG Numbers (0.00) 3 3 3 37" xfId="16225" xr:uid="{5629DD1F-B5AD-49DE-AF22-F41AE2B9D68D}"/>
    <cellStyle name="Normal GHG Numbers (0.00) 3 3 3 38" xfId="18398" xr:uid="{2FFDC98D-5F35-4F26-925E-36293D74DA7D}"/>
    <cellStyle name="Normal GHG Numbers (0.00) 3 3 3 39" xfId="19038" xr:uid="{FB9B28EE-96BC-4CFA-BC64-1BF289BE5D80}"/>
    <cellStyle name="Normal GHG Numbers (0.00) 3 3 3 4" xfId="1608" xr:uid="{6FBE3F09-D969-4BFF-AAB0-B1B533C20219}"/>
    <cellStyle name="Normal GHG Numbers (0.00) 3 3 3 40" xfId="18147" xr:uid="{51970793-9BB9-4DB3-A229-70641612783C}"/>
    <cellStyle name="Normal GHG Numbers (0.00) 3 3 3 41" xfId="19917" xr:uid="{14E107F1-8ABA-422A-ABAA-7FD85BF66FB4}"/>
    <cellStyle name="Normal GHG Numbers (0.00) 3 3 3 42" xfId="20422" xr:uid="{C988E340-01FF-484E-98D6-C3CFA89D18DB}"/>
    <cellStyle name="Normal GHG Numbers (0.00) 3 3 3 43" xfId="20874" xr:uid="{D1CA162A-936A-4F8B-A2EA-6497FA562018}"/>
    <cellStyle name="Normal GHG Numbers (0.00) 3 3 3 44" xfId="21326" xr:uid="{91A8BF47-11CE-4A09-B40D-F39A7E2B6C8F}"/>
    <cellStyle name="Normal GHG Numbers (0.00) 3 3 3 45" xfId="21807" xr:uid="{E1B27FDF-18F0-480B-8ACB-E358D58F1E1D}"/>
    <cellStyle name="Normal GHG Numbers (0.00) 3 3 3 46" xfId="22242" xr:uid="{649F2EF0-658A-4E71-B7BD-542624691B83}"/>
    <cellStyle name="Normal GHG Numbers (0.00) 3 3 3 47" xfId="22671" xr:uid="{DE2E6EAA-4C4B-4B80-8B79-2FA5B0EEC28F}"/>
    <cellStyle name="Normal GHG Numbers (0.00) 3 3 3 48" xfId="23315" xr:uid="{2890CEB4-F35B-4B31-AB04-6926B9A7767B}"/>
    <cellStyle name="Normal GHG Numbers (0.00) 3 3 3 49" xfId="23583" xr:uid="{8AD8F9CC-22F1-4B7F-9EE9-48E3D53A424B}"/>
    <cellStyle name="Normal GHG Numbers (0.00) 3 3 3 5" xfId="2357" xr:uid="{9A4CC090-9B1F-4659-88EF-7A3544D825FA}"/>
    <cellStyle name="Normal GHG Numbers (0.00) 3 3 3 50" xfId="23726" xr:uid="{196B281E-AD9E-42CC-B6F5-A9CBED2CA981}"/>
    <cellStyle name="Normal GHG Numbers (0.00) 3 3 3 51" xfId="24625" xr:uid="{7F48F780-DDCF-4E68-A964-431DB9D2FB5C}"/>
    <cellStyle name="Normal GHG Numbers (0.00) 3 3 3 52" xfId="25130" xr:uid="{B3A0304F-0E85-4DF8-819F-6EED1332D615}"/>
    <cellStyle name="Normal GHG Numbers (0.00) 3 3 3 53" xfId="25543" xr:uid="{2B6A0032-E3D3-42BD-9B09-35963884C2A4}"/>
    <cellStyle name="Normal GHG Numbers (0.00) 3 3 3 54" xfId="25975" xr:uid="{B77F4018-B205-4C4D-999A-D055AD48B73F}"/>
    <cellStyle name="Normal GHG Numbers (0.00) 3 3 3 55" xfId="26428" xr:uid="{51180DEA-1F69-4248-A317-70508AF516AD}"/>
    <cellStyle name="Normal GHG Numbers (0.00) 3 3 3 56" xfId="26833" xr:uid="{0969D236-21CA-484A-AE05-9DFDE8B110A0}"/>
    <cellStyle name="Normal GHG Numbers (0.00) 3 3 3 57" xfId="27252" xr:uid="{9362D63F-056A-4A7D-AC62-E82F9C35D907}"/>
    <cellStyle name="Normal GHG Numbers (0.00) 3 3 3 58" xfId="27826" xr:uid="{249E0E1A-DD03-4B7F-B8E1-D48A33A7222D}"/>
    <cellStyle name="Normal GHG Numbers (0.00) 3 3 3 59" xfId="28375" xr:uid="{D92FA13E-5A59-4563-BF71-AB5B36B0009C}"/>
    <cellStyle name="Normal GHG Numbers (0.00) 3 3 3 6" xfId="2837" xr:uid="{2F36D07A-971C-4C5B-838A-E96DE45BC7A9}"/>
    <cellStyle name="Normal GHG Numbers (0.00) 3 3 3 60" xfId="28843" xr:uid="{7FEF1C2F-DFCC-4CD0-8919-61A4E2C2DE4E}"/>
    <cellStyle name="Normal GHG Numbers (0.00) 3 3 3 61" xfId="29283" xr:uid="{41BCD29D-71F6-4323-B433-DDAC651A0F29}"/>
    <cellStyle name="Normal GHG Numbers (0.00) 3 3 3 62" xfId="29633" xr:uid="{68294E25-BFA9-4397-B1C7-A8910B92505D}"/>
    <cellStyle name="Normal GHG Numbers (0.00) 3 3 3 63" xfId="30041" xr:uid="{CEF4FD83-0213-484F-BD80-4AF500ADE784}"/>
    <cellStyle name="Normal GHG Numbers (0.00) 3 3 3 64" xfId="30455" xr:uid="{0A343380-590B-4C0B-91FA-7C72A8864E83}"/>
    <cellStyle name="Normal GHG Numbers (0.00) 3 3 3 65" xfId="30851" xr:uid="{049132F2-E28D-45CC-AEA7-7835BCE36F6D}"/>
    <cellStyle name="Normal GHG Numbers (0.00) 3 3 3 66" xfId="31079" xr:uid="{AB300F7D-306A-4CFA-A45C-963F37709086}"/>
    <cellStyle name="Normal GHG Numbers (0.00) 3 3 3 7" xfId="3525" xr:uid="{CFDB7A55-DF0E-48CF-995F-44290CFF73C0}"/>
    <cellStyle name="Normal GHG Numbers (0.00) 3 3 3 8" xfId="3853" xr:uid="{D66E6D56-6B92-4E46-8243-F063778EEAEF}"/>
    <cellStyle name="Normal GHG Numbers (0.00) 3 3 3 9" xfId="4291" xr:uid="{89C0DFFF-97F3-437C-91EF-6E7ABB9B5E5D}"/>
    <cellStyle name="Normal GHG Numbers (0.00) 3 3 30" xfId="11438" xr:uid="{C9CE1672-DBDB-4B45-A680-57CCC0CC788D}"/>
    <cellStyle name="Normal GHG Numbers (0.00) 3 3 31" xfId="13786" xr:uid="{64E74AAE-98EB-42C4-B464-9D85D83D5F83}"/>
    <cellStyle name="Normal GHG Numbers (0.00) 3 3 32" xfId="14836" xr:uid="{18781C1A-6060-4994-A844-838B3B8AB27D}"/>
    <cellStyle name="Normal GHG Numbers (0.00) 3 3 33" xfId="13679" xr:uid="{91FAA551-131B-4A32-B1EC-D9D13DEC5F13}"/>
    <cellStyle name="Normal GHG Numbers (0.00) 3 3 34" xfId="15477" xr:uid="{3F4C05E1-57A9-4985-975C-17CA457D0185}"/>
    <cellStyle name="Normal GHG Numbers (0.00) 3 3 35" xfId="15928" xr:uid="{C227C2EB-0B7B-4242-A901-A6C1F2E93EF2}"/>
    <cellStyle name="Normal GHG Numbers (0.00) 3 3 36" xfId="16409" xr:uid="{6ED28F7C-3650-4B31-97C0-F8955085E120}"/>
    <cellStyle name="Normal GHG Numbers (0.00) 3 3 37" xfId="17253" xr:uid="{3CE9F2E4-585D-4E68-B234-FA8F22024027}"/>
    <cellStyle name="Normal GHG Numbers (0.00) 3 3 38" xfId="17697" xr:uid="{63EF37DF-5650-43ED-92D7-7F1F975D5DE8}"/>
    <cellStyle name="Normal GHG Numbers (0.00) 3 3 39" xfId="17888" xr:uid="{2ECFB02A-6D8D-43D3-8A0B-1BE0866F1766}"/>
    <cellStyle name="Normal GHG Numbers (0.00) 3 3 4" xfId="668" xr:uid="{055559F1-261F-4C0F-B8C0-1D664D54D6DB}"/>
    <cellStyle name="Normal GHG Numbers (0.00) 3 3 4 10" xfId="5043" xr:uid="{F376EAEA-0C84-4FF7-8A18-95677B4AEC63}"/>
    <cellStyle name="Normal GHG Numbers (0.00) 3 3 4 11" xfId="5316" xr:uid="{D751A61D-D829-4319-9BD0-07649313DF1D}"/>
    <cellStyle name="Normal GHG Numbers (0.00) 3 3 4 12" xfId="5801" xr:uid="{578B8542-D8BB-4EB3-B945-54E358F50A7E}"/>
    <cellStyle name="Normal GHG Numbers (0.00) 3 3 4 13" xfId="5746" xr:uid="{4EB4F5C3-2BFA-443D-BC8E-78B1E8AAFBA0}"/>
    <cellStyle name="Normal GHG Numbers (0.00) 3 3 4 14" xfId="6435" xr:uid="{552C7640-699C-4128-83CB-E4562B27FC69}"/>
    <cellStyle name="Normal GHG Numbers (0.00) 3 3 4 15" xfId="7388" xr:uid="{A8895490-E276-4345-A377-D7531F6B377E}"/>
    <cellStyle name="Normal GHG Numbers (0.00) 3 3 4 16" xfId="7915" xr:uid="{D88BA288-0D8A-4D44-9AB8-AE234CC1575D}"/>
    <cellStyle name="Normal GHG Numbers (0.00) 3 3 4 17" xfId="8390" xr:uid="{34B15CD7-5BC3-4FB9-A083-CD529ADD75E9}"/>
    <cellStyle name="Normal GHG Numbers (0.00) 3 3 4 18" xfId="8329" xr:uid="{CB955E31-491E-452A-974F-D2800AFD215B}"/>
    <cellStyle name="Normal GHG Numbers (0.00) 3 3 4 19" xfId="9602" xr:uid="{3C9D6E23-F68F-4542-B1FA-EF5CD4D4EBE1}"/>
    <cellStyle name="Normal GHG Numbers (0.00) 3 3 4 2" xfId="883" xr:uid="{89B57BBB-8089-47BB-875F-659F313685F9}"/>
    <cellStyle name="Normal GHG Numbers (0.00) 3 3 4 2 10" xfId="5531" xr:uid="{DEC76072-4302-43B7-9E4A-CA5D7DB1C58B}"/>
    <cellStyle name="Normal GHG Numbers (0.00) 3 3 4 2 11" xfId="6025" xr:uid="{490A8BE4-2E7E-4645-ACC4-6E6490F8BEA5}"/>
    <cellStyle name="Normal GHG Numbers (0.00) 3 3 4 2 12" xfId="6384" xr:uid="{3C28A601-6C72-47ED-B0FE-1E12D5A368EE}"/>
    <cellStyle name="Normal GHG Numbers (0.00) 3 3 4 2 13" xfId="6722" xr:uid="{5BB62BE0-A894-40E5-814B-4F9BD3D769D2}"/>
    <cellStyle name="Normal GHG Numbers (0.00) 3 3 4 2 14" xfId="7603" xr:uid="{81D243F4-26E2-473F-8DB9-98B35A87B844}"/>
    <cellStyle name="Normal GHG Numbers (0.00) 3 3 4 2 15" xfId="8067" xr:uid="{D7140230-1B86-42EA-8DD4-10290736740B}"/>
    <cellStyle name="Normal GHG Numbers (0.00) 3 3 4 2 16" xfId="8676" xr:uid="{08B94F5F-7535-465C-B51A-CDDDFCD75344}"/>
    <cellStyle name="Normal GHG Numbers (0.00) 3 3 4 2 17" xfId="8935" xr:uid="{A950B442-10AF-4459-A01C-AB8AF4476B6C}"/>
    <cellStyle name="Normal GHG Numbers (0.00) 3 3 4 2 18" xfId="9817" xr:uid="{4561FA31-5B00-4D4C-B8F4-F6DE060003CA}"/>
    <cellStyle name="Normal GHG Numbers (0.00) 3 3 4 2 19" xfId="10286" xr:uid="{7FDB9E7E-4348-4E32-AFE0-E52F719FD90A}"/>
    <cellStyle name="Normal GHG Numbers (0.00) 3 3 4 2 2" xfId="1357" xr:uid="{CD853A30-08BF-476A-A06B-7CC507ED0304}"/>
    <cellStyle name="Normal GHG Numbers (0.00) 3 3 4 2 20" xfId="10680" xr:uid="{EA2067D0-408B-466D-8915-4DAFAFDA2EDE}"/>
    <cellStyle name="Normal GHG Numbers (0.00) 3 3 4 2 21" xfId="11029" xr:uid="{AD496B2B-6519-4DB8-AC54-3C3CA33C8010}"/>
    <cellStyle name="Normal GHG Numbers (0.00) 3 3 4 2 22" xfId="11339" xr:uid="{7457FABF-7131-4491-8394-C2E30F6782BE}"/>
    <cellStyle name="Normal GHG Numbers (0.00) 3 3 4 2 23" xfId="12236" xr:uid="{2D187912-12BF-4A23-882D-3C12B5D078D6}"/>
    <cellStyle name="Normal GHG Numbers (0.00) 3 3 4 2 24" xfId="12709" xr:uid="{E2040937-C902-4990-B9DB-A7EB19B2F2CF}"/>
    <cellStyle name="Normal GHG Numbers (0.00) 3 3 4 2 25" xfId="13143" xr:uid="{BEFF03DF-15A1-45C8-8FF5-3020CE4A4239}"/>
    <cellStyle name="Normal GHG Numbers (0.00) 3 3 4 2 26" xfId="13580" xr:uid="{476B604E-01BC-479F-A0D5-407C294D2888}"/>
    <cellStyle name="Normal GHG Numbers (0.00) 3 3 4 2 27" xfId="14052" xr:uid="{E38BC23E-EE1C-4414-A657-E9387A23172B}"/>
    <cellStyle name="Normal GHG Numbers (0.00) 3 3 4 2 28" xfId="14499" xr:uid="{8557D5CC-5724-4A39-8E48-78931DEB933E}"/>
    <cellStyle name="Normal GHG Numbers (0.00) 3 3 4 2 29" xfId="14933" xr:uid="{C190B74D-B806-4604-B9FA-C360963C8FCD}"/>
    <cellStyle name="Normal GHG Numbers (0.00) 3 3 4 2 3" xfId="1806" xr:uid="{27AEA2B2-234C-4B73-9725-5A7190BA6595}"/>
    <cellStyle name="Normal GHG Numbers (0.00) 3 3 4 2 30" xfId="15403" xr:uid="{5D540843-73DC-4BCE-9394-EE7FDE38CF5B}"/>
    <cellStyle name="Normal GHG Numbers (0.00) 3 3 4 2 31" xfId="15793" xr:uid="{2C7BB483-6551-4FAD-97CA-4DE07E319EC3}"/>
    <cellStyle name="Normal GHG Numbers (0.00) 3 3 4 2 32" xfId="16015" xr:uid="{735E1E50-9FD2-4BB2-BA6D-C179C4D79D96}"/>
    <cellStyle name="Normal GHG Numbers (0.00) 3 3 4 2 33" xfId="16928" xr:uid="{36F8F148-A72F-4EDC-8154-341B9EB3485C}"/>
    <cellStyle name="Normal GHG Numbers (0.00) 3 3 4 2 34" xfId="17409" xr:uid="{3A6D1877-859E-4E41-A292-A3986A8AF871}"/>
    <cellStyle name="Normal GHG Numbers (0.00) 3 3 4 2 35" xfId="17850" xr:uid="{24B98DD6-A105-41E6-BE24-8FBA60E2F8EA}"/>
    <cellStyle name="Normal GHG Numbers (0.00) 3 3 4 2 36" xfId="18325" xr:uid="{4A37EF6C-3B1A-4555-A382-99A5741123CB}"/>
    <cellStyle name="Normal GHG Numbers (0.00) 3 3 4 2 37" xfId="18746" xr:uid="{F12732F4-9169-4C46-90B4-87AEFFAC657C}"/>
    <cellStyle name="Normal GHG Numbers (0.00) 3 3 4 2 38" xfId="19133" xr:uid="{6DCACAD5-3AC1-45D6-BBEE-26EC2C9FC7B8}"/>
    <cellStyle name="Normal GHG Numbers (0.00) 3 3 4 2 39" xfId="19363" xr:uid="{10618289-7611-4372-81AF-7618D6834391}"/>
    <cellStyle name="Normal GHG Numbers (0.00) 3 3 4 2 4" xfId="2705" xr:uid="{15372994-556A-4246-AE9D-1DA5F4D37499}"/>
    <cellStyle name="Normal GHG Numbers (0.00) 3 3 4 2 40" xfId="20265" xr:uid="{D4B12B07-30A4-4BCA-BADD-21364479B2D5}"/>
    <cellStyle name="Normal GHG Numbers (0.00) 3 3 4 2 41" xfId="20758" xr:uid="{366304CC-D2E6-460C-BA9E-D2CE59D83355}"/>
    <cellStyle name="Normal GHG Numbers (0.00) 3 3 4 2 42" xfId="21217" xr:uid="{00F6EA66-0346-46BB-A4B2-DBCC6A3A3A85}"/>
    <cellStyle name="Normal GHG Numbers (0.00) 3 3 4 2 43" xfId="21709" xr:uid="{1F3BC92B-4C31-4839-9108-B5CEF95710C6}"/>
    <cellStyle name="Normal GHG Numbers (0.00) 3 3 4 2 44" xfId="22148" xr:uid="{622A4DF4-7E9C-4807-85C2-07CDFCB64F6E}"/>
    <cellStyle name="Normal GHG Numbers (0.00) 3 3 4 2 45" xfId="22575" xr:uid="{E28D4E51-F610-4A48-98F0-EA8780E9FA95}"/>
    <cellStyle name="Normal GHG Numbers (0.00) 3 3 4 2 46" xfId="23020" xr:uid="{C92E0449-5E14-49D6-842B-D7F476289E2D}"/>
    <cellStyle name="Normal GHG Numbers (0.00) 3 3 4 2 47" xfId="23422" xr:uid="{B78B7E23-E024-4F87-8525-D9B8D971C520}"/>
    <cellStyle name="Normal GHG Numbers (0.00) 3 3 4 2 48" xfId="23685" xr:uid="{94F4B613-6C40-43A2-9B97-70705A9EDE23}"/>
    <cellStyle name="Normal GHG Numbers (0.00) 3 3 4 2 49" xfId="24065" xr:uid="{4AD5DF17-5D7D-452B-8DF2-77E890A11E58}"/>
    <cellStyle name="Normal GHG Numbers (0.00) 3 3 4 2 5" xfId="3225" xr:uid="{45A08F4B-CE7D-4C0C-A783-8EA6E100522B}"/>
    <cellStyle name="Normal GHG Numbers (0.00) 3 3 4 2 50" xfId="24973" xr:uid="{55145B7E-017A-4A97-9C39-C5C5CE2B46AF}"/>
    <cellStyle name="Normal GHG Numbers (0.00) 3 3 4 2 51" xfId="25461" xr:uid="{65AC3BD4-57CD-4BF4-B959-3920646400F4}"/>
    <cellStyle name="Normal GHG Numbers (0.00) 3 3 4 2 52" xfId="25889" xr:uid="{DD45B45C-3F77-4601-8571-68D7ACB69468}"/>
    <cellStyle name="Normal GHG Numbers (0.00) 3 3 4 2 53" xfId="26327" xr:uid="{715D3EFA-98F3-4132-8A60-739C93A126B0}"/>
    <cellStyle name="Normal GHG Numbers (0.00) 3 3 4 2 54" xfId="26756" xr:uid="{A6C9E2DF-CCB9-4446-9738-2E89D4327941}"/>
    <cellStyle name="Normal GHG Numbers (0.00) 3 3 4 2 55" xfId="27177" xr:uid="{3E19C87D-09FF-439A-9707-B191412E3C0E}"/>
    <cellStyle name="Normal GHG Numbers (0.00) 3 3 4 2 56" xfId="27596" xr:uid="{891FE23D-9F20-409C-8446-8B157D2710CF}"/>
    <cellStyle name="Normal GHG Numbers (0.00) 3 3 4 2 57" xfId="27834" xr:uid="{D589E3A5-7C54-493C-AFDD-37DC66BA3C40}"/>
    <cellStyle name="Normal GHG Numbers (0.00) 3 3 4 2 58" xfId="28723" xr:uid="{30F94EA5-9808-4085-A0DA-64A1E63EB230}"/>
    <cellStyle name="Normal GHG Numbers (0.00) 3 3 4 2 59" xfId="29190" xr:uid="{C0C36A4D-F759-432C-8043-9B21FF1F62C0}"/>
    <cellStyle name="Normal GHG Numbers (0.00) 3 3 4 2 6" xfId="3780" xr:uid="{2D433152-B798-49E6-B482-8B24C6D2CD46}"/>
    <cellStyle name="Normal GHG Numbers (0.00) 3 3 4 2 60" xfId="29572" xr:uid="{B3A45C22-DF70-46BD-85A7-506D7A58CF8F}"/>
    <cellStyle name="Normal GHG Numbers (0.00) 3 3 4 2 61" xfId="29979" xr:uid="{3FBA998E-E4A2-41CF-B150-5E0752413566}"/>
    <cellStyle name="Normal GHG Numbers (0.00) 3 3 4 2 62" xfId="30385" xr:uid="{1651DE2E-CCF4-4158-BCF4-B6E37F545B2F}"/>
    <cellStyle name="Normal GHG Numbers (0.00) 3 3 4 2 63" xfId="30802" xr:uid="{32D765AD-61D3-41CB-96F3-6442458DFD27}"/>
    <cellStyle name="Normal GHG Numbers (0.00) 3 3 4 2 64" xfId="31047" xr:uid="{62E7BB8E-8A76-4C33-971A-61324220070D}"/>
    <cellStyle name="Normal GHG Numbers (0.00) 3 3 4 2 65" xfId="31418" xr:uid="{FFA0792D-E3C6-4EC2-A1F2-0BA7DAE564B5}"/>
    <cellStyle name="Normal GHG Numbers (0.00) 3 3 4 2 7" xfId="4201" xr:uid="{A9FBF443-95DB-4CC3-B65D-536FE9345DD2}"/>
    <cellStyle name="Normal GHG Numbers (0.00) 3 3 4 2 8" xfId="4638" xr:uid="{1D01D2F7-71F1-43C6-81C0-674EE89F02C5}"/>
    <cellStyle name="Normal GHG Numbers (0.00) 3 3 4 2 9" xfId="5084" xr:uid="{A46FA631-FE0F-426B-80BE-7C8FE4B80643}"/>
    <cellStyle name="Normal GHG Numbers (0.00) 3 3 4 20" xfId="10129" xr:uid="{084E69C6-7E01-47E0-81BF-3627A9BFE63F}"/>
    <cellStyle name="Normal GHG Numbers (0.00) 3 3 4 21" xfId="10539" xr:uid="{7870A25C-CBA1-49CF-8FA0-F640843B0819}"/>
    <cellStyle name="Normal GHG Numbers (0.00) 3 3 4 22" xfId="9864" xr:uid="{82B94C7A-4037-47B6-8674-99B8BB39EC1E}"/>
    <cellStyle name="Normal GHG Numbers (0.00) 3 3 4 23" xfId="11094" xr:uid="{63BED86F-D3EC-49EF-AD3A-714EBF3C04C1}"/>
    <cellStyle name="Normal GHG Numbers (0.00) 3 3 4 24" xfId="12021" xr:uid="{6D7394E5-D5FD-4163-9149-D5D9C747264F}"/>
    <cellStyle name="Normal GHG Numbers (0.00) 3 3 4 25" xfId="12494" xr:uid="{0CC04A03-E423-42E4-8173-509317767EC6}"/>
    <cellStyle name="Normal GHG Numbers (0.00) 3 3 4 26" xfId="12928" xr:uid="{E067458E-78C3-4714-B521-19214AB177F3}"/>
    <cellStyle name="Normal GHG Numbers (0.00) 3 3 4 27" xfId="13365" xr:uid="{095142DB-A7ED-40B7-9E69-4E8B2C52B26D}"/>
    <cellStyle name="Normal GHG Numbers (0.00) 3 3 4 28" xfId="11777" xr:uid="{03B0B3E7-3C6C-4E90-9A5D-40E38E6B7E69}"/>
    <cellStyle name="Normal GHG Numbers (0.00) 3 3 4 29" xfId="14256" xr:uid="{93D43DD8-E0D9-4A2D-A7BD-2BC1C9A3B3FC}"/>
    <cellStyle name="Normal GHG Numbers (0.00) 3 3 4 3" xfId="1151" xr:uid="{29441AFF-70DD-4411-B8F5-8B848FD48D34}"/>
    <cellStyle name="Normal GHG Numbers (0.00) 3 3 4 30" xfId="14778" xr:uid="{4E34059C-F7B1-441B-AB1C-D7FE0F0421CB}"/>
    <cellStyle name="Normal GHG Numbers (0.00) 3 3 4 31" xfId="15084" xr:uid="{0DDD49B4-5020-4AE2-97DF-2AD6FE2ED2A9}"/>
    <cellStyle name="Normal GHG Numbers (0.00) 3 3 4 32" xfId="15573" xr:uid="{5BF2E831-2CA3-4264-8338-BAE9AEE180A0}"/>
    <cellStyle name="Normal GHG Numbers (0.00) 3 3 4 33" xfId="15923" xr:uid="{D7195EED-8313-4D56-AC3E-4758B29A1E5A}"/>
    <cellStyle name="Normal GHG Numbers (0.00) 3 3 4 34" xfId="16713" xr:uid="{AD827DF5-050F-4C99-9A6E-F37A95DD64D4}"/>
    <cellStyle name="Normal GHG Numbers (0.00) 3 3 4 35" xfId="17248" xr:uid="{DA5D081A-51C9-4EDB-9E40-553A57613EBA}"/>
    <cellStyle name="Normal GHG Numbers (0.00) 3 3 4 36" xfId="17692" xr:uid="{F75403C4-C4B3-4582-9477-FA9689C73C30}"/>
    <cellStyle name="Normal GHG Numbers (0.00) 3 3 4 37" xfId="18013" xr:uid="{DAB131DB-62D2-47D6-B353-534FC0B96CEA}"/>
    <cellStyle name="Normal GHG Numbers (0.00) 3 3 4 38" xfId="18531" xr:uid="{E333BC98-847A-4B96-939A-E1BFBC3A7E81}"/>
    <cellStyle name="Normal GHG Numbers (0.00) 3 3 4 39" xfId="18169" xr:uid="{0B377C93-D7D6-4909-BB28-9823E1660C1F}"/>
    <cellStyle name="Normal GHG Numbers (0.00) 3 3 4 4" xfId="1632" xr:uid="{523057F4-98A6-406C-BF38-69AEC5F61F71}"/>
    <cellStyle name="Normal GHG Numbers (0.00) 3 3 4 40" xfId="18913" xr:uid="{40AF4597-8376-4FD4-9EDF-25CB1030C2EE}"/>
    <cellStyle name="Normal GHG Numbers (0.00) 3 3 4 41" xfId="20050" xr:uid="{4701C600-E10A-4536-B558-163FCCD665D3}"/>
    <cellStyle name="Normal GHG Numbers (0.00) 3 3 4 42" xfId="20598" xr:uid="{5A2392F5-8E03-4D29-93C2-97533F126FAD}"/>
    <cellStyle name="Normal GHG Numbers (0.00) 3 3 4 43" xfId="21053" xr:uid="{0E3A9640-B8BC-4F89-9873-7E1400D5824D}"/>
    <cellStyle name="Normal GHG Numbers (0.00) 3 3 4 44" xfId="19806" xr:uid="{9F752C6B-BC96-4797-81AD-790BA51C37BB}"/>
    <cellStyle name="Normal GHG Numbers (0.00) 3 3 4 45" xfId="21984" xr:uid="{FEA2FB50-E836-4584-9951-C192AA55A71D}"/>
    <cellStyle name="Normal GHG Numbers (0.00) 3 3 4 46" xfId="22415" xr:uid="{A4DE4035-A1CE-46CD-AD91-1812B3828C84}"/>
    <cellStyle name="Normal GHG Numbers (0.00) 3 3 4 47" xfId="22313" xr:uid="{6836BB3D-8FDB-414C-8D81-594634A967A7}"/>
    <cellStyle name="Normal GHG Numbers (0.00) 3 3 4 48" xfId="22646" xr:uid="{EF05845E-FE9A-401C-9734-A7A08D6B52E0}"/>
    <cellStyle name="Normal GHG Numbers (0.00) 3 3 4 49" xfId="23373" xr:uid="{570E49F0-DEAC-45CB-99E9-8448DB559C01}"/>
    <cellStyle name="Normal GHG Numbers (0.00) 3 3 4 5" xfId="2490" xr:uid="{E710D856-CF65-4107-8943-06DEEBF2810D}"/>
    <cellStyle name="Normal GHG Numbers (0.00) 3 3 4 50" xfId="23859" xr:uid="{22B0064A-B07A-41AB-9DCF-B35475ADD009}"/>
    <cellStyle name="Normal GHG Numbers (0.00) 3 3 4 51" xfId="24758" xr:uid="{94A0D5B3-5EB0-441A-905E-9ECB910C71F1}"/>
    <cellStyle name="Normal GHG Numbers (0.00) 3 3 4 52" xfId="25307" xr:uid="{EBA45CB3-7025-40A5-B5F6-E5B0900556A1}"/>
    <cellStyle name="Normal GHG Numbers (0.00) 3 3 4 53" xfId="25676" xr:uid="{84F4F2C0-DC87-4E44-9691-B69823D5C782}"/>
    <cellStyle name="Normal GHG Numbers (0.00) 3 3 4 54" xfId="25079" xr:uid="{571F8526-82C0-45F0-9C20-CAE60CAD6007}"/>
    <cellStyle name="Normal GHG Numbers (0.00) 3 3 4 55" xfId="26718" xr:uid="{F28009EB-9D3A-4F1B-8DD3-1E551902D836}"/>
    <cellStyle name="Normal GHG Numbers (0.00) 3 3 4 56" xfId="26966" xr:uid="{D5898F1D-8680-45E4-9510-7972F50B7930}"/>
    <cellStyle name="Normal GHG Numbers (0.00) 3 3 4 57" xfId="27385" xr:uid="{45730DD6-473A-4F93-AD1A-BDF12BC73D4D}"/>
    <cellStyle name="Normal GHG Numbers (0.00) 3 3 4 58" xfId="27654" xr:uid="{0C6FBFC7-EFCC-4418-93A4-092079F39C6A}"/>
    <cellStyle name="Normal GHG Numbers (0.00) 3 3 4 59" xfId="28508" xr:uid="{4AA666DC-3FD6-463C-B711-37760AE5597B}"/>
    <cellStyle name="Normal GHG Numbers (0.00) 3 3 4 6" xfId="1870" xr:uid="{50E1F344-9034-4F00-9F4C-645001AA3356}"/>
    <cellStyle name="Normal GHG Numbers (0.00) 3 3 4 60" xfId="28976" xr:uid="{D3A82B15-483A-4D8C-B672-9F4A9302BF8A}"/>
    <cellStyle name="Normal GHG Numbers (0.00) 3 3 4 61" xfId="29429" xr:uid="{C5767346-7DCA-411B-BC4D-E188ACA00772}"/>
    <cellStyle name="Normal GHG Numbers (0.00) 3 3 4 62" xfId="29766" xr:uid="{E91812BF-65B4-4B04-AFB5-9C2C4CB59EDC}"/>
    <cellStyle name="Normal GHG Numbers (0.00) 3 3 4 63" xfId="30174" xr:uid="{554565AB-3796-4758-A95C-2199D82D209A}"/>
    <cellStyle name="Normal GHG Numbers (0.00) 3 3 4 64" xfId="30588" xr:uid="{94A63166-C4FA-4677-A0F8-F4811F17DF76}"/>
    <cellStyle name="Normal GHG Numbers (0.00) 3 3 4 65" xfId="30945" xr:uid="{AC80F4A0-40D3-495D-BABF-FE4BEF0EBA44}"/>
    <cellStyle name="Normal GHG Numbers (0.00) 3 3 4 66" xfId="31212" xr:uid="{374A8A8D-5E8D-475F-9718-6E6BF653556E}"/>
    <cellStyle name="Normal GHG Numbers (0.00) 3 3 4 7" xfId="3390" xr:uid="{41CB899D-975E-4FB8-A742-3CE163EAFFAF}"/>
    <cellStyle name="Normal GHG Numbers (0.00) 3 3 4 8" xfId="3986" xr:uid="{026FB0DD-0FF0-49D5-9154-18495CC399F7}"/>
    <cellStyle name="Normal GHG Numbers (0.00) 3 3 4 9" xfId="4424" xr:uid="{444629B4-F92C-45C2-8932-445643E975FD}"/>
    <cellStyle name="Normal GHG Numbers (0.00) 3 3 40" xfId="16069" xr:uid="{E6E4112D-C07E-423A-BDE2-5AEDA57AA638}"/>
    <cellStyle name="Normal GHG Numbers (0.00) 3 3 41" xfId="17678" xr:uid="{54DED6D8-B255-460A-BB45-04803C484F2B}"/>
    <cellStyle name="Normal GHG Numbers (0.00) 3 3 42" xfId="18263" xr:uid="{7993E989-CE55-47C8-B261-DCE518947190}"/>
    <cellStyle name="Normal GHG Numbers (0.00) 3 3 43" xfId="19744" xr:uid="{7667109C-9413-49DC-9405-69F03C880F79}"/>
    <cellStyle name="Normal GHG Numbers (0.00) 3 3 44" xfId="20603" xr:uid="{61BF1C08-D597-4DAC-84B9-551042292DA9}"/>
    <cellStyle name="Normal GHG Numbers (0.00) 3 3 45" xfId="21058" xr:uid="{1D2E7A22-FBFA-4280-B289-754BF05259BA}"/>
    <cellStyle name="Normal GHG Numbers (0.00) 3 3 46" xfId="20333" xr:uid="{0893CC60-ED2F-470C-9CB8-E8AD05106959}"/>
    <cellStyle name="Normal GHG Numbers (0.00) 3 3 47" xfId="21989" xr:uid="{E933DD4F-6561-4137-911C-000ECE62E8AA}"/>
    <cellStyle name="Normal GHG Numbers (0.00) 3 3 48" xfId="22420" xr:uid="{4A9A6B65-CB92-4A3C-955E-62F0F5E46EE9}"/>
    <cellStyle name="Normal GHG Numbers (0.00) 3 3 49" xfId="22188" xr:uid="{752B84AF-2150-42FE-9C29-F4F41DF423E2}"/>
    <cellStyle name="Normal GHG Numbers (0.00) 3 3 5" xfId="975" xr:uid="{E1D2854C-D28C-4246-B5AE-65EB7923ED1E}"/>
    <cellStyle name="Normal GHG Numbers (0.00) 3 3 50" xfId="21261" xr:uid="{E3F55C80-CC24-4E1F-91A0-A92F4A570FAE}"/>
    <cellStyle name="Normal GHG Numbers (0.00) 3 3 51" xfId="21444" xr:uid="{47156A77-0E7C-4AA9-909C-54C1FDF79EAB}"/>
    <cellStyle name="Normal GHG Numbers (0.00) 3 3 52" xfId="23104" xr:uid="{C027D084-8B28-49FD-9849-8810A4068538}"/>
    <cellStyle name="Normal GHG Numbers (0.00) 3 3 53" xfId="24458" xr:uid="{DBF539A1-77F9-49E7-9851-7FA8DBABE9DB}"/>
    <cellStyle name="Normal GHG Numbers (0.00) 3 3 54" xfId="25312" xr:uid="{B7A23848-EEFF-42FB-A4B9-90D06D0566A1}"/>
    <cellStyle name="Normal GHG Numbers (0.00) 3 3 55" xfId="25053" xr:uid="{74DC1AE0-8745-4D8C-9ECC-B20425905799}"/>
    <cellStyle name="Normal GHG Numbers (0.00) 3 3 56" xfId="24310" xr:uid="{1A938D36-0934-4682-9D54-06120FF8F8C8}"/>
    <cellStyle name="Normal GHG Numbers (0.00) 3 3 57" xfId="26376" xr:uid="{7504046A-85AF-44D2-9426-926EAF327E5A}"/>
    <cellStyle name="Normal GHG Numbers (0.00) 3 3 58" xfId="26645" xr:uid="{FB13AF6F-E0F7-46B1-B2F6-7F20B77DA563}"/>
    <cellStyle name="Normal GHG Numbers (0.00) 3 3 59" xfId="26220" xr:uid="{26D9C074-1786-4B99-B16A-6692F85FB9F5}"/>
    <cellStyle name="Normal GHG Numbers (0.00) 3 3 6" xfId="1550" xr:uid="{212A9F19-F1C5-45E2-B323-9940EB0B52E3}"/>
    <cellStyle name="Normal GHG Numbers (0.00) 3 3 60" xfId="26968" xr:uid="{DF249B90-F39E-4C00-82C7-6FCF436EA80F}"/>
    <cellStyle name="Normal GHG Numbers (0.00) 3 3 61" xfId="28223" xr:uid="{EEE6D38E-2AA8-4DC5-A828-4054C19ED646}"/>
    <cellStyle name="Normal GHG Numbers (0.00) 3 3 62" xfId="28092" xr:uid="{B1456883-2092-4B22-B790-5E0C7516508B}"/>
    <cellStyle name="Normal GHG Numbers (0.00) 3 3 63" xfId="29434" xr:uid="{F20DF4A8-A99F-4249-AC4F-0FDCDDD4BA58}"/>
    <cellStyle name="Normal GHG Numbers (0.00) 3 3 64" xfId="29289" xr:uid="{024A2DCF-0C76-471F-8CC6-A76E4A0A3EDB}"/>
    <cellStyle name="Normal GHG Numbers (0.00) 3 3 65" xfId="29286" xr:uid="{8E571721-3F5C-4AC5-98DD-834DFC37A8DA}"/>
    <cellStyle name="Normal GHG Numbers (0.00) 3 3 66" xfId="29251" xr:uid="{45D40B24-F2BB-484A-BD21-88A2C1D5B06B}"/>
    <cellStyle name="Normal GHG Numbers (0.00) 3 3 67" xfId="31023" xr:uid="{567D5A29-DCE4-4892-BF07-929EDB549E61}"/>
    <cellStyle name="Normal GHG Numbers (0.00) 3 3 68" xfId="30590" xr:uid="{D42C08A7-D974-456F-8EDB-483AC4F3D5EF}"/>
    <cellStyle name="Normal GHG Numbers (0.00) 3 3 7" xfId="2183" xr:uid="{D2BD9787-167C-4723-A75E-F2D0FA9FA842}"/>
    <cellStyle name="Normal GHG Numbers (0.00) 3 3 8" xfId="2185" xr:uid="{52E7D358-1FE3-4E07-B35E-962C3AABC186}"/>
    <cellStyle name="Normal GHG Numbers (0.00) 3 3 9" xfId="3295" xr:uid="{E01398B4-1E30-46DC-834E-57A51A28C6C3}"/>
    <cellStyle name="Normal GHG Numbers (0.00) 3 4" xfId="162" xr:uid="{91D64C57-5648-4472-8C1F-7E6361F79229}"/>
    <cellStyle name="Normal GHG Numbers (0.00) 3 4 10" xfId="16213" xr:uid="{BBD8C411-B65D-4E3A-AD49-F747CB70B9B0}"/>
    <cellStyle name="Normal GHG Numbers (0.00) 3 4 11" xfId="17945" xr:uid="{BF1B1E43-B5C8-4C6D-9AFC-DBB260485E69}"/>
    <cellStyle name="Normal GHG Numbers (0.00) 3 4 12" xfId="19546" xr:uid="{11BDAE13-5FC6-478C-903F-BD3C51726C61}"/>
    <cellStyle name="Normal GHG Numbers (0.00) 3 4 13" xfId="22015" xr:uid="{FDCD2E7E-3D53-4A5F-B035-8628964B0B09}"/>
    <cellStyle name="Normal GHG Numbers (0.00) 3 4 14" xfId="24267" xr:uid="{FBBEA9A8-A9F7-4965-A54A-9B04C5835103}"/>
    <cellStyle name="Normal GHG Numbers (0.00) 3 4 15" xfId="26695" xr:uid="{B36E2B72-E8D7-4F29-8DF6-E7859B99610C}"/>
    <cellStyle name="Normal GHG Numbers (0.00) 3 4 16" xfId="28050" xr:uid="{A40A718B-864E-4BA9-8999-E59044424338}"/>
    <cellStyle name="Normal GHG Numbers (0.00) 3 4 2" xfId="926" xr:uid="{27423DC1-FEFA-4EC5-ABC9-A98BC80DBABA}"/>
    <cellStyle name="Normal GHG Numbers (0.00) 3 4 3" xfId="1989" xr:uid="{1DD3BE6A-5F9B-4D0F-BFA9-D6D34320B29B}"/>
    <cellStyle name="Normal GHG Numbers (0.00) 3 4 4" xfId="2293" xr:uid="{48307AE3-F3D7-4FBC-999F-532C90C226B2}"/>
    <cellStyle name="Normal GHG Numbers (0.00) 3 4 5" xfId="4215" xr:uid="{560D9D14-152B-4862-9A15-2A44303AD163}"/>
    <cellStyle name="Normal GHG Numbers (0.00) 3 4 6" xfId="6897" xr:uid="{11FA9C9A-86A1-4D5E-A62C-48E19794A0AB}"/>
    <cellStyle name="Normal GHG Numbers (0.00) 3 4 7" xfId="8639" xr:uid="{B38C6029-60B4-4541-871E-8BCD2BCDC664}"/>
    <cellStyle name="Normal GHG Numbers (0.00) 3 4 8" xfId="9110" xr:uid="{BE0FE79F-39AF-467C-AA0A-9F4502EBB886}"/>
    <cellStyle name="Normal GHG Numbers (0.00) 3 4 9" xfId="11520" xr:uid="{72EDD845-5684-41F2-BF90-011B38FF2BA1}"/>
    <cellStyle name="Normal GHG Textfiels Bold" xfId="6" xr:uid="{2DD89B51-F83B-4458-B013-93E0FCEF1FFD}"/>
    <cellStyle name="Normal GHG Textfiels Bold 2" xfId="163" xr:uid="{25AB7107-0E4D-4B9B-9D2E-16F8318EF002}"/>
    <cellStyle name="Normal GHG Textfiels Bold 3" xfId="164" xr:uid="{AA483985-C91E-4B20-BFE4-8708BB917FAE}"/>
    <cellStyle name="Normal GHG Textfiels Bold 3 2" xfId="431" xr:uid="{CCE444D3-14B9-44CD-9B51-40D7B1965B60}"/>
    <cellStyle name="Normal GHG Textfiels Bold 3 2 2" xfId="523" xr:uid="{C457EAD8-7BEE-46F3-973D-5CA588F48D16}"/>
    <cellStyle name="Normal GHG Textfiels Bold 3 2 2 10" xfId="4732" xr:uid="{ABE50B87-974F-4C0C-9A09-2B4B9C17CEC9}"/>
    <cellStyle name="Normal GHG Textfiels Bold 3 2 2 11" xfId="5171" xr:uid="{28ACDC29-96A4-4A86-BBE7-2CEDF7D8BBCF}"/>
    <cellStyle name="Normal GHG Textfiels Bold 3 2 2 12" xfId="5599" xr:uid="{3B5FF10C-4037-4D8D-A2CC-8F2643BF5D1A}"/>
    <cellStyle name="Normal GHG Textfiels Bold 3 2 2 13" xfId="6327" xr:uid="{6D394492-64B7-47A3-9B5C-44AD8B19BA06}"/>
    <cellStyle name="Normal GHG Textfiels Bold 3 2 2 14" xfId="6083" xr:uid="{C0A30343-67BF-4585-9CAD-0F34ED380BBD}"/>
    <cellStyle name="Normal GHG Textfiels Bold 3 2 2 15" xfId="7243" xr:uid="{63BB2693-2CE0-4C78-9DCB-A0DDA6AA6C0F}"/>
    <cellStyle name="Normal GHG Textfiels Bold 3 2 2 16" xfId="7729" xr:uid="{807D18AC-F1C9-4ADF-BCC5-9832339B8D08}"/>
    <cellStyle name="Normal GHG Textfiels Bold 3 2 2 17" xfId="7887" xr:uid="{347B6CCF-A2BB-476D-8D41-2286206843E6}"/>
    <cellStyle name="Normal GHG Textfiels Bold 3 2 2 18" xfId="6886" xr:uid="{D174F1F0-F2ED-40F3-882F-988E47A96D4D}"/>
    <cellStyle name="Normal GHG Textfiels Bold 3 2 2 19" xfId="9457" xr:uid="{E3917D84-8070-436D-A44B-35C17B715FE2}"/>
    <cellStyle name="Normal GHG Textfiels Bold 3 2 2 2" xfId="738" xr:uid="{37308279-2DB3-48FA-9C2B-B0A1F708CFB6}"/>
    <cellStyle name="Normal GHG Textfiels Bold 3 2 2 2 10" xfId="5386" xr:uid="{11554E89-20ED-47F2-BE2C-36EC27B1C562}"/>
    <cellStyle name="Normal GHG Textfiels Bold 3 2 2 2 11" xfId="5595" xr:uid="{72E62CA9-87DE-43CF-88E7-C8C9FA16182D}"/>
    <cellStyle name="Normal GHG Textfiels Bold 3 2 2 2 12" xfId="6290" xr:uid="{D8321959-923D-44CB-8822-02FD6E023629}"/>
    <cellStyle name="Normal GHG Textfiels Bold 3 2 2 2 13" xfId="6431" xr:uid="{9A0DBDC2-847E-40BB-B338-76BD58B72292}"/>
    <cellStyle name="Normal GHG Textfiels Bold 3 2 2 2 14" xfId="7458" xr:uid="{4C96500C-B932-4B5B-A820-4C7BBE87DF20}"/>
    <cellStyle name="Normal GHG Textfiels Bold 3 2 2 2 15" xfId="6989" xr:uid="{4FC149EC-AF09-488E-9B91-36BEF8D4976A}"/>
    <cellStyle name="Normal GHG Textfiels Bold 3 2 2 2 16" xfId="8607" xr:uid="{C5A1D392-F973-41E3-82A4-27A38F502498}"/>
    <cellStyle name="Normal GHG Textfiels Bold 3 2 2 2 17" xfId="8828" xr:uid="{13364952-6E31-443F-B676-4143593F8AA0}"/>
    <cellStyle name="Normal GHG Textfiels Bold 3 2 2 2 18" xfId="9672" xr:uid="{6C037E81-15D5-4CEB-B830-27F69D58D6FC}"/>
    <cellStyle name="Normal GHG Textfiels Bold 3 2 2 2 19" xfId="9051" xr:uid="{55459CB4-E401-485C-A574-72F459DC03AC}"/>
    <cellStyle name="Normal GHG Textfiels Bold 3 2 2 2 2" xfId="1212" xr:uid="{09637219-51E4-4F49-83E9-9AC94A78D8F5}"/>
    <cellStyle name="Normal GHG Textfiels Bold 3 2 2 2 20" xfId="9962" xr:uid="{1683C6E9-F6FE-4A7B-8153-3D1967689348}"/>
    <cellStyle name="Normal GHG Textfiels Bold 3 2 2 2 21" xfId="10941" xr:uid="{408483B8-A005-4FD0-9D2D-996D280107FF}"/>
    <cellStyle name="Normal GHG Textfiels Bold 3 2 2 2 22" xfId="10923" xr:uid="{B7C3CE98-9087-4BB9-A143-E9625FAB9689}"/>
    <cellStyle name="Normal GHG Textfiels Bold 3 2 2 2 23" xfId="12091" xr:uid="{9599E267-661D-4C82-9F9E-E35CF6C3A209}"/>
    <cellStyle name="Normal GHG Textfiels Bold 3 2 2 2 24" xfId="12564" xr:uid="{0BCDA279-5CAE-45BE-A0A9-8A328F9EF66F}"/>
    <cellStyle name="Normal GHG Textfiels Bold 3 2 2 2 25" xfId="12998" xr:uid="{5D9361EC-A22E-4DEE-9677-E7080F9175F8}"/>
    <cellStyle name="Normal GHG Textfiels Bold 3 2 2 2 26" xfId="13435" xr:uid="{FC9DF909-14B4-48F2-8B73-D4714EC0594C}"/>
    <cellStyle name="Normal GHG Textfiels Bold 3 2 2 2 27" xfId="13959" xr:uid="{52F77203-3B8A-44AC-A626-170C113B8486}"/>
    <cellStyle name="Normal GHG Textfiels Bold 3 2 2 2 28" xfId="13870" xr:uid="{4EE13042-BDA8-4680-9982-B7D92643F937}"/>
    <cellStyle name="Normal GHG Textfiels Bold 3 2 2 2 29" xfId="13983" xr:uid="{B5D4D679-DD7F-44E0-AA8C-777548AF1BB1}"/>
    <cellStyle name="Normal GHG Textfiels Bold 3 2 2 2 3" xfId="1488" xr:uid="{18E393D6-2662-4D65-927D-2DC3A1CF65DF}"/>
    <cellStyle name="Normal GHG Textfiels Bold 3 2 2 2 30" xfId="14516" xr:uid="{DF86A706-62DE-49D5-9D37-7CFB348399AF}"/>
    <cellStyle name="Normal GHG Textfiels Bold 3 2 2 2 31" xfId="14418" xr:uid="{6396F668-8B01-4415-8701-34E8E0E63E84}"/>
    <cellStyle name="Normal GHG Textfiels Bold 3 2 2 2 32" xfId="15054" xr:uid="{84CFDFA6-58B5-4648-B61E-1E14A1EC615F}"/>
    <cellStyle name="Normal GHG Textfiels Bold 3 2 2 2 33" xfId="16783" xr:uid="{6E54D36D-A8B6-4ED4-ACE5-09577EA29630}"/>
    <cellStyle name="Normal GHG Textfiels Bold 3 2 2 2 34" xfId="16310" xr:uid="{95B950AA-D7A7-4B07-AEB2-71E957929D80}"/>
    <cellStyle name="Normal GHG Textfiels Bold 3 2 2 2 35" xfId="16209" xr:uid="{836A6E95-9B5C-412A-9CA8-6CC70492E5BF}"/>
    <cellStyle name="Normal GHG Textfiels Bold 3 2 2 2 36" xfId="18042" xr:uid="{19323BC2-CFA0-4F07-983D-8156D9427847}"/>
    <cellStyle name="Normal GHG Textfiels Bold 3 2 2 2 37" xfId="18601" xr:uid="{94802822-4DAD-4D15-970B-BFBBD827A344}"/>
    <cellStyle name="Normal GHG Textfiels Bold 3 2 2 2 38" xfId="18892" xr:uid="{74AF256B-A03F-4FD1-B6FE-A299BEE9E236}"/>
    <cellStyle name="Normal GHG Textfiels Bold 3 2 2 2 39" xfId="19268" xr:uid="{214D5914-2CF5-47C4-A93D-41EE5A88CCC8}"/>
    <cellStyle name="Normal GHG Textfiels Bold 3 2 2 2 4" xfId="2560" xr:uid="{7FE84F4C-416C-4913-B0AC-2D5FBC23FD59}"/>
    <cellStyle name="Normal GHG Textfiels Bold 3 2 2 2 40" xfId="20120" xr:uid="{2E4CB904-3D31-4642-A3E0-AD059647FC66}"/>
    <cellStyle name="Normal GHG Textfiels Bold 3 2 2 2 41" xfId="19640" xr:uid="{90E97FD5-A021-40AB-B375-79954C568CC6}"/>
    <cellStyle name="Normal GHG Textfiels Bold 3 2 2 2 42" xfId="19476" xr:uid="{8C066024-D59C-42D2-9EB7-DE84E6012D2C}"/>
    <cellStyle name="Normal GHG Textfiels Bold 3 2 2 2 43" xfId="21500" xr:uid="{957D6C46-51D0-4057-9458-7D68AE3D948C}"/>
    <cellStyle name="Normal GHG Textfiels Bold 3 2 2 2 44" xfId="21318" xr:uid="{9EBBB4AA-8785-44E5-ABF7-FE1DC67860D6}"/>
    <cellStyle name="Normal GHG Textfiels Bold 3 2 2 2 45" xfId="22051" xr:uid="{D009CC3C-5AEA-48D9-BF1D-1F8697BC4A55}"/>
    <cellStyle name="Normal GHG Textfiels Bold 3 2 2 2 46" xfId="22932" xr:uid="{0BEF93A3-57D5-4128-AAB5-20A49557A4B0}"/>
    <cellStyle name="Normal GHG Textfiels Bold 3 2 2 2 47" xfId="23168" xr:uid="{EC79097A-C3EF-4266-9A7A-A2C5D59A308F}"/>
    <cellStyle name="Normal GHG Textfiels Bold 3 2 2 2 48" xfId="23502" xr:uid="{265C0E8E-2D9D-4218-AF12-3A0E359A8709}"/>
    <cellStyle name="Normal GHG Textfiels Bold 3 2 2 2 49" xfId="23920" xr:uid="{29E1FB4B-45FE-49FA-9479-D14BE5F500A0}"/>
    <cellStyle name="Normal GHG Textfiels Bold 3 2 2 2 5" xfId="3128" xr:uid="{25C7E3F9-811C-4CAC-91E6-2F179682001F}"/>
    <cellStyle name="Normal GHG Textfiels Bold 3 2 2 2 50" xfId="24828" xr:uid="{9DE426D3-0E4B-49C4-8E74-0000AB9AE72B}"/>
    <cellStyle name="Normal GHG Textfiels Bold 3 2 2 2 51" xfId="24495" xr:uid="{D6D0291F-EFD2-4798-8BDC-B25616EFC061}"/>
    <cellStyle name="Normal GHG Textfiels Bold 3 2 2 2 52" xfId="25744" xr:uid="{3AE48EA0-C5D0-4DFA-BB25-EBD50BF06A68}"/>
    <cellStyle name="Normal GHG Textfiels Bold 3 2 2 2 53" xfId="26238" xr:uid="{16572C9D-2844-443A-91F2-CC9F5451968C}"/>
    <cellStyle name="Normal GHG Textfiels Bold 3 2 2 2 54" xfId="25200" xr:uid="{96B8B8AD-895E-4F43-A08C-6B37E9A4B281}"/>
    <cellStyle name="Normal GHG Textfiels Bold 3 2 2 2 55" xfId="27032" xr:uid="{16FEEF36-4864-4376-ABBB-90844DC79BEB}"/>
    <cellStyle name="Normal GHG Textfiels Bold 3 2 2 2 56" xfId="27451" xr:uid="{4807EDAE-DC39-42A6-ABB1-8C45A9877867}"/>
    <cellStyle name="Normal GHG Textfiels Bold 3 2 2 2 57" xfId="26658" xr:uid="{E2FBEE6F-BC1D-4D55-B26F-0878CFF82166}"/>
    <cellStyle name="Normal GHG Textfiels Bold 3 2 2 2 58" xfId="28578" xr:uid="{6993BE13-80C9-499F-B246-B547450AFFEC}"/>
    <cellStyle name="Normal GHG Textfiels Bold 3 2 2 2 59" xfId="29045" xr:uid="{82D8E78D-C880-447E-8144-7AE93ED095AD}"/>
    <cellStyle name="Normal GHG Textfiels Bold 3 2 2 2 6" xfId="3700" xr:uid="{B1C7ACAB-5D42-4F24-A117-C23B9877AB55}"/>
    <cellStyle name="Normal GHG Textfiels Bold 3 2 2 2 60" xfId="28281" xr:uid="{5256464E-38AE-403E-99A2-54228D98B07D}"/>
    <cellStyle name="Normal GHG Textfiels Bold 3 2 2 2 61" xfId="29834" xr:uid="{50D67928-5D0C-4F53-89DE-F664059E2A9E}"/>
    <cellStyle name="Normal GHG Textfiels Bold 3 2 2 2 62" xfId="30240" xr:uid="{F857524F-D75C-4B5B-96EA-3F540030E172}"/>
    <cellStyle name="Normal GHG Textfiels Bold 3 2 2 2 63" xfId="30657" xr:uid="{AF660534-9EE1-4426-B022-CD3D9C4C5ADD}"/>
    <cellStyle name="Normal GHG Textfiels Bold 3 2 2 2 64" xfId="29282" xr:uid="{FEEA45FE-220E-4234-90BF-0E756718A5AD}"/>
    <cellStyle name="Normal GHG Textfiels Bold 3 2 2 2 65" xfId="31273" xr:uid="{6E65C2CA-DCE1-4F16-AF41-202A4D4E7FB6}"/>
    <cellStyle name="Normal GHG Textfiels Bold 3 2 2 2 7" xfId="4056" xr:uid="{9310F852-3FAC-4506-9F5C-86E0A24191C0}"/>
    <cellStyle name="Normal GHG Textfiels Bold 3 2 2 2 8" xfId="4493" xr:uid="{55237FF4-543E-4AD9-9D78-69F434E384BC}"/>
    <cellStyle name="Normal GHG Textfiels Bold 3 2 2 2 9" xfId="3797" xr:uid="{9BABD3B4-70A0-46E8-9F7E-1151BB0C9941}"/>
    <cellStyle name="Normal GHG Textfiels Bold 3 2 2 20" xfId="9943" xr:uid="{BE789433-000B-42B3-8794-6CF3E8EB2045}"/>
    <cellStyle name="Normal GHG Textfiels Bold 3 2 2 21" xfId="10373" xr:uid="{7E585529-45C6-4CEF-B4E4-790AFEA4A91C}"/>
    <cellStyle name="Normal GHG Textfiels Bold 3 2 2 22" xfId="10548" xr:uid="{1811FF40-CE71-4E9A-A597-67EFE71A66C5}"/>
    <cellStyle name="Normal GHG Textfiels Bold 3 2 2 23" xfId="10886" xr:uid="{9DEEB656-D66B-4BCD-85B9-D5DD846C78F5}"/>
    <cellStyle name="Normal GHG Textfiels Bold 3 2 2 24" xfId="11876" xr:uid="{8AB3B33F-16BC-4F14-9BC3-545D2503C54F}"/>
    <cellStyle name="Normal GHG Textfiels Bold 3 2 2 25" xfId="12349" xr:uid="{059CD625-FC6F-4884-92C4-688E78C08DD5}"/>
    <cellStyle name="Normal GHG Textfiels Bold 3 2 2 26" xfId="12783" xr:uid="{BB949AF1-038C-42D2-A5D7-F6FE8965B181}"/>
    <cellStyle name="Normal GHG Textfiels Bold 3 2 2 27" xfId="13220" xr:uid="{C5C52320-D364-44CA-9DF2-7236FFFC4C31}"/>
    <cellStyle name="Normal GHG Textfiels Bold 3 2 2 28" xfId="13988" xr:uid="{7410812F-1621-4919-918D-A9CE769CC9FF}"/>
    <cellStyle name="Normal GHG Textfiels Bold 3 2 2 29" xfId="14407" xr:uid="{1825A57E-1811-48F2-B5F9-24F118CA5617}"/>
    <cellStyle name="Normal GHG Textfiels Bold 3 2 2 3" xfId="1006" xr:uid="{7157666A-5E53-494E-9906-D10D902FA5A8}"/>
    <cellStyle name="Normal GHG Textfiels Bold 3 2 2 30" xfId="13860" xr:uid="{B6CF9C2C-EE8C-4F2C-B585-770087BC2360}"/>
    <cellStyle name="Normal GHG Textfiels Bold 3 2 2 31" xfId="15143" xr:uid="{55600C2B-64C5-47A8-A87F-64C2BA3F4950}"/>
    <cellStyle name="Normal GHG Textfiels Bold 3 2 2 32" xfId="15337" xr:uid="{C680F2F7-29B8-47FF-A4D9-818BC0279C86}"/>
    <cellStyle name="Normal GHG Textfiels Bold 3 2 2 33" xfId="15823" xr:uid="{282099CA-5012-4069-8216-82B598C4CC12}"/>
    <cellStyle name="Normal GHG Textfiels Bold 3 2 2 34" xfId="16568" xr:uid="{E1CE7547-E803-4B65-B839-577A941BB895}"/>
    <cellStyle name="Normal GHG Textfiels Bold 3 2 2 35" xfId="17057" xr:uid="{EBAEEF61-101C-4128-99F4-3E82BDD892E6}"/>
    <cellStyle name="Normal GHG Textfiels Bold 3 2 2 36" xfId="17503" xr:uid="{1729F9E7-D7D3-46A4-AF2F-540CF0154096}"/>
    <cellStyle name="Normal GHG Textfiels Bold 3 2 2 37" xfId="17753" xr:uid="{7F0C1F8F-C797-4628-9057-3AF8C3D553D3}"/>
    <cellStyle name="Normal GHG Textfiels Bold 3 2 2 38" xfId="18386" xr:uid="{B32D7609-00E8-41EF-96F1-A71FE4AA5D60}"/>
    <cellStyle name="Normal GHG Textfiels Bold 3 2 2 39" xfId="17593" xr:uid="{39A78845-00FA-4108-9E2F-C823CADD1336}"/>
    <cellStyle name="Normal GHG Textfiels Bold 3 2 2 4" xfId="1656" xr:uid="{90BC7461-D289-4DE7-AFFB-A0F25AC6338D}"/>
    <cellStyle name="Normal GHG Textfiels Bold 3 2 2 40" xfId="18958" xr:uid="{924887F1-2489-4221-A966-29016C2B78D0}"/>
    <cellStyle name="Normal GHG Textfiels Bold 3 2 2 41" xfId="19905" xr:uid="{881129CC-3DB9-462C-ABC4-59A98E320560}"/>
    <cellStyle name="Normal GHG Textfiels Bold 3 2 2 42" xfId="20409" xr:uid="{CAC2BA04-256E-4C42-9DDE-B0FEF070E1EA}"/>
    <cellStyle name="Normal GHG Textfiels Bold 3 2 2 43" xfId="20862" xr:uid="{F577B968-0FA0-46FE-91BA-2A749AC41FFB}"/>
    <cellStyle name="Normal GHG Textfiels Bold 3 2 2 44" xfId="21121" xr:uid="{137B316F-0393-4D13-A45F-ECB20B87C500}"/>
    <cellStyle name="Normal GHG Textfiels Bold 3 2 2 45" xfId="21794" xr:uid="{FB6661F2-C136-401F-B51B-B9B29B3406FB}"/>
    <cellStyle name="Normal GHG Textfiels Bold 3 2 2 46" xfId="22231" xr:uid="{E2955E30-EA70-4BCD-A51C-ACA188043C4B}"/>
    <cellStyle name="Normal GHG Textfiels Bold 3 2 2 47" xfId="22960" xr:uid="{71D4B163-EC81-4694-A331-13173DE2066C}"/>
    <cellStyle name="Normal GHG Textfiels Bold 3 2 2 48" xfId="22816" xr:uid="{19D9B363-AB9D-4AF4-B93A-690C3250ECF5}"/>
    <cellStyle name="Normal GHG Textfiels Bold 3 2 2 49" xfId="22635" xr:uid="{97DA17E3-3790-468D-A5FC-73AABFA65E19}"/>
    <cellStyle name="Normal GHG Textfiels Bold 3 2 2 5" xfId="2345" xr:uid="{6549A92C-AF37-4907-A9EB-7214C458EB77}"/>
    <cellStyle name="Normal GHG Textfiels Bold 3 2 2 50" xfId="23714" xr:uid="{9DC372A2-A146-4879-9830-6EE5ECF69B8A}"/>
    <cellStyle name="Normal GHG Textfiels Bold 3 2 2 51" xfId="24613" xr:uid="{4A40B13C-D2F7-4FA0-ACC2-8813E3A480B2}"/>
    <cellStyle name="Normal GHG Textfiels Bold 3 2 2 52" xfId="25117" xr:uid="{597E1F08-C840-4A22-BCAA-5571A039AA45}"/>
    <cellStyle name="Normal GHG Textfiels Bold 3 2 2 53" xfId="25531" xr:uid="{AC466C87-82EB-45B2-AB9D-C11DA5603F32}"/>
    <cellStyle name="Normal GHG Textfiels Bold 3 2 2 54" xfId="26267" xr:uid="{6E0FA259-CFF0-4CC6-8F1C-B829F7240374}"/>
    <cellStyle name="Normal GHG Textfiels Bold 3 2 2 55" xfId="24514" xr:uid="{0370C07F-355E-4342-952C-D77CD7295B86}"/>
    <cellStyle name="Normal GHG Textfiels Bold 3 2 2 56" xfId="26821" xr:uid="{50189AC6-074C-4D92-9925-1636FC219A19}"/>
    <cellStyle name="Normal GHG Textfiels Bold 3 2 2 57" xfId="27240" xr:uid="{D7374A7F-2F17-4851-A797-C794057DB435}"/>
    <cellStyle name="Normal GHG Textfiels Bold 3 2 2 58" xfId="27650" xr:uid="{CDEB0797-D5C3-418A-AABE-BCDE3E2A6C9F}"/>
    <cellStyle name="Normal GHG Textfiels Bold 3 2 2 59" xfId="28363" xr:uid="{2583E57D-3F7D-4E46-9F00-4E2DABC4073C}"/>
    <cellStyle name="Normal GHG Textfiels Bold 3 2 2 6" xfId="3159" xr:uid="{94D9E0A7-3A63-451D-B8B3-B51A23E0444F}"/>
    <cellStyle name="Normal GHG Textfiels Bold 3 2 2 60" xfId="28831" xr:uid="{3B4B6D6B-5952-4258-BCED-3EDBB73FA558}"/>
    <cellStyle name="Normal GHG Textfiels Bold 3 2 2 61" xfId="29272" xr:uid="{8EE2A137-62CA-44A6-B87C-09086BC07EB0}"/>
    <cellStyle name="Normal GHG Textfiels Bold 3 2 2 62" xfId="29621" xr:uid="{255CC590-3769-46EA-9722-4687846288F3}"/>
    <cellStyle name="Normal GHG Textfiels Bold 3 2 2 63" xfId="30029" xr:uid="{4D48EF35-6FFC-4AC8-A632-E485D2B707EB}"/>
    <cellStyle name="Normal GHG Textfiels Bold 3 2 2 64" xfId="30443" xr:uid="{E51EEA6B-89BA-422D-8376-9171F7A55059}"/>
    <cellStyle name="Normal GHG Textfiels Bold 3 2 2 65" xfId="30954" xr:uid="{B192BFF5-7AB5-45FE-BF11-07CE035DA3A0}"/>
    <cellStyle name="Normal GHG Textfiels Bold 3 2 2 66" xfId="31067" xr:uid="{2A3A6F99-4DBF-44E8-819B-26D925E9EAD6}"/>
    <cellStyle name="Normal GHG Textfiels Bold 3 2 2 7" xfId="3617" xr:uid="{5CE8F2AB-7E03-4D3F-A838-3A8962EAD3FA}"/>
    <cellStyle name="Normal GHG Textfiels Bold 3 2 2 8" xfId="3841" xr:uid="{C50A8DDF-6629-41BE-B790-4BD9619D4E4C}"/>
    <cellStyle name="Normal GHG Textfiels Bold 3 2 2 9" xfId="4279" xr:uid="{506594E5-3E5A-4AFC-98F5-4010647F3F49}"/>
    <cellStyle name="Normal GHG Textfiels Bold 3 2 3" xfId="721" xr:uid="{0A4C4BA1-056E-4D88-8A5A-0805ED0C8C4E}"/>
    <cellStyle name="Normal GHG Textfiels Bold 3 2 3 10" xfId="5369" xr:uid="{D361B702-3061-4CE2-9308-C5A1F4CCAB0C}"/>
    <cellStyle name="Normal GHG Textfiels Bold 3 2 3 11" xfId="4761" xr:uid="{2603E0BF-410D-4781-9FF0-533734C7C189}"/>
    <cellStyle name="Normal GHG Textfiels Bold 3 2 3 12" xfId="6331" xr:uid="{3FF2CC27-B877-42CE-B66D-BDB96F719E94}"/>
    <cellStyle name="Normal GHG Textfiels Bold 3 2 3 13" xfId="6434" xr:uid="{7804CDEC-2903-420C-A9F6-DC5408588A4B}"/>
    <cellStyle name="Normal GHG Textfiels Bold 3 2 3 14" xfId="7441" xr:uid="{B8C3A2DB-8BE6-4B8C-9AEE-CD19F63BCA7D}"/>
    <cellStyle name="Normal GHG Textfiels Bold 3 2 3 15" xfId="7843" xr:uid="{676364B9-61A7-4A86-93EB-18C6E7BE0B75}"/>
    <cellStyle name="Normal GHG Textfiels Bold 3 2 3 16" xfId="8655" xr:uid="{738153D7-CE10-431D-B7A2-AF46560092AE}"/>
    <cellStyle name="Normal GHG Textfiels Bold 3 2 3 17" xfId="7907" xr:uid="{B67BAF60-76D0-422F-A68C-BF85CDEEEA39}"/>
    <cellStyle name="Normal GHG Textfiels Bold 3 2 3 18" xfId="9655" xr:uid="{03B6E89B-4719-431B-A24C-974C75DD966B}"/>
    <cellStyle name="Normal GHG Textfiels Bold 3 2 3 19" xfId="10055" xr:uid="{26ED5B39-07F0-42BB-92A6-F9B218EE8993}"/>
    <cellStyle name="Normal GHG Textfiels Bold 3 2 3 2" xfId="1195" xr:uid="{E8FB07B4-ED53-4FAF-945D-3A8C36CBC600}"/>
    <cellStyle name="Normal GHG Textfiels Bold 3 2 3 20" xfId="10475" xr:uid="{75D7EC86-55BD-4993-B084-28D661D5E1EB}"/>
    <cellStyle name="Normal GHG Textfiels Bold 3 2 3 21" xfId="10735" xr:uid="{B7204C53-5086-4827-B8D0-13423BBCF80C}"/>
    <cellStyle name="Normal GHG Textfiels Bold 3 2 3 22" xfId="11175" xr:uid="{41CEABA5-CCC4-47FF-A9BB-B32C08841A1D}"/>
    <cellStyle name="Normal GHG Textfiels Bold 3 2 3 23" xfId="12074" xr:uid="{A274F3D8-2338-4410-9F0A-4DEFE543B463}"/>
    <cellStyle name="Normal GHG Textfiels Bold 3 2 3 24" xfId="12547" xr:uid="{B06584C9-F5D6-449F-99BB-65DD475F558E}"/>
    <cellStyle name="Normal GHG Textfiels Bold 3 2 3 25" xfId="12981" xr:uid="{DAD085D2-DACF-45CB-8A9D-A994F7F88C63}"/>
    <cellStyle name="Normal GHG Textfiels Bold 3 2 3 26" xfId="13418" xr:uid="{475B36BA-9DC5-4FD0-8D64-7F24C6C74C5B}"/>
    <cellStyle name="Normal GHG Textfiels Bold 3 2 3 27" xfId="13986" xr:uid="{A99B1E3A-DF0B-4215-BA70-2396F0B7B046}"/>
    <cellStyle name="Normal GHG Textfiels Bold 3 2 3 28" xfId="13760" xr:uid="{F1E5B876-56E3-4AC8-A4C6-6286A4B4583C}"/>
    <cellStyle name="Normal GHG Textfiels Bold 3 2 3 29" xfId="14709" xr:uid="{C499ECA5-C59B-49D6-80E5-54485F2A88F9}"/>
    <cellStyle name="Normal GHG Textfiels Bold 3 2 3 3" xfId="1444" xr:uid="{3ED4C10F-3AA7-48D0-AD6E-2B8133C3AAA1}"/>
    <cellStyle name="Normal GHG Textfiels Bold 3 2 3 30" xfId="14609" xr:uid="{C16387D9-1F97-4BC4-A4B4-E24A93F2D5F7}"/>
    <cellStyle name="Normal GHG Textfiels Bold 3 2 3 31" xfId="15419" xr:uid="{D4045659-C483-4144-A8AC-B78C4E6EC170}"/>
    <cellStyle name="Normal GHG Textfiels Bold 3 2 3 32" xfId="15885" xr:uid="{BF11F9B2-5C1A-4D12-B9D2-36C47E82F818}"/>
    <cellStyle name="Normal GHG Textfiels Bold 3 2 3 33" xfId="16766" xr:uid="{69369BC6-9D3F-4533-B99F-866D0A4EECC2}"/>
    <cellStyle name="Normal GHG Textfiels Bold 3 2 3 34" xfId="17173" xr:uid="{FB2CFB16-172A-48BA-90C8-0D4B86CEAFF6}"/>
    <cellStyle name="Normal GHG Textfiels Bold 3 2 3 35" xfId="17618" xr:uid="{BA0CDE04-2881-4875-9EF3-BBB70C07A9C5}"/>
    <cellStyle name="Normal GHG Textfiels Bold 3 2 3 36" xfId="17740" xr:uid="{23EECDDC-4B7B-4E95-BA41-1276CCF81082}"/>
    <cellStyle name="Normal GHG Textfiels Bold 3 2 3 37" xfId="18584" xr:uid="{41D49EBE-0890-4F9D-8D27-31D6A8DCD18B}"/>
    <cellStyle name="Normal GHG Textfiels Bold 3 2 3 38" xfId="17877" xr:uid="{B4DD9850-7D31-4F45-B9C3-651695885DF0}"/>
    <cellStyle name="Normal GHG Textfiels Bold 3 2 3 39" xfId="19271" xr:uid="{49D52864-8CB2-453B-8419-2EC76E51D7E4}"/>
    <cellStyle name="Normal GHG Textfiels Bold 3 2 3 4" xfId="2543" xr:uid="{40E7988D-81EC-4A59-935C-0DC1E8B70C3E}"/>
    <cellStyle name="Normal GHG Textfiels Bold 3 2 3 40" xfId="20103" xr:uid="{516740DC-5FF6-4B32-8271-F32B207E78C5}"/>
    <cellStyle name="Normal GHG Textfiels Bold 3 2 3 41" xfId="20525" xr:uid="{4CA31B59-01A5-4838-B261-30884E262E6D}"/>
    <cellStyle name="Normal GHG Textfiels Bold 3 2 3 42" xfId="20978" xr:uid="{99488709-5D3C-4E5A-929D-30993F4E8FA7}"/>
    <cellStyle name="Normal GHG Textfiels Bold 3 2 3 43" xfId="20792" xr:uid="{B3F3A66D-3C97-480A-B9FB-133CB0DDC534}"/>
    <cellStyle name="Normal GHG Textfiels Bold 3 2 3 44" xfId="21909" xr:uid="{EF337C8A-9705-4F6B-B37E-2BDB25F5E7C0}"/>
    <cellStyle name="Normal GHG Textfiels Bold 3 2 3 45" xfId="22343" xr:uid="{A5E41528-0338-4EC6-8EDA-580E8F4A380D}"/>
    <cellStyle name="Normal GHG Textfiels Bold 3 2 3 46" xfId="22958" xr:uid="{F93944AB-9513-4370-8539-21409C70625D}"/>
    <cellStyle name="Normal GHG Textfiels Bold 3 2 3 47" xfId="21829" xr:uid="{114B789B-26B6-46C7-B67C-B4A445296A80}"/>
    <cellStyle name="Normal GHG Textfiels Bold 3 2 3 48" xfId="23567" xr:uid="{828A7FC7-44B8-4B69-86BE-A6B86337D212}"/>
    <cellStyle name="Normal GHG Textfiels Bold 3 2 3 49" xfId="23903" xr:uid="{02BE580C-5D92-450D-863F-01737C4D67F0}"/>
    <cellStyle name="Normal GHG Textfiels Bold 3 2 3 5" xfId="3157" xr:uid="{EBF0501C-D94C-4FB3-8833-2CE66EC64FA4}"/>
    <cellStyle name="Normal GHG Textfiels Bold 3 2 3 50" xfId="24811" xr:uid="{91C41B26-1805-42D7-A2A8-3A1E091555E5}"/>
    <cellStyle name="Normal GHG Textfiels Bold 3 2 3 51" xfId="25234" xr:uid="{1282A8FF-CB2B-4D54-B0B4-C5DCE7C92379}"/>
    <cellStyle name="Normal GHG Textfiels Bold 3 2 3 52" xfId="25727" xr:uid="{A189EF05-D3DF-4F53-8349-A98C415B29F6}"/>
    <cellStyle name="Normal GHG Textfiels Bold 3 2 3 53" xfId="26265" xr:uid="{501F8995-4A71-4369-927B-99DDA06537F1}"/>
    <cellStyle name="Normal GHG Textfiels Bold 3 2 3 54" xfId="26502" xr:uid="{09A380D5-675F-4632-88C3-87CFA75359F4}"/>
    <cellStyle name="Normal GHG Textfiels Bold 3 2 3 55" xfId="27015" xr:uid="{6CD067EB-8AC8-4183-8CAC-BC38470BB9B8}"/>
    <cellStyle name="Normal GHG Textfiels Bold 3 2 3 56" xfId="27434" xr:uid="{6811966D-BE30-4CD7-8C1F-29FE5502E5E6}"/>
    <cellStyle name="Normal GHG Textfiels Bold 3 2 3 57" xfId="27778" xr:uid="{4EE40EB7-C64D-4039-A089-0D2853EC521A}"/>
    <cellStyle name="Normal GHG Textfiels Bold 3 2 3 58" xfId="28561" xr:uid="{AFCFBE0D-D5EC-4651-9946-14F503F18263}"/>
    <cellStyle name="Normal GHG Textfiels Bold 3 2 3 59" xfId="29028" xr:uid="{81345343-6B6B-44A4-A272-D84C9C4ED971}"/>
    <cellStyle name="Normal GHG Textfiels Bold 3 2 3 6" xfId="3757" xr:uid="{1800C2D2-3FEB-43EB-92AE-E58CB91D3859}"/>
    <cellStyle name="Normal GHG Textfiels Bold 3 2 3 60" xfId="29373" xr:uid="{A3818610-8355-4119-A976-D0D182317FA2}"/>
    <cellStyle name="Normal GHG Textfiels Bold 3 2 3 61" xfId="29817" xr:uid="{301A2D59-4CCA-4A65-ACE1-F66D67E57FD2}"/>
    <cellStyle name="Normal GHG Textfiels Bold 3 2 3 62" xfId="30223" xr:uid="{CE55E4E7-58FD-4180-BB52-DA65F5BC8CEE}"/>
    <cellStyle name="Normal GHG Textfiels Bold 3 2 3 63" xfId="30640" xr:uid="{A9ADC136-FB4E-420E-B6CC-327EA0038C32}"/>
    <cellStyle name="Normal GHG Textfiels Bold 3 2 3 64" xfId="30855" xr:uid="{F1FFA10F-A6D8-4CB4-8AFF-38AD869A8F7D}"/>
    <cellStyle name="Normal GHG Textfiels Bold 3 2 3 65" xfId="31256" xr:uid="{2087BA54-631C-4D33-B909-BAB0D471B439}"/>
    <cellStyle name="Normal GHG Textfiels Bold 3 2 3 7" xfId="4039" xr:uid="{157AE88C-83D7-4F17-A882-670A24438483}"/>
    <cellStyle name="Normal GHG Textfiels Bold 3 2 3 8" xfId="4476" xr:uid="{B3152477-7F3E-4E0F-94AF-AB0B6B6AB3C1}"/>
    <cellStyle name="Normal GHG Textfiels Bold 3 2 3 9" xfId="3459" xr:uid="{4BF3BFC8-77AE-4F49-A010-E359DFA1686E}"/>
    <cellStyle name="Normal GHG Textfiels Bold 3 3" xfId="361" xr:uid="{91C66861-FF90-4713-A7F5-1D1D2FB566C4}"/>
    <cellStyle name="Normal GHG Textfiels Bold 3 3 10" xfId="3374" xr:uid="{844FEA9B-B643-4F8F-AAB9-70AA689933E3}"/>
    <cellStyle name="Normal GHG Textfiels Bold 3 3 11" xfId="2302" xr:uid="{46EE0BD4-E558-4151-B6CC-617CBFFB57F0}"/>
    <cellStyle name="Normal GHG Textfiels Bold 3 3 12" xfId="3530" xr:uid="{38E48203-93F0-4547-8774-0AEB5ED14C6F}"/>
    <cellStyle name="Normal GHG Textfiels Bold 3 3 13" xfId="4667" xr:uid="{9778A9B9-91FB-4EA5-A8D5-4B04A188A132}"/>
    <cellStyle name="Normal GHG Textfiels Bold 3 3 14" xfId="5939" xr:uid="{04F2EBA1-7015-464F-BEC0-0DF66C877A37}"/>
    <cellStyle name="Normal GHG Textfiels Bold 3 3 15" xfId="6214" xr:uid="{EF1EF9E3-6CA7-480F-8096-0A500CE57EB6}"/>
    <cellStyle name="Normal GHG Textfiels Bold 3 3 16" xfId="6631" xr:uid="{2401E254-D518-4E09-A8F8-0C8E4E3079AD}"/>
    <cellStyle name="Normal GHG Textfiels Bold 3 3 17" xfId="7088" xr:uid="{105B5EC9-E498-4934-A25F-E2C90BD2F786}"/>
    <cellStyle name="Normal GHG Textfiels Bold 3 3 18" xfId="7714" xr:uid="{DDF0477D-18E9-4F72-97BC-69D8F7DD3F4E}"/>
    <cellStyle name="Normal GHG Textfiels Bold 3 3 19" xfId="7129" xr:uid="{7D9CB471-3E90-4FD1-A9C8-CAC09C195FC7}"/>
    <cellStyle name="Normal GHG Textfiels Bold 3 3 2" xfId="639" xr:uid="{C307F9BD-590E-4E43-91B4-B33B9854A555}"/>
    <cellStyle name="Normal GHG Textfiels Bold 3 3 2 10" xfId="3673" xr:uid="{482AFEBC-C137-4FA6-8D2B-BA1249B58CF3}"/>
    <cellStyle name="Normal GHG Textfiels Bold 3 3 2 11" xfId="5287" xr:uid="{0035A876-9D2E-461E-AFB0-FCA3623E98DE}"/>
    <cellStyle name="Normal GHG Textfiels Bold 3 3 2 12" xfId="4962" xr:uid="{CBD7AEE8-4334-46E2-AA44-1FE4D8C3119E}"/>
    <cellStyle name="Normal GHG Textfiels Bold 3 3 2 13" xfId="6300" xr:uid="{5E448725-1FCD-40FC-8E1D-9A18996F9434}"/>
    <cellStyle name="Normal GHG Textfiels Bold 3 3 2 14" xfId="6600" xr:uid="{8C4C6888-6508-4A97-B378-45AD4A489822}"/>
    <cellStyle name="Normal GHG Textfiels Bold 3 3 2 15" xfId="7359" xr:uid="{0A2821B7-D82E-4785-8487-DF0AA4BB4851}"/>
    <cellStyle name="Normal GHG Textfiels Bold 3 3 2 16" xfId="7830" xr:uid="{7C35937D-DB7A-4639-A23A-95AAC62B5BAD}"/>
    <cellStyle name="Normal GHG Textfiels Bold 3 3 2 17" xfId="8094" xr:uid="{C2A53A22-5A68-4CAD-AC63-01BF8895991E}"/>
    <cellStyle name="Normal GHG Textfiels Bold 3 3 2 18" xfId="8205" xr:uid="{9051B4FD-F390-4270-8AE9-03B2D21D0136}"/>
    <cellStyle name="Normal GHG Textfiels Bold 3 3 2 19" xfId="9573" xr:uid="{3AC546EA-2212-4816-A920-EF2B6CBF2A53}"/>
    <cellStyle name="Normal GHG Textfiels Bold 3 3 2 2" xfId="854" xr:uid="{A1C2C46A-A612-4EEB-9118-4FEB4C143496}"/>
    <cellStyle name="Normal GHG Textfiels Bold 3 3 2 2 10" xfId="5502" xr:uid="{2E6D4F22-F7A9-4751-88D2-C034A12191E6}"/>
    <cellStyle name="Normal GHG Textfiels Bold 3 3 2 2 11" xfId="5674" xr:uid="{70497A55-DEEC-436B-9ABC-6DAA034A8D7E}"/>
    <cellStyle name="Normal GHG Textfiels Bold 3 3 2 2 12" xfId="6049" xr:uid="{C0080975-B688-48A6-94C4-4F2D143D17F5}"/>
    <cellStyle name="Normal GHG Textfiels Bold 3 3 2 2 13" xfId="6050" xr:uid="{77D3C6DC-C0BA-4996-82B5-DF6E615F6BC8}"/>
    <cellStyle name="Normal GHG Textfiels Bold 3 3 2 2 14" xfId="7574" xr:uid="{7DEECB09-3A5E-4F3F-975B-5DC45625CE39}"/>
    <cellStyle name="Normal GHG Textfiels Bold 3 3 2 2 15" xfId="6882" xr:uid="{DCB1026D-C52F-4546-A143-CCCDACE22A3F}"/>
    <cellStyle name="Normal GHG Textfiels Bold 3 3 2 2 16" xfId="6838" xr:uid="{C6AAB7B7-A123-4217-B808-E7A1DF9F50EB}"/>
    <cellStyle name="Normal GHG Textfiels Bold 3 3 2 2 17" xfId="8879" xr:uid="{D66F65D0-6289-4A45-AF02-E6686F23CACC}"/>
    <cellStyle name="Normal GHG Textfiels Bold 3 3 2 2 18" xfId="9788" xr:uid="{61F13CB1-07D3-4AE0-B74A-75AB25E971F8}"/>
    <cellStyle name="Normal GHG Textfiels Bold 3 3 2 2 19" xfId="9095" xr:uid="{9D315787-A180-41E2-9E82-86CB333A7101}"/>
    <cellStyle name="Normal GHG Textfiels Bold 3 3 2 2 2" xfId="1328" xr:uid="{FA0C29CF-1510-4F13-9583-8510F235F883}"/>
    <cellStyle name="Normal GHG Textfiels Bold 3 3 2 2 20" xfId="10240" xr:uid="{5FA4EDA9-AEE4-4064-BF4D-5B3D1C40E7AB}"/>
    <cellStyle name="Normal GHG Textfiels Bold 3 3 2 2 21" xfId="9052" xr:uid="{30128992-9C2C-47B0-A03B-7634C969439E}"/>
    <cellStyle name="Normal GHG Textfiels Bold 3 3 2 2 22" xfId="11079" xr:uid="{E78AC662-A2B4-4DED-965C-BBFB0DAD1FB8}"/>
    <cellStyle name="Normal GHG Textfiels Bold 3 3 2 2 23" xfId="12207" xr:uid="{17244D15-DF53-4266-B770-6C0F11E62FEF}"/>
    <cellStyle name="Normal GHG Textfiels Bold 3 3 2 2 24" xfId="12680" xr:uid="{4D966220-1903-4EE1-A8B5-4BC5932AFB34}"/>
    <cellStyle name="Normal GHG Textfiels Bold 3 3 2 2 25" xfId="13114" xr:uid="{5EBD4B78-38C5-43CD-AEE5-98055595DF19}"/>
    <cellStyle name="Normal GHG Textfiels Bold 3 3 2 2 26" xfId="13551" xr:uid="{10103CB4-4311-4948-8283-7AD5A78E38CC}"/>
    <cellStyle name="Normal GHG Textfiels Bold 3 3 2 2 27" xfId="12744" xr:uid="{281D9687-7776-4CEA-B1C3-BDCC78529881}"/>
    <cellStyle name="Normal GHG Textfiels Bold 3 3 2 2 28" xfId="14470" xr:uid="{7A8ABAE0-5521-478C-87E9-11F1AB5E01AB}"/>
    <cellStyle name="Normal GHG Textfiels Bold 3 3 2 2 29" xfId="13623" xr:uid="{F37147D1-5C08-4CBF-BE5D-C2829B3BFE62}"/>
    <cellStyle name="Normal GHG Textfiels Bold 3 3 2 2 3" xfId="1777" xr:uid="{2E3B55E3-B438-4C1C-80BE-C1BA3D043A4B}"/>
    <cellStyle name="Normal GHG Textfiels Bold 3 3 2 2 30" xfId="14070" xr:uid="{928C9D9A-A7A3-4E48-AEC4-CFC6FA8651DD}"/>
    <cellStyle name="Normal GHG Textfiels Bold 3 3 2 2 31" xfId="15616" xr:uid="{05731AB6-7DF8-4014-BAF6-CC9F78E2ADA3}"/>
    <cellStyle name="Normal GHG Textfiels Bold 3 3 2 2 32" xfId="15487" xr:uid="{91E26BDA-3A2C-4381-ABCC-577EB877C6EF}"/>
    <cellStyle name="Normal GHG Textfiels Bold 3 3 2 2 33" xfId="16899" xr:uid="{635342E6-7B57-4872-B4D2-E4BC99D04842}"/>
    <cellStyle name="Normal GHG Textfiels Bold 3 3 2 2 34" xfId="16198" xr:uid="{EED390B7-6738-4F19-A38F-1617A7D22F21}"/>
    <cellStyle name="Normal GHG Textfiels Bold 3 3 2 2 35" xfId="17361" xr:uid="{247857EF-95BA-44EC-AD47-70AECE78448E}"/>
    <cellStyle name="Normal GHG Textfiels Bold 3 3 2 2 36" xfId="17670" xr:uid="{9DA6E6DF-077A-40F8-9FEC-C13598C0767A}"/>
    <cellStyle name="Normal GHG Textfiels Bold 3 3 2 2 37" xfId="18717" xr:uid="{16B17128-3E24-4703-8D82-0EA4F03FF36E}"/>
    <cellStyle name="Normal GHG Textfiels Bold 3 3 2 2 38" xfId="19059" xr:uid="{AC28D585-6E78-4BE8-9EFA-6EE9DF71778D}"/>
    <cellStyle name="Normal GHG Textfiels Bold 3 3 2 2 39" xfId="18203" xr:uid="{3113C6F5-6F7B-4F27-AB90-6EF763A296D2}"/>
    <cellStyle name="Normal GHG Textfiels Bold 3 3 2 2 4" xfId="2676" xr:uid="{E2144F38-785E-42D3-A58C-3CD5A0FB22E6}"/>
    <cellStyle name="Normal GHG Textfiels Bold 3 3 2 2 40" xfId="20236" xr:uid="{A8BD4169-7F2B-40AA-9B2A-2F1772705A9D}"/>
    <cellStyle name="Normal GHG Textfiels Bold 3 3 2 2 41" xfId="19530" xr:uid="{CA570EB3-E188-4287-9FF5-2301E51B2229}"/>
    <cellStyle name="Normal GHG Textfiels Bold 3 3 2 2 42" xfId="19477" xr:uid="{1BF2274F-160A-4E69-B79F-982F681ED05B}"/>
    <cellStyle name="Normal GHG Textfiels Bold 3 3 2 2 43" xfId="21310" xr:uid="{951C1681-CA05-48CE-A4F1-883A5E857FBE}"/>
    <cellStyle name="Normal GHG Textfiels Bold 3 3 2 2 44" xfId="21574" xr:uid="{1670DC20-B744-419D-8240-9FCCC6CDBF77}"/>
    <cellStyle name="Normal GHG Textfiels Bold 3 3 2 2 45" xfId="22037" xr:uid="{145090B6-B2C9-41A7-81BA-0760A9DC433F}"/>
    <cellStyle name="Normal GHG Textfiels Bold 3 3 2 2 46" xfId="21200" xr:uid="{DFB8A40E-44EE-427D-8F89-E8D38B3031E0}"/>
    <cellStyle name="Normal GHG Textfiels Bold 3 3 2 2 47" xfId="23336" xr:uid="{25D108F2-7DCB-491A-BB91-6ABF38CBA307}"/>
    <cellStyle name="Normal GHG Textfiels Bold 3 3 2 2 48" xfId="23444" xr:uid="{6012DC24-36CD-4978-B843-C2C9C6396E3A}"/>
    <cellStyle name="Normal GHG Textfiels Bold 3 3 2 2 49" xfId="24036" xr:uid="{113FDA98-EA22-41E5-A60E-C9E4CF4CDA1B}"/>
    <cellStyle name="Normal GHG Textfiels Bold 3 3 2 2 5" xfId="2201" xr:uid="{96CCE1C5-49B1-403D-8FB6-B7415874D7A8}"/>
    <cellStyle name="Normal GHG Textfiels Bold 3 3 2 2 50" xfId="24944" xr:uid="{BCD67ABB-EF7B-4B52-B0F4-7A730F9C912E}"/>
    <cellStyle name="Normal GHG Textfiels Bold 3 3 2 2 51" xfId="24299" xr:uid="{E69E7E7C-C60B-412A-BC56-98EB66191FD4}"/>
    <cellStyle name="Normal GHG Textfiels Bold 3 3 2 2 52" xfId="25860" xr:uid="{AA5FAAD7-82BE-4ED3-A720-BBCFF9F422A2}"/>
    <cellStyle name="Normal GHG Textfiels Bold 3 3 2 2 53" xfId="25931" xr:uid="{5608AC9F-1BCF-47D5-8DF4-EE1A10D8F4D0}"/>
    <cellStyle name="Normal GHG Textfiels Bold 3 3 2 2 54" xfId="26419" xr:uid="{FA3A3479-2FB5-4143-819B-EB3B2739B975}"/>
    <cellStyle name="Normal GHG Textfiels Bold 3 3 2 2 55" xfId="27148" xr:uid="{84B1DA24-FE88-411E-8725-93D09D9F748A}"/>
    <cellStyle name="Normal GHG Textfiels Bold 3 3 2 2 56" xfId="27567" xr:uid="{42ACEAA7-849C-409B-A18A-331B6223A7EC}"/>
    <cellStyle name="Normal GHG Textfiels Bold 3 3 2 2 57" xfId="26119" xr:uid="{F920B12E-362A-4799-9764-7FDCF7F053CC}"/>
    <cellStyle name="Normal GHG Textfiels Bold 3 3 2 2 58" xfId="28694" xr:uid="{4D481D48-318E-437A-8139-F2BA85123D30}"/>
    <cellStyle name="Normal GHG Textfiels Bold 3 3 2 2 59" xfId="29161" xr:uid="{1CDE5E0E-3DD5-4323-8777-8BACF0B446E1}"/>
    <cellStyle name="Normal GHG Textfiels Bold 3 3 2 2 6" xfId="3581" xr:uid="{EC89D295-0199-46BA-8376-40842E2221AD}"/>
    <cellStyle name="Normal GHG Textfiels Bold 3 3 2 2 60" xfId="28978" xr:uid="{4ED73457-A113-448E-82D0-1501861FE297}"/>
    <cellStyle name="Normal GHG Textfiels Bold 3 3 2 2 61" xfId="29950" xr:uid="{EAFC2CBB-AFD5-486F-B46D-9B835FBA8EA5}"/>
    <cellStyle name="Normal GHG Textfiels Bold 3 3 2 2 62" xfId="30356" xr:uid="{F85C9234-5CFA-417B-B3B3-41851030FD0A}"/>
    <cellStyle name="Normal GHG Textfiels Bold 3 3 2 2 63" xfId="30773" xr:uid="{D5619872-B919-4645-A4D4-317EC2A23191}"/>
    <cellStyle name="Normal GHG Textfiels Bold 3 3 2 2 64" xfId="29992" xr:uid="{78DFD8E7-9208-4996-96B9-D8E53CD6B5F4}"/>
    <cellStyle name="Normal GHG Textfiels Bold 3 3 2 2 65" xfId="31389" xr:uid="{1A83DBED-6694-4201-BEF4-7343BB0FBF20}"/>
    <cellStyle name="Normal GHG Textfiels Bold 3 3 2 2 7" xfId="4172" xr:uid="{A3D433EC-67C4-4619-8612-CB6FFC1EDEC5}"/>
    <cellStyle name="Normal GHG Textfiels Bold 3 3 2 2 8" xfId="4609" xr:uid="{A9F9E7DC-FE00-41EC-BEC8-53B5825404E7}"/>
    <cellStyle name="Normal GHG Textfiels Bold 3 3 2 2 9" xfId="2235" xr:uid="{B2A48402-9069-4388-8CD7-EB78543F0DAC}"/>
    <cellStyle name="Normal GHG Textfiels Bold 3 3 2 20" xfId="10042" xr:uid="{15A559BA-6727-41F8-9086-F07A5A6929BE}"/>
    <cellStyle name="Normal GHG Textfiels Bold 3 3 2 21" xfId="10462" xr:uid="{41296098-1938-4DB5-A893-E1989704F8EF}"/>
    <cellStyle name="Normal GHG Textfiels Bold 3 3 2 22" xfId="10212" xr:uid="{6486A887-654B-471F-988C-1162F4878D0B}"/>
    <cellStyle name="Normal GHG Textfiels Bold 3 3 2 23" xfId="9391" xr:uid="{437C0B15-F981-4A38-84F9-4F327B264A00}"/>
    <cellStyle name="Normal GHG Textfiels Bold 3 3 2 24" xfId="11992" xr:uid="{52D52D29-3EB1-40CA-A04E-F911CEC20AE5}"/>
    <cellStyle name="Normal GHG Textfiels Bold 3 3 2 25" xfId="12465" xr:uid="{F277D778-4186-4AEA-9EEA-E74365848A88}"/>
    <cellStyle name="Normal GHG Textfiels Bold 3 3 2 26" xfId="12899" xr:uid="{E39A739D-9F65-4DDF-A37F-36FF256BD4D6}"/>
    <cellStyle name="Normal GHG Textfiels Bold 3 3 2 27" xfId="13336" xr:uid="{3059BB3C-2D72-46FE-BC30-11D3AA830D42}"/>
    <cellStyle name="Normal GHG Textfiels Bold 3 3 2 28" xfId="11499" xr:uid="{AE03367D-D48C-430C-AFF1-8A5F5D9FE124}"/>
    <cellStyle name="Normal GHG Textfiels Bold 3 3 2 29" xfId="14021" xr:uid="{2C9AEBC7-FFB3-4424-8FC8-5CDBA3DFAD43}"/>
    <cellStyle name="Normal GHG Textfiels Bold 3 3 2 3" xfId="1122" xr:uid="{8E7B8A2E-BF4F-4DCA-89FB-E50839AAA408}"/>
    <cellStyle name="Normal GHG Textfiels Bold 3 3 2 30" xfId="14653" xr:uid="{D3576D4C-A274-4172-994C-248847081198}"/>
    <cellStyle name="Normal GHG Textfiels Bold 3 3 2 31" xfId="14631" xr:uid="{43373FAF-F164-45A8-8818-CCBDBC573E74}"/>
    <cellStyle name="Normal GHG Textfiels Bold 3 3 2 32" xfId="14276" xr:uid="{DFA304C2-4CE1-4990-BC12-45DCB95A9CEA}"/>
    <cellStyle name="Normal GHG Textfiels Bold 3 3 2 33" xfId="15875" xr:uid="{CEEF6A66-761E-47DA-9519-9CED75EB68DB}"/>
    <cellStyle name="Normal GHG Textfiels Bold 3 3 2 34" xfId="16684" xr:uid="{6C1DF2D0-ECFF-4647-809E-EA1AEDBC8064}"/>
    <cellStyle name="Normal GHG Textfiels Bold 3 3 2 35" xfId="17160" xr:uid="{70381436-CD71-406B-B64B-305897C825A6}"/>
    <cellStyle name="Normal GHG Textfiels Bold 3 3 2 36" xfId="17605" xr:uid="{04D0CB96-5F9E-4CD0-99FF-B9124545F638}"/>
    <cellStyle name="Normal GHG Textfiels Bold 3 3 2 37" xfId="17425" xr:uid="{9DCCDE93-231B-4179-BED8-D096AEFFEB36}"/>
    <cellStyle name="Normal GHG Textfiels Bold 3 3 2 38" xfId="18502" xr:uid="{D8025EB3-ED16-441D-8014-A755CD1D64D6}"/>
    <cellStyle name="Normal GHG Textfiels Bold 3 3 2 39" xfId="17232" xr:uid="{A36BF56F-BEF1-4D91-A492-4B1950EF413B}"/>
    <cellStyle name="Normal GHG Textfiels Bold 3 3 2 4" xfId="1601" xr:uid="{0E6F5A41-3E65-4EC8-9E4C-499CDF7C27A9}"/>
    <cellStyle name="Normal GHG Textfiels Bold 3 3 2 40" xfId="19295" xr:uid="{2D22F826-A619-4A11-A5E8-3A16E1710D6C}"/>
    <cellStyle name="Normal GHG Textfiels Bold 3 3 2 41" xfId="20021" xr:uid="{E141317A-09AB-4960-9FAD-636CDC80CCCB}"/>
    <cellStyle name="Normal GHG Textfiels Bold 3 3 2 42" xfId="20512" xr:uid="{2CDE0D26-0158-4456-8833-AE153C8CEE38}"/>
    <cellStyle name="Normal GHG Textfiels Bold 3 3 2 43" xfId="20965" xr:uid="{82A14657-46EF-4395-84F8-88EF9007DF3C}"/>
    <cellStyle name="Normal GHG Textfiels Bold 3 3 2 44" xfId="19787" xr:uid="{13DF366E-969C-4D60-9B48-B9FFA728D454}"/>
    <cellStyle name="Normal GHG Textfiels Bold 3 3 2 45" xfId="21896" xr:uid="{3C8AC93A-AA86-48E2-8B42-0B879ABCC79D}"/>
    <cellStyle name="Normal GHG Textfiels Bold 3 3 2 46" xfId="22332" xr:uid="{DB8C8A43-0DCB-4F6E-93FF-8914B234DBCA}"/>
    <cellStyle name="Normal GHG Textfiels Bold 3 3 2 47" xfId="21809" xr:uid="{3C6F19BD-F614-46BF-AAE8-236141EAE1E2}"/>
    <cellStyle name="Normal GHG Textfiels Bold 3 3 2 48" xfId="20971" xr:uid="{B7F035C1-3CB8-425B-9AA5-E84B0C25A6A3}"/>
    <cellStyle name="Normal GHG Textfiels Bold 3 3 2 49" xfId="23605" xr:uid="{E843AE57-BDDF-4CAA-BF25-D7B523BC2550}"/>
    <cellStyle name="Normal GHG Textfiels Bold 3 3 2 5" xfId="2461" xr:uid="{38E1CFBA-4645-4606-9A42-79AD71776628}"/>
    <cellStyle name="Normal GHG Textfiels Bold 3 3 2 50" xfId="23830" xr:uid="{316F4B0A-4A9D-4A96-981F-C38F1753F9EE}"/>
    <cellStyle name="Normal GHG Textfiels Bold 3 3 2 51" xfId="24729" xr:uid="{90DB011B-AC70-4DB3-A20E-0BFB90F808BD}"/>
    <cellStyle name="Normal GHG Textfiels Bold 3 3 2 52" xfId="25221" xr:uid="{D753D78C-475E-4549-836A-42154F787500}"/>
    <cellStyle name="Normal GHG Textfiels Bold 3 3 2 53" xfId="25647" xr:uid="{20739037-35DE-4AD5-815C-4B6B7B29B10A}"/>
    <cellStyle name="Normal GHG Textfiels Bold 3 3 2 54" xfId="24554" xr:uid="{1C4B96BD-D634-42A9-BDF5-AC24219BCFA5}"/>
    <cellStyle name="Normal GHG Textfiels Bold 3 3 2 55" xfId="25090" xr:uid="{16AA88CA-3A4A-4376-8110-ADC71C9F0838}"/>
    <cellStyle name="Normal GHG Textfiels Bold 3 3 2 56" xfId="26937" xr:uid="{AAEF7151-C8F0-484E-A8C2-180570818A0D}"/>
    <cellStyle name="Normal GHG Textfiels Bold 3 3 2 57" xfId="27356" xr:uid="{5B73D245-45FE-4BB4-8920-A5E0068A5E4F}"/>
    <cellStyle name="Normal GHG Textfiels Bold 3 3 2 58" xfId="25996" xr:uid="{941A9489-3F7B-49CB-9EEB-A335E18F762C}"/>
    <cellStyle name="Normal GHG Textfiels Bold 3 3 2 59" xfId="28479" xr:uid="{90BDFEA3-F57B-4F4B-8ED3-6AFE54F18A1B}"/>
    <cellStyle name="Normal GHG Textfiels Bold 3 3 2 6" xfId="2009" xr:uid="{9803E067-CC9D-4973-8205-D8EEA0128236}"/>
    <cellStyle name="Normal GHG Textfiels Bold 3 3 2 60" xfId="28947" xr:uid="{4F49E2F0-2C51-45E8-A525-F1D72E09D755}"/>
    <cellStyle name="Normal GHG Textfiels Bold 3 3 2 61" xfId="29362" xr:uid="{6BA22C98-49CF-449A-ADCE-950C0924456C}"/>
    <cellStyle name="Normal GHG Textfiels Bold 3 3 2 62" xfId="29737" xr:uid="{821A1465-B6DA-4628-907E-14BD2843EE01}"/>
    <cellStyle name="Normal GHG Textfiels Bold 3 3 2 63" xfId="30145" xr:uid="{F0F113EC-7510-4C70-8460-39C67468214D}"/>
    <cellStyle name="Normal GHG Textfiels Bold 3 3 2 64" xfId="30559" xr:uid="{2FC8DF91-A4DD-4F32-95EF-12E3BE85AF51}"/>
    <cellStyle name="Normal GHG Textfiels Bold 3 3 2 65" xfId="30399" xr:uid="{9BE4C369-8E20-400B-AD30-E4C34DAD0E84}"/>
    <cellStyle name="Normal GHG Textfiels Bold 3 3 2 66" xfId="31183" xr:uid="{7025DB81-2AFD-490B-886D-FD7F44BBDB9D}"/>
    <cellStyle name="Normal GHG Textfiels Bold 3 3 2 7" xfId="2954" xr:uid="{B5090E8D-9380-4863-98F0-826BE2531803}"/>
    <cellStyle name="Normal GHG Textfiels Bold 3 3 2 8" xfId="3957" xr:uid="{EDB2CAFF-06EA-4F1C-B3FC-E556414C8627}"/>
    <cellStyle name="Normal GHG Textfiels Bold 3 3 2 9" xfId="4395" xr:uid="{11A7A1D7-EF14-4BF4-A572-60098EA27350}"/>
    <cellStyle name="Normal GHG Textfiels Bold 3 3 20" xfId="8202" xr:uid="{E2347955-C75A-4A0E-9487-18F1DCF2EA1D}"/>
    <cellStyle name="Normal GHG Textfiels Bold 3 3 21" xfId="9302" xr:uid="{4E4CC688-BE7F-48E3-B1FB-959EF2A43122}"/>
    <cellStyle name="Normal GHG Textfiels Bold 3 3 22" xfId="9928" xr:uid="{83A52038-B085-4C3D-B19C-BFC29157AF0E}"/>
    <cellStyle name="Normal GHG Textfiels Bold 3 3 23" xfId="10359" xr:uid="{006EF6AC-20CA-4A26-9DD0-430081EE8500}"/>
    <cellStyle name="Normal GHG Textfiels Bold 3 3 24" xfId="10756" xr:uid="{31F3D5D6-891B-41AB-A6B6-B121D8A91E4B}"/>
    <cellStyle name="Normal GHG Textfiels Bold 3 3 25" xfId="9019" xr:uid="{9E3BDEBC-0CD0-4D0C-939F-ECCBD8EDABFF}"/>
    <cellStyle name="Normal GHG Textfiels Bold 3 3 26" xfId="11715" xr:uid="{4A3B624E-CFE6-404A-93DB-9F54054D4596}"/>
    <cellStyle name="Normal GHG Textfiels Bold 3 3 27" xfId="11455" xr:uid="{1DBB31B7-9B80-4EEC-9822-FCA20B4C3C50}"/>
    <cellStyle name="Normal GHG Textfiels Bold 3 3 28" xfId="11684" xr:uid="{F3086AA6-348E-43F6-9327-DF813BAA9918}"/>
    <cellStyle name="Normal GHG Textfiels Bold 3 3 29" xfId="11814" xr:uid="{F87FE7E4-1694-499D-809A-69EB052F6D62}"/>
    <cellStyle name="Normal GHG Textfiels Bold 3 3 3" xfId="582" xr:uid="{559FC0EA-FAEF-482D-AB80-D6AD29235857}"/>
    <cellStyle name="Normal GHG Textfiels Bold 3 3 3 10" xfId="3567" xr:uid="{7E7B5C89-916E-45D2-81D3-0B43647F7A27}"/>
    <cellStyle name="Normal GHG Textfiels Bold 3 3 3 11" xfId="5230" xr:uid="{01EB0A50-F247-4852-9147-CCCCD6775C70}"/>
    <cellStyle name="Normal GHG Textfiels Bold 3 3 3 12" xfId="4805" xr:uid="{833A7B34-2A3D-40CA-95BA-841605DBC005}"/>
    <cellStyle name="Normal GHG Textfiels Bold 3 3 3 13" xfId="5854" xr:uid="{10013AA9-BCBC-41C3-BBAA-66D434A2F52D}"/>
    <cellStyle name="Normal GHG Textfiels Bold 3 3 3 14" xfId="6149" xr:uid="{C2A6BA3B-43AF-405F-BF97-A8C27803F01A}"/>
    <cellStyle name="Normal GHG Textfiels Bold 3 3 3 15" xfId="7302" xr:uid="{DD0AD6FA-3246-423B-9F6F-5D764B22367F}"/>
    <cellStyle name="Normal GHG Textfiels Bold 3 3 3 16" xfId="7991" xr:uid="{C99BA596-4585-4DBB-BF91-11CF74A863C1}"/>
    <cellStyle name="Normal GHG Textfiels Bold 3 3 3 17" xfId="6930" xr:uid="{D198B56A-36B0-44E4-95A5-5FD17C03676D}"/>
    <cellStyle name="Normal GHG Textfiels Bold 3 3 3 18" xfId="6821" xr:uid="{4D3F2860-912C-4D38-99F6-75D7D3960B20}"/>
    <cellStyle name="Normal GHG Textfiels Bold 3 3 3 19" xfId="9516" xr:uid="{56609D00-F319-4769-9D1A-BB4D92B4990A}"/>
    <cellStyle name="Normal GHG Textfiels Bold 3 3 3 2" xfId="797" xr:uid="{6BCD951F-2CC8-467B-9F63-BB8F51472C28}"/>
    <cellStyle name="Normal GHG Textfiels Bold 3 3 3 2 10" xfId="5445" xr:uid="{413AA9E8-D5E7-48CB-9D57-309E290B1AF6}"/>
    <cellStyle name="Normal GHG Textfiels Bold 3 3 3 2 11" xfId="5833" xr:uid="{45C43618-F86F-463F-B6C0-D8424C335B33}"/>
    <cellStyle name="Normal GHG Textfiels Bold 3 3 3 2 12" xfId="5786" xr:uid="{8C10CF7F-F9AD-4671-B414-50D5133D7DB0}"/>
    <cellStyle name="Normal GHG Textfiels Bold 3 3 3 2 13" xfId="2809" xr:uid="{44CE3244-45A7-4B6E-BCB5-E4A4F3464509}"/>
    <cellStyle name="Normal GHG Textfiels Bold 3 3 3 2 14" xfId="7517" xr:uid="{BB5DDB42-BB01-4EC6-8075-75C5DAA1CDB8}"/>
    <cellStyle name="Normal GHG Textfiels Bold 3 3 3 2 15" xfId="8015" xr:uid="{16CCFAD6-F283-4698-BEEB-A8183071EFF9}"/>
    <cellStyle name="Normal GHG Textfiels Bold 3 3 3 2 16" xfId="8631" xr:uid="{A20E7A1D-C64A-49F6-BC57-757316E975CA}"/>
    <cellStyle name="Normal GHG Textfiels Bold 3 3 3 2 17" xfId="8744" xr:uid="{3AF18069-5729-47B8-A1D3-BA1E656868AE}"/>
    <cellStyle name="Normal GHG Textfiels Bold 3 3 3 2 18" xfId="9731" xr:uid="{53869048-C92D-4741-8000-A4F8B4BCE248}"/>
    <cellStyle name="Normal GHG Textfiels Bold 3 3 3 2 19" xfId="10233" xr:uid="{96978808-2CC5-4216-BB81-E5C8CE2F0ACA}"/>
    <cellStyle name="Normal GHG Textfiels Bold 3 3 3 2 2" xfId="1271" xr:uid="{782BD29A-55B5-4065-ABA4-CF6C6D215E7A}"/>
    <cellStyle name="Normal GHG Textfiels Bold 3 3 3 2 20" xfId="10630" xr:uid="{F44FE9CC-FE55-4FD2-A96D-C6F1A230AC24}"/>
    <cellStyle name="Normal GHG Textfiels Bold 3 3 3 2 21" xfId="9863" xr:uid="{6FD40A40-9BEC-4DAF-B9FC-B1372BE7052F}"/>
    <cellStyle name="Normal GHG Textfiels Bold 3 3 3 2 22" xfId="11207" xr:uid="{1E3A9A72-B4F9-49C6-891E-26C0FFC75AD1}"/>
    <cellStyle name="Normal GHG Textfiels Bold 3 3 3 2 23" xfId="12150" xr:uid="{3973B6E8-D8BE-460B-888A-9A58378B1417}"/>
    <cellStyle name="Normal GHG Textfiels Bold 3 3 3 2 24" xfId="12623" xr:uid="{8C942567-9CE0-4CBE-8E1A-A175E80964A0}"/>
    <cellStyle name="Normal GHG Textfiels Bold 3 3 3 2 25" xfId="13057" xr:uid="{E07B130A-3565-4A88-BE34-132E0C0106A6}"/>
    <cellStyle name="Normal GHG Textfiels Bold 3 3 3 2 26" xfId="13494" xr:uid="{40BB96D3-D00E-4503-8D37-C881B3BF23F0}"/>
    <cellStyle name="Normal GHG Textfiels Bold 3 3 3 2 27" xfId="13190" xr:uid="{6869AB2D-5A43-4B99-BB6F-A3F16FDDED07}"/>
    <cellStyle name="Normal GHG Textfiels Bold 3 3 3 2 28" xfId="12292" xr:uid="{1C0CC654-287C-403A-AE5E-0EB44EF0CE6A}"/>
    <cellStyle name="Normal GHG Textfiels Bold 3 3 3 2 29" xfId="14881" xr:uid="{54883288-369C-4160-BBA8-A1458C2ABA66}"/>
    <cellStyle name="Normal GHG Textfiels Bold 3 3 3 2 3" xfId="1607" xr:uid="{16D13541-ACB6-45E4-B49D-3B8F4F2E76BF}"/>
    <cellStyle name="Normal GHG Textfiels Bold 3 3 3 2 30" xfId="14074" xr:uid="{FC8820A3-7EAC-4672-8551-0F799A2C8787}"/>
    <cellStyle name="Normal GHG Textfiels Bold 3 3 3 2 31" xfId="14980" xr:uid="{FD897EA1-47DB-4329-A64B-326CBA673DEE}"/>
    <cellStyle name="Normal GHG Textfiels Bold 3 3 3 2 32" xfId="15979" xr:uid="{17BE1F00-7E59-4FEB-B986-244930695ECC}"/>
    <cellStyle name="Normal GHG Textfiels Bold 3 3 3 2 33" xfId="16842" xr:uid="{D239A6D6-37E5-4764-BC99-C0860A6A9AA7}"/>
    <cellStyle name="Normal GHG Textfiels Bold 3 3 3 2 34" xfId="17354" xr:uid="{F1B056DC-433C-4999-A49E-B434EC0459ED}"/>
    <cellStyle name="Normal GHG Textfiels Bold 3 3 3 2 35" xfId="17796" xr:uid="{35AC8E4A-FFDE-4B6A-8185-162000B706EE}"/>
    <cellStyle name="Normal GHG Textfiels Bold 3 3 3 2 36" xfId="17745" xr:uid="{34E510B6-85E8-4D5E-8D1E-53B1C19B0B31}"/>
    <cellStyle name="Normal GHG Textfiels Bold 3 3 3 2 37" xfId="18660" xr:uid="{5782AEA4-A229-4FB1-8A15-08CB7B7707AB}"/>
    <cellStyle name="Normal GHG Textfiels Bold 3 3 3 2 38" xfId="18837" xr:uid="{2B207BB4-77EA-44FC-8BD9-ADA48F00E5F9}"/>
    <cellStyle name="Normal GHG Textfiels Bold 3 3 3 2 39" xfId="18816" xr:uid="{6C637283-C9C6-499F-8267-B48FA94CD1F3}"/>
    <cellStyle name="Normal GHG Textfiels Bold 3 3 3 2 4" xfId="2619" xr:uid="{C2752E41-8FF8-495C-8BB9-E5BB3457C684}"/>
    <cellStyle name="Normal GHG Textfiels Bold 3 3 3 2 40" xfId="20179" xr:uid="{C2062086-F833-438B-9F4B-689A7545B358}"/>
    <cellStyle name="Normal GHG Textfiels Bold 3 3 3 2 41" xfId="20705" xr:uid="{C7BF6852-39D2-4DB0-BA4C-8D508B2C32ED}"/>
    <cellStyle name="Normal GHG Textfiels Bold 3 3 3 2 42" xfId="21162" xr:uid="{2462988D-D993-41F8-B939-53C1CEB410D1}"/>
    <cellStyle name="Normal GHG Textfiels Bold 3 3 3 2 43" xfId="21525" xr:uid="{B159E45B-6BDF-481F-8356-B1C14C4E4CD9}"/>
    <cellStyle name="Normal GHG Textfiels Bold 3 3 3 2 44" xfId="22093" xr:uid="{E8F0E455-1453-4961-88AC-B1734AFF0E62}"/>
    <cellStyle name="Normal GHG Textfiels Bold 3 3 3 2 45" xfId="22521" xr:uid="{0BA35B54-4F42-4B37-81F9-D4F7FAC90DF1}"/>
    <cellStyle name="Normal GHG Textfiels Bold 3 3 3 2 46" xfId="21858" xr:uid="{4E81E4A7-2F04-4729-AA79-C3AEA10C6B17}"/>
    <cellStyle name="Normal GHG Textfiels Bold 3 3 3 2 47" xfId="23112" xr:uid="{FD9386FE-4C99-415B-ACE2-1EE1D15A7F04}"/>
    <cellStyle name="Normal GHG Textfiels Bold 3 3 3 2 48" xfId="23346" xr:uid="{7ADEF047-16AF-4CE5-B190-31159FB1C708}"/>
    <cellStyle name="Normal GHG Textfiels Bold 3 3 3 2 49" xfId="23979" xr:uid="{D3E286B5-8497-4E35-8106-C966B29A9540}"/>
    <cellStyle name="Normal GHG Textfiels Bold 3 3 3 2 5" xfId="2128" xr:uid="{55B92A97-010B-4564-8041-6A1EE7C61007}"/>
    <cellStyle name="Normal GHG Textfiels Bold 3 3 3 2 50" xfId="24887" xr:uid="{A405B00D-E05C-4F6B-B70C-E9A270FA791D}"/>
    <cellStyle name="Normal GHG Textfiels Bold 3 3 3 2 51" xfId="25408" xr:uid="{21667510-ECBA-45EF-8E35-76427FF60984}"/>
    <cellStyle name="Normal GHG Textfiels Bold 3 3 3 2 52" xfId="25803" xr:uid="{4B93958A-9E89-4AFC-B10F-D5D2787391E1}"/>
    <cellStyle name="Normal GHG Textfiels Bold 3 3 3 2 53" xfId="24289" xr:uid="{6194E599-8764-4EA4-9ACE-534A393E074A}"/>
    <cellStyle name="Normal GHG Textfiels Bold 3 3 3 2 54" xfId="25481" xr:uid="{6B6AF3D1-6676-43BE-AA18-96DB98951E6A}"/>
    <cellStyle name="Normal GHG Textfiels Bold 3 3 3 2 55" xfId="27091" xr:uid="{025CF896-52E4-4E87-90D4-31A493255224}"/>
    <cellStyle name="Normal GHG Textfiels Bold 3 3 3 2 56" xfId="27510" xr:uid="{AD79C443-CB46-4C81-A0D5-0AEA067EF632}"/>
    <cellStyle name="Normal GHG Textfiels Bold 3 3 3 2 57" xfId="26560" xr:uid="{D5C69353-6F10-4210-8CA8-200F8EA40956}"/>
    <cellStyle name="Normal GHG Textfiels Bold 3 3 3 2 58" xfId="28637" xr:uid="{F03B103C-E49C-41C9-8204-4472522B6F7A}"/>
    <cellStyle name="Normal GHG Textfiels Bold 3 3 3 2 59" xfId="29104" xr:uid="{CF703EB6-1468-4FC9-BCBF-1F2F1C623E4F}"/>
    <cellStyle name="Normal GHG Textfiels Bold 3 3 3 2 6" xfId="3732" xr:uid="{B24CDB9C-9C73-4A1C-8948-7A1E59E97DE7}"/>
    <cellStyle name="Normal GHG Textfiels Bold 3 3 3 2 60" xfId="29523" xr:uid="{270DF34A-9CA2-49BD-85A4-7E330269A5C2}"/>
    <cellStyle name="Normal GHG Textfiels Bold 3 3 3 2 61" xfId="29893" xr:uid="{09787521-42D1-460B-9453-55FF38AA419A}"/>
    <cellStyle name="Normal GHG Textfiels Bold 3 3 3 2 62" xfId="30299" xr:uid="{C708EAB9-A442-4639-BD48-8AC057F034E5}"/>
    <cellStyle name="Normal GHG Textfiels Bold 3 3 3 2 63" xfId="30716" xr:uid="{EB00EBA1-47D6-4791-8F46-6A483D35DCB3}"/>
    <cellStyle name="Normal GHG Textfiels Bold 3 3 3 2 64" xfId="29338" xr:uid="{4E2CC524-9949-4478-99B2-296E01B7D596}"/>
    <cellStyle name="Normal GHG Textfiels Bold 3 3 3 2 65" xfId="31332" xr:uid="{E72F775F-8746-4229-A22C-149AC9CEFB7F}"/>
    <cellStyle name="Normal GHG Textfiels Bold 3 3 3 2 7" xfId="4115" xr:uid="{CEB2ED83-A5A4-4003-ADDF-7478CA7366FB}"/>
    <cellStyle name="Normal GHG Textfiels Bold 3 3 3 2 8" xfId="4552" xr:uid="{B48234ED-F9C9-4DF6-94A5-1AF66FCBC100}"/>
    <cellStyle name="Normal GHG Textfiels Bold 3 3 3 2 9" xfId="2991" xr:uid="{E4F1BBBB-4D9A-4759-BD14-88C5A3D121A2}"/>
    <cellStyle name="Normal GHG Textfiels Bold 3 3 3 20" xfId="10207" xr:uid="{4552F81C-620E-4CAD-80AC-80E16DA78E62}"/>
    <cellStyle name="Normal GHG Textfiels Bold 3 3 3 21" xfId="10611" xr:uid="{75D48EC5-A801-4DF0-BB12-7963BF29B8CE}"/>
    <cellStyle name="Normal GHG Textfiels Bold 3 3 3 22" xfId="10218" xr:uid="{8810DAE8-B4CC-4178-9EDB-0F206801A001}"/>
    <cellStyle name="Normal GHG Textfiels Bold 3 3 3 23" xfId="10971" xr:uid="{BE545BC4-DDB7-46AB-A227-0D8931C6FB70}"/>
    <cellStyle name="Normal GHG Textfiels Bold 3 3 3 24" xfId="11935" xr:uid="{12EB8C00-0FBE-4A04-9A47-E17C6FA0B081}"/>
    <cellStyle name="Normal GHG Textfiels Bold 3 3 3 25" xfId="12408" xr:uid="{C75978C2-9D78-4AD5-9B89-D5E623B5D3E6}"/>
    <cellStyle name="Normal GHG Textfiels Bold 3 3 3 26" xfId="12842" xr:uid="{45928E31-BB14-44E9-9F79-95A754E61557}"/>
    <cellStyle name="Normal GHG Textfiels Bold 3 3 3 27" xfId="13279" xr:uid="{340ED9D7-DF9F-4C53-8791-47C3958F5FC9}"/>
    <cellStyle name="Normal GHG Textfiels Bold 3 3 3 28" xfId="11600" xr:uid="{060A57B6-AADE-457C-8A8C-B6A5FE601046}"/>
    <cellStyle name="Normal GHG Textfiels Bold 3 3 3 29" xfId="14324" xr:uid="{16EFFED1-758F-440C-A731-D3645A7756E3}"/>
    <cellStyle name="Normal GHG Textfiels Bold 3 3 3 3" xfId="1065" xr:uid="{2C5D020D-322A-4B4A-9790-105CBD96CB7F}"/>
    <cellStyle name="Normal GHG Textfiels Bold 3 3 3 30" xfId="13794" xr:uid="{3C919E9A-01A4-4915-845C-A6FB1C20BED8}"/>
    <cellStyle name="Normal GHG Textfiels Bold 3 3 3 31" xfId="14893" xr:uid="{889A16FA-8583-4CC6-A9F2-1384C45C4920}"/>
    <cellStyle name="Normal GHG Textfiels Bold 3 3 3 32" xfId="15256" xr:uid="{E589C187-D211-408E-8628-7839EB5576BB}"/>
    <cellStyle name="Normal GHG Textfiels Bold 3 3 3 33" xfId="15970" xr:uid="{24E3D3DA-2858-4F4A-92F5-D509B50162DA}"/>
    <cellStyle name="Normal GHG Textfiels Bold 3 3 3 34" xfId="16627" xr:uid="{2897936E-609E-44FB-837A-29BCD4CBDF66}"/>
    <cellStyle name="Normal GHG Textfiels Bold 3 3 3 35" xfId="17328" xr:uid="{FEFE5B6A-CBF4-4201-A081-B316C3B49E27}"/>
    <cellStyle name="Normal GHG Textfiels Bold 3 3 3 36" xfId="17771" xr:uid="{69CD6F44-85B4-4B52-9DCD-0E99679382B5}"/>
    <cellStyle name="Normal GHG Textfiels Bold 3 3 3 37" xfId="16995" xr:uid="{27EC4B7A-50F1-47CF-A80E-EAEB9DEAA663}"/>
    <cellStyle name="Normal GHG Textfiels Bold 3 3 3 38" xfId="18445" xr:uid="{A2B95775-A6F5-4F89-8A83-C5BFC0B2E328}"/>
    <cellStyle name="Normal GHG Textfiels Bold 3 3 3 39" xfId="18180" xr:uid="{5991AE14-49B6-421C-B24F-5DE7C5A7A17A}"/>
    <cellStyle name="Normal GHG Textfiels Bold 3 3 3 4" xfId="1704" xr:uid="{DFE9466B-E858-4C38-9013-3DC7167C17B1}"/>
    <cellStyle name="Normal GHG Textfiels Bold 3 3 3 40" xfId="19323" xr:uid="{1117F12B-F6F2-4095-9CB0-7DB515E4B273}"/>
    <cellStyle name="Normal GHG Textfiels Bold 3 3 3 41" xfId="19964" xr:uid="{9650F8D9-A277-4D53-A1FE-A949434CED07}"/>
    <cellStyle name="Normal GHG Textfiels Bold 3 3 3 42" xfId="20679" xr:uid="{29CE3218-E3B6-4E6E-B3B2-5A1CE7ABE298}"/>
    <cellStyle name="Normal GHG Textfiels Bold 3 3 3 43" xfId="21135" xr:uid="{2251F0C0-B905-498D-8C44-50DDC60EE07F}"/>
    <cellStyle name="Normal GHG Textfiels Bold 3 3 3 44" xfId="19819" xr:uid="{3132F3F4-65AC-41D8-BB62-0B66A95A7860}"/>
    <cellStyle name="Normal GHG Textfiels Bold 3 3 3 45" xfId="22067" xr:uid="{6E28EE4A-4C2D-414E-AF6B-0CB67DC915CD}"/>
    <cellStyle name="Normal GHG Textfiels Bold 3 3 3 46" xfId="22495" xr:uid="{8A11E189-56B9-4B6D-8C04-A366514148E2}"/>
    <cellStyle name="Normal GHG Textfiels Bold 3 3 3 47" xfId="22449" xr:uid="{83E09370-10B0-4DF1-A33C-3C8683A49C41}"/>
    <cellStyle name="Normal GHG Textfiels Bold 3 3 3 48" xfId="22895" xr:uid="{9FCB2D47-AF1F-46DD-A46D-1D8B7392A3AC}"/>
    <cellStyle name="Normal GHG Textfiels Bold 3 3 3 49" xfId="23584" xr:uid="{CB7DB047-F1B9-4EEB-BC97-4E2B1A27C4B2}"/>
    <cellStyle name="Normal GHG Textfiels Bold 3 3 3 5" xfId="2404" xr:uid="{7128F7AC-E240-4F0C-92D5-46C70A14EC5F}"/>
    <cellStyle name="Normal GHG Textfiels Bold 3 3 3 50" xfId="23773" xr:uid="{C210AFD0-DCC8-486C-9B42-C0603BA17CD5}"/>
    <cellStyle name="Normal GHG Textfiels Bold 3 3 3 51" xfId="24672" xr:uid="{73931F27-2022-41AF-AC0B-7C7432431C0A}"/>
    <cellStyle name="Normal GHG Textfiels Bold 3 3 3 52" xfId="25382" xr:uid="{60E4AF9D-B861-48E4-A4B4-FA66F0F8F5BA}"/>
    <cellStyle name="Normal GHG Textfiels Bold 3 3 3 53" xfId="25590" xr:uid="{6932008E-1180-4131-AF25-C229FADE8310}"/>
    <cellStyle name="Normal GHG Textfiels Bold 3 3 3 54" xfId="25421" xr:uid="{8DD63F98-6336-440E-8375-5B9B5195CAC3}"/>
    <cellStyle name="Normal GHG Textfiels Bold 3 3 3 55" xfId="26115" xr:uid="{3BA1BDDA-FDBE-4E00-A24C-5C73662F84A5}"/>
    <cellStyle name="Normal GHG Textfiels Bold 3 3 3 56" xfId="26880" xr:uid="{80B92ED8-9747-427A-B972-783756D25C69}"/>
    <cellStyle name="Normal GHG Textfiels Bold 3 3 3 57" xfId="27299" xr:uid="{91D7A2BF-21D8-407C-9FB0-A97D478BBB41}"/>
    <cellStyle name="Normal GHG Textfiels Bold 3 3 3 58" xfId="27196" xr:uid="{661B4D17-4D93-4296-9A53-155C98009FDF}"/>
    <cellStyle name="Normal GHG Textfiels Bold 3 3 3 59" xfId="28422" xr:uid="{18EE7FC1-C131-4C91-92FC-56AD39B947EA}"/>
    <cellStyle name="Normal GHG Textfiels Bold 3 3 3 6" xfId="1914" xr:uid="{7621EC4C-658A-4897-B11B-D1D4CCF8AF91}"/>
    <cellStyle name="Normal GHG Textfiels Bold 3 3 3 60" xfId="28890" xr:uid="{A84F82C8-EC28-4B47-A365-C0A407087555}"/>
    <cellStyle name="Normal GHG Textfiels Bold 3 3 3 61" xfId="29504" xr:uid="{4714BDEC-FF06-4A25-A542-3BFC69C531A0}"/>
    <cellStyle name="Normal GHG Textfiels Bold 3 3 3 62" xfId="29680" xr:uid="{7FAFBE15-82D5-45C5-BD0A-B637B6DEFC31}"/>
    <cellStyle name="Normal GHG Textfiels Bold 3 3 3 63" xfId="30088" xr:uid="{701CA3B1-36B9-4018-B702-BFE7C84209DF}"/>
    <cellStyle name="Normal GHG Textfiels Bold 3 3 3 64" xfId="30502" xr:uid="{194ACEDA-ECA8-4696-9700-176269515DB4}"/>
    <cellStyle name="Normal GHG Textfiels Bold 3 3 3 65" xfId="30964" xr:uid="{06750962-9590-40DF-94C2-677F0C60389D}"/>
    <cellStyle name="Normal GHG Textfiels Bold 3 3 3 66" xfId="31126" xr:uid="{E3AB9262-EFF2-49BA-A13E-87EF2172DDC9}"/>
    <cellStyle name="Normal GHG Textfiels Bold 3 3 3 7" xfId="3348" xr:uid="{3D43659E-BE43-4CA0-9568-7586E1D76623}"/>
    <cellStyle name="Normal GHG Textfiels Bold 3 3 3 8" xfId="3900" xr:uid="{B7DB7D0A-3E30-4053-95CB-0AEF4A6756C0}"/>
    <cellStyle name="Normal GHG Textfiels Bold 3 3 3 9" xfId="4338" xr:uid="{47AE69C9-5BB2-4B01-9BC0-49A493217CBB}"/>
    <cellStyle name="Normal GHG Textfiels Bold 3 3 30" xfId="13887" xr:uid="{05DB1686-FAFB-4BD1-8321-7DCC49523286}"/>
    <cellStyle name="Normal GHG Textfiels Bold 3 3 31" xfId="13943" xr:uid="{CE641704-2959-4F5E-AA91-7418BC5F4039}"/>
    <cellStyle name="Normal GHG Textfiels Bold 3 3 32" xfId="14634" xr:uid="{4C4975DD-5116-4B15-B9D6-B79CEB338C16}"/>
    <cellStyle name="Normal GHG Textfiels Bold 3 3 33" xfId="14382" xr:uid="{070F852B-F1E9-4734-8BA5-60533551FABB}"/>
    <cellStyle name="Normal GHG Textfiels Bold 3 3 34" xfId="15761" xr:uid="{E8A61C17-BE8A-4988-BB21-5D13F6E8E3D8}"/>
    <cellStyle name="Normal GHG Textfiels Bold 3 3 35" xfId="15816" xr:uid="{86C63BCA-B743-4DFD-91C7-812565C05022}"/>
    <cellStyle name="Normal GHG Textfiels Bold 3 3 36" xfId="16410" xr:uid="{504F3389-826C-4AA0-A3FE-C04163359798}"/>
    <cellStyle name="Normal GHG Textfiels Bold 3 3 37" xfId="17042" xr:uid="{97F29C35-8B50-4572-BFD8-1BCB078B5C1D}"/>
    <cellStyle name="Normal GHG Textfiels Bold 3 3 38" xfId="17490" xr:uid="{DF583A33-93E8-441F-9FC3-2B283C667FBE}"/>
    <cellStyle name="Normal GHG Textfiels Bold 3 3 39" xfId="17869" xr:uid="{9A3160DC-237B-4AED-865D-2C6C3A3C4B1B}"/>
    <cellStyle name="Normal GHG Textfiels Bold 3 3 4" xfId="557" xr:uid="{BD53A55F-6ECD-4693-9D6E-18E7F558E0CD}"/>
    <cellStyle name="Normal GHG Textfiels Bold 3 3 4 10" xfId="4226" xr:uid="{A9A56395-00DD-4C8C-AC97-66BAA7EBFE23}"/>
    <cellStyle name="Normal GHG Textfiels Bold 3 3 4 11" xfId="5205" xr:uid="{FF4ED5EB-0405-4F04-85A5-F84582ED3861}"/>
    <cellStyle name="Normal GHG Textfiels Bold 3 3 4 12" xfId="3462" xr:uid="{2BC213DE-73D0-44FF-A437-544AC70EBB87}"/>
    <cellStyle name="Normal GHG Textfiels Bold 3 3 4 13" xfId="5577" xr:uid="{F5CAD5DA-3BE8-4515-AB24-41E3733EA9DD}"/>
    <cellStyle name="Normal GHG Textfiels Bold 3 3 4 14" xfId="6203" xr:uid="{282EC8CB-959B-4F5D-904F-E2904E7F2450}"/>
    <cellStyle name="Normal GHG Textfiels Bold 3 3 4 15" xfId="7277" xr:uid="{5C014052-0A06-4F29-9275-BD1AB41FFAC0}"/>
    <cellStyle name="Normal GHG Textfiels Bold 3 3 4 16" xfId="7877" xr:uid="{F5755951-8587-4D59-BA00-F07CED0957B5}"/>
    <cellStyle name="Normal GHG Textfiels Bold 3 3 4 17" xfId="6846" xr:uid="{CBFA70E9-2B40-4425-829C-7E3E51196809}"/>
    <cellStyle name="Normal GHG Textfiels Bold 3 3 4 18" xfId="8411" xr:uid="{8ACBA018-4BB4-419E-8289-11754E40ADA9}"/>
    <cellStyle name="Normal GHG Textfiels Bold 3 3 4 19" xfId="9491" xr:uid="{529B3E27-E68A-4C05-8B0F-621CD708CFBA}"/>
    <cellStyle name="Normal GHG Textfiels Bold 3 3 4 2" xfId="772" xr:uid="{5C9900FA-D329-40DD-9F1B-83CEA8F9CAE6}"/>
    <cellStyle name="Normal GHG Textfiels Bold 3 3 4 2 10" xfId="5420" xr:uid="{042D9D01-7A43-4D33-89CB-C58D12AAD797}"/>
    <cellStyle name="Normal GHG Textfiels Bold 3 3 4 2 11" xfId="5640" xr:uid="{F8AAF590-78A1-42F6-A8A7-23F4E93B379B}"/>
    <cellStyle name="Normal GHG Textfiels Bold 3 3 4 2 12" xfId="5789" xr:uid="{0AD4AC21-1B48-4838-B992-ED98D81C5F1E}"/>
    <cellStyle name="Normal GHG Textfiels Bold 3 3 4 2 13" xfId="6531" xr:uid="{21F4E7E2-D344-41B7-8C2C-849D3E47B72C}"/>
    <cellStyle name="Normal GHG Textfiels Bold 3 3 4 2 14" xfId="7492" xr:uid="{F5DD235D-D4F8-4212-BFB8-5E302CD3A846}"/>
    <cellStyle name="Normal GHG Textfiels Bold 3 3 4 2 15" xfId="7035" xr:uid="{24031E72-C83E-4228-B434-78B2C5CF27BF}"/>
    <cellStyle name="Normal GHG Textfiels Bold 3 3 4 2 16" xfId="7085" xr:uid="{10678C1F-5A9B-4FB0-B36B-9B3372E062BB}"/>
    <cellStyle name="Normal GHG Textfiels Bold 3 3 4 2 17" xfId="8442" xr:uid="{4900C11F-D4A8-4424-8A96-80B45447FCB8}"/>
    <cellStyle name="Normal GHG Textfiels Bold 3 3 4 2 18" xfId="9706" xr:uid="{8F27401C-36C7-431D-A930-D637AD235EA4}"/>
    <cellStyle name="Normal GHG Textfiels Bold 3 3 4 2 19" xfId="9248" xr:uid="{68E7A297-F46F-4659-AAC0-6B4D60FFCE72}"/>
    <cellStyle name="Normal GHG Textfiels Bold 3 3 4 2 2" xfId="1246" xr:uid="{BD533F69-1BD2-40E9-9C2F-7963BB28E793}"/>
    <cellStyle name="Normal GHG Textfiels Bold 3 3 4 2 20" xfId="10143" xr:uid="{9CCD1AEE-35E9-4CCC-85C9-6CF1516F83DD}"/>
    <cellStyle name="Normal GHG Textfiels Bold 3 3 4 2 21" xfId="9121" xr:uid="{1F2A53BD-8181-42E4-9C30-0AE50630D012}"/>
    <cellStyle name="Normal GHG Textfiels Bold 3 3 4 2 22" xfId="10301" xr:uid="{B4EC2AFC-C707-49DA-8E1B-BE7828E8DEA4}"/>
    <cellStyle name="Normal GHG Textfiels Bold 3 3 4 2 23" xfId="12125" xr:uid="{33F30450-6CE2-41F4-9043-27ECD816AE61}"/>
    <cellStyle name="Normal GHG Textfiels Bold 3 3 4 2 24" xfId="12598" xr:uid="{9CCA005A-3EDA-4BB1-B666-26C164FB777E}"/>
    <cellStyle name="Normal GHG Textfiels Bold 3 3 4 2 25" xfId="13032" xr:uid="{45FEF4D2-6C38-4D95-AB2D-76C061283F6C}"/>
    <cellStyle name="Normal GHG Textfiels Bold 3 3 4 2 26" xfId="13469" xr:uid="{5831B6DC-4362-4457-870A-03C9E4EB83D8}"/>
    <cellStyle name="Normal GHG Textfiels Bold 3 3 4 2 27" xfId="11826" xr:uid="{E6A0E0B6-3B4B-4B53-86DD-D96151F794B0}"/>
    <cellStyle name="Normal GHG Textfiels Bold 3 3 4 2 28" xfId="13647" xr:uid="{B76A9396-0613-45C4-B83A-EFBE2BEC4155}"/>
    <cellStyle name="Normal GHG Textfiels Bold 3 3 4 2 29" xfId="14174" xr:uid="{844C5E3A-7E73-4494-A8C5-958CBB5271FA}"/>
    <cellStyle name="Normal GHG Textfiels Bold 3 3 4 2 3" xfId="1484" xr:uid="{F6D72E4E-6B78-462C-8E92-884DC15EA14E}"/>
    <cellStyle name="Normal GHG Textfiels Bold 3 3 4 2 30" xfId="15267" xr:uid="{292FCE36-5D89-4D66-BE38-F6CE813C0038}"/>
    <cellStyle name="Normal GHG Textfiels Bold 3 3 4 2 31" xfId="14330" xr:uid="{CCC25FD4-99C0-4450-9CE2-2FC38BAEF60E}"/>
    <cellStyle name="Normal GHG Textfiels Bold 3 3 4 2 32" xfId="15703" xr:uid="{5C3E5394-9E8D-4E45-A843-8F0F37160495}"/>
    <cellStyle name="Normal GHG Textfiels Bold 3 3 4 2 33" xfId="16817" xr:uid="{E3F47200-7A69-449B-B5F8-03EFFDF91942}"/>
    <cellStyle name="Normal GHG Textfiels Bold 3 3 4 2 34" xfId="16358" xr:uid="{ADE10F08-AAEC-4016-8268-C54D11C6C6B2}"/>
    <cellStyle name="Normal GHG Textfiels Bold 3 3 4 2 35" xfId="17263" xr:uid="{B9D2DEE8-8633-451B-A4BA-AE31F6776B02}"/>
    <cellStyle name="Normal GHG Textfiels Bold 3 3 4 2 36" xfId="17426" xr:uid="{560CA2CB-36C3-4811-B1C4-956FDE354A97}"/>
    <cellStyle name="Normal GHG Textfiels Bold 3 3 4 2 37" xfId="18635" xr:uid="{35D2B5A8-6FA8-45AA-892A-6879F6AE91F0}"/>
    <cellStyle name="Normal GHG Textfiels Bold 3 3 4 2 38" xfId="17574" xr:uid="{84DA131A-45AF-4C4C-B165-B9879279D0A8}"/>
    <cellStyle name="Normal GHG Textfiels Bold 3 3 4 2 39" xfId="19033" xr:uid="{0C79902B-5E24-4E08-97D3-95E64148CDEA}"/>
    <cellStyle name="Normal GHG Textfiels Bold 3 3 4 2 4" xfId="2594" xr:uid="{2F9FDB51-ACEB-4F46-B7F1-3C96E96E1F03}"/>
    <cellStyle name="Normal GHG Textfiels Bold 3 3 4 2 40" xfId="20154" xr:uid="{BA1FCDAB-3D80-4202-9935-37D8AB82044E}"/>
    <cellStyle name="Normal GHG Textfiels Bold 3 3 4 2 41" xfId="19691" xr:uid="{8138922D-40BF-4293-8266-C71C210F1889}"/>
    <cellStyle name="Normal GHG Textfiels Bold 3 3 4 2 42" xfId="20593" xr:uid="{4948A320-D3E4-467D-8D36-7A2AD3CFA48A}"/>
    <cellStyle name="Normal GHG Textfiels Bold 3 3 4 2 43" xfId="21311" xr:uid="{AD92011E-A57E-42B8-A299-DDD911F0A3A4}"/>
    <cellStyle name="Normal GHG Textfiels Bold 3 3 4 2 44" xfId="20789" xr:uid="{B3E89ADB-19C1-45F1-9100-969313A3D4D4}"/>
    <cellStyle name="Normal GHG Textfiels Bold 3 3 4 2 45" xfId="22074" xr:uid="{46350DF3-E5CF-4FE7-B72E-2060ED85F76B}"/>
    <cellStyle name="Normal GHG Textfiels Bold 3 3 4 2 46" xfId="21051" xr:uid="{B492176C-0984-4EA0-960D-0215510434CC}"/>
    <cellStyle name="Normal GHG Textfiels Bold 3 3 4 2 47" xfId="22865" xr:uid="{687CF197-888D-4B6C-827C-8FF23E8572F4}"/>
    <cellStyle name="Normal GHG Textfiels Bold 3 3 4 2 48" xfId="23243" xr:uid="{D11DF944-9151-4728-B152-77F583A65CBB}"/>
    <cellStyle name="Normal GHG Textfiels Bold 3 3 4 2 49" xfId="23954" xr:uid="{E41B225D-3B33-4F17-9991-C9066316BCB8}"/>
    <cellStyle name="Normal GHG Textfiels Bold 3 3 4 2 5" xfId="2329" xr:uid="{084A679B-610D-4F1E-A015-3861EB092461}"/>
    <cellStyle name="Normal GHG Textfiels Bold 3 3 4 2 50" xfId="24862" xr:uid="{34D432F2-B66A-43AF-AF50-EEEED0E3ADB4}"/>
    <cellStyle name="Normal GHG Textfiels Bold 3 3 4 2 51" xfId="24402" xr:uid="{66882E86-00A7-45D1-B92F-0A5DC7AB4C81}"/>
    <cellStyle name="Normal GHG Textfiels Bold 3 3 4 2 52" xfId="25778" xr:uid="{519729C3-8FE3-43B4-9243-BD51A9677361}"/>
    <cellStyle name="Normal GHG Textfiels Bold 3 3 4 2 53" xfId="24460" xr:uid="{51DFFBFE-2966-47FA-B3DE-C8E39273C898}"/>
    <cellStyle name="Normal GHG Textfiels Bold 3 3 4 2 54" xfId="25044" xr:uid="{B4758372-C601-4FA5-84A7-A3457B4DE82F}"/>
    <cellStyle name="Normal GHG Textfiels Bold 3 3 4 2 55" xfId="27066" xr:uid="{D5F68CC0-873D-4F95-8B0B-36335D4794C1}"/>
    <cellStyle name="Normal GHG Textfiels Bold 3 3 4 2 56" xfId="27485" xr:uid="{7FA92D81-F768-40AB-9587-7B60A6F9AA60}"/>
    <cellStyle name="Normal GHG Textfiels Bold 3 3 4 2 57" xfId="26010" xr:uid="{341910FC-0F69-4745-9C3B-8A2A198696F9}"/>
    <cellStyle name="Normal GHG Textfiels Bold 3 3 4 2 58" xfId="28612" xr:uid="{28F7E32C-0814-47CD-87F6-8B4F569D8206}"/>
    <cellStyle name="Normal GHG Textfiels Bold 3 3 4 2 59" xfId="29079" xr:uid="{1B7534AB-8792-48D5-B200-0C5110536422}"/>
    <cellStyle name="Normal GHG Textfiels Bold 3 3 4 2 6" xfId="3556" xr:uid="{A1271D60-82BA-4BBD-BBC4-FF7CBFFAC478}"/>
    <cellStyle name="Normal GHG Textfiels Bold 3 3 4 2 60" xfId="28787" xr:uid="{A6C5B272-5944-4FB6-99C5-142CD3553347}"/>
    <cellStyle name="Normal GHG Textfiels Bold 3 3 4 2 61" xfId="29868" xr:uid="{B3CA35B4-F8C8-4EFF-9CC5-380F51D8A92E}"/>
    <cellStyle name="Normal GHG Textfiels Bold 3 3 4 2 62" xfId="30274" xr:uid="{D3CDE637-BA75-422E-99EA-CDE76CE2A4AF}"/>
    <cellStyle name="Normal GHG Textfiels Bold 3 3 4 2 63" xfId="30691" xr:uid="{CC8E7FD0-F8A7-4D4E-A1B5-C8CE86A461AB}"/>
    <cellStyle name="Normal GHG Textfiels Bold 3 3 4 2 64" xfId="29379" xr:uid="{5187B897-8776-4F37-A93D-C178ADA6FBBA}"/>
    <cellStyle name="Normal GHG Textfiels Bold 3 3 4 2 65" xfId="31307" xr:uid="{1936D9C6-ECE6-490C-A06F-B4DCADDE0A6E}"/>
    <cellStyle name="Normal GHG Textfiels Bold 3 3 4 2 7" xfId="4090" xr:uid="{CEA03A88-8F0E-4D19-A5FB-6E3C472EAD42}"/>
    <cellStyle name="Normal GHG Textfiels Bold 3 3 4 2 8" xfId="4527" xr:uid="{ECD103A5-4BFD-4384-8DEB-63A6A88A9821}"/>
    <cellStyle name="Normal GHG Textfiels Bold 3 3 4 2 9" xfId="4018" xr:uid="{699E1AF3-E52C-4907-A531-BA50DE23ECAD}"/>
    <cellStyle name="Normal GHG Textfiels Bold 3 3 4 20" xfId="10091" xr:uid="{86298A28-5564-415E-90CE-630126EAE3EA}"/>
    <cellStyle name="Normal GHG Textfiels Bold 3 3 4 21" xfId="10506" xr:uid="{C3255154-36EB-4BD8-9A23-4413EC51C670}"/>
    <cellStyle name="Normal GHG Textfiels Bold 3 3 4 22" xfId="10215" xr:uid="{D521C68B-A02B-4EAE-A764-0A4257F0CDD8}"/>
    <cellStyle name="Normal GHG Textfiels Bold 3 3 4 23" xfId="10706" xr:uid="{8D414751-018B-4400-B4DE-16C7FDDDA5FA}"/>
    <cellStyle name="Normal GHG Textfiels Bold 3 3 4 24" xfId="11910" xr:uid="{3D1EB38D-85FF-4A58-A29B-467F1D85FFCC}"/>
    <cellStyle name="Normal GHG Textfiels Bold 3 3 4 25" xfId="12383" xr:uid="{66D2F139-B3FA-4103-BF3E-F2C680E403E4}"/>
    <cellStyle name="Normal GHG Textfiels Bold 3 3 4 26" xfId="12817" xr:uid="{834A4A62-25BC-4AFD-8BB8-44F69EB0CA8F}"/>
    <cellStyle name="Normal GHG Textfiels Bold 3 3 4 27" xfId="13254" xr:uid="{67A0ECB8-8266-44C3-850A-1326EBB70ED8}"/>
    <cellStyle name="Normal GHG Textfiels Bold 3 3 4 28" xfId="13730" xr:uid="{F9D25D1F-955F-4A0B-8F67-96D3E76F6192}"/>
    <cellStyle name="Normal GHG Textfiels Bold 3 3 4 29" xfId="11582" xr:uid="{1FE6C01B-2AF7-4E6C-95E9-A5B56E4BEF17}"/>
    <cellStyle name="Normal GHG Textfiels Bold 3 3 4 3" xfId="1040" xr:uid="{3AC89F5E-5129-47ED-A881-519EDA8A387F}"/>
    <cellStyle name="Normal GHG Textfiels Bold 3 3 4 30" xfId="14587" xr:uid="{412C96C6-0413-4452-8975-F599A6ABF841}"/>
    <cellStyle name="Normal GHG Textfiels Bold 3 3 4 31" xfId="15190" xr:uid="{F8CA6B73-15FC-4BBF-900B-C06C4E20981B}"/>
    <cellStyle name="Normal GHG Textfiels Bold 3 3 4 32" xfId="15738" xr:uid="{9E26BA52-956C-4122-A4F3-477C6878F8B5}"/>
    <cellStyle name="Normal GHG Textfiels Bold 3 3 4 33" xfId="15903" xr:uid="{010B2BAA-83CD-4E6C-A9C4-8BB4A5A0209B}"/>
    <cellStyle name="Normal GHG Textfiels Bold 3 3 4 34" xfId="16602" xr:uid="{1003ACA6-B136-4F61-9BB1-B453D08A5C90}"/>
    <cellStyle name="Normal GHG Textfiels Bold 3 3 4 35" xfId="17209" xr:uid="{47C673C3-4FB9-49D8-AC04-F6DB935BDC62}"/>
    <cellStyle name="Normal GHG Textfiels Bold 3 3 4 36" xfId="17655" xr:uid="{767845D2-FDFE-4C53-90A1-609D755A28E6}"/>
    <cellStyle name="Normal GHG Textfiels Bold 3 3 4 37" xfId="17630" xr:uid="{5484BBB6-50D1-4BD6-A1C1-836B5EC46602}"/>
    <cellStyle name="Normal GHG Textfiels Bold 3 3 4 38" xfId="18420" xr:uid="{AE4A4638-6DE2-493C-B0E5-D2CAFBF08B2D}"/>
    <cellStyle name="Normal GHG Textfiels Bold 3 3 4 39" xfId="18810" xr:uid="{4E068FDB-0950-4E70-BBC7-B39423A4CC66}"/>
    <cellStyle name="Normal GHG Textfiels Bold 3 3 4 4" xfId="1651" xr:uid="{A652D4B4-5676-4495-816F-6101B1758F52}"/>
    <cellStyle name="Normal GHG Textfiels Bold 3 3 4 40" xfId="18887" xr:uid="{5D938DA4-946A-4A98-9383-3A33E1E27895}"/>
    <cellStyle name="Normal GHG Textfiels Bold 3 3 4 41" xfId="19939" xr:uid="{91E5EDDB-D8D1-4CF7-BCB2-F1E5D319B972}"/>
    <cellStyle name="Normal GHG Textfiels Bold 3 3 4 42" xfId="20562" xr:uid="{A8B7B8CF-0EE4-40D8-8382-B38DCECF0141}"/>
    <cellStyle name="Normal GHG Textfiels Bold 3 3 4 43" xfId="21015" xr:uid="{32F6930A-7640-4C95-9597-C60D64682328}"/>
    <cellStyle name="Normal GHG Textfiels Bold 3 3 4 44" xfId="21448" xr:uid="{72340A48-1D61-4B6B-92F2-E1EF3B86454D}"/>
    <cellStyle name="Normal GHG Textfiels Bold 3 3 4 45" xfId="21946" xr:uid="{DFD69D3E-DC9E-48B9-A9E7-599068002AD8}"/>
    <cellStyle name="Normal GHG Textfiels Bold 3 3 4 46" xfId="22378" xr:uid="{B62AA232-A5D7-415C-9EA4-BDC4EB2D32E1}"/>
    <cellStyle name="Normal GHG Textfiels Bold 3 3 4 47" xfId="22726" xr:uid="{E9B4292E-8E8E-4AD6-9769-41551C29B20A}"/>
    <cellStyle name="Normal GHG Textfiels Bold 3 3 4 48" xfId="23083" xr:uid="{96AA6761-6A4E-470F-9548-1E9610D8F785}"/>
    <cellStyle name="Normal GHG Textfiels Bold 3 3 4 49" xfId="23387" xr:uid="{5C5CA642-04B8-46A3-992F-CC2D203A6BB3}"/>
    <cellStyle name="Normal GHG Textfiels Bold 3 3 4 5" xfId="2379" xr:uid="{0D9807F2-C02E-47A9-9E64-7BB672920A14}"/>
    <cellStyle name="Normal GHG Textfiels Bold 3 3 4 50" xfId="23748" xr:uid="{75466C5C-B345-4535-A422-4BD41C06FA69}"/>
    <cellStyle name="Normal GHG Textfiels Bold 3 3 4 51" xfId="24647" xr:uid="{DE944321-6A59-46D3-9B38-A75CECE2ACE8}"/>
    <cellStyle name="Normal GHG Textfiels Bold 3 3 4 52" xfId="25270" xr:uid="{5CB03D27-EBEA-42BC-863D-6D8425700667}"/>
    <cellStyle name="Normal GHG Textfiels Bold 3 3 4 53" xfId="25565" xr:uid="{079CDF33-D539-419B-8164-56ADFD650DFD}"/>
    <cellStyle name="Normal GHG Textfiels Bold 3 3 4 54" xfId="26030" xr:uid="{E0A9EC71-7099-40A9-B939-D921D8BEECFA}"/>
    <cellStyle name="Normal GHG Textfiels Bold 3 3 4 55" xfId="25132" xr:uid="{B08FF910-EF79-44BF-8890-5D45DFDACB1E}"/>
    <cellStyle name="Normal GHG Textfiels Bold 3 3 4 56" xfId="26855" xr:uid="{E1EBDE68-8724-4EB8-B7DB-C07FE90593A6}"/>
    <cellStyle name="Normal GHG Textfiels Bold 3 3 4 57" xfId="27274" xr:uid="{9DD8EB72-D52E-445E-9177-C13A037B4005}"/>
    <cellStyle name="Normal GHG Textfiels Bold 3 3 4 58" xfId="26786" xr:uid="{B75C840A-78C1-45B1-88E2-988BA266093C}"/>
    <cellStyle name="Normal GHG Textfiels Bold 3 3 4 59" xfId="28397" xr:uid="{EE13313E-DD0D-422E-97DB-483DA1FA35A3}"/>
    <cellStyle name="Normal GHG Textfiels Bold 3 3 4 6" xfId="2895" xr:uid="{15004994-11C4-4E34-A8E0-1BF26E249C5A}"/>
    <cellStyle name="Normal GHG Textfiels Bold 3 3 4 60" xfId="28865" xr:uid="{ACC554D1-3EC8-4B06-A69A-B202A50C81FE}"/>
    <cellStyle name="Normal GHG Textfiels Bold 3 3 4 61" xfId="29400" xr:uid="{61F7522C-4157-4916-B5EF-9CF2D68C0EE8}"/>
    <cellStyle name="Normal GHG Textfiels Bold 3 3 4 62" xfId="29655" xr:uid="{E02AC034-CD80-4FE0-85B8-13FBC3E4D812}"/>
    <cellStyle name="Normal GHG Textfiels Bold 3 3 4 63" xfId="30063" xr:uid="{5B2B7893-D7B9-415E-ACE3-EE29B6E5DF7F}"/>
    <cellStyle name="Normal GHG Textfiels Bold 3 3 4 64" xfId="30477" xr:uid="{93FD1E58-BD00-4D26-85D2-D54D38CE9AE4}"/>
    <cellStyle name="Normal GHG Textfiels Bold 3 3 4 65" xfId="30832" xr:uid="{60754043-993C-44B7-89D2-CEB61CE9B1D4}"/>
    <cellStyle name="Normal GHG Textfiels Bold 3 3 4 66" xfId="31101" xr:uid="{EB37A0DC-70A6-4355-B19B-C80583014258}"/>
    <cellStyle name="Normal GHG Textfiels Bold 3 3 4 7" xfId="3528" xr:uid="{E70AD496-E792-436B-B03E-28962E0F3B34}"/>
    <cellStyle name="Normal GHG Textfiels Bold 3 3 4 8" xfId="3875" xr:uid="{417DCEE0-E7D6-4A1D-A1D4-983E16FDB7F4}"/>
    <cellStyle name="Normal GHG Textfiels Bold 3 3 4 9" xfId="4313" xr:uid="{1BFC422F-E70C-4A3E-B419-188C47CC2E7B}"/>
    <cellStyle name="Normal GHG Textfiels Bold 3 3 40" xfId="18231" xr:uid="{1E67F405-9CFD-41EF-8EE0-36254A7D6253}"/>
    <cellStyle name="Normal GHG Textfiels Bold 3 3 41" xfId="17497" xr:uid="{104F7FB5-3D04-4466-8AC1-FB7FFC2406C3}"/>
    <cellStyle name="Normal GHG Textfiels Bold 3 3 42" xfId="19290" xr:uid="{0F27EA55-54B0-4AE5-9BA3-290C35471D88}"/>
    <cellStyle name="Normal GHG Textfiels Bold 3 3 43" xfId="19745" xr:uid="{5AFF83A5-4F06-4BF1-BA20-1230495963B8}"/>
    <cellStyle name="Normal GHG Textfiels Bold 3 3 44" xfId="20394" xr:uid="{EF2E805E-8622-46CA-9250-DC69EC7A16F0}"/>
    <cellStyle name="Normal GHG Textfiels Bold 3 3 45" xfId="20847" xr:uid="{E623A27E-46FD-465F-9147-238A215CEE20}"/>
    <cellStyle name="Normal GHG Textfiels Bold 3 3 46" xfId="20932" xr:uid="{D0DAA2A4-2E0B-491A-8111-0497F4951CB2}"/>
    <cellStyle name="Normal GHG Textfiels Bold 3 3 47" xfId="21780" xr:uid="{FF4ABB41-1DF4-490D-BEB1-3E9F17034FCF}"/>
    <cellStyle name="Normal GHG Textfiels Bold 3 3 48" xfId="22217" xr:uid="{6A5A2966-5C73-4BCC-9542-2A0C31002E5F}"/>
    <cellStyle name="Normal GHG Textfiels Bold 3 3 49" xfId="22867" xr:uid="{AA24952C-8F6A-4479-A379-37ED7B20F2CD}"/>
    <cellStyle name="Normal GHG Textfiels Bold 3 3 5" xfId="976" xr:uid="{4423D474-DCD4-4E3B-9E89-E42108F7AAFC}"/>
    <cellStyle name="Normal GHG Textfiels Bold 3 3 50" xfId="21666" xr:uid="{9D0C3E03-81C6-4A9B-B26A-4AC37B35F340}"/>
    <cellStyle name="Normal GHG Textfiels Bold 3 3 51" xfId="23594" xr:uid="{A6837196-8837-42D6-BBD4-C012297A60C0}"/>
    <cellStyle name="Normal GHG Textfiels Bold 3 3 52" xfId="23451" xr:uid="{A1D4933E-59E1-4E04-89CA-F8613B4775E9}"/>
    <cellStyle name="Normal GHG Textfiels Bold 3 3 53" xfId="24459" xr:uid="{8FF9BF5F-17F8-442F-B671-A0A74A51A243}"/>
    <cellStyle name="Normal GHG Textfiels Bold 3 3 54" xfId="25104" xr:uid="{8210324E-5960-4D9F-B433-69E75F1AC206}"/>
    <cellStyle name="Normal GHG Textfiels Bold 3 3 55" xfId="24259" xr:uid="{FD428DDE-3FA5-49B8-962F-E321E6DFFC10}"/>
    <cellStyle name="Normal GHG Textfiels Bold 3 3 56" xfId="26173" xr:uid="{71A3A699-A70D-4D44-9059-F0E142274FE3}"/>
    <cellStyle name="Normal GHG Textfiels Bold 3 3 57" xfId="26298" xr:uid="{B3455977-AD2C-4E7A-ACCD-B0D07AB91E41}"/>
    <cellStyle name="Normal GHG Textfiels Bold 3 3 58" xfId="26275" xr:uid="{E6A0AADB-F2B3-46B6-9DA6-2500E4C36392}"/>
    <cellStyle name="Normal GHG Textfiels Bold 3 3 59" xfId="26432" xr:uid="{5A82F758-2D4D-4A2B-9C51-6DC69B871BBB}"/>
    <cellStyle name="Normal GHG Textfiels Bold 3 3 6" xfId="1498" xr:uid="{C24AA3F4-B88A-422E-B601-1B6806E161C3}"/>
    <cellStyle name="Normal GHG Textfiels Bold 3 3 60" xfId="27187" xr:uid="{E13FD23B-41E4-4129-AD0A-277820D32DD4}"/>
    <cellStyle name="Normal GHG Textfiels Bold 3 3 61" xfId="28224" xr:uid="{923B9DC9-41D0-4425-81A0-24A374E038EC}"/>
    <cellStyle name="Normal GHG Textfiels Bold 3 3 62" xfId="27989" xr:uid="{808100AF-5F27-4DCE-BE4B-610376892CB7}"/>
    <cellStyle name="Normal GHG Textfiels Bold 3 3 63" xfId="29258" xr:uid="{5439C9C3-16BE-4FA0-8763-004ABE6872C1}"/>
    <cellStyle name="Normal GHG Textfiels Bold 3 3 64" xfId="28103" xr:uid="{B6909875-2135-4FF8-9D83-767467C14FEE}"/>
    <cellStyle name="Normal GHG Textfiels Bold 3 3 65" xfId="29397" xr:uid="{F4B9FE4A-012B-40F3-BAFD-8FCD4D16605B}"/>
    <cellStyle name="Normal GHG Textfiels Bold 3 3 66" xfId="29584" xr:uid="{386892CF-BDAC-4D7F-86DB-384321F6BA26}"/>
    <cellStyle name="Normal GHG Textfiels Bold 3 3 67" xfId="30908" xr:uid="{40C33F2D-7EC7-4959-A690-A0A82C67F736}"/>
    <cellStyle name="Normal GHG Textfiels Bold 3 3 68" xfId="29512" xr:uid="{0754DC5C-4B70-4720-8F0E-3E5B63AD7A08}"/>
    <cellStyle name="Normal GHG Textfiels Bold 3 3 7" xfId="2184" xr:uid="{7EF3D6B8-9254-467B-B687-BD65975DCA3F}"/>
    <cellStyle name="Normal GHG Textfiels Bold 3 3 8" xfId="3055" xr:uid="{AAEDF209-D71A-4FF6-970D-E65350244605}"/>
    <cellStyle name="Normal GHG Textfiels Bold 3 3 9" xfId="1956" xr:uid="{6B38FFA0-7BE7-4CCD-B580-9E83D39D515D}"/>
    <cellStyle name="Normal GHG whole table" xfId="14" xr:uid="{82141728-672B-4828-B548-4FCDF5C4AB8B}"/>
    <cellStyle name="Normal GHG whole table 2" xfId="432" xr:uid="{8E79ABDF-C63C-4919-A33D-ADE298937789}"/>
    <cellStyle name="Normal GHG whole table 2 2" xfId="578" xr:uid="{75277C09-9F22-4119-A22B-15A12883B7B3}"/>
    <cellStyle name="Normal GHG whole table 2 2 10" xfId="4969" xr:uid="{B9F13F7A-4C6E-498C-978F-9130C3272833}"/>
    <cellStyle name="Normal GHG whole table 2 2 11" xfId="5226" xr:uid="{E19E732F-2001-4C82-A83D-CC6F8EDCFB1E}"/>
    <cellStyle name="Normal GHG whole table 2 2 12" xfId="5946" xr:uid="{9D1FC08F-8841-4F2F-ACB7-A1B204861517}"/>
    <cellStyle name="Normal GHG whole table 2 2 13" xfId="4831" xr:uid="{FF358902-41C3-4158-8B10-C6A3D0957A0E}"/>
    <cellStyle name="Normal GHG whole table 2 2 14" xfId="6700" xr:uid="{5EEC682A-91BD-4D59-AAA7-85285DF90DEC}"/>
    <cellStyle name="Normal GHG whole table 2 2 15" xfId="7298" xr:uid="{A7116B97-B4C3-4831-8B69-09E7B0849865}"/>
    <cellStyle name="Normal GHG whole table 2 2 16" xfId="8040" xr:uid="{4FED5240-05CA-4660-8297-E4591F2F5C5C}"/>
    <cellStyle name="Normal GHG whole table 2 2 17" xfId="8478" xr:uid="{9EF19614-18D4-44E3-94C6-9D24A0C8F84E}"/>
    <cellStyle name="Normal GHG whole table 2 2 18" xfId="8913" xr:uid="{1E1AA1E9-038F-44F6-8EDF-081713505C04}"/>
    <cellStyle name="Normal GHG whole table 2 2 19" xfId="9512" xr:uid="{E78B0AEA-21C9-49F4-989A-01A67D63E7A0}"/>
    <cellStyle name="Normal GHG whole table 2 2 2" xfId="793" xr:uid="{52692CF0-C88E-4FFD-9359-306D78E31704}"/>
    <cellStyle name="Normal GHG whole table 2 2 2 10" xfId="5441" xr:uid="{5DB511CE-A80B-47CA-B6D0-A5FF051570C3}"/>
    <cellStyle name="Normal GHG whole table 2 2 2 11" xfId="6002" xr:uid="{169EE55A-1A2E-4118-A701-D9361E2BD768}"/>
    <cellStyle name="Normal GHG whole table 2 2 2 12" xfId="6364" xr:uid="{9FAC75AF-0F1C-41E9-A618-97E495D2935D}"/>
    <cellStyle name="Normal GHG whole table 2 2 2 13" xfId="6704" xr:uid="{B3CE33F0-C7D7-4E8C-8A45-48E9489D85C4}"/>
    <cellStyle name="Normal GHG whole table 2 2 2 14" xfId="7513" xr:uid="{BC9DD721-C778-4D14-945E-FC12FB5F248F}"/>
    <cellStyle name="Normal GHG whole table 2 2 2 15" xfId="8044" xr:uid="{B5EC7F4C-0255-4C68-B44D-197C937EB20C}"/>
    <cellStyle name="Normal GHG whole table 2 2 2 16" xfId="8079" xr:uid="{9955BDCF-E333-4EB5-BBEE-6783F78746C9}"/>
    <cellStyle name="Normal GHG whole table 2 2 2 17" xfId="8917" xr:uid="{A64B085D-DF63-4262-A379-38A97090F8BD}"/>
    <cellStyle name="Normal GHG whole table 2 2 2 18" xfId="9727" xr:uid="{2BBAE3A0-4F3F-4984-AB6C-3612A689F374}"/>
    <cellStyle name="Normal GHG whole table 2 2 2 19" xfId="10263" xr:uid="{47256086-6773-453F-A8F0-425E0B1B4D87}"/>
    <cellStyle name="Normal GHG whole table 2 2 2 2" xfId="1267" xr:uid="{4EFB4BC3-136B-4CEF-B7BD-DFB0B92C60F4}"/>
    <cellStyle name="Normal GHG whole table 2 2 2 20" xfId="10656" xr:uid="{355DAB77-E0FD-46FA-AB4D-317771DE7206}"/>
    <cellStyle name="Normal GHG whole table 2 2 2 21" xfId="11009" xr:uid="{065F5252-F7D3-47B2-9326-4CAB85D0FC1B}"/>
    <cellStyle name="Normal GHG whole table 2 2 2 22" xfId="11321" xr:uid="{79C3D3E5-8A6C-4F8B-B264-E0F155768265}"/>
    <cellStyle name="Normal GHG whole table 2 2 2 23" xfId="12146" xr:uid="{347EC8CC-9E72-4774-B081-3A8A501A5CA1}"/>
    <cellStyle name="Normal GHG whole table 2 2 2 24" xfId="12619" xr:uid="{92D7C3A4-8E4D-4AE9-976C-DF01F48FBEFE}"/>
    <cellStyle name="Normal GHG whole table 2 2 2 25" xfId="13053" xr:uid="{5FFF5ED6-3140-4327-AB1C-E8776BA25479}"/>
    <cellStyle name="Normal GHG whole table 2 2 2 26" xfId="13490" xr:uid="{CCD0E845-AC84-43BA-8551-7643FD2C8814}"/>
    <cellStyle name="Normal GHG whole table 2 2 2 27" xfId="14028" xr:uid="{3B27A6C7-0087-40FC-9CE2-D964C4330267}"/>
    <cellStyle name="Normal GHG whole table 2 2 2 28" xfId="13646" xr:uid="{B841A2E6-C642-4CAD-9150-9A52C27168B5}"/>
    <cellStyle name="Normal GHG whole table 2 2 2 29" xfId="14909" xr:uid="{F8F24A51-1930-43A5-B211-A2EDFDA9AA97}"/>
    <cellStyle name="Normal GHG whole table 2 2 2 3" xfId="1558" xr:uid="{ABCB5B82-E7D0-4E7B-8159-CE0A1F3EF82F}"/>
    <cellStyle name="Normal GHG whole table 2 2 2 30" xfId="15380" xr:uid="{96AA7EAE-9A98-4719-B31F-0DC45278BE95}"/>
    <cellStyle name="Normal GHG whole table 2 2 2 31" xfId="15772" xr:uid="{A9CABB6F-E705-4D8D-9E24-C8918101493F}"/>
    <cellStyle name="Normal GHG whole table 2 2 2 32" xfId="15997" xr:uid="{BCA12297-B0F3-401A-84CF-F0F0CE4247ED}"/>
    <cellStyle name="Normal GHG whole table 2 2 2 33" xfId="16838" xr:uid="{32679CC8-9531-4267-8519-1D7A2D34556A}"/>
    <cellStyle name="Normal GHG whole table 2 2 2 34" xfId="17385" xr:uid="{9761FCC6-4909-4BC3-89A6-BFBBD08812D7}"/>
    <cellStyle name="Normal GHG whole table 2 2 2 35" xfId="17827" xr:uid="{EBA217AD-C3D5-4522-B62F-FE25BE185342}"/>
    <cellStyle name="Normal GHG whole table 2 2 2 36" xfId="18303" xr:uid="{3F89C4FE-05F0-4208-8485-F460223527CB}"/>
    <cellStyle name="Normal GHG whole table 2 2 2 37" xfId="18656" xr:uid="{EC7AF3B0-5961-4CAA-AF43-59CFB54BBF41}"/>
    <cellStyle name="Normal GHG whole table 2 2 2 38" xfId="19114" xr:uid="{AF2DAFD5-95E1-4022-A1A1-FF92582C741D}"/>
    <cellStyle name="Normal GHG whole table 2 2 2 39" xfId="19346" xr:uid="{69059E81-F25A-4DBD-89EE-01C9342C58CE}"/>
    <cellStyle name="Normal GHG whole table 2 2 2 4" xfId="2615" xr:uid="{739D4ADE-0603-4644-80FE-4B49DC638836}"/>
    <cellStyle name="Normal GHG whole table 2 2 2 40" xfId="20175" xr:uid="{5BAACA10-1AB7-4A13-980F-9E41CAFF8126}"/>
    <cellStyle name="Normal GHG whole table 2 2 2 41" xfId="20734" xr:uid="{6D46B27C-9D46-4963-AB49-5550E1FF80FB}"/>
    <cellStyle name="Normal GHG whole table 2 2 2 42" xfId="21193" xr:uid="{A040AF48-A3F4-40FB-98D0-DCB24E63DEE3}"/>
    <cellStyle name="Normal GHG whole table 2 2 2 43" xfId="21685" xr:uid="{45026C80-E78A-47F1-ABA8-69B4A2349BB6}"/>
    <cellStyle name="Normal GHG whole table 2 2 2 44" xfId="22124" xr:uid="{C650B841-EC92-4486-B980-1244772B9588}"/>
    <cellStyle name="Normal GHG whole table 2 2 2 45" xfId="22551" xr:uid="{F3A86257-C84E-401F-8E42-B4EAB229896A}"/>
    <cellStyle name="Normal GHG whole table 2 2 2 46" xfId="22997" xr:uid="{196BF37C-7E1B-43A9-9C32-BDE03826473B}"/>
    <cellStyle name="Normal GHG whole table 2 2 2 47" xfId="23401" xr:uid="{6E844F59-E304-4765-818B-B5515187950E}"/>
    <cellStyle name="Normal GHG whole table 2 2 2 48" xfId="23667" xr:uid="{E90F3898-8C85-41B8-94F4-4285CE49A5C2}"/>
    <cellStyle name="Normal GHG whole table 2 2 2 49" xfId="23975" xr:uid="{1708243E-7166-4ECA-BF52-D25C8E3A642F}"/>
    <cellStyle name="Normal GHG whole table 2 2 2 5" xfId="3201" xr:uid="{338C5B65-ACD4-40D1-B27A-441A3EB2D6EC}"/>
    <cellStyle name="Normal GHG whole table 2 2 2 50" xfId="24883" xr:uid="{978C0C32-4AF8-43DB-B6DF-96CA742E49B6}"/>
    <cellStyle name="Normal GHG whole table 2 2 2 51" xfId="25439" xr:uid="{58332EAE-752F-4E04-A6D9-411B80C93A88}"/>
    <cellStyle name="Normal GHG whole table 2 2 2 52" xfId="25799" xr:uid="{D5810A95-FB28-40E4-A9D6-D20378360CCB}"/>
    <cellStyle name="Normal GHG whole table 2 2 2 53" xfId="26305" xr:uid="{5D7F5BB5-A835-4F07-A034-958742D2BA1F}"/>
    <cellStyle name="Normal GHG whole table 2 2 2 54" xfId="26512" xr:uid="{47D9EA0C-9497-4D7E-8BAF-42681728FB5E}"/>
    <cellStyle name="Normal GHG whole table 2 2 2 55" xfId="27087" xr:uid="{81E73393-C7D3-4A5C-A990-31262F1FDFAE}"/>
    <cellStyle name="Normal GHG whole table 2 2 2 56" xfId="27506" xr:uid="{F48707EA-555A-4FF0-B10F-6DCD05C67E74}"/>
    <cellStyle name="Normal GHG whole table 2 2 2 57" xfId="26387" xr:uid="{0DFBB466-29AA-4B96-8D22-CB1BF701ADA9}"/>
    <cellStyle name="Normal GHG whole table 2 2 2 58" xfId="28633" xr:uid="{67FBEE7B-3B96-4753-AB50-D2830B00DD24}"/>
    <cellStyle name="Normal GHG whole table 2 2 2 59" xfId="29100" xr:uid="{EA791999-AFC2-4508-A715-ABC9F8B1245C}"/>
    <cellStyle name="Normal GHG whole table 2 2 2 6" xfId="3500" xr:uid="{48A5FDB9-E41F-4555-A9EF-2B5E8FD1B6B8}"/>
    <cellStyle name="Normal GHG whole table 2 2 2 60" xfId="29548" xr:uid="{5EB45E9A-90A8-48E8-BF62-CE79C9508457}"/>
    <cellStyle name="Normal GHG whole table 2 2 2 61" xfId="29889" xr:uid="{540E6DAD-A1D4-41D2-8FC5-AE936253C03D}"/>
    <cellStyle name="Normal GHG whole table 2 2 2 62" xfId="30295" xr:uid="{C0B6B6A0-E9C8-49BC-BD14-3E4F79A3604A}"/>
    <cellStyle name="Normal GHG whole table 2 2 2 63" xfId="30712" xr:uid="{A832E82B-DCA6-4292-8188-D506032FF70D}"/>
    <cellStyle name="Normal GHG whole table 2 2 2 64" xfId="29415" xr:uid="{C31B1801-13DE-487C-8571-203F74DD45E0}"/>
    <cellStyle name="Normal GHG whole table 2 2 2 65" xfId="31328" xr:uid="{8DEBE209-509E-4371-97BA-05E9AE8C1C9F}"/>
    <cellStyle name="Normal GHG whole table 2 2 2 7" xfId="4111" xr:uid="{43BC0019-97E2-4D09-9AA9-FC0DF304ED72}"/>
    <cellStyle name="Normal GHG whole table 2 2 2 8" xfId="4548" xr:uid="{BD7A511F-AA05-4A8F-933F-86247A660214}"/>
    <cellStyle name="Normal GHG whole table 2 2 2 9" xfId="2278" xr:uid="{7D3D6506-4181-4A42-B72F-1B97231D6D8D}"/>
    <cellStyle name="Normal GHG whole table 2 2 20" xfId="10259" xr:uid="{17967AE2-151F-4A07-B734-F92E97C9FFD3}"/>
    <cellStyle name="Normal GHG whole table 2 2 21" xfId="10652" xr:uid="{85A02C3B-5079-4D1D-90BA-BB8C6338CF7A}"/>
    <cellStyle name="Normal GHG whole table 2 2 22" xfId="11005" xr:uid="{7137099C-BD6F-4596-A744-F3AF7DA467BE}"/>
    <cellStyle name="Normal GHG whole table 2 2 23" xfId="11317" xr:uid="{4C55AB75-8FAC-4B8D-95A7-EE1A85B1800B}"/>
    <cellStyle name="Normal GHG whole table 2 2 24" xfId="11931" xr:uid="{87C511C2-7A0F-4DBD-BF5E-56DD66EF19E1}"/>
    <cellStyle name="Normal GHG whole table 2 2 25" xfId="12404" xr:uid="{91F506CE-392C-42DE-94E1-A82D561CD373}"/>
    <cellStyle name="Normal GHG whole table 2 2 26" xfId="12838" xr:uid="{D50F2138-D308-41C5-A877-135514F5F036}"/>
    <cellStyle name="Normal GHG whole table 2 2 27" xfId="13275" xr:uid="{326D1C43-00C4-47BF-9D55-B62343AB785E}"/>
    <cellStyle name="Normal GHG whole table 2 2 28" xfId="14024" xr:uid="{226A0175-6A44-41C8-9556-450C3C5ABEDD}"/>
    <cellStyle name="Normal GHG whole table 2 2 29" xfId="14184" xr:uid="{84E6B9BD-0CC9-46F8-AB11-428052CD7CA2}"/>
    <cellStyle name="Normal GHG whole table 2 2 3" xfId="1061" xr:uid="{810A587E-FBD2-45A9-BB04-A279132498F5}"/>
    <cellStyle name="Normal GHG whole table 2 2 30" xfId="14886" xr:uid="{D176D9CB-B2E3-4B0D-ABDD-EDE1AA5D3443}"/>
    <cellStyle name="Normal GHG whole table 2 2 31" xfId="14952" xr:uid="{5D678632-9609-42EA-B3E3-5ABB2209CA67}"/>
    <cellStyle name="Normal GHG whole table 2 2 32" xfId="15768" xr:uid="{371AF998-6626-494E-AF19-63C268D666A6}"/>
    <cellStyle name="Normal GHG whole table 2 2 33" xfId="15993" xr:uid="{438B56B6-C4CC-4F2D-B1C2-03D94D00D2F7}"/>
    <cellStyle name="Normal GHG whole table 2 2 34" xfId="16623" xr:uid="{32F20D10-1DF3-4D7E-80BA-DFED47046448}"/>
    <cellStyle name="Normal GHG whole table 2 2 35" xfId="17381" xr:uid="{F1FFB1FB-F9AC-416F-80BC-8C0E6B6DB64B}"/>
    <cellStyle name="Normal GHG whole table 2 2 36" xfId="17823" xr:uid="{F365208F-CE95-49DA-84ED-19A4C56B9871}"/>
    <cellStyle name="Normal GHG whole table 2 2 37" xfId="18299" xr:uid="{31330260-49CC-4F1B-902F-03B960C2AD92}"/>
    <cellStyle name="Normal GHG whole table 2 2 38" xfId="18441" xr:uid="{96C0F94B-F4E4-4780-AB09-D6A2002DF64B}"/>
    <cellStyle name="Normal GHG whole table 2 2 39" xfId="19110" xr:uid="{35E33912-7232-4A37-A62B-9D89628E8649}"/>
    <cellStyle name="Normal GHG whole table 2 2 4" xfId="1414" xr:uid="{F276557A-E7D4-4563-8572-F4C1ED78F40E}"/>
    <cellStyle name="Normal GHG whole table 2 2 40" xfId="19342" xr:uid="{E2B6A884-D803-4E4C-A0DB-75071C9C53A5}"/>
    <cellStyle name="Normal GHG whole table 2 2 41" xfId="19960" xr:uid="{34B92069-50C9-4A66-8D0B-3038136A2F71}"/>
    <cellStyle name="Normal GHG whole table 2 2 42" xfId="20730" xr:uid="{660A4F79-F90B-40A1-B6CA-F89CF9652D84}"/>
    <cellStyle name="Normal GHG whole table 2 2 43" xfId="21189" xr:uid="{18E43C7A-F2A2-4781-9CD0-9AE926F5B868}"/>
    <cellStyle name="Normal GHG whole table 2 2 44" xfId="21681" xr:uid="{A4AF798F-FF0A-4DC8-8A9B-87935225F31E}"/>
    <cellStyle name="Normal GHG whole table 2 2 45" xfId="22120" xr:uid="{B56A803D-E481-4858-AE6B-4DD9DAA7CF11}"/>
    <cellStyle name="Normal GHG whole table 2 2 46" xfId="22547" xr:uid="{46C07D3C-C7C8-41AF-80C2-CBFFE6F188A8}"/>
    <cellStyle name="Normal GHG whole table 2 2 47" xfId="22993" xr:uid="{16EA50BA-86E0-4328-AF81-1FFEEB9BF3CD}"/>
    <cellStyle name="Normal GHG whole table 2 2 48" xfId="23397" xr:uid="{1E391109-8A06-4BBF-8C5E-D1E79AD65CBC}"/>
    <cellStyle name="Normal GHG whole table 2 2 49" xfId="23663" xr:uid="{996EBC43-C2C4-48C2-81B9-E7A1EB684651}"/>
    <cellStyle name="Normal GHG whole table 2 2 5" xfId="2400" xr:uid="{21DF6FFD-DEFB-4E93-8448-40A3B3563AAA}"/>
    <cellStyle name="Normal GHG whole table 2 2 50" xfId="23769" xr:uid="{3160101E-A629-4328-A5EB-472AD8F0D9F8}"/>
    <cellStyle name="Normal GHG whole table 2 2 51" xfId="24668" xr:uid="{B037D750-733C-406B-9E2E-54D5C322C7E4}"/>
    <cellStyle name="Normal GHG whole table 2 2 52" xfId="25435" xr:uid="{59F61419-5F0C-40E5-A0DC-29AFD2C77DE7}"/>
    <cellStyle name="Normal GHG whole table 2 2 53" xfId="25586" xr:uid="{7A9C8F3F-126D-43F5-99A4-27B966CD8CF3}"/>
    <cellStyle name="Normal GHG whole table 2 2 54" xfId="26301" xr:uid="{BDE267A2-BCE9-445A-9130-B9B6F829ECFA}"/>
    <cellStyle name="Normal GHG whole table 2 2 55" xfId="24203" xr:uid="{2EA9A408-1065-4092-9189-0F0FA0AE93FC}"/>
    <cellStyle name="Normal GHG whole table 2 2 56" xfId="26876" xr:uid="{4D9D11D2-5EE3-4347-9BA9-1C38ECBA974D}"/>
    <cellStyle name="Normal GHG whole table 2 2 57" xfId="27295" xr:uid="{76B315E8-1142-48FB-B395-3003451603BB}"/>
    <cellStyle name="Normal GHG whole table 2 2 58" xfId="26255" xr:uid="{8C29136D-0B55-486B-B8B2-830CC9DFDB59}"/>
    <cellStyle name="Normal GHG whole table 2 2 59" xfId="28418" xr:uid="{CBB7D365-ACC8-4251-B56F-6E881A228B5A}"/>
    <cellStyle name="Normal GHG whole table 2 2 6" xfId="3197" xr:uid="{A17186DB-9706-4AB8-8181-EE1AB8486253}"/>
    <cellStyle name="Normal GHG whole table 2 2 60" xfId="28886" xr:uid="{23AFC96A-FF12-46B4-B3B3-CAD578338D39}"/>
    <cellStyle name="Normal GHG whole table 2 2 61" xfId="29544" xr:uid="{A0298FA8-8BE1-4C98-BB2D-623311934C2B}"/>
    <cellStyle name="Normal GHG whole table 2 2 62" xfId="29676" xr:uid="{E4342A56-DCDB-4B58-8EC4-234E09824FB5}"/>
    <cellStyle name="Normal GHG whole table 2 2 63" xfId="30084" xr:uid="{0C48D1F8-4046-4A1C-BF56-7164AD943D8B}"/>
    <cellStyle name="Normal GHG whole table 2 2 64" xfId="30498" xr:uid="{D9BE4D50-573B-4158-B6BD-A8557770B998}"/>
    <cellStyle name="Normal GHG whole table 2 2 65" xfId="30890" xr:uid="{9B73349D-6586-4DBA-A660-2BB40BAF2D27}"/>
    <cellStyle name="Normal GHG whole table 2 2 66" xfId="31122" xr:uid="{9BDE19EF-DB5E-4EF6-8DE2-58ADB27D1413}"/>
    <cellStyle name="Normal GHG whole table 2 2 7" xfId="2831" xr:uid="{CB450E22-C49E-490D-BE16-85A20D85FC27}"/>
    <cellStyle name="Normal GHG whole table 2 2 8" xfId="3896" xr:uid="{BEA3BEDB-E094-4246-BF95-7B3126713CFB}"/>
    <cellStyle name="Normal GHG whole table 2 2 9" xfId="4334" xr:uid="{E7C10218-5EEC-4A90-A484-01CB79B297A7}"/>
    <cellStyle name="Normal GHG whole table 2 3" xfId="722" xr:uid="{F29FADB3-53AE-4158-BCCE-03B538907EFE}"/>
    <cellStyle name="Normal GHG whole table 2 3 10" xfId="5370" xr:uid="{B77ACDEC-2F4D-4F56-9B7F-3930C55176B4}"/>
    <cellStyle name="Normal GHG whole table 2 3 11" xfId="6004" xr:uid="{94249F0B-AE0C-4D05-A4D9-B7CCF2351EF9}"/>
    <cellStyle name="Normal GHG whole table 2 3 12" xfId="6366" xr:uid="{84211911-4391-42F5-A183-7FBA07385589}"/>
    <cellStyle name="Normal GHG whole table 2 3 13" xfId="6706" xr:uid="{A6E1DA2F-F7EC-4EEF-A90F-61999F23904E}"/>
    <cellStyle name="Normal GHG whole table 2 3 14" xfId="7442" xr:uid="{884C1F42-BDE6-4A91-8FD6-31A38D640563}"/>
    <cellStyle name="Normal GHG whole table 2 3 15" xfId="8046" xr:uid="{A5E8E1CA-997A-4F0B-A34A-F155C5546F8D}"/>
    <cellStyle name="Normal GHG whole table 2 3 16" xfId="6775" xr:uid="{E15F794E-C4D2-41E3-B450-E5970D533F84}"/>
    <cellStyle name="Normal GHG whole table 2 3 17" xfId="8918" xr:uid="{DF95425C-A973-4E71-A555-7D5C7CCBEDC1}"/>
    <cellStyle name="Normal GHG whole table 2 3 18" xfId="9656" xr:uid="{F81FD9A9-9CD3-4200-B988-AD1AB9CF09C2}"/>
    <cellStyle name="Normal GHG whole table 2 3 19" xfId="10265" xr:uid="{8DFC8995-BB14-4550-889E-0142A3C67B08}"/>
    <cellStyle name="Normal GHG whole table 2 3 2" xfId="1196" xr:uid="{43FCB3B1-D00E-49EE-9F24-FFE118150B83}"/>
    <cellStyle name="Normal GHG whole table 2 3 20" xfId="10658" xr:uid="{320F7164-8949-4971-89BF-1A72A88EB44E}"/>
    <cellStyle name="Normal GHG whole table 2 3 21" xfId="11010" xr:uid="{BC9A1350-B3A1-47F1-A318-D5E7F341CC75}"/>
    <cellStyle name="Normal GHG whole table 2 3 22" xfId="11323" xr:uid="{AAF8D79B-4846-4116-A13C-A2608620CF56}"/>
    <cellStyle name="Normal GHG whole table 2 3 23" xfId="12075" xr:uid="{2E46DB1B-7359-47BE-8DCE-A9BC77DFD905}"/>
    <cellStyle name="Normal GHG whole table 2 3 24" xfId="12548" xr:uid="{7CFFCEE5-449B-4545-B3A9-C136C2D7B281}"/>
    <cellStyle name="Normal GHG whole table 2 3 25" xfId="12982" xr:uid="{B3AFBDAF-5CBA-4640-934C-DAD5F06E932D}"/>
    <cellStyle name="Normal GHG whole table 2 3 26" xfId="13419" xr:uid="{A6EDEBA6-253F-477D-8BE4-35FEFF5BF794}"/>
    <cellStyle name="Normal GHG whole table 2 3 27" xfId="14030" xr:uid="{7C8E3506-0F8A-462E-B972-C0B0AA63FB67}"/>
    <cellStyle name="Normal GHG whole table 2 3 28" xfId="12725" xr:uid="{C967897A-D0E7-4562-BA15-68CD54CDA246}"/>
    <cellStyle name="Normal GHG whole table 2 3 29" xfId="14911" xr:uid="{C922E661-05D2-4E31-8360-43435783218D}"/>
    <cellStyle name="Normal GHG whole table 2 3 3" xfId="1545" xr:uid="{831C8539-520B-47E5-9F5F-9EED758D5A3C}"/>
    <cellStyle name="Normal GHG whole table 2 3 30" xfId="15382" xr:uid="{376DD9DB-B59A-4DD5-A204-550BF9E91486}"/>
    <cellStyle name="Normal GHG whole table 2 3 31" xfId="15773" xr:uid="{DD4DB677-7FA8-40F8-9754-95ED0B38CE80}"/>
    <cellStyle name="Normal GHG whole table 2 3 32" xfId="15999" xr:uid="{A6C57D80-A6C3-4B66-8AA7-E61E72BD5276}"/>
    <cellStyle name="Normal GHG whole table 2 3 33" xfId="16767" xr:uid="{25D9FF7F-3B6B-47BD-85A2-CBEF9B96F376}"/>
    <cellStyle name="Normal GHG whole table 2 3 34" xfId="17387" xr:uid="{4202C80B-D0D9-4A00-8189-DB7950577B7A}"/>
    <cellStyle name="Normal GHG whole table 2 3 35" xfId="17828" xr:uid="{A4FA2605-4B18-45CC-B289-8AF960840A5C}"/>
    <cellStyle name="Normal GHG whole table 2 3 36" xfId="18305" xr:uid="{DB03D852-2FA5-48C5-9C9D-6CAC18ACB184}"/>
    <cellStyle name="Normal GHG whole table 2 3 37" xfId="18585" xr:uid="{899E4042-656D-48AF-9E64-21F9251E4BC6}"/>
    <cellStyle name="Normal GHG whole table 2 3 38" xfId="19116" xr:uid="{2D82DABF-0622-4EFE-AC7D-DA0673DC9835}"/>
    <cellStyle name="Normal GHG whole table 2 3 39" xfId="19347" xr:uid="{EA6F65FB-716E-48B0-97B1-3CA4780C7864}"/>
    <cellStyle name="Normal GHG whole table 2 3 4" xfId="2544" xr:uid="{A281DA6F-390B-400E-9105-334947EADF91}"/>
    <cellStyle name="Normal GHG whole table 2 3 40" xfId="20104" xr:uid="{6CB27225-4C43-49F7-9F56-03C541A758C7}"/>
    <cellStyle name="Normal GHG whole table 2 3 41" xfId="20736" xr:uid="{15F94048-6D34-4D70-B5EA-09F620882339}"/>
    <cellStyle name="Normal GHG whole table 2 3 42" xfId="21195" xr:uid="{36CED111-B944-444C-8F6D-12B024DA5DC2}"/>
    <cellStyle name="Normal GHG whole table 2 3 43" xfId="21687" xr:uid="{E2C14115-1F65-4040-99EB-EF5CD0EE8008}"/>
    <cellStyle name="Normal GHG whole table 2 3 44" xfId="22126" xr:uid="{BEFDF162-7684-4119-AB9F-9145CD76B26B}"/>
    <cellStyle name="Normal GHG whole table 2 3 45" xfId="22553" xr:uid="{E26910E4-9EBB-4E7C-A316-75826CA7CD1B}"/>
    <cellStyle name="Normal GHG whole table 2 3 46" xfId="22999" xr:uid="{DA87B479-09D1-4718-B9F2-835CA2B2ED32}"/>
    <cellStyle name="Normal GHG whole table 2 3 47" xfId="23403" xr:uid="{2DC04633-F4D3-46CD-A7F1-84FB4A13E2A4}"/>
    <cellStyle name="Normal GHG whole table 2 3 48" xfId="23668" xr:uid="{0CC29B76-AE4F-46D6-B4E1-42A7CCB13CC0}"/>
    <cellStyle name="Normal GHG whole table 2 3 49" xfId="23904" xr:uid="{EFD26251-2990-4FB8-A8E2-0C45198958E9}"/>
    <cellStyle name="Normal GHG whole table 2 3 5" xfId="3203" xr:uid="{4992175D-AFC6-4DB4-B3F3-2E7329E4107E}"/>
    <cellStyle name="Normal GHG whole table 2 3 50" xfId="24812" xr:uid="{A6AB630B-62E1-4A8E-A9EB-B4C551B872CB}"/>
    <cellStyle name="Normal GHG whole table 2 3 51" xfId="25441" xr:uid="{F2CAA2E1-E424-466F-B35A-9B9FDC64781C}"/>
    <cellStyle name="Normal GHG whole table 2 3 52" xfId="25728" xr:uid="{38007788-4C94-4FE4-BBD9-28E6BBA9EEA9}"/>
    <cellStyle name="Normal GHG whole table 2 3 53" xfId="26307" xr:uid="{33A33A7D-5096-4EEA-9739-B529B4BDAE61}"/>
    <cellStyle name="Normal GHG whole table 2 3 54" xfId="25969" xr:uid="{17ECD264-0404-4FAF-894F-C72482D38D00}"/>
    <cellStyle name="Normal GHG whole table 2 3 55" xfId="27016" xr:uid="{7DA11C9B-B0FC-49C5-8736-4A7702F79513}"/>
    <cellStyle name="Normal GHG whole table 2 3 56" xfId="27435" xr:uid="{74AC260B-A69D-4725-BB2D-97A5931607D5}"/>
    <cellStyle name="Normal GHG whole table 2 3 57" xfId="27658" xr:uid="{DA7215A5-DFFE-4A97-B7D1-9B0D5AB95ADF}"/>
    <cellStyle name="Normal GHG whole table 2 3 58" xfId="28562" xr:uid="{941ED5DD-F6DB-4511-98C1-31981CD9DF59}"/>
    <cellStyle name="Normal GHG whole table 2 3 59" xfId="29029" xr:uid="{DC0794A8-648B-4443-8204-079CA495D7DB}"/>
    <cellStyle name="Normal GHG whole table 2 3 6" xfId="3080" xr:uid="{97841D6C-57F6-4188-BF7D-29ADB8310CC5}"/>
    <cellStyle name="Normal GHG whole table 2 3 60" xfId="29550" xr:uid="{D4DBCE08-2B56-4A37-86A5-67FC176AD9C6}"/>
    <cellStyle name="Normal GHG whole table 2 3 61" xfId="29818" xr:uid="{83E65B6D-46A5-4744-BBCE-D4C264E3A9BF}"/>
    <cellStyle name="Normal GHG whole table 2 3 62" xfId="30224" xr:uid="{2B0D0699-1EB1-4785-A689-0BEF3A6EBE35}"/>
    <cellStyle name="Normal GHG whole table 2 3 63" xfId="30641" xr:uid="{92F710C9-EFE0-4987-9C73-3580D62F4A2C}"/>
    <cellStyle name="Normal GHG whole table 2 3 64" xfId="29271" xr:uid="{6C268185-B106-4DA2-9D61-A408E7702231}"/>
    <cellStyle name="Normal GHG whole table 2 3 65" xfId="31257" xr:uid="{A4C51CC6-D63F-41E9-B0C5-BFE26E9C97C4}"/>
    <cellStyle name="Normal GHG whole table 2 3 7" xfId="4040" xr:uid="{B40F37BE-E268-4115-B3F6-FB1A85F26B3B}"/>
    <cellStyle name="Normal GHG whole table 2 3 8" xfId="4477" xr:uid="{587830F3-2761-43B3-9A38-B0694DBE608E}"/>
    <cellStyle name="Normal GHG whole table 2 3 9" xfId="4228" xr:uid="{7AC47A84-B590-4249-A365-3E3E9BE27847}"/>
    <cellStyle name="Normal GHG whole table 3" xfId="281" xr:uid="{17B6962C-4613-4088-9DDC-6FBD9D96B0E1}"/>
    <cellStyle name="Normal GHG whole table 3 10" xfId="2115" xr:uid="{95F15759-94EB-432C-9A1E-A795FA466AB1}"/>
    <cellStyle name="Normal GHG whole table 3 11" xfId="2959" xr:uid="{E93D4E79-DA29-4222-9192-EE042B60397C}"/>
    <cellStyle name="Normal GHG whole table 3 12" xfId="4212" xr:uid="{5A0641C4-EB9B-4CE0-AB2D-A155CF4986BB}"/>
    <cellStyle name="Normal GHG whole table 3 13" xfId="3799" xr:uid="{EE0D990E-987B-460D-B3FE-674B253404C6}"/>
    <cellStyle name="Normal GHG whole table 3 14" xfId="4740" xr:uid="{0128FDBE-1374-41FB-AFE3-D27D6BD4D045}"/>
    <cellStyle name="Normal GHG whole table 3 15" xfId="5906" xr:uid="{A72F37A5-314D-441D-A299-0CD12576E1EA}"/>
    <cellStyle name="Normal GHG whole table 3 16" xfId="6661" xr:uid="{4B78A2BE-8978-4D17-B8D7-1771FA3FF09C}"/>
    <cellStyle name="Normal GHG whole table 3 17" xfId="7011" xr:uid="{054A91AE-2F63-4591-BCD3-02CB8D9298ED}"/>
    <cellStyle name="Normal GHG whole table 3 18" xfId="6737" xr:uid="{D28672C8-C272-4350-B271-79B6DCFD2F03}"/>
    <cellStyle name="Normal GHG whole table 3 19" xfId="8575" xr:uid="{79D418E1-08C9-4A48-8D66-2EF8063F442B}"/>
    <cellStyle name="Normal GHG whole table 3 2" xfId="618" xr:uid="{B4F45048-F186-450C-AE85-A7E2338A51D0}"/>
    <cellStyle name="Normal GHG whole table 3 2 10" xfId="4892" xr:uid="{80249671-95C5-4F61-B140-218F34CA4DC4}"/>
    <cellStyle name="Normal GHG whole table 3 2 11" xfId="5266" xr:uid="{DF4CA8EC-977D-4760-8001-65336783E970}"/>
    <cellStyle name="Normal GHG whole table 3 2 12" xfId="4719" xr:uid="{20B91F07-C68C-41EA-BF59-27B4D069949B}"/>
    <cellStyle name="Normal GHG whole table 3 2 13" xfId="6272" xr:uid="{40B765BE-FD6A-49E8-8E7D-9873A4456114}"/>
    <cellStyle name="Normal GHG whole table 3 2 14" xfId="6469" xr:uid="{30D15BDA-5415-4BB1-A148-1B1B231012BC}"/>
    <cellStyle name="Normal GHG whole table 3 2 15" xfId="7338" xr:uid="{175D80EB-58EF-4FF4-ADB7-8A999E61B0DB}"/>
    <cellStyle name="Normal GHG whole table 3 2 16" xfId="7788" xr:uid="{36D9C7D7-CCB5-4E2F-869E-5D7DDE51436C}"/>
    <cellStyle name="Normal GHG whole table 3 2 17" xfId="8120" xr:uid="{C4716B2F-1267-41A3-BE2B-D0096EE8E78F}"/>
    <cellStyle name="Normal GHG whole table 3 2 18" xfId="8559" xr:uid="{B23CF06A-F4E7-4AAA-9128-4D7001A59593}"/>
    <cellStyle name="Normal GHG whole table 3 2 19" xfId="9552" xr:uid="{F95E312B-3465-4449-A188-6F8518BC95B4}"/>
    <cellStyle name="Normal GHG whole table 3 2 2" xfId="833" xr:uid="{CC12BFE4-CB35-4375-BEBA-3CE27F3F54DD}"/>
    <cellStyle name="Normal GHG whole table 3 2 2 10" xfId="5481" xr:uid="{59311938-680B-4639-B3B2-83D45270C7A2}"/>
    <cellStyle name="Normal GHG whole table 3 2 2 11" xfId="5650" xr:uid="{33DF09D6-7AF7-4773-87E2-5DBD3BC22F77}"/>
    <cellStyle name="Normal GHG whole table 3 2 2 12" xfId="5592" xr:uid="{C35DEF32-0240-41CA-AE88-47967B406EEF}"/>
    <cellStyle name="Normal GHG whole table 3 2 2 13" xfId="6458" xr:uid="{775A941E-5712-4FE9-B6B0-B18AA40708E2}"/>
    <cellStyle name="Normal GHG whole table 3 2 2 14" xfId="7553" xr:uid="{B50C9909-9D5D-4378-B71E-B7A4F4EFF498}"/>
    <cellStyle name="Normal GHG whole table 3 2 2 15" xfId="8014" xr:uid="{EAB180E2-5F10-47C5-86F1-7E8EE0D4DA79}"/>
    <cellStyle name="Normal GHG whole table 3 2 2 16" xfId="7901" xr:uid="{EBE4CDB1-726E-45D0-95CA-D822C83F0C6B}"/>
    <cellStyle name="Normal GHG whole table 3 2 2 17" xfId="8536" xr:uid="{90192114-784E-4303-B7B1-03C53D772D90}"/>
    <cellStyle name="Normal GHG whole table 3 2 2 18" xfId="9767" xr:uid="{6868D3DA-04D2-4E27-9A82-F0166CF9A585}"/>
    <cellStyle name="Normal GHG whole table 3 2 2 19" xfId="10232" xr:uid="{DB2AEFA3-6FF1-4F65-B3A7-D037CF841368}"/>
    <cellStyle name="Normal GHG whole table 3 2 2 2" xfId="1307" xr:uid="{8E5F7174-47A1-48B6-93EE-41285EEA7448}"/>
    <cellStyle name="Normal GHG whole table 3 2 2 20" xfId="10629" xr:uid="{7F2874F4-B0B0-4296-BDC1-3260C57B00FE}"/>
    <cellStyle name="Normal GHG whole table 3 2 2 21" xfId="10585" xr:uid="{05A0063A-BF49-4AFA-AA28-4F08F9F203FA}"/>
    <cellStyle name="Normal GHG whole table 3 2 2 22" xfId="10312" xr:uid="{A1B7A38F-E405-4785-B370-D2F89F9B0BFA}"/>
    <cellStyle name="Normal GHG whole table 3 2 2 23" xfId="12186" xr:uid="{24DCDADA-E3E0-4179-BE0B-3EE1A61C5578}"/>
    <cellStyle name="Normal GHG whole table 3 2 2 24" xfId="12659" xr:uid="{D5FD03F2-CDEA-4170-8C5E-C5569D074B8D}"/>
    <cellStyle name="Normal GHG whole table 3 2 2 25" xfId="13093" xr:uid="{910A4A3C-9431-48B1-ADC1-B55EFA969F8E}"/>
    <cellStyle name="Normal GHG whole table 3 2 2 26" xfId="13530" xr:uid="{D3A7432C-FF32-4E22-8812-A30EB80723B3}"/>
    <cellStyle name="Normal GHG whole table 3 2 2 27" xfId="11754" xr:uid="{734BFE11-7D86-4A7C-9158-D517B3683367}"/>
    <cellStyle name="Normal GHG whole table 3 2 2 28" xfId="13724" xr:uid="{2DF43A46-54C6-428D-95D0-83F564955E61}"/>
    <cellStyle name="Normal GHG whole table 3 2 2 29" xfId="14880" xr:uid="{3024D1C9-2244-4A45-ADEB-690B51B45EB5}"/>
    <cellStyle name="Normal GHG whole table 3 2 2 3" xfId="1499" xr:uid="{10002B5C-4D68-46B2-B1E7-E58767934CD9}"/>
    <cellStyle name="Normal GHG whole table 3 2 2 30" xfId="15271" xr:uid="{C12883B5-5DFB-48AC-9283-462D6004BED5}"/>
    <cellStyle name="Normal GHG whole table 3 2 2 31" xfId="15569" xr:uid="{E7B2E953-93ED-41EE-B33F-F4BD111C83A3}"/>
    <cellStyle name="Normal GHG whole table 3 2 2 32" xfId="15978" xr:uid="{EBB1A5D3-E051-4331-93E8-A382C0BCA263}"/>
    <cellStyle name="Normal GHG whole table 3 2 2 33" xfId="16878" xr:uid="{D78AA275-7A4D-4343-933D-D79E305858B6}"/>
    <cellStyle name="Normal GHG whole table 3 2 2 34" xfId="17353" xr:uid="{89C31C63-9C1D-4C43-9D40-500B31C3DFB6}"/>
    <cellStyle name="Normal GHG whole table 3 2 2 35" xfId="17795" xr:uid="{3FEAF778-907F-495D-A7CF-B8DD40755A5A}"/>
    <cellStyle name="Normal GHG whole table 3 2 2 36" xfId="17594" xr:uid="{F63927F0-CD2D-4A79-8BD0-5C6C6FC5998E}"/>
    <cellStyle name="Normal GHG whole table 3 2 2 37" xfId="18696" xr:uid="{07F97BD1-043D-4C41-9FDD-AF5E02680C38}"/>
    <cellStyle name="Normal GHG whole table 3 2 2 38" xfId="18143" xr:uid="{03C552D7-DD36-464C-A489-18957B3D3554}"/>
    <cellStyle name="Normal GHG whole table 3 2 2 39" xfId="17722" xr:uid="{A2F8C92C-B6F0-452C-8AC7-DDEE13D47500}"/>
    <cellStyle name="Normal GHG whole table 3 2 2 4" xfId="2655" xr:uid="{1DE245C5-19D8-4C33-A759-669F8890543C}"/>
    <cellStyle name="Normal GHG whole table 3 2 2 40" xfId="20215" xr:uid="{7BC486B7-6FD4-44C8-B88F-011DC621C4DD}"/>
    <cellStyle name="Normal GHG whole table 3 2 2 41" xfId="20704" xr:uid="{48DA11D1-0839-4DC6-AA1D-94EC1267FCB3}"/>
    <cellStyle name="Normal GHG whole table 3 2 2 42" xfId="21161" xr:uid="{3576E69D-0B4F-401B-A3F7-F5A5420AE485}"/>
    <cellStyle name="Normal GHG whole table 3 2 2 43" xfId="21240" xr:uid="{9113E9E2-CABA-4141-804C-A8811A3A6319}"/>
    <cellStyle name="Normal GHG whole table 3 2 2 44" xfId="22092" xr:uid="{4A338D1C-B1BB-42C2-9B82-2F465B3E433B}"/>
    <cellStyle name="Normal GHG whole table 3 2 2 45" xfId="22520" xr:uid="{151D1F70-A5E9-4AC7-B08F-88D51D6ACC39}"/>
    <cellStyle name="Normal GHG whole table 3 2 2 46" xfId="22395" xr:uid="{4EA7A158-4E30-44C8-8CD2-04E8FFE09B29}"/>
    <cellStyle name="Normal GHG whole table 3 2 2 47" xfId="22704" xr:uid="{58C604F6-12D7-49CF-8CCC-5DC167737E84}"/>
    <cellStyle name="Normal GHG whole table 3 2 2 48" xfId="20944" xr:uid="{897408D1-69F7-457F-B360-E22C957F3D68}"/>
    <cellStyle name="Normal GHG whole table 3 2 2 49" xfId="24015" xr:uid="{33F73BFA-71D1-4A68-83E5-AB1360B534A0}"/>
    <cellStyle name="Normal GHG whole table 3 2 2 5" xfId="2020" xr:uid="{809DB58E-8B52-45C2-BF4A-DAAD00A6892E}"/>
    <cellStyle name="Normal GHG whole table 3 2 2 50" xfId="24923" xr:uid="{1D1173C0-69EF-4B7A-9355-D6FE0DF99372}"/>
    <cellStyle name="Normal GHG whole table 3 2 2 51" xfId="25407" xr:uid="{27003616-09E5-4ACD-86CF-4491492C55E9}"/>
    <cellStyle name="Normal GHG whole table 3 2 2 52" xfId="25839" xr:uid="{0629D69A-D607-40C9-8FE7-ED7A2EEA126C}"/>
    <cellStyle name="Normal GHG whole table 3 2 2 53" xfId="24217" xr:uid="{6F2F0435-68DC-4921-A584-10B4ADB633CE}"/>
    <cellStyle name="Normal GHG whole table 3 2 2 54" xfId="26485" xr:uid="{E670CB36-52D5-40A8-B207-B36AEBCCB32A}"/>
    <cellStyle name="Normal GHG whole table 3 2 2 55" xfId="27127" xr:uid="{CB36AD26-E2E9-4BC6-86A0-3584615E24C4}"/>
    <cellStyle name="Normal GHG whole table 3 2 2 56" xfId="27546" xr:uid="{63F7618E-3626-476C-9168-5980C087F4B4}"/>
    <cellStyle name="Normal GHG whole table 3 2 2 57" xfId="26511" xr:uid="{4A928BF5-EAA1-4438-9D69-CC5B0C932369}"/>
    <cellStyle name="Normal GHG whole table 3 2 2 58" xfId="28673" xr:uid="{F2BED3FB-E755-484E-9DD2-720D4C3CDC97}"/>
    <cellStyle name="Normal GHG whole table 3 2 2 59" xfId="29140" xr:uid="{528C417B-D1C5-405B-BAAF-7A08705E9BAE}"/>
    <cellStyle name="Normal GHG whole table 3 2 2 6" xfId="3569" xr:uid="{3C3DBFA8-2C0C-4FE4-BDE0-3EC6CE30BD42}"/>
    <cellStyle name="Normal GHG whole table 3 2 2 60" xfId="29522" xr:uid="{12E0D264-168B-4517-AC44-0429746ACB41}"/>
    <cellStyle name="Normal GHG whole table 3 2 2 61" xfId="29929" xr:uid="{E9C5481C-A99D-433D-AE6C-F335F1C8D855}"/>
    <cellStyle name="Normal GHG whole table 3 2 2 62" xfId="30335" xr:uid="{94030087-09B8-4669-B36E-95C26ED044B1}"/>
    <cellStyle name="Normal GHG whole table 3 2 2 63" xfId="30752" xr:uid="{9A88928B-169C-40C0-8D1D-C427BFAB839D}"/>
    <cellStyle name="Normal GHG whole table 3 2 2 64" xfId="30413" xr:uid="{A94E169B-A302-44A9-ACA3-7A43D9F60BB3}"/>
    <cellStyle name="Normal GHG whole table 3 2 2 65" xfId="31368" xr:uid="{C415F45F-643D-49FF-9F6A-48CE89744E76}"/>
    <cellStyle name="Normal GHG whole table 3 2 2 7" xfId="4151" xr:uid="{A45E4928-8A0E-4030-A75B-DFAC9604C675}"/>
    <cellStyle name="Normal GHG whole table 3 2 2 8" xfId="4588" xr:uid="{B4F7026E-7A61-4030-9E12-B5021EFC1892}"/>
    <cellStyle name="Normal GHG whole table 3 2 2 9" xfId="3641" xr:uid="{289A8B4E-6258-4B7E-930F-17621B012BA9}"/>
    <cellStyle name="Normal GHG whole table 3 2 20" xfId="10001" xr:uid="{EA6C0F0F-B6D3-4CB9-A0C1-946514EB58D7}"/>
    <cellStyle name="Normal GHG whole table 3 2 21" xfId="10426" xr:uid="{1FDD644D-C25A-4CB0-9827-EF60BFDDBEE0}"/>
    <cellStyle name="Normal GHG whole table 3 2 22" xfId="10858" xr:uid="{67E43DDA-26E6-44F5-80C9-D2F1130F42A5}"/>
    <cellStyle name="Normal GHG whole table 3 2 23" xfId="10484" xr:uid="{5B9D2C75-5CA6-4ED1-9894-8877870BEDC7}"/>
    <cellStyle name="Normal GHG whole table 3 2 24" xfId="11971" xr:uid="{45BE5CDA-D7D7-496A-812E-73EED252C098}"/>
    <cellStyle name="Normal GHG whole table 3 2 25" xfId="12444" xr:uid="{9B82E3D3-B132-4BCD-A212-4831FBFDF195}"/>
    <cellStyle name="Normal GHG whole table 3 2 26" xfId="12878" xr:uid="{C90E0C7C-C56E-428E-AE80-87E7E8F2C278}"/>
    <cellStyle name="Normal GHG whole table 3 2 27" xfId="13315" xr:uid="{E5B05B8D-0620-41F3-95C3-E1DFE7529E1C}"/>
    <cellStyle name="Normal GHG whole table 3 2 28" xfId="13949" xr:uid="{1563585E-8C0D-4B31-958B-8942C53C278C}"/>
    <cellStyle name="Normal GHG whole table 3 2 29" xfId="14393" xr:uid="{0488AE67-43B0-4DD0-8401-1B01529C928E}"/>
    <cellStyle name="Normal GHG whole table 3 2 3" xfId="1101" xr:uid="{52FD5D51-E975-4252-A637-A0F7C5A8374F}"/>
    <cellStyle name="Normal GHG whole table 3 2 30" xfId="11725" xr:uid="{5A9A2B46-BF44-431C-9C3C-1BE324DD1BB4}"/>
    <cellStyle name="Normal GHG whole table 3 2 31" xfId="14607" xr:uid="{AAC83AEB-E5B3-49B4-B7EE-2EDE08DA8F45}"/>
    <cellStyle name="Normal GHG whole table 3 2 32" xfId="15363" xr:uid="{8FC24BED-336D-440C-B881-77F91755DAF0}"/>
    <cellStyle name="Normal GHG whole table 3 2 33" xfId="15856" xr:uid="{2D9B7E2D-4475-413E-AAB0-44752D7A44CC}"/>
    <cellStyle name="Normal GHG whole table 3 2 34" xfId="16663" xr:uid="{8F85BEAF-DCD1-4089-B48B-7F2F60F5F204}"/>
    <cellStyle name="Normal GHG whole table 3 2 35" xfId="17117" xr:uid="{A74450AD-01BF-4A01-992D-7CB3F2F548F1}"/>
    <cellStyle name="Normal GHG whole table 3 2 36" xfId="17564" xr:uid="{96C2FF8E-AC89-4D94-8A19-8934E4CC595C}"/>
    <cellStyle name="Normal GHG whole table 3 2 37" xfId="16149" xr:uid="{29FD68EE-6BCF-4E48-91DA-428729E547A3}"/>
    <cellStyle name="Normal GHG whole table 3 2 38" xfId="18481" xr:uid="{0140253E-0555-4483-AB34-A037DDBCAEFF}"/>
    <cellStyle name="Normal GHG whole table 3 2 39" xfId="16150" xr:uid="{C2507F88-E692-4A2B-918C-A48F469FEEC4}"/>
    <cellStyle name="Normal GHG whole table 3 2 4" xfId="1523" xr:uid="{4736B8E7-53E1-493F-8A5A-E701902433BA}"/>
    <cellStyle name="Normal GHG whole table 3 2 40" xfId="19257" xr:uid="{5E828C07-B1D6-4B6A-9D9C-6C7223E70D7B}"/>
    <cellStyle name="Normal GHG whole table 3 2 41" xfId="20000" xr:uid="{3EEE04A7-A46D-4801-8958-3976B8F0A456}"/>
    <cellStyle name="Normal GHG whole table 3 2 42" xfId="20470" xr:uid="{96670393-A679-434C-827F-49B105C12C20}"/>
    <cellStyle name="Normal GHG whole table 3 2 43" xfId="20923" xr:uid="{CF82B5BB-E50A-4ADC-BFB4-87D3DA0E510A}"/>
    <cellStyle name="Normal GHG whole table 3 2 44" xfId="19400" xr:uid="{4418B687-3C35-4B09-AB7B-06F94A918946}"/>
    <cellStyle name="Normal GHG whole table 3 2 45" xfId="21852" xr:uid="{805551DD-49F6-48A4-8F4F-18D40A377509}"/>
    <cellStyle name="Normal GHG whole table 3 2 46" xfId="22289" xr:uid="{F28EC945-B841-449A-9B04-78E839A6B383}"/>
    <cellStyle name="Normal GHG whole table 3 2 47" xfId="22924" xr:uid="{44DE91D6-F94B-4C89-A1D6-B0175D708F9A}"/>
    <cellStyle name="Normal GHG whole table 3 2 48" xfId="22745" xr:uid="{989E7BFF-D3F2-4358-95B3-57AF0CA80566}"/>
    <cellStyle name="Normal GHG whole table 3 2 49" xfId="23610" xr:uid="{9436B873-9104-4FBF-86A2-D771FE2190DB}"/>
    <cellStyle name="Normal GHG whole table 3 2 5" xfId="2440" xr:uid="{8F64C457-6AE8-473C-914A-DF0773C24604}"/>
    <cellStyle name="Normal GHG whole table 3 2 50" xfId="23809" xr:uid="{BC15E839-522D-4DA1-9997-FAF2BFED3B80}"/>
    <cellStyle name="Normal GHG whole table 3 2 51" xfId="24708" xr:uid="{7CAE5464-3E03-4B22-BFE3-18FA9C60FC74}"/>
    <cellStyle name="Normal GHG whole table 3 2 52" xfId="25178" xr:uid="{C57C4608-1854-48EB-A7F9-1DD9F468EE35}"/>
    <cellStyle name="Normal GHG whole table 3 2 53" xfId="25626" xr:uid="{36E3C78B-3BD2-45AC-8D1C-482C9B03A4AF}"/>
    <cellStyle name="Normal GHG whole table 3 2 54" xfId="26230" xr:uid="{E96FCEC8-6933-496C-B2BB-CE0B2744C6D3}"/>
    <cellStyle name="Normal GHG whole table 3 2 55" xfId="26285" xr:uid="{1C812FF6-8FA9-4E6B-B89C-8B8044AE735C}"/>
    <cellStyle name="Normal GHG whole table 3 2 56" xfId="26916" xr:uid="{38C5CF68-4A58-4DA8-8EFE-FB1772DFBA17}"/>
    <cellStyle name="Normal GHG whole table 3 2 57" xfId="27335" xr:uid="{F9402034-A691-4D13-BCBE-543623092A9C}"/>
    <cellStyle name="Normal GHG whole table 3 2 58" xfId="26798" xr:uid="{D02A72C7-CF3C-428F-A135-1A353156C9A8}"/>
    <cellStyle name="Normal GHG whole table 3 2 59" xfId="28458" xr:uid="{4FA5EC06-CCE7-4CC2-AC55-3A75FAAB17B9}"/>
    <cellStyle name="Normal GHG whole table 3 2 6" xfId="3118" xr:uid="{2C55E9A8-30FE-459A-B4D4-E15DAED68B17}"/>
    <cellStyle name="Normal GHG whole table 3 2 60" xfId="28926" xr:uid="{FF8B03D8-8092-4226-9FA1-272152265527}"/>
    <cellStyle name="Normal GHG whole table 3 2 61" xfId="29325" xr:uid="{903A6B93-4ADA-4A38-BACD-F3AFD0076B4C}"/>
    <cellStyle name="Normal GHG whole table 3 2 62" xfId="29716" xr:uid="{048F6B5B-88D9-4A34-988F-C0D4E94C42E0}"/>
    <cellStyle name="Normal GHG whole table 3 2 63" xfId="30124" xr:uid="{C0E145C7-7B1E-48F5-A93C-9E31E0B92B5A}"/>
    <cellStyle name="Normal GHG whole table 3 2 64" xfId="30538" xr:uid="{98E046EE-116E-4780-8C6F-C01A007F4AAB}"/>
    <cellStyle name="Normal GHG whole table 3 2 65" xfId="30862" xr:uid="{67129757-25A8-4E54-A24B-DD496C9EDDCE}"/>
    <cellStyle name="Normal GHG whole table 3 2 66" xfId="31162" xr:uid="{959FC0C4-49A1-43D1-BEA2-B16774C75941}"/>
    <cellStyle name="Normal GHG whole table 3 2 7" xfId="2807" xr:uid="{3D4C3441-4DA6-4AFF-AD5C-7342691EA0FB}"/>
    <cellStyle name="Normal GHG whole table 3 2 8" xfId="3936" xr:uid="{E02C102C-ADD8-4C84-931D-46DEA2547A95}"/>
    <cellStyle name="Normal GHG whole table 3 2 9" xfId="4374" xr:uid="{7CACBB0D-5126-4850-B753-E65E060DD155}"/>
    <cellStyle name="Normal GHG whole table 3 20" xfId="8107" xr:uid="{794DB4D9-3C36-490C-BF0E-7E79724A5601}"/>
    <cellStyle name="Normal GHG whole table 3 21" xfId="9224" xr:uid="{8D50BB19-4631-472A-A53C-21548DBDD4A5}"/>
    <cellStyle name="Normal GHG whole table 3 22" xfId="8964" xr:uid="{C58FED0E-9F9A-4E99-8FB1-016889A4DD7F}"/>
    <cellStyle name="Normal GHG whole table 3 23" xfId="10141" xr:uid="{1AFDE28D-5FE4-4420-A91A-B8C1E6CF8008}"/>
    <cellStyle name="Normal GHG whole table 3 24" xfId="9871" xr:uid="{D475EA9F-CB3A-4AA1-A513-903B56657C6D}"/>
    <cellStyle name="Normal GHG whole table 3 25" xfId="10805" xr:uid="{49CC4AE6-EB4E-4AE8-9201-BEB6C7666FC7}"/>
    <cellStyle name="Normal GHG whole table 3 26" xfId="11637" xr:uid="{816333B0-BAA1-4399-A9FB-CC44F08E9F6B}"/>
    <cellStyle name="Normal GHG whole table 3 27" xfId="11478" xr:uid="{AE20C972-C7B3-4BB8-8F45-30FEFAED7D46}"/>
    <cellStyle name="Normal GHG whole table 3 28" xfId="11584" xr:uid="{DA7D28D4-D8B9-4C19-8870-2383D87F7E29}"/>
    <cellStyle name="Normal GHG whole table 3 29" xfId="12295" xr:uid="{6C3E51B0-D63B-4AAA-80A8-97B3623027C4}"/>
    <cellStyle name="Normal GHG whole table 3 3" xfId="539" xr:uid="{189B52D5-17B0-460B-B1A3-754CA578CF55}"/>
    <cellStyle name="Normal GHG whole table 3 3 10" xfId="5041" xr:uid="{DD05FC85-ADDF-4225-B17C-192E8D5179D6}"/>
    <cellStyle name="Normal GHG whole table 3 3 11" xfId="5187" xr:uid="{B6CA1BAF-C02F-4571-97E1-B9617CC70C2C}"/>
    <cellStyle name="Normal GHG whole table 3 3 12" xfId="3658" xr:uid="{30CDA7F0-9967-4B27-A547-F07F5D071491}"/>
    <cellStyle name="Normal GHG whole table 3 3 13" xfId="5971" xr:uid="{A0D37607-955C-4847-855C-693408CF48A0}"/>
    <cellStyle name="Normal GHG whole table 3 3 14" xfId="6194" xr:uid="{8EC8BB08-5C31-40C6-ABB0-43F5018CCB1C}"/>
    <cellStyle name="Normal GHG whole table 3 3 15" xfId="7259" xr:uid="{194240F3-68AB-41F6-AA05-9515A08085F2}"/>
    <cellStyle name="Normal GHG whole table 3 3 16" xfId="7791" xr:uid="{30B2DA6D-46ED-4F1E-B762-63E5C7BF5A3F}"/>
    <cellStyle name="Normal GHG whole table 3 3 17" xfId="8200" xr:uid="{CD78B9B3-00E6-4B4C-99E2-85FF057D9241}"/>
    <cellStyle name="Normal GHG whole table 3 3 18" xfId="8807" xr:uid="{01D5D66C-9A7B-4904-BC5F-323B510C038A}"/>
    <cellStyle name="Normal GHG whole table 3 3 19" xfId="9473" xr:uid="{6B52010E-F30A-4313-8E0D-C7E781348566}"/>
    <cellStyle name="Normal GHG whole table 3 3 2" xfId="754" xr:uid="{2B082716-3006-42B1-B959-EEA06B418BC6}"/>
    <cellStyle name="Normal GHG whole table 3 3 2 10" xfId="5402" xr:uid="{21406FFC-D661-4466-AC37-A3E0118436AF}"/>
    <cellStyle name="Normal GHG whole table 3 3 2 11" xfId="4252" xr:uid="{3EBA1CA4-20D3-467F-82A7-9C5F0340C3E6}"/>
    <cellStyle name="Normal GHG whole table 3 3 2 12" xfId="3723" xr:uid="{4E8FCCCA-3467-4DCE-8D28-6900660DCBD8}"/>
    <cellStyle name="Normal GHG whole table 3 3 2 13" xfId="6608" xr:uid="{15E9DEFA-A52A-4E63-A264-5F1591A36801}"/>
    <cellStyle name="Normal GHG whole table 3 3 2 14" xfId="7474" xr:uid="{988F5BDF-6DFF-474D-BF18-689D24B417FE}"/>
    <cellStyle name="Normal GHG whole table 3 3 2 15" xfId="7036" xr:uid="{13CEAA84-3064-40A1-959A-726F9F6FCBF9}"/>
    <cellStyle name="Normal GHG whole table 3 3 2 16" xfId="8228" xr:uid="{8882A6CE-4199-4570-96A8-4199411C959B}"/>
    <cellStyle name="Normal GHG whole table 3 3 2 17" xfId="8632" xr:uid="{60C43959-62E4-4878-9F42-B6674C90D2B7}"/>
    <cellStyle name="Normal GHG whole table 3 3 2 18" xfId="9688" xr:uid="{54A9E1D7-5C1B-4B45-A33E-CA4746FD3119}"/>
    <cellStyle name="Normal GHG whole table 3 3 2 19" xfId="9249" xr:uid="{E24AE953-E2BF-4F54-B28E-F00413979114}"/>
    <cellStyle name="Normal GHG whole table 3 3 2 2" xfId="1228" xr:uid="{1D2DA5E6-EEE4-4C2E-980F-817A7EB60424}"/>
    <cellStyle name="Normal GHG whole table 3 3 2 20" xfId="9840" xr:uid="{6C4ADEF2-5DDB-4F24-8C8A-6302950376C9}"/>
    <cellStyle name="Normal GHG whole table 3 3 2 21" xfId="10660" xr:uid="{AE95A601-4AA7-4762-BF91-5ED362C12502}"/>
    <cellStyle name="Normal GHG whole table 3 3 2 22" xfId="11262" xr:uid="{453D4F1B-670C-4A47-BDFA-DB6F72953214}"/>
    <cellStyle name="Normal GHG whole table 3 3 2 23" xfId="12107" xr:uid="{F57AC4BD-4ECC-444B-9B9D-67DE367FB336}"/>
    <cellStyle name="Normal GHG whole table 3 3 2 24" xfId="12580" xr:uid="{3EFA1CCB-0A24-45B4-8269-6C602E341206}"/>
    <cellStyle name="Normal GHG whole table 3 3 2 25" xfId="13014" xr:uid="{1FC00C9E-8CE7-40F6-AC8F-F44EC464AD5F}"/>
    <cellStyle name="Normal GHG whole table 3 3 2 26" xfId="13451" xr:uid="{15F19DE9-6C78-436E-B7B7-F31F83C8AF66}"/>
    <cellStyle name="Normal GHG whole table 3 3 2 27" xfId="11687" xr:uid="{886CF5B4-B488-4623-B1E8-8D3758AB4132}"/>
    <cellStyle name="Normal GHG whole table 3 3 2 28" xfId="11656" xr:uid="{728FEE5F-80E2-4968-8AD4-467314554C92}"/>
    <cellStyle name="Normal GHG whole table 3 3 2 29" xfId="14468" xr:uid="{00E167E8-A08B-4D1B-9E0C-A8B6D76D882A}"/>
    <cellStyle name="Normal GHG whole table 3 3 2 3" xfId="1512" xr:uid="{090B281C-EDD9-4FC0-9C93-BD5C2DA6067D}"/>
    <cellStyle name="Normal GHG whole table 3 3 2 30" xfId="14077" xr:uid="{91C5A677-582B-4AD0-B46C-CE391703A7B2}"/>
    <cellStyle name="Normal GHG whole table 3 3 2 31" xfId="15238" xr:uid="{42DEA0BD-C44B-4E41-B57E-78A8FAA34972}"/>
    <cellStyle name="Normal GHG whole table 3 3 2 32" xfId="15508" xr:uid="{4B138B54-DA45-43AB-BDE3-827A7EC80B8A}"/>
    <cellStyle name="Normal GHG whole table 3 3 2 33" xfId="16799" xr:uid="{2DD3483A-E1C9-44AD-82B3-23E3BB6C7D0C}"/>
    <cellStyle name="Normal GHG whole table 3 3 2 34" xfId="16359" xr:uid="{9F80459B-4339-44C1-B83B-F818D02FCB9B}"/>
    <cellStyle name="Normal GHG whole table 3 3 2 35" xfId="16955" xr:uid="{EF69702E-182E-4DF9-9293-005A202FB4EE}"/>
    <cellStyle name="Normal GHG whole table 3 3 2 36" xfId="18033" xr:uid="{C8CD75B2-EC0C-400B-924B-CD6585EDFAD9}"/>
    <cellStyle name="Normal GHG whole table 3 3 2 37" xfId="18617" xr:uid="{7DF83847-B1B1-474B-982B-AF5443E34050}"/>
    <cellStyle name="Normal GHG whole table 3 3 2 38" xfId="17927" xr:uid="{D8571978-989E-42B2-B7EA-7B9A6475F690}"/>
    <cellStyle name="Normal GHG whole table 3 3 2 39" xfId="19084" xr:uid="{D84E94CA-A0D5-42BF-84F0-97D69DA96BEA}"/>
    <cellStyle name="Normal GHG whole table 3 3 2 4" xfId="2576" xr:uid="{4CC5396F-C417-4432-A61D-B6B1CF96479F}"/>
    <cellStyle name="Normal GHG whole table 3 3 2 40" xfId="20136" xr:uid="{E48DFF7F-418F-4ED1-95A2-4F8C726302C0}"/>
    <cellStyle name="Normal GHG whole table 3 3 2 41" xfId="19692" xr:uid="{581DDBBE-AAF5-4EE2-913E-37E2758D4810}"/>
    <cellStyle name="Normal GHG whole table 3 3 2 42" xfId="20384" xr:uid="{C7750E02-530F-459C-A649-E6B9AACCBEB6}"/>
    <cellStyle name="Normal GHG whole table 3 3 2 43" xfId="21256" xr:uid="{4BA3AA5B-4B9E-4331-9619-26F3EF092F36}"/>
    <cellStyle name="Normal GHG whole table 3 3 2 44" xfId="21484" xr:uid="{B4F40877-3B05-447C-BCEB-5983AF25E82A}"/>
    <cellStyle name="Normal GHG whole table 3 3 2 45" xfId="21789" xr:uid="{ADA0A223-F20B-49B9-9929-9DCB31A1BED7}"/>
    <cellStyle name="Normal GHG whole table 3 3 2 46" xfId="20358" xr:uid="{647525D7-EDE3-4989-A3CA-2BFEEF173D54}"/>
    <cellStyle name="Normal GHG whole table 3 3 2 47" xfId="22705" xr:uid="{83F094DE-9B5D-4330-9CC1-715CD7018113}"/>
    <cellStyle name="Normal GHG whole table 3 3 2 48" xfId="20419" xr:uid="{D8F70357-AEFF-4092-BC01-E071CBE41F60}"/>
    <cellStyle name="Normal GHG whole table 3 3 2 49" xfId="23936" xr:uid="{F8E05576-F61D-4C1F-BF35-939A904DE944}"/>
    <cellStyle name="Normal GHG whole table 3 3 2 5" xfId="1982" xr:uid="{B945AE67-4573-4FC5-B398-12130F898484}"/>
    <cellStyle name="Normal GHG whole table 3 3 2 50" xfId="24844" xr:uid="{87F0F204-2E92-4CD1-899B-8C75E4CAFB85}"/>
    <cellStyle name="Normal GHG whole table 3 3 2 51" xfId="24556" xr:uid="{14EF67F6-2016-44B7-A5CF-8B21A56DD1BA}"/>
    <cellStyle name="Normal GHG whole table 3 3 2 52" xfId="25760" xr:uid="{FBABF81D-B2A2-46FB-9E32-19F3677040A8}"/>
    <cellStyle name="Normal GHG whole table 3 3 2 53" xfId="25403" xr:uid="{A22A5E8D-5749-492B-943A-60C5D13E6E5B}"/>
    <cellStyle name="Normal GHG whole table 3 3 2 54" xfId="25271" xr:uid="{12D8235B-EEE0-4BEF-8A98-6F55820F3292}"/>
    <cellStyle name="Normal GHG whole table 3 3 2 55" xfId="27048" xr:uid="{03AE40F9-8A07-491F-A065-F6DB6B5517FA}"/>
    <cellStyle name="Normal GHG whole table 3 3 2 56" xfId="27467" xr:uid="{87449E16-A799-42AA-AABA-C046363BB0E4}"/>
    <cellStyle name="Normal GHG whole table 3 3 2 57" xfId="24301" xr:uid="{BBB40110-8C24-478B-9203-6327C5F71C68}"/>
    <cellStyle name="Normal GHG whole table 3 3 2 58" xfId="28594" xr:uid="{949A3F70-909E-41C3-8936-8AAAA511DF95}"/>
    <cellStyle name="Normal GHG whole table 3 3 2 59" xfId="29061" xr:uid="{6E434128-3B23-444C-858D-525E939EC7C9}"/>
    <cellStyle name="Normal GHG whole table 3 3 2 6" xfId="3527" xr:uid="{E6047076-186F-4057-A5BD-5D9617D38105}"/>
    <cellStyle name="Normal GHG whole table 3 3 2 60" xfId="28259" xr:uid="{19367090-7959-449F-9507-D9C0C6931F6D}"/>
    <cellStyle name="Normal GHG whole table 3 3 2 61" xfId="29850" xr:uid="{AB7B34B1-12D6-4AD7-954E-59B167149F59}"/>
    <cellStyle name="Normal GHG whole table 3 3 2 62" xfId="30256" xr:uid="{113F5BB3-FE4F-41B5-8E79-EBA68CD50B4A}"/>
    <cellStyle name="Normal GHG whole table 3 3 2 63" xfId="30673" xr:uid="{A3E7BD52-CD30-4DE4-90DC-4E6117765D0E}"/>
    <cellStyle name="Normal GHG whole table 3 3 2 64" xfId="29353" xr:uid="{F0F012BC-A8C9-4CC4-BC9F-B3014446E372}"/>
    <cellStyle name="Normal GHG whole table 3 3 2 65" xfId="31289" xr:uid="{DF25AB09-323D-47A2-A025-88E960A00093}"/>
    <cellStyle name="Normal GHG whole table 3 3 2 7" xfId="4072" xr:uid="{61E09FD1-EF3F-4268-81AF-4BF4EC7EF700}"/>
    <cellStyle name="Normal GHG whole table 3 3 2 8" xfId="4509" xr:uid="{BAD3FD7E-C582-4F63-B5B7-44902F6B6344}"/>
    <cellStyle name="Normal GHG whole table 3 3 2 9" xfId="4237" xr:uid="{2FB32593-C084-4B15-A5DD-6A9933E1D256}"/>
    <cellStyle name="Normal GHG whole table 3 3 20" xfId="10004" xr:uid="{8ED42B2D-F6D2-422D-A3CF-32748EDA36C2}"/>
    <cellStyle name="Normal GHG whole table 3 3 21" xfId="10429" xr:uid="{5552D858-FA5C-4C56-BF5B-B2F833FABBD9}"/>
    <cellStyle name="Normal GHG whole table 3 3 22" xfId="10903" xr:uid="{7951757F-F459-48BE-817E-74253C109928}"/>
    <cellStyle name="Normal GHG whole table 3 3 23" xfId="11202" xr:uid="{896F0500-E9D0-421F-BE54-F1363B0DACDF}"/>
    <cellStyle name="Normal GHG whole table 3 3 24" xfId="11892" xr:uid="{E48D3889-975A-428B-A367-14D32AE0F7FD}"/>
    <cellStyle name="Normal GHG whole table 3 3 25" xfId="12365" xr:uid="{D0B0FC84-D2C9-40C2-AADE-7495161662D5}"/>
    <cellStyle name="Normal GHG whole table 3 3 26" xfId="12799" xr:uid="{8C491495-8D18-41A2-80E7-CE9CE32F5848}"/>
    <cellStyle name="Normal GHG whole table 3 3 27" xfId="13236" xr:uid="{47A90FFD-1248-4B7A-8C16-14E86BD0AAAF}"/>
    <cellStyle name="Normal GHG whole table 3 3 28" xfId="11347" xr:uid="{B2795E25-CA83-42BE-96E9-C41ADEF83AE1}"/>
    <cellStyle name="Normal GHG whole table 3 3 29" xfId="14254" xr:uid="{D509CD40-4F61-4F65-9078-61BD5C910B07}"/>
    <cellStyle name="Normal GHG whole table 3 3 3" xfId="1022" xr:uid="{8CCAD51D-A7B5-4E66-BA04-374BFFCFCAF0}"/>
    <cellStyle name="Normal GHG whole table 3 3 30" xfId="14745" xr:uid="{E0A607A2-FC3E-47A5-8ED2-2B9859DDDA6D}"/>
    <cellStyle name="Normal GHG whole table 3 3 31" xfId="14974" xr:uid="{37DA4E76-2933-4DE7-AE9D-C3578323F2F5}"/>
    <cellStyle name="Normal GHG whole table 3 3 32" xfId="15502" xr:uid="{B54337DB-5BB3-4478-B8B6-F4C7448F3A2E}"/>
    <cellStyle name="Normal GHG whole table 3 3 33" xfId="15859" xr:uid="{42E102FA-7CB2-4BD3-88E3-6B6F1B35F1E7}"/>
    <cellStyle name="Normal GHG whole table 3 3 34" xfId="16584" xr:uid="{D155BEFF-7671-445D-9DC0-0611A2F328E9}"/>
    <cellStyle name="Normal GHG whole table 3 3 35" xfId="17120" xr:uid="{282A9D45-429A-4F4C-9855-CF1D952831A8}"/>
    <cellStyle name="Normal GHG whole table 3 3 36" xfId="17567" xr:uid="{BD4C63FD-083B-4150-9F38-2DEA9A7E4A38}"/>
    <cellStyle name="Normal GHG whole table 3 3 37" xfId="16537" xr:uid="{4C8FC5CE-16E1-48AB-B160-479AE04893B0}"/>
    <cellStyle name="Normal GHG whole table 3 3 38" xfId="18402" xr:uid="{F72B37B2-A4F4-483D-B2A0-2549B86FA0FE}"/>
    <cellStyle name="Normal GHG whole table 3 3 39" xfId="18883" xr:uid="{0CA2216A-FAED-46A3-B18C-102B5AF3D2CF}"/>
    <cellStyle name="Normal GHG whole table 3 3 4" xfId="1679" xr:uid="{9AE499C6-2053-4D5D-9CAC-D43649DF2EEB}"/>
    <cellStyle name="Normal GHG whole table 3 3 40" xfId="19286" xr:uid="{AAA3131B-95EE-4BB7-BC67-7A2F8D01D7D3}"/>
    <cellStyle name="Normal GHG whole table 3 3 41" xfId="19921" xr:uid="{7DB8DEAC-7A1A-499A-99DD-C612959CDD09}"/>
    <cellStyle name="Normal GHG whole table 3 3 42" xfId="20473" xr:uid="{9E49AD91-7D55-4768-8D79-80425C638ED2}"/>
    <cellStyle name="Normal GHG whole table 3 3 43" xfId="20926" xr:uid="{135EFA94-43C8-456C-B118-655BF18C35E8}"/>
    <cellStyle name="Normal GHG whole table 3 3 44" xfId="21551" xr:uid="{7BE93A31-7656-4CF5-94C8-2BC876174473}"/>
    <cellStyle name="Normal GHG whole table 3 3 45" xfId="21855" xr:uid="{50FE2AC6-CF0B-4363-BCC6-D98E84E57283}"/>
    <cellStyle name="Normal GHG whole table 3 3 46" xfId="22292" xr:uid="{DC021DFC-31D2-43E9-81B1-971F81048EF6}"/>
    <cellStyle name="Normal GHG whole table 3 3 47" xfId="22239" xr:uid="{E973E4E3-E7BB-4B42-93DD-389592CDFB11}"/>
    <cellStyle name="Normal GHG whole table 3 3 48" xfId="23158" xr:uid="{2487A8EA-E7D8-4621-B094-3EB5F4305D3B}"/>
    <cellStyle name="Normal GHG whole table 3 3 49" xfId="23471" xr:uid="{A9EF6821-A31D-4352-AC80-BA9A4AE08D38}"/>
    <cellStyle name="Normal GHG whole table 3 3 5" xfId="2361" xr:uid="{B8041CEF-D0D0-43B8-B443-57A2B54D9329}"/>
    <cellStyle name="Normal GHG whole table 3 3 50" xfId="23730" xr:uid="{3E3821A9-8784-460F-92EC-DA4D8F897754}"/>
    <cellStyle name="Normal GHG whole table 3 3 51" xfId="24629" xr:uid="{7BAECAF8-4A98-43F2-AC8F-9AD67545B5BB}"/>
    <cellStyle name="Normal GHG whole table 3 3 52" xfId="25181" xr:uid="{19724ECE-B24C-4F7F-957B-069E22E5620E}"/>
    <cellStyle name="Normal GHG whole table 3 3 53" xfId="25547" xr:uid="{9B36B62C-D680-43CE-910E-4A72BAEACE2B}"/>
    <cellStyle name="Normal GHG whole table 3 3 54" xfId="24338" xr:uid="{A2F9030C-D7BE-40D0-9978-843744C252D8}"/>
    <cellStyle name="Normal GHG whole table 3 3 55" xfId="26716" xr:uid="{4550AD7E-C311-48D2-BBC6-70F13ADD7472}"/>
    <cellStyle name="Normal GHG whole table 3 3 56" xfId="26837" xr:uid="{E3E5912A-631C-48BE-8F8B-8D3DCB6E2E95}"/>
    <cellStyle name="Normal GHG whole table 3 3 57" xfId="27256" xr:uid="{CD9E8D7C-CAFB-4D0C-9BA2-B45CFD175214}"/>
    <cellStyle name="Normal GHG whole table 3 3 58" xfId="27753" xr:uid="{9B8945FA-046D-4EAD-9A5D-1ED720D9D313}"/>
    <cellStyle name="Normal GHG whole table 3 3 59" xfId="28379" xr:uid="{E0D55589-73F0-49F1-BDAD-6453004FD48A}"/>
    <cellStyle name="Normal GHG whole table 3 3 6" xfId="2714" xr:uid="{059025EC-167D-4C76-BE78-E09088297CE3}"/>
    <cellStyle name="Normal GHG whole table 3 3 60" xfId="28847" xr:uid="{8BE058E1-B027-4B8B-93A0-ABD7456D3150}"/>
    <cellStyle name="Normal GHG whole table 3 3 61" xfId="29328" xr:uid="{0736A528-A8FA-4DEC-A47D-12658C2250F8}"/>
    <cellStyle name="Normal GHG whole table 3 3 62" xfId="29637" xr:uid="{C9F6AB08-4197-49CE-97E9-AD46F5029C9C}"/>
    <cellStyle name="Normal GHG whole table 3 3 63" xfId="30045" xr:uid="{8D5B545C-9028-401B-A7CC-779749FD06CD}"/>
    <cellStyle name="Normal GHG whole table 3 3 64" xfId="30459" xr:uid="{50D718FE-87B2-4F46-A9A0-061F40A16D7C}"/>
    <cellStyle name="Normal GHG whole table 3 3 65" xfId="30894" xr:uid="{14E402DD-3DAD-4F1A-82CC-3DD6E1586819}"/>
    <cellStyle name="Normal GHG whole table 3 3 66" xfId="31083" xr:uid="{ABD7DE3D-3B8A-4F15-8F32-99DEB51239AA}"/>
    <cellStyle name="Normal GHG whole table 3 3 7" xfId="3391" xr:uid="{373959E8-7F59-43C5-9E75-17C6EB515E81}"/>
    <cellStyle name="Normal GHG whole table 3 3 8" xfId="3857" xr:uid="{69E2143F-5086-4A81-B5C5-F7C236CF656E}"/>
    <cellStyle name="Normal GHG whole table 3 3 9" xfId="4295" xr:uid="{39CF1B73-6EDA-4BB5-95FD-9F89748A2E13}"/>
    <cellStyle name="Normal GHG whole table 3 30" xfId="13152" xr:uid="{CA2EF486-7FE6-401E-A835-B9FA81211DE5}"/>
    <cellStyle name="Normal GHG whole table 3 31" xfId="11776" xr:uid="{FD8CB7FF-0462-41CD-9657-87095F76D007}"/>
    <cellStyle name="Normal GHG whole table 3 32" xfId="11681" xr:uid="{9BF9C5BF-B46A-4C04-9BDC-7D49A38F8AD9}"/>
    <cellStyle name="Normal GHG whole table 3 33" xfId="13197" xr:uid="{2A56937C-FDF7-4C88-BEA8-35A1732A3900}"/>
    <cellStyle name="Normal GHG whole table 3 34" xfId="14333" xr:uid="{BB243AF5-EAA1-44E2-A72D-A15C175B524B}"/>
    <cellStyle name="Normal GHG whole table 3 35" xfId="14069" xr:uid="{B6ADFAB6-0E5F-4171-97BF-338DDC505EAE}"/>
    <cellStyle name="Normal GHG whole table 3 36" xfId="16332" xr:uid="{4636A11D-A844-4031-B63E-7E6F27B14311}"/>
    <cellStyle name="Normal GHG whole table 3 37" xfId="16045" xr:uid="{5A2EE4F4-208F-4A78-A1A5-3BECD94332FA}"/>
    <cellStyle name="Normal GHG whole table 3 38" xfId="17064" xr:uid="{FC634E73-AC44-46A2-A188-6017915808E5}"/>
    <cellStyle name="Normal GHG whole table 3 39" xfId="16994" xr:uid="{84A884E0-9AC6-4F3C-A118-C83AB19FAC24}"/>
    <cellStyle name="Normal GHG whole table 3 4" xfId="626" xr:uid="{07226F49-C80F-448A-9ABB-240B76E4F429}"/>
    <cellStyle name="Normal GHG whole table 3 4 10" xfId="4989" xr:uid="{D440C116-4552-47D1-B0F2-8EB3CC0EB78C}"/>
    <cellStyle name="Normal GHG whole table 3 4 11" xfId="5274" xr:uid="{16FE9687-DD5B-4D01-B570-9A2F1DF60023}"/>
    <cellStyle name="Normal GHG whole table 3 4 12" xfId="5904" xr:uid="{555696F9-8352-4EA9-B152-70B3656B180C}"/>
    <cellStyle name="Normal GHG whole table 3 4 13" xfId="6200" xr:uid="{2CBA70DA-AC7A-4661-BC3E-24056A398C6A}"/>
    <cellStyle name="Normal GHG whole table 3 4 14" xfId="6534" xr:uid="{8DDF0588-3416-43DC-8FE7-80DC5045E43C}"/>
    <cellStyle name="Normal GHG whole table 3 4 15" xfId="7346" xr:uid="{4C04F09C-AB55-445F-90DF-8B98E3451BEB}"/>
    <cellStyle name="Normal GHG whole table 3 4 16" xfId="7776" xr:uid="{8980B398-1E50-456D-B41C-F9F35B55A316}"/>
    <cellStyle name="Normal GHG whole table 3 4 17" xfId="8214" xr:uid="{E8DA16E6-F26E-44CC-B300-0EE6128CECB5}"/>
    <cellStyle name="Normal GHG whole table 3 4 18" xfId="7953" xr:uid="{1B377AC8-4954-4991-831A-EE70FCAC18FA}"/>
    <cellStyle name="Normal GHG whole table 3 4 19" xfId="9560" xr:uid="{FAB9787A-4C58-49E1-9A13-8A85A94CEC5F}"/>
    <cellStyle name="Normal GHG whole table 3 4 2" xfId="841" xr:uid="{B869D408-CC5F-4F12-9F06-A3A013F7F99A}"/>
    <cellStyle name="Normal GHG whole table 3 4 2 10" xfId="5489" xr:uid="{A0D7D54B-CEC7-4139-B566-C49E4520AE7F}"/>
    <cellStyle name="Normal GHG whole table 3 4 2 11" xfId="5898" xr:uid="{58384B67-0E0A-458E-AA96-A9926389ECAE}"/>
    <cellStyle name="Normal GHG whole table 3 4 2 12" xfId="4673" xr:uid="{9A914833-5A8D-4130-A6AD-3BA8301A898D}"/>
    <cellStyle name="Normal GHG whole table 3 4 2 13" xfId="6599" xr:uid="{A95BC7C6-E7CE-415F-AD91-483349F119D1}"/>
    <cellStyle name="Normal GHG whole table 3 4 2 14" xfId="7561" xr:uid="{7642245C-1D1A-462D-93CB-5D9C1A7ED136}"/>
    <cellStyle name="Normal GHG whole table 3 4 2 15" xfId="7202" xr:uid="{96A8FA75-6926-44F6-9080-91C0838CCAEE}"/>
    <cellStyle name="Normal GHG whole table 3 4 2 16" xfId="8473" xr:uid="{67319840-B76D-4599-8F13-B9468DEB277A}"/>
    <cellStyle name="Normal GHG whole table 3 4 2 17" xfId="6762" xr:uid="{7FC5D9BD-69F0-4474-AAF8-2760F1340A1C}"/>
    <cellStyle name="Normal GHG whole table 3 4 2 18" xfId="9775" xr:uid="{28B4C105-FD89-40C2-916A-53B7BEF380EB}"/>
    <cellStyle name="Normal GHG whole table 3 4 2 19" xfId="9415" xr:uid="{EE5B7075-D221-4D70-80E6-DBD975A27C9F}"/>
    <cellStyle name="Normal GHG whole table 3 4 2 2" xfId="1315" xr:uid="{183F6832-C70F-4581-A11E-73B056E21FF5}"/>
    <cellStyle name="Normal GHG whole table 3 4 2 20" xfId="9353" xr:uid="{BC9E3118-DDE4-4F6F-A576-9F3C3FD79935}"/>
    <cellStyle name="Normal GHG whole table 3 4 2 21" xfId="9131" xr:uid="{E9054D50-EA8B-4E52-90C0-DB62B9A246B4}"/>
    <cellStyle name="Normal GHG whole table 3 4 2 22" xfId="10076" xr:uid="{C01B3895-9D26-4739-8463-406EDFE6486C}"/>
    <cellStyle name="Normal GHG whole table 3 4 2 23" xfId="12194" xr:uid="{CC47B588-1A56-41EE-9AB8-7BDAFC63C212}"/>
    <cellStyle name="Normal GHG whole table 3 4 2 24" xfId="12667" xr:uid="{197EC3DC-BEE7-4B6A-BDE5-DDD76015F1D0}"/>
    <cellStyle name="Normal GHG whole table 3 4 2 25" xfId="13101" xr:uid="{744C4A0A-2270-409E-8D74-694696F558EC}"/>
    <cellStyle name="Normal GHG whole table 3 4 2 26" xfId="13538" xr:uid="{5DE46432-461E-48A6-A688-455E0006AA4D}"/>
    <cellStyle name="Normal GHG whole table 3 4 2 27" xfId="13898" xr:uid="{1D1B0C37-FDA2-490A-BD94-630D39D33C8F}"/>
    <cellStyle name="Normal GHG whole table 3 4 2 28" xfId="13862" xr:uid="{5A1A1015-EA6A-457A-B9B1-2B74620800BA}"/>
    <cellStyle name="Normal GHG whole table 3 4 2 29" xfId="14390" xr:uid="{C09E8068-4495-4EA6-879E-D5A8B5EE0B1A}"/>
    <cellStyle name="Normal GHG whole table 3 4 2 3" xfId="1764" xr:uid="{1C0FF120-CCAC-4F30-9310-1D0A7786F345}"/>
    <cellStyle name="Normal GHG whole table 3 4 2 30" xfId="14786" xr:uid="{0BEBC89B-25BF-4231-972E-B1BF88AD7579}"/>
    <cellStyle name="Normal GHG whole table 3 4 2 31" xfId="15423" xr:uid="{75F36AED-2A67-439E-8CB2-45FCE4C427AA}"/>
    <cellStyle name="Normal GHG whole table 3 4 2 32" xfId="14720" xr:uid="{F9A8770B-7EE4-4E03-BFF6-9D54A7493A5E}"/>
    <cellStyle name="Normal GHG whole table 3 4 2 33" xfId="16886" xr:uid="{EA9F8B7D-3F8F-4EBA-98BB-B7A9CD443939}"/>
    <cellStyle name="Normal GHG whole table 3 4 2 34" xfId="16524" xr:uid="{B1B7E295-B924-4BA5-A105-BA9965078A60}"/>
    <cellStyle name="Normal GHG whole table 3 4 2 35" xfId="16171" xr:uid="{AD53C997-397E-47FE-9ED5-F7C2F3653168}"/>
    <cellStyle name="Normal GHG whole table 3 4 2 36" xfId="17455" xr:uid="{6E2F8FDE-44E2-4AB4-B14C-686A50D263EA}"/>
    <cellStyle name="Normal GHG whole table 3 4 2 37" xfId="18704" xr:uid="{F8D469FD-0BA9-4597-A6EB-3CADBE48C843}"/>
    <cellStyle name="Normal GHG whole table 3 4 2 38" xfId="18349" xr:uid="{FBEF96B3-B664-400D-B5B7-9EACFEDD3E70}"/>
    <cellStyle name="Normal GHG whole table 3 4 2 39" xfId="19288" xr:uid="{92E29539-740B-4586-91CE-B36363FF46D2}"/>
    <cellStyle name="Normal GHG whole table 3 4 2 4" xfId="2663" xr:uid="{6090D974-3F4E-46FD-B27C-824FFA963474}"/>
    <cellStyle name="Normal GHG whole table 3 4 2 40" xfId="20223" xr:uid="{24F1D7A1-2A34-4138-B646-813540771E5D}"/>
    <cellStyle name="Normal GHG whole table 3 4 2 41" xfId="19860" xr:uid="{B7E5F8AA-4D7C-4EED-B350-568315522AE0}"/>
    <cellStyle name="Normal GHG whole table 3 4 2 42" xfId="20408" xr:uid="{ED7EEF6A-2BE0-4105-A58B-EA03FE8D4779}"/>
    <cellStyle name="Normal GHG whole table 3 4 2 43" xfId="21196" xr:uid="{7C42870C-41AF-4A3C-9092-68BA3E407E32}"/>
    <cellStyle name="Normal GHG whole table 3 4 2 44" xfId="21407" xr:uid="{A6D44FD2-8168-4442-9FD1-FD083718747F}"/>
    <cellStyle name="Normal GHG whole table 3 4 2 45" xfId="20567" xr:uid="{B34F7D4D-F3DC-4BC2-BD2E-296E3E692566}"/>
    <cellStyle name="Normal GHG whole table 3 4 2 46" xfId="22878" xr:uid="{0E452006-5EA0-414E-B63B-5BDC275CC441}"/>
    <cellStyle name="Normal GHG whole table 3 4 2 47" xfId="22424" xr:uid="{E4907A4B-F1E9-4B1A-A336-F3DC957007C8}"/>
    <cellStyle name="Normal GHG whole table 3 4 2 48" xfId="23544" xr:uid="{8B9F7FCF-8164-4DE5-853D-C37A70A46AE2}"/>
    <cellStyle name="Normal GHG whole table 3 4 2 49" xfId="24023" xr:uid="{1561655D-1D08-4CA2-B772-BC3BD0F32C06}"/>
    <cellStyle name="Normal GHG whole table 3 4 2 5" xfId="3066" xr:uid="{24C7231D-C748-4208-A7BD-2FB6942FCCF0}"/>
    <cellStyle name="Normal GHG whole table 3 4 2 50" xfId="24931" xr:uid="{7A55850D-E307-4BC8-A62A-2E5D9B4BEE35}"/>
    <cellStyle name="Normal GHG whole table 3 4 2 51" xfId="24560" xr:uid="{8C1678DF-9EE6-415E-A1F7-59DE818B0915}"/>
    <cellStyle name="Normal GHG whole table 3 4 2 52" xfId="25847" xr:uid="{FA164058-87ED-473C-95A4-6393ACCED074}"/>
    <cellStyle name="Normal GHG whole table 3 4 2 53" xfId="26246" xr:uid="{033CA46B-DD28-48D1-A31F-4C2DD33AAEBD}"/>
    <cellStyle name="Normal GHG whole table 3 4 2 54" xfId="26414" xr:uid="{215A0A71-877A-45BF-83E0-1429E00B77C8}"/>
    <cellStyle name="Normal GHG whole table 3 4 2 55" xfId="27135" xr:uid="{10BC9150-89CA-4484-B8DA-644F25E147BE}"/>
    <cellStyle name="Normal GHG whole table 3 4 2 56" xfId="27554" xr:uid="{7B4904C6-576E-4132-BC58-9AD819003868}"/>
    <cellStyle name="Normal GHG whole table 3 4 2 57" xfId="27799" xr:uid="{F478F5EF-4904-4C90-A434-14CE386D0DED}"/>
    <cellStyle name="Normal GHG whole table 3 4 2 58" xfId="28681" xr:uid="{90C76D82-ECC2-45DB-AB64-23E073DDAC0E}"/>
    <cellStyle name="Normal GHG whole table 3 4 2 59" xfId="29148" xr:uid="{48CF28EB-5007-4D27-8E1C-522C313900E4}"/>
    <cellStyle name="Normal GHG whole table 3 4 2 6" xfId="3654" xr:uid="{46E259CC-F9D7-4A07-A68F-E99EEF51A5D4}"/>
    <cellStyle name="Normal GHG whole table 3 4 2 60" xfId="28010" xr:uid="{F2699565-ABBF-4FDD-97F8-BA45E970119B}"/>
    <cellStyle name="Normal GHG whole table 3 4 2 61" xfId="29937" xr:uid="{F67184E1-7545-458F-8EAD-6924C5EAC8DA}"/>
    <cellStyle name="Normal GHG whole table 3 4 2 62" xfId="30343" xr:uid="{D20E92CC-05E1-44D5-90B4-657F7BAC181E}"/>
    <cellStyle name="Normal GHG whole table 3 4 2 63" xfId="30760" xr:uid="{3165C987-F263-400C-81D4-2BF81FD9292B}"/>
    <cellStyle name="Normal GHG whole table 3 4 2 64" xfId="27923" xr:uid="{69494D31-53C2-4237-9D66-A8C4F07306C7}"/>
    <cellStyle name="Normal GHG whole table 3 4 2 65" xfId="31376" xr:uid="{56CD8138-4295-42D3-B196-5E119705B514}"/>
    <cellStyle name="Normal GHG whole table 3 4 2 7" xfId="4159" xr:uid="{1EA66413-7722-4719-A4E4-4629FE9BAD06}"/>
    <cellStyle name="Normal GHG whole table 3 4 2 8" xfId="4596" xr:uid="{BC89A483-F764-4863-A56F-661FB15581ED}"/>
    <cellStyle name="Normal GHG whole table 3 4 2 9" xfId="4248" xr:uid="{999D9C84-97F3-4DA9-9173-7D2BD87B1648}"/>
    <cellStyle name="Normal GHG whole table 3 4 20" xfId="9989" xr:uid="{F45D0622-7EF5-45F1-A01F-D59A78F3FFF3}"/>
    <cellStyle name="Normal GHG whole table 3 4 21" xfId="10414" xr:uid="{F6B65A95-73BC-44D8-B1C5-81B4F8D7DA81}"/>
    <cellStyle name="Normal GHG whole table 3 4 22" xfId="10064" xr:uid="{8022C988-9C16-4E25-AEFF-2997BE108EF1}"/>
    <cellStyle name="Normal GHG whole table 3 4 23" xfId="11123" xr:uid="{76CC96C4-1639-4137-9E5B-7D1FB519E951}"/>
    <cellStyle name="Normal GHG whole table 3 4 24" xfId="11979" xr:uid="{5E11AA79-4CB7-4CDE-9444-D604DA9B1FBD}"/>
    <cellStyle name="Normal GHG whole table 3 4 25" xfId="12452" xr:uid="{D31FFC9F-8B79-4A3A-9FEC-8F0D6245C953}"/>
    <cellStyle name="Normal GHG whole table 3 4 26" xfId="12886" xr:uid="{B329D47D-9E96-49BC-B58F-0CC00676A173}"/>
    <cellStyle name="Normal GHG whole table 3 4 27" xfId="13323" xr:uid="{947050C7-EF91-4DA6-A7A6-AF3892CAFAC8}"/>
    <cellStyle name="Normal GHG whole table 3 4 28" xfId="12726" xr:uid="{7621B244-9C78-4530-A065-601E5B7B14C1}"/>
    <cellStyle name="Normal GHG whole table 3 4 29" xfId="14204" xr:uid="{F6CF0CE2-13F2-4A76-AC19-6DE8302FD8B4}"/>
    <cellStyle name="Normal GHG whole table 3 4 3" xfId="1109" xr:uid="{2B4328EE-03AA-46F5-B444-90986CAD5BB4}"/>
    <cellStyle name="Normal GHG whole table 3 4 30" xfId="14599" xr:uid="{5526CF1A-AC4D-4B0C-A566-2D229DAAB43D}"/>
    <cellStyle name="Normal GHG whole table 3 4 31" xfId="15082" xr:uid="{E6DE8E40-23AF-4030-89F3-2B5024416D43}"/>
    <cellStyle name="Normal GHG whole table 3 4 32" xfId="14954" xr:uid="{630EED3B-9954-4922-9870-16271F034ADF}"/>
    <cellStyle name="Normal GHG whole table 3 4 33" xfId="15845" xr:uid="{DAD585C1-38B5-4FC8-A44F-DA435294D718}"/>
    <cellStyle name="Normal GHG whole table 3 4 34" xfId="16671" xr:uid="{D45338A2-84C4-4C60-95AB-7254A311CE5B}"/>
    <cellStyle name="Normal GHG whole table 3 4 35" xfId="17105" xr:uid="{E0B3E2D0-73F8-4107-8556-5BD76FF170B7}"/>
    <cellStyle name="Normal GHG whole table 3 4 36" xfId="17552" xr:uid="{907A5BD4-B4B3-4425-8F8E-92CBF747D0B7}"/>
    <cellStyle name="Normal GHG whole table 3 4 37" xfId="16054" xr:uid="{290CBE80-0895-4C59-B52C-4F088FC82FD8}"/>
    <cellStyle name="Normal GHG whole table 3 4 38" xfId="18489" xr:uid="{1EDFB7FC-35DA-4415-A3DC-13E02D58FA86}"/>
    <cellStyle name="Normal GHG whole table 3 4 39" xfId="18032" xr:uid="{A195BDE6-2B11-4A52-A20A-86843DF16375}"/>
    <cellStyle name="Normal GHG whole table 3 4 4" xfId="1410" xr:uid="{8435E13A-F676-48FA-ADF4-33E7848AB0DB}"/>
    <cellStyle name="Normal GHG whole table 3 4 40" xfId="17450" xr:uid="{D77ADE88-6B47-436F-8B55-04202B55AD80}"/>
    <cellStyle name="Normal GHG whole table 3 4 41" xfId="20008" xr:uid="{52B3DBE9-B968-4059-B01E-ACEC2B018D50}"/>
    <cellStyle name="Normal GHG whole table 3 4 42" xfId="20458" xr:uid="{68E5F1DA-A4B9-4D1D-8D2C-240E8525A392}"/>
    <cellStyle name="Normal GHG whole table 3 4 43" xfId="20911" xr:uid="{C2E339CF-9F8B-4731-8CAD-A0790B0F33BC}"/>
    <cellStyle name="Normal GHG whole table 3 4 44" xfId="20877" xr:uid="{B6F1F24F-0351-4C6E-A41F-94BBC14F0DEC}"/>
    <cellStyle name="Normal GHG whole table 3 4 45" xfId="21840" xr:uid="{941303F4-DCD8-435E-BEAF-7BA67C6355DD}"/>
    <cellStyle name="Normal GHG whole table 3 4 46" xfId="22277" xr:uid="{965B7A1C-207E-42B0-9A8E-158A433F8D76}"/>
    <cellStyle name="Normal GHG whole table 3 4 47" xfId="20414" xr:uid="{A7A59435-31A9-4FA2-B1E4-8BE1635E3656}"/>
    <cellStyle name="Normal GHG whole table 3 4 48" xfId="22263" xr:uid="{60974FC4-453A-4D0F-B2D5-CDCD6DECE69B}"/>
    <cellStyle name="Normal GHG whole table 3 4 49" xfId="22923" xr:uid="{FFC13A95-A638-4481-A8BC-5745C159CFF7}"/>
    <cellStyle name="Normal GHG whole table 3 4 5" xfId="2448" xr:uid="{5D7EA836-4761-4558-82FC-BF76D95940C9}"/>
    <cellStyle name="Normal GHG whole table 3 4 50" xfId="23817" xr:uid="{47005E23-CEDB-42CE-BD7C-F31B0588D267}"/>
    <cellStyle name="Normal GHG whole table 3 4 51" xfId="24716" xr:uid="{8363C87C-F9B7-4D4B-9F6F-4A4922F0205A}"/>
    <cellStyle name="Normal GHG whole table 3 4 52" xfId="25166" xr:uid="{5AB5E72D-14D2-4F52-9E5A-9968BF217C46}"/>
    <cellStyle name="Normal GHG whole table 3 4 53" xfId="25634" xr:uid="{7B98F02B-933D-4A1F-B863-1550B5295C25}"/>
    <cellStyle name="Normal GHG whole table 3 4 54" xfId="25003" xr:uid="{10063126-BBFA-4B9E-8D02-4F910D87A912}"/>
    <cellStyle name="Normal GHG whole table 3 4 55" xfId="24584" xr:uid="{28675279-DF9F-4909-A892-2E1E9B7033E9}"/>
    <cellStyle name="Normal GHG whole table 3 4 56" xfId="26924" xr:uid="{3356C097-6FD9-42E4-A1D1-555DC07352DD}"/>
    <cellStyle name="Normal GHG whole table 3 4 57" xfId="27343" xr:uid="{EB93E0CB-501F-4BA8-B697-E82B79A17E64}"/>
    <cellStyle name="Normal GHG whole table 3 4 58" xfId="27665" xr:uid="{69FDB7CE-6B5F-4F3A-8796-2C3092A59CC1}"/>
    <cellStyle name="Normal GHG whole table 3 4 59" xfId="28466" xr:uid="{8747A30B-6A81-4CFD-B4EF-5A25F2213468}"/>
    <cellStyle name="Normal GHG whole table 3 4 6" xfId="2516" xr:uid="{2632E864-412B-4B40-9362-AB8CA334601E}"/>
    <cellStyle name="Normal GHG whole table 3 4 60" xfId="28934" xr:uid="{1DDF1AFE-87AC-457C-A70F-B9620C040EFB}"/>
    <cellStyle name="Normal GHG whole table 3 4 61" xfId="29313" xr:uid="{32B50249-E113-4139-B491-4118938C2A84}"/>
    <cellStyle name="Normal GHG whole table 3 4 62" xfId="29724" xr:uid="{9AE00C0C-5BC5-4724-BF9F-8C7AE2917C9C}"/>
    <cellStyle name="Normal GHG whole table 3 4 63" xfId="30132" xr:uid="{DEC00386-5745-4F42-9245-5A70F99CBB20}"/>
    <cellStyle name="Normal GHG whole table 3 4 64" xfId="30546" xr:uid="{531F7469-7527-4F6B-BB14-1CE0EF3397D9}"/>
    <cellStyle name="Normal GHG whole table 3 4 65" xfId="30863" xr:uid="{1A2E099D-FCAE-40BF-8561-7516A43C23D4}"/>
    <cellStyle name="Normal GHG whole table 3 4 66" xfId="31170" xr:uid="{6B870EAD-7435-4195-ADD5-21ADEF56DD0F}"/>
    <cellStyle name="Normal GHG whole table 3 4 7" xfId="2258" xr:uid="{7C98643C-B432-40CD-BC85-204C4AC9FFED}"/>
    <cellStyle name="Normal GHG whole table 3 4 8" xfId="3944" xr:uid="{8AB422DD-8F93-49C6-9EE1-2C1FAF6DD2E4}"/>
    <cellStyle name="Normal GHG whole table 3 4 9" xfId="4382" xr:uid="{82282249-7C0A-4F08-B33E-F6C36629747F}"/>
    <cellStyle name="Normal GHG whole table 3 40" xfId="18222" xr:uid="{2DC8F104-8BEF-44E7-A0A9-8464C7337DA1}"/>
    <cellStyle name="Normal GHG whole table 3 41" xfId="18140" xr:uid="{100A2462-4198-4A0E-9388-A959E1A0B642}"/>
    <cellStyle name="Normal GHG whole table 3 42" xfId="18346" xr:uid="{268121A4-D06C-4F86-ABE8-E80DD6B9EDBC}"/>
    <cellStyle name="Normal GHG whole table 3 43" xfId="19665" xr:uid="{F4A7CF5F-99B0-4050-8A9D-91D9AC499045}"/>
    <cellStyle name="Normal GHG whole table 3 44" xfId="19576" xr:uid="{3DB98567-C46F-41A5-9CE5-8023612C9BF9}"/>
    <cellStyle name="Normal GHG whole table 3 45" xfId="20400" xr:uid="{4B972C2B-63FD-413F-9F11-58347591772E}"/>
    <cellStyle name="Normal GHG whole table 3 46" xfId="20778" xr:uid="{8CE12828-AD6F-4557-BFCE-435095590967}"/>
    <cellStyle name="Normal GHG whole table 3 47" xfId="21544" xr:uid="{0FF78D8E-5F2D-493F-89E5-0BEB5637B16D}"/>
    <cellStyle name="Normal GHG whole table 3 48" xfId="21862" xr:uid="{51A57AD7-3877-40D1-A54F-FDB31047636D}"/>
    <cellStyle name="Normal GHG whole table 3 49" xfId="22499" xr:uid="{1064F450-3FAA-4E04-84C9-95FB5E3EAF63}"/>
    <cellStyle name="Normal GHG whole table 3 5" xfId="956" xr:uid="{A8E5C2A9-8689-4450-AE60-1B82E84F1747}"/>
    <cellStyle name="Normal GHG whole table 3 50" xfId="21665" xr:uid="{892BE10B-FBC8-4EFE-8172-11A7D6BFF789}"/>
    <cellStyle name="Normal GHG whole table 3 51" xfId="23137" xr:uid="{D159360D-F9CE-4CD8-866D-6BCD000E7562}"/>
    <cellStyle name="Normal GHG whole table 3 52" xfId="23553" xr:uid="{11FEE14C-9EEB-4C93-A690-489EDE421558}"/>
    <cellStyle name="Normal GHG whole table 3 53" xfId="24385" xr:uid="{2130AFA5-B3D6-4BFB-9B40-B7C6A8764B7F}"/>
    <cellStyle name="Normal GHG whole table 3 54" xfId="25022" xr:uid="{BCE92360-4AF3-4020-B37A-AD9FA4C2B8DC}"/>
    <cellStyle name="Normal GHG whole table 3 55" xfId="24325" xr:uid="{946275E8-AA8F-4E12-978C-524B2E524CC2}"/>
    <cellStyle name="Normal GHG whole table 3 56" xfId="26080" xr:uid="{87A34EC2-7068-488B-8FF9-6D9BBEB6960B}"/>
    <cellStyle name="Normal GHG whole table 3 57" xfId="26528" xr:uid="{1D391035-C6C7-45D7-B120-5C9457394E9C}"/>
    <cellStyle name="Normal GHG whole table 3 58" xfId="26228" xr:uid="{BF508258-0674-4770-A124-6B2DD9629143}"/>
    <cellStyle name="Normal GHG whole table 3 59" xfId="26704" xr:uid="{EFF81AC3-BE4B-48E9-83BA-633AE240BAD7}"/>
    <cellStyle name="Normal GHG whole table 3 6" xfId="1548" xr:uid="{28EDBE02-1E15-4255-BE04-217B69B91E14}"/>
    <cellStyle name="Normal GHG whole table 3 60" xfId="26769" xr:uid="{25F484D0-5A55-4FE9-9881-04748B846BB1}"/>
    <cellStyle name="Normal GHG whole table 3 61" xfId="28156" xr:uid="{C24EFA07-ADAF-412B-AD36-CD63052E59D9}"/>
    <cellStyle name="Normal GHG whole table 3 62" xfId="28264" xr:uid="{FA4D78CB-0812-4D27-8226-EFEEA34F0AB9}"/>
    <cellStyle name="Normal GHG whole table 3 63" xfId="29001" xr:uid="{8FAC8C11-9A5F-4B46-AF7D-D441AFA6615F}"/>
    <cellStyle name="Normal GHG whole table 3 64" xfId="29294" xr:uid="{1D5B0166-D43F-4960-BA34-34C98392014A}"/>
    <cellStyle name="Normal GHG whole table 3 65" xfId="29438" xr:uid="{EBE8350A-3E2A-4EE1-AAF3-FA225E6F219B}"/>
    <cellStyle name="Normal GHG whole table 3 66" xfId="28241" xr:uid="{C05897FD-3BC5-4C14-8B76-7F3AA4EF0C62}"/>
    <cellStyle name="Normal GHG whole table 3 67" xfId="30005" xr:uid="{31493651-3582-45A0-B685-11EB2793FDAD}"/>
    <cellStyle name="Normal GHG whole table 3 68" xfId="30001" xr:uid="{4ADB2D98-9636-49C4-8269-C95A9EEA1E01}"/>
    <cellStyle name="Normal GHG whole table 3 7" xfId="2105" xr:uid="{5606180F-290A-4132-9338-0C264639DD9A}"/>
    <cellStyle name="Normal GHG whole table 3 8" xfId="2266" xr:uid="{842D14B2-F622-4D4D-949D-F32C92C73A56}"/>
    <cellStyle name="Normal GHG whole table 3 9" xfId="3268" xr:uid="{E1E2BFD4-0C91-40AF-83B0-0850BA9DAC39}"/>
    <cellStyle name="Normal GHG whole table 4" xfId="68" xr:uid="{BE712C6F-3DA0-4E15-8A6E-D3FFF50D58B9}"/>
    <cellStyle name="Normal GHG whole table 4 10" xfId="16120" xr:uid="{3C64C5C9-2C8A-4F21-805E-2B796835D933}"/>
    <cellStyle name="Normal GHG whole table 4 11" xfId="19094" xr:uid="{D03ADE32-0922-4373-8051-3DB9D73C4FB6}"/>
    <cellStyle name="Normal GHG whole table 4 12" xfId="19453" xr:uid="{41914856-484E-41EA-B91C-A0BA6F70A57B}"/>
    <cellStyle name="Normal GHG whole table 4 13" xfId="21304" xr:uid="{4DC72CD9-A9EE-493B-BA5F-959FF6C9A636}"/>
    <cellStyle name="Normal GHG whole table 4 14" xfId="24174" xr:uid="{7EA3A404-FA03-4941-A2DD-75F5179468A6}"/>
    <cellStyle name="Normal GHG whole table 4 15" xfId="25190" xr:uid="{BADF3692-910E-4137-9888-FE627BBBD495}"/>
    <cellStyle name="Normal GHG whole table 4 16" xfId="27967" xr:uid="{A5919C9C-20AA-4978-9F61-2E3D5DA4ADC8}"/>
    <cellStyle name="Normal GHG whole table 4 2" xfId="915" xr:uid="{E2618F50-3908-49CF-A3BE-DBD5E7A7BBDF}"/>
    <cellStyle name="Normal GHG whole table 4 3" xfId="1897" xr:uid="{523CE841-B5C2-44D3-A1B5-6A7E756EC262}"/>
    <cellStyle name="Normal GHG whole table 4 4" xfId="2078" xr:uid="{29893556-5559-41AF-A712-A9AE998B3ACD}"/>
    <cellStyle name="Normal GHG whole table 4 5" xfId="3553" xr:uid="{1547F561-35C8-4021-AEB7-6AED793B1329}"/>
    <cellStyle name="Normal GHG whole table 4 6" xfId="6809" xr:uid="{22AD46CB-73ED-4C09-BE34-07E4E48F2B1E}"/>
    <cellStyle name="Normal GHG whole table 4 7" xfId="7414" xr:uid="{717FC8CD-0A4A-4FF4-A3E3-7FD655582876}"/>
    <cellStyle name="Normal GHG whole table 4 8" xfId="9023" xr:uid="{F7D7211E-1058-41E1-BFC0-488BAF7C25DE}"/>
    <cellStyle name="Normal GHG whole table 4 9" xfId="11428" xr:uid="{12D6A80E-5E96-49AC-BF60-DE619E82E750}"/>
    <cellStyle name="Normal GHG-Shade" xfId="12" xr:uid="{9C347DC4-E227-43ED-A8FC-C40C7F49A76A}"/>
    <cellStyle name="Normal GHG-Shade 2" xfId="165" xr:uid="{1BB8E97C-8A71-4A47-BCE5-4E3487476C59}"/>
    <cellStyle name="Normal GHG-Shade 2 2" xfId="166" xr:uid="{802657D4-6DE8-4CEF-BA46-8F3FD43BA75F}"/>
    <cellStyle name="Normal GHG-Shade 2 3" xfId="167" xr:uid="{F83FBB6B-E295-4A10-946E-78E60918AA54}"/>
    <cellStyle name="Normal GHG-Shade 2 4" xfId="197" xr:uid="{309EAA9C-7386-4D06-B6B9-9AEB2C1DEE2B}"/>
    <cellStyle name="Normal GHG-Shade 2 5" xfId="362" xr:uid="{F77A3EEA-D632-47D7-96FC-7FCCDE5C8D53}"/>
    <cellStyle name="Normal GHG-Shade 3" xfId="168" xr:uid="{A06D4B20-72E6-4FD7-8140-721E83CF0C5F}"/>
    <cellStyle name="Normal GHG-Shade 3 2" xfId="169" xr:uid="{9C431CBE-F921-489D-8806-38F986D38394}"/>
    <cellStyle name="Normal GHG-Shade 4" xfId="170" xr:uid="{880685C4-7511-4F95-A96B-01030177BD3B}"/>
    <cellStyle name="Normal GHG-Shade 4 2" xfId="433" xr:uid="{17A41F1D-52A8-4677-A05A-30D819EA2CDE}"/>
    <cellStyle name="Normal GHG-Shade 4 2 2" xfId="2255" xr:uid="{2EB77509-28CD-4BC6-8CFB-DC1361F2C34A}"/>
    <cellStyle name="Normal GHG-Shade 4 3" xfId="1997" xr:uid="{BB20449E-2B5B-4104-8D0F-C39ABFA21521}"/>
    <cellStyle name="Normál_Munka1" xfId="27" xr:uid="{CA219102-694E-4E9D-AA9F-5FC0E0ED51B6}"/>
    <cellStyle name="Note 2" xfId="171" xr:uid="{4F677811-544C-43A9-BA85-0E77EFA3BBC9}"/>
    <cellStyle name="Note 2 10" xfId="3394" xr:uid="{5A183D3D-6FA6-46AF-84E8-DBA6F642DDCE}"/>
    <cellStyle name="Note 2 11" xfId="3436" xr:uid="{A79B9176-0438-4420-A584-7065178F3C41}"/>
    <cellStyle name="Note 2 12" xfId="3042" xr:uid="{0352E0EA-AE54-4880-9911-7A5212ABA244}"/>
    <cellStyle name="Note 2 13" xfId="4685" xr:uid="{12F524E8-7FCB-494A-9367-873810B18AD1}"/>
    <cellStyle name="Note 2 14" xfId="3364" xr:uid="{E84AE43D-1249-4232-852D-C3B038B766A7}"/>
    <cellStyle name="Note 2 15" xfId="5737" xr:uid="{308E8E1E-1AE1-43C6-803C-1DC1A286BC07}"/>
    <cellStyle name="Note 2 16" xfId="6309" xr:uid="{DFFB66CF-C9D4-4611-BD8F-24CA3DD5E9DE}"/>
    <cellStyle name="Note 2 17" xfId="6592" xr:uid="{DB7D4EFF-D924-477B-B46A-D1D881AC5789}"/>
    <cellStyle name="Note 2 18" xfId="6905" xr:uid="{2DD0401E-B960-48B1-97CF-31F689F598BF}"/>
    <cellStyle name="Note 2 19" xfId="7683" xr:uid="{CF1625F0-7CBF-4230-BDE8-14EAF31D6102}"/>
    <cellStyle name="Note 2 2" xfId="561" xr:uid="{2912601A-AF7D-4115-AFF9-837C14631A90}"/>
    <cellStyle name="Note 2 2 10" xfId="3386" xr:uid="{CC4298D5-6C17-45A8-BBDD-43083101C21B}"/>
    <cellStyle name="Note 2 2 11" xfId="5209" xr:uid="{8F254317-5EF8-44DD-ABBD-FADD83CF6FC3}"/>
    <cellStyle name="Note 2 2 12" xfId="2947" xr:uid="{846CCDD1-6E91-49A3-A192-C54F8A397C43}"/>
    <cellStyle name="Note 2 2 13" xfId="4011" xr:uid="{26B32322-3CC8-4F12-8E0C-D10FED41302D}"/>
    <cellStyle name="Note 2 2 14" xfId="6400" xr:uid="{226D5D51-C02D-460C-BA63-3A22E8D879DA}"/>
    <cellStyle name="Note 2 2 15" xfId="7281" xr:uid="{D385CC65-57AA-4492-AAC1-2C3A837B030F}"/>
    <cellStyle name="Note 2 2 16" xfId="7797" xr:uid="{E0D660AF-4A97-4121-8AC1-57DAE5DF3558}"/>
    <cellStyle name="Note 2 2 17" xfId="8557" xr:uid="{C2E17BDD-7543-4447-B64B-A3B35AACD1EB}"/>
    <cellStyle name="Note 2 2 18" xfId="8688" xr:uid="{D84F2109-3CDD-4DB1-A126-F5013279586F}"/>
    <cellStyle name="Note 2 2 19" xfId="9495" xr:uid="{67A66377-1D91-403D-9591-6DCF7DC8404B}"/>
    <cellStyle name="Note 2 2 2" xfId="776" xr:uid="{6C75410A-874D-438A-AAF6-E28397F04B1A}"/>
    <cellStyle name="Note 2 2 2 10" xfId="5424" xr:uid="{1112DA51-6E75-45A2-B2A7-E1AA7BCBCC9D}"/>
    <cellStyle name="Note 2 2 2 11" xfId="5684" xr:uid="{DCAAE6EF-FD5A-4565-9F42-BDC2E3340851}"/>
    <cellStyle name="Note 2 2 2 12" xfId="5980" xr:uid="{5C3A554F-DA55-49C1-AD0C-F5EAE8E3FDF0}"/>
    <cellStyle name="Note 2 2 2 13" xfId="6483" xr:uid="{F80DBCB3-AD23-4667-AEFA-AC36561706BD}"/>
    <cellStyle name="Note 2 2 2 14" xfId="7496" xr:uid="{F4BC5A9F-612A-486A-87EB-C7EF91061B14}"/>
    <cellStyle name="Note 2 2 2 15" xfId="7200" xr:uid="{68CC3833-3B09-463F-9652-5FEE8EE2F6B2}"/>
    <cellStyle name="Note 2 2 2 16" xfId="7928" xr:uid="{8E6E33FA-8FD0-48D7-9F97-A1D811858354}"/>
    <cellStyle name="Note 2 2 2 17" xfId="8709" xr:uid="{BD0854C7-19E5-4799-9333-AFC1C9D9200B}"/>
    <cellStyle name="Note 2 2 2 18" xfId="9710" xr:uid="{5E2F5414-328D-4A9B-9AC8-073840CF4EEE}"/>
    <cellStyle name="Note 2 2 2 19" xfId="9413" xr:uid="{04109834-1052-41C4-87E2-2A84560FA2FF}"/>
    <cellStyle name="Note 2 2 2 2" xfId="1250" xr:uid="{4238F8B7-2658-413C-82EB-3A83663A5641}"/>
    <cellStyle name="Note 2 2 2 20" xfId="9313" xr:uid="{2A60D096-4750-4F14-8990-2F90ED83CE19}"/>
    <cellStyle name="Note 2 2 2 21" xfId="10431" xr:uid="{5B883ADF-3327-4A37-817B-05CD0A9012BB}"/>
    <cellStyle name="Note 2 2 2 22" xfId="11249" xr:uid="{730C4D1A-62E9-4083-AA0B-232737525690}"/>
    <cellStyle name="Note 2 2 2 23" xfId="12129" xr:uid="{78833D59-7DDF-41C6-BDB8-9460A39D87AA}"/>
    <cellStyle name="Note 2 2 2 24" xfId="12602" xr:uid="{8C9985D8-E15D-4AEC-ADF4-EAF9DB106406}"/>
    <cellStyle name="Note 2 2 2 25" xfId="13036" xr:uid="{7D8D3657-DFD8-4E60-AF3B-711F012322C7}"/>
    <cellStyle name="Note 2 2 2 26" xfId="13473" xr:uid="{F9633AD0-A507-4D6C-AEF2-5D8A773ACBD5}"/>
    <cellStyle name="Note 2 2 2 27" xfId="11662" xr:uid="{87B51E27-880E-4018-9663-C27190D60BA0}"/>
    <cellStyle name="Note 2 2 2 28" xfId="13840" xr:uid="{1163ED4E-7B7A-46B4-9238-6AE4528BBCD2}"/>
    <cellStyle name="Note 2 2 2 29" xfId="14339" xr:uid="{734C6179-4186-4242-B856-7928846D4044}"/>
    <cellStyle name="Note 2 2 2 3" xfId="1482" xr:uid="{A5C08BA5-64FB-4955-9D3D-AF5669DF72A0}"/>
    <cellStyle name="Note 2 2 2 30" xfId="14949" xr:uid="{1ED62FA9-82FD-4C51-9829-52A2032AFAFE}"/>
    <cellStyle name="Note 2 2 2 31" xfId="15661" xr:uid="{ECE1B98F-C829-4A1B-BBDE-4CACEDD09ED1}"/>
    <cellStyle name="Note 2 2 2 32" xfId="15433" xr:uid="{4CD89061-17A0-4F8F-8340-93F0DF31A8B3}"/>
    <cellStyle name="Note 2 2 2 33" xfId="16821" xr:uid="{3384F7D9-371F-4884-AF8F-4B81C9080DC6}"/>
    <cellStyle name="Note 2 2 2 34" xfId="16522" xr:uid="{6DF4A540-06A9-4244-9B72-36E5935E1668}"/>
    <cellStyle name="Note 2 2 2 35" xfId="16073" xr:uid="{CCE3F3CC-B4A3-4250-AE62-9B598D7AE357}"/>
    <cellStyle name="Note 2 2 2 36" xfId="17048" xr:uid="{ECE19F53-29E4-48BC-8A67-2FE50D5DF98A}"/>
    <cellStyle name="Note 2 2 2 37" xfId="18639" xr:uid="{52A22331-2E26-43BA-800C-80F8538525E1}"/>
    <cellStyle name="Note 2 2 2 38" xfId="18790" xr:uid="{DBA9E10F-669F-4CF2-ACA2-293F7681BF35}"/>
    <cellStyle name="Note 2 2 2 39" xfId="18236" xr:uid="{23F7E712-F320-4E99-8813-16D2AC3C4FFF}"/>
    <cellStyle name="Note 2 2 2 4" xfId="2598" xr:uid="{C642FB55-6729-4341-BA29-39F813B856A1}"/>
    <cellStyle name="Note 2 2 2 40" xfId="20158" xr:uid="{3EB978FB-F47D-4E8C-9CD9-94FA65011502}"/>
    <cellStyle name="Note 2 2 2 41" xfId="19858" xr:uid="{D874565F-32E2-4BE5-9B91-59DFA5BAB900}"/>
    <cellStyle name="Note 2 2 2 42" xfId="20530" xr:uid="{34C3D3C8-BF56-4D21-ABB8-9477F3620C71}"/>
    <cellStyle name="Note 2 2 2 43" xfId="20387" xr:uid="{8AAE37B5-8BB8-4492-A6E5-3625ADFC6F8C}"/>
    <cellStyle name="Note 2 2 2 44" xfId="19445" xr:uid="{B249AED5-08CE-4FD8-BBE5-AAA2D4C93EB8}"/>
    <cellStyle name="Note 2 2 2 45" xfId="21806" xr:uid="{2A844ED6-19C6-44B5-8CEA-B2E9A6FD59D0}"/>
    <cellStyle name="Note 2 2 2 46" xfId="21278" xr:uid="{DEBAE9B1-551D-4D2A-9F33-10105870D927}"/>
    <cellStyle name="Note 2 2 2 47" xfId="23062" xr:uid="{88411D31-2457-4879-BFC7-4483197DEC98}"/>
    <cellStyle name="Note 2 2 2 48" xfId="23080" xr:uid="{2D48E994-DEF5-4555-AE50-43A3959C597E}"/>
    <cellStyle name="Note 2 2 2 49" xfId="23958" xr:uid="{08464201-7605-4923-A720-09A70482979E}"/>
    <cellStyle name="Note 2 2 2 5" xfId="2021" xr:uid="{C2FC7EEF-E805-4C4F-95B0-24E2C72152BF}"/>
    <cellStyle name="Note 2 2 2 50" xfId="24866" xr:uid="{208683C5-C6E1-467C-98E0-07FA10C52EF2}"/>
    <cellStyle name="Note 2 2 2 51" xfId="24428" xr:uid="{674EF3E7-FAF2-467C-B251-BEBD429DF61E}"/>
    <cellStyle name="Note 2 2 2 52" xfId="25782" xr:uid="{92FA6916-ECB8-4A07-A682-70E7EAA482EF}"/>
    <cellStyle name="Note 2 2 2 53" xfId="24102" xr:uid="{2F70D95A-2F77-46E2-8DED-51E2BB70F69A}"/>
    <cellStyle name="Note 2 2 2 54" xfId="26510" xr:uid="{E2713BB4-51B6-4F4B-8A3D-6052A0422594}"/>
    <cellStyle name="Note 2 2 2 55" xfId="27070" xr:uid="{322E7734-2B42-4057-ABDC-2ADC49B3421D}"/>
    <cellStyle name="Note 2 2 2 56" xfId="27489" xr:uid="{63A8AA27-F456-48BE-90FA-D23B9DA29CBC}"/>
    <cellStyle name="Note 2 2 2 57" xfId="27204" xr:uid="{F9B46150-9062-4EED-995A-B44F739331D2}"/>
    <cellStyle name="Note 2 2 2 58" xfId="28616" xr:uid="{E8BDFCE7-7545-4BBA-B03C-7A1A762974BE}"/>
    <cellStyle name="Note 2 2 2 59" xfId="29083" xr:uid="{EAFABD84-2144-467D-9E3F-E26EED9ABB7A}"/>
    <cellStyle name="Note 2 2 2 6" xfId="3023" xr:uid="{1F584043-FD21-4222-A099-5E5378938CEC}"/>
    <cellStyle name="Note 2 2 2 60" xfId="28096" xr:uid="{A9F3A6A3-C678-495A-906D-440EE6B01A7B}"/>
    <cellStyle name="Note 2 2 2 61" xfId="29872" xr:uid="{885C132F-1BD8-43DA-8AAB-16840E2F3262}"/>
    <cellStyle name="Note 2 2 2 62" xfId="30278" xr:uid="{6C50F64D-BA01-4E61-BC09-AFE684F8C3FC}"/>
    <cellStyle name="Note 2 2 2 63" xfId="30695" xr:uid="{E508394D-7036-45F7-A8FC-ED21E6236C0C}"/>
    <cellStyle name="Note 2 2 2 64" xfId="29587" xr:uid="{6FC18CDB-F9D9-4F6E-9B62-FB4769036FBF}"/>
    <cellStyle name="Note 2 2 2 65" xfId="31311" xr:uid="{C24617D5-673A-4C8E-BA06-14F2927FE2EB}"/>
    <cellStyle name="Note 2 2 2 7" xfId="4094" xr:uid="{E7E8ADAC-2879-484A-ACBB-EE526DFCA3D7}"/>
    <cellStyle name="Note 2 2 2 8" xfId="4531" xr:uid="{77684C3A-4679-42EA-85B4-1EC93DDB6ECE}"/>
    <cellStyle name="Note 2 2 2 9" xfId="1861" xr:uid="{158F7067-CE17-4761-9D16-DB042DDAA92C}"/>
    <cellStyle name="Note 2 2 20" xfId="10012" xr:uid="{26E78F3C-F48A-4D07-897E-0B6C6BFE297B}"/>
    <cellStyle name="Note 2 2 21" xfId="10435" xr:uid="{DC579B82-729C-47B1-A895-704A46F2158D}"/>
    <cellStyle name="Note 2 2 22" xfId="10166" xr:uid="{55724691-E3F3-4AB4-9ED4-2B3ABBB11163}"/>
    <cellStyle name="Note 2 2 23" xfId="10725" xr:uid="{F8CEBB42-BDE4-4A74-B930-87E0D33B03E3}"/>
    <cellStyle name="Note 2 2 24" xfId="11914" xr:uid="{56511E89-7A0C-4493-8657-F06C5C6D6A76}"/>
    <cellStyle name="Note 2 2 25" xfId="12387" xr:uid="{1B1A40FF-7111-4697-A20D-B31905F4C5B9}"/>
    <cellStyle name="Note 2 2 26" xfId="12821" xr:uid="{D893B39C-CCBE-41B7-9C37-E7DFF9E3C064}"/>
    <cellStyle name="Note 2 2 27" xfId="13258" xr:uid="{639622BA-D744-4B21-9986-362403BB6F90}"/>
    <cellStyle name="Note 2 2 28" xfId="12290" xr:uid="{691F743A-A0ED-4530-9DCC-9577AC050AA9}"/>
    <cellStyle name="Note 2 2 29" xfId="14034" xr:uid="{32A794A4-45B6-4140-83BE-54D859DCEF99}"/>
    <cellStyle name="Note 2 2 3" xfId="1044" xr:uid="{B8592CF2-22F3-482A-9405-B9CF6BE0C0E1}"/>
    <cellStyle name="Note 2 2 30" xfId="14744" xr:uid="{37537505-1048-4E7F-90E1-EEEEC9D87108}"/>
    <cellStyle name="Note 2 2 31" xfId="14973" xr:uid="{564F55FE-1D23-4306-A901-4381D326A68C}"/>
    <cellStyle name="Note 2 2 32" xfId="15187" xr:uid="{410D84E0-B174-4674-A50D-CD894D84B63B}"/>
    <cellStyle name="Note 2 2 33" xfId="15861" xr:uid="{AA0F2FFE-897E-492F-83C7-85C1C915830B}"/>
    <cellStyle name="Note 2 2 34" xfId="16606" xr:uid="{226DB58D-7935-4DC0-AD51-27D7D6A36BD4}"/>
    <cellStyle name="Note 2 2 35" xfId="17128" xr:uid="{704FBE74-CA63-46E6-BD5F-33C5F60BED97}"/>
    <cellStyle name="Note 2 2 36" xfId="17575" xr:uid="{0DFDEB93-EDCB-4154-BCBF-DE52234FBDB9}"/>
    <cellStyle name="Note 2 2 37" xfId="18193" xr:uid="{C4A0E511-8944-4EF6-8282-5B6A7DA9F179}"/>
    <cellStyle name="Note 2 2 38" xfId="18424" xr:uid="{FCA6320E-6F9A-417F-92AD-685E6FDDCFDA}"/>
    <cellStyle name="Note 2 2 39" xfId="18757" xr:uid="{91384EAE-6FF6-4D1D-8049-EA79D5E8E010}"/>
    <cellStyle name="Note 2 2 4" xfId="1743" xr:uid="{CA207089-0EDD-4149-862C-A96EE227CCB5}"/>
    <cellStyle name="Note 2 2 40" xfId="18800" xr:uid="{419FD044-B442-4104-B32F-73F32974F5D4}"/>
    <cellStyle name="Note 2 2 41" xfId="19943" xr:uid="{C131361B-4233-419B-B2B9-D5AFF3EAAE3B}"/>
    <cellStyle name="Note 2 2 42" xfId="20481" xr:uid="{34A92534-4350-4104-975D-47485D5EFB30}"/>
    <cellStyle name="Note 2 2 43" xfId="20934" xr:uid="{5EFEA927-722B-4C4D-ABDB-3042CADEB73E}"/>
    <cellStyle name="Note 2 2 44" xfId="20805" xr:uid="{9BCC8CED-7FB1-403C-9F68-A194BF65B1F1}"/>
    <cellStyle name="Note 2 2 45" xfId="21863" xr:uid="{2B604910-7716-4634-B2A8-D4D305ED0CC3}"/>
    <cellStyle name="Note 2 2 46" xfId="22300" xr:uid="{FFCAEDEB-D7AA-48D8-B0A2-F30EFB7FE349}"/>
    <cellStyle name="Note 2 2 47" xfId="22160" xr:uid="{79D4E7F9-2A1D-4AAD-9308-2AB00295CBB8}"/>
    <cellStyle name="Note 2 2 48" xfId="22676" xr:uid="{600F7DAF-3B7E-4783-AAC5-0A8600FB9948}"/>
    <cellStyle name="Note 2 2 49" xfId="23277" xr:uid="{D0DC126C-B8CE-4F26-AA9B-94F4C1D0C45D}"/>
    <cellStyle name="Note 2 2 5" xfId="2383" xr:uid="{6A9747AD-AF99-4F66-A592-87B3255BC46E}"/>
    <cellStyle name="Note 2 2 50" xfId="23752" xr:uid="{BC977E50-4245-4CB7-9C03-824D2A9855F3}"/>
    <cellStyle name="Note 2 2 51" xfId="24651" xr:uid="{982C7032-75E3-4A9F-B9A9-FED7E82838B0}"/>
    <cellStyle name="Note 2 2 52" xfId="25188" xr:uid="{09704B22-6599-4D76-BA52-8748A88193DA}"/>
    <cellStyle name="Note 2 2 53" xfId="25569" xr:uid="{105F8273-582C-422F-BB71-CE5A1EB42BBD}"/>
    <cellStyle name="Note 2 2 54" xfId="25338" xr:uid="{DAB8BC6B-9C2E-4798-9635-5BC9DEA2EC28}"/>
    <cellStyle name="Note 2 2 55" xfId="26549" xr:uid="{2C773B4E-9901-40BB-A482-7C9EFA20E3C2}"/>
    <cellStyle name="Note 2 2 56" xfId="26859" xr:uid="{2FE4CA21-4868-41A0-9A6A-630DB683D751}"/>
    <cellStyle name="Note 2 2 57" xfId="27278" xr:uid="{0CBB39D4-A645-4581-AB2C-3B85A8D8BA7E}"/>
    <cellStyle name="Note 2 2 58" xfId="27817" xr:uid="{804A02B1-C379-48E5-8F39-E4C9A0CAB7A2}"/>
    <cellStyle name="Note 2 2 59" xfId="28401" xr:uid="{1725024A-84D7-4728-90EB-A8E7FC1F8E27}"/>
    <cellStyle name="Note 2 2 6" xfId="2515" xr:uid="{4A41106D-3287-441A-97B5-FEA07CB7D047}"/>
    <cellStyle name="Note 2 2 60" xfId="28869" xr:uid="{B3A1E0F9-707D-455C-ABC9-5FC3A3B1D34D}"/>
    <cellStyle name="Note 2 2 61" xfId="29334" xr:uid="{FD6DD068-A3EC-44E7-B91D-C7E28FDB662B}"/>
    <cellStyle name="Note 2 2 62" xfId="29659" xr:uid="{0D94B2E5-B2A9-4823-B0EE-8B5F9807D500}"/>
    <cellStyle name="Note 2 2 63" xfId="30067" xr:uid="{5130DD0F-6CA8-401F-A000-099410002608}"/>
    <cellStyle name="Note 2 2 64" xfId="30481" xr:uid="{1EF19125-A779-49A0-8CF9-37A53FD1D5DD}"/>
    <cellStyle name="Note 2 2 65" xfId="30394" xr:uid="{90E5B966-CAE6-4123-B18D-B26602010465}"/>
    <cellStyle name="Note 2 2 66" xfId="31105" xr:uid="{DA9F833A-6339-41E6-88AA-6104A5E22AB0}"/>
    <cellStyle name="Note 2 2 7" xfId="3588" xr:uid="{EB941926-AD9F-45BF-AF16-3786894D9B25}"/>
    <cellStyle name="Note 2 2 8" xfId="3879" xr:uid="{1CC1C328-E5E2-4C11-B212-D859CC4C7225}"/>
    <cellStyle name="Note 2 2 9" xfId="4317" xr:uid="{962783FD-CC31-4B85-A743-20AF401FC6BA}"/>
    <cellStyle name="Note 2 20" xfId="8419" xr:uid="{27C0F126-55E4-40E3-83DD-8A01FE40A8BF}"/>
    <cellStyle name="Note 2 21" xfId="8889" xr:uid="{D70CF7C1-CD60-4C6F-87DF-6F3F432A7C88}"/>
    <cellStyle name="Note 2 22" xfId="9118" xr:uid="{2C517F33-50E3-4249-8479-36086CCCFA71}"/>
    <cellStyle name="Note 2 23" xfId="9898" xr:uid="{A5250A3D-B031-4BD3-8F06-FDE06AAD94E0}"/>
    <cellStyle name="Note 2 24" xfId="10332" xr:uid="{B007E93E-2B20-4933-A5FB-FD770583732F}"/>
    <cellStyle name="Note 2 25" xfId="10061" xr:uid="{8620DF3B-7052-4A20-876F-867913986EA0}"/>
    <cellStyle name="Note 2 26" xfId="11231" xr:uid="{2949135F-5658-414A-8E24-4A15F224C915}"/>
    <cellStyle name="Note 2 27" xfId="11529" xr:uid="{FD0AC216-3141-428E-84FD-8C45C122C61B}"/>
    <cellStyle name="Note 2 28" xfId="11516" xr:uid="{11B80A35-7875-4450-8D2E-DF7C020087A8}"/>
    <cellStyle name="Note 2 29" xfId="11369" xr:uid="{4660C126-6265-4C5A-A4CE-9E2AB6B6D150}"/>
    <cellStyle name="Note 2 3" xfId="625" xr:uid="{DCE8405E-1FDC-4E2E-85A2-815F14BD7739}"/>
    <cellStyle name="Note 2 3 10" xfId="4829" xr:uid="{33592751-6AAF-46AA-87C4-AAF0E65E876D}"/>
    <cellStyle name="Note 2 3 11" xfId="5273" xr:uid="{8ADB0E58-257D-4AA6-90FC-9E08E6844BDA}"/>
    <cellStyle name="Note 2 3 12" xfId="4686" xr:uid="{19FE082D-BD79-426E-AE25-BAA10692CD4E}"/>
    <cellStyle name="Note 2 3 13" xfId="5128" xr:uid="{8CA14CA9-8D64-4482-A033-993DBBFB3398}"/>
    <cellStyle name="Note 2 3 14" xfId="3821" xr:uid="{FDF031F6-BEFB-4877-BE5A-D2FB87B51F26}"/>
    <cellStyle name="Note 2 3 15" xfId="7345" xr:uid="{627846A0-1FAF-4D91-AD09-FC42550EDAB4}"/>
    <cellStyle name="Note 2 3 16" xfId="7978" xr:uid="{F07925B9-CA22-4017-84CF-E1E0C43875CE}"/>
    <cellStyle name="Note 2 3 17" xfId="6854" xr:uid="{D78707C6-F5D1-4C73-A86F-A41CFBA9A7C1}"/>
    <cellStyle name="Note 2 3 18" xfId="8701" xr:uid="{EFEC2E05-4F7B-4FCB-BFC8-764D084F9CB4}"/>
    <cellStyle name="Note 2 3 19" xfId="9559" xr:uid="{4D765E59-F1A8-491B-9223-8407657B3813}"/>
    <cellStyle name="Note 2 3 2" xfId="840" xr:uid="{E16E2BC6-D7DB-4EF5-86DC-6D494AAD153A}"/>
    <cellStyle name="Note 2 3 2 10" xfId="5488" xr:uid="{F32E95D6-0C8E-4276-AC8A-CF8FB23CB953}"/>
    <cellStyle name="Note 2 3 2 11" xfId="5940" xr:uid="{C7703842-A801-466F-A252-A7364FC5AAC5}"/>
    <cellStyle name="Note 2 3 2 12" xfId="5673" xr:uid="{C0922BDB-D416-4679-A0B4-8300F6A160FD}"/>
    <cellStyle name="Note 2 3 2 13" xfId="6353" xr:uid="{F573FE66-0542-4DD0-B4A2-CA7E7C8E91A7}"/>
    <cellStyle name="Note 2 3 2 14" xfId="7560" xr:uid="{12FF81B9-9352-4E57-9990-4B8AFD7A8E56}"/>
    <cellStyle name="Note 2 3 2 15" xfId="7205" xr:uid="{DF4E43C9-1C73-46BB-A7B8-7E7425F0B345}"/>
    <cellStyle name="Note 2 3 2 16" xfId="8035" xr:uid="{71E0BADF-7CA3-4799-92A4-51C6DE9DEB53}"/>
    <cellStyle name="Note 2 3 2 17" xfId="8802" xr:uid="{0891F538-1E90-4B28-A7C1-F5CA7DE27F87}"/>
    <cellStyle name="Note 2 3 2 18" xfId="9774" xr:uid="{43EE6F4C-896D-490B-8A52-21AB54434EEA}"/>
    <cellStyle name="Note 2 3 2 19" xfId="9418" xr:uid="{4466EBC1-04FA-4766-AC37-960E98B5BBC0}"/>
    <cellStyle name="Note 2 3 2 2" xfId="1314" xr:uid="{C73DB949-BDAB-4A53-B055-9FBE3669FE19}"/>
    <cellStyle name="Note 2 3 2 20" xfId="10231" xr:uid="{A8F70D8C-E3DF-4A68-B065-8CA97D4EB309}"/>
    <cellStyle name="Note 2 3 2 21" xfId="10849" xr:uid="{5480DA17-1A57-4AF7-A72A-2E0D288A487C}"/>
    <cellStyle name="Note 2 3 2 22" xfId="11134" xr:uid="{59E31CC9-1F4E-452A-962D-6FCF4C30C6AC}"/>
    <cellStyle name="Note 2 3 2 23" xfId="12193" xr:uid="{2AD6EC4A-767D-4DE4-ABBE-195FD35CD922}"/>
    <cellStyle name="Note 2 3 2 24" xfId="12666" xr:uid="{2E81D444-5650-4D90-A2BE-9A71B6DF5CDC}"/>
    <cellStyle name="Note 2 3 2 25" xfId="13100" xr:uid="{C1322174-1A1B-4433-9D30-CD6BB62999B6}"/>
    <cellStyle name="Note 2 3 2 26" xfId="13537" xr:uid="{7C371FF0-B09D-4A0B-8630-95462CD9AF9B}"/>
    <cellStyle name="Note 2 3 2 27" xfId="13687" xr:uid="{017E3B76-C183-455B-9198-FD0578426DF6}"/>
    <cellStyle name="Note 2 3 2 28" xfId="11730" xr:uid="{E76F2779-F25B-44D6-B88A-2F8F2DDF01D8}"/>
    <cellStyle name="Note 2 3 2 29" xfId="13790" xr:uid="{283DE4E9-BE23-4AB5-8244-D3123F224DC1}"/>
    <cellStyle name="Note 2 3 2 3" xfId="1763" xr:uid="{E1146C12-5E70-45C8-B1B5-0B48CDACE6B8}"/>
    <cellStyle name="Note 2 3 2 30" xfId="15175" xr:uid="{F73F321E-2D73-4F98-B7BD-82DD93866C6D}"/>
    <cellStyle name="Note 2 3 2 31" xfId="15315" xr:uid="{2C1BBD77-CCFF-4299-B81E-92E43ECB088A}"/>
    <cellStyle name="Note 2 3 2 32" xfId="14315" xr:uid="{32A13191-492D-406D-9541-94E3D01B6DB8}"/>
    <cellStyle name="Note 2 3 2 33" xfId="16885" xr:uid="{A833C3EC-1788-49C8-8F85-C3DD5208859A}"/>
    <cellStyle name="Note 2 3 2 34" xfId="16527" xr:uid="{651D0C5D-BB7E-4E80-9A89-4128595B192B}"/>
    <cellStyle name="Note 2 3 2 35" xfId="17352" xr:uid="{63CD9DFF-6CFB-403B-AE2E-683DB0BDCFB9}"/>
    <cellStyle name="Note 2 3 2 36" xfId="16539" xr:uid="{24175A4D-7F45-4D8B-AF5C-CCD108781873}"/>
    <cellStyle name="Note 2 3 2 37" xfId="18703" xr:uid="{746812DA-C191-4A3A-8170-7224B8181D40}"/>
    <cellStyle name="Note 2 3 2 38" xfId="18979" xr:uid="{DBA79A21-8A9D-4B4E-A43B-53D85652BC7E}"/>
    <cellStyle name="Note 2 3 2 39" xfId="19199" xr:uid="{A69635FC-A025-495E-8BC3-01C39A553F2C}"/>
    <cellStyle name="Note 2 3 2 4" xfId="2662" xr:uid="{1971BFDF-09F6-42DA-B071-60306F426CC6}"/>
    <cellStyle name="Note 2 3 2 40" xfId="20222" xr:uid="{8D350D53-7317-4786-81FC-7FF5E45E7637}"/>
    <cellStyle name="Note 2 3 2 41" xfId="19863" xr:uid="{34C3F9EB-F839-4EC9-9BE7-6742777FBD02}"/>
    <cellStyle name="Note 2 3 2 42" xfId="19687" xr:uid="{45770701-811F-47A6-B63C-2B480BCA92C3}"/>
    <cellStyle name="Note 2 3 2 43" xfId="21589" xr:uid="{CAF1D3E5-64B2-4434-A4FB-B929ECC0C03E}"/>
    <cellStyle name="Note 2 3 2 44" xfId="19376" xr:uid="{5C5F49A7-6AA3-413B-A21C-CE81DECDEC3C}"/>
    <cellStyle name="Note 2 3 2 45" xfId="21445" xr:uid="{2303D986-FE82-4085-B9A7-AB8D24E8262A}"/>
    <cellStyle name="Note 2 3 2 46" xfId="22686" xr:uid="{38DCC5B5-9151-4C70-B809-0FFEEB6EAB1D}"/>
    <cellStyle name="Note 2 3 2 47" xfId="23266" xr:uid="{BE36A908-1E5C-4066-9893-482DDEB97363}"/>
    <cellStyle name="Note 2 3 2 48" xfId="23574" xr:uid="{86B04429-5A8E-4980-B43B-9EB174595731}"/>
    <cellStyle name="Note 2 3 2 49" xfId="24022" xr:uid="{A0CA1D84-D5D3-470F-8203-6AEB614530E8}"/>
    <cellStyle name="Note 2 3 2 5" xfId="2852" xr:uid="{3E72FA17-61E7-4209-91AE-F081C3AEF472}"/>
    <cellStyle name="Note 2 3 2 50" xfId="24930" xr:uid="{D8D8C626-511A-4436-B8D2-A08FA4EBBCC8}"/>
    <cellStyle name="Note 2 3 2 51" xfId="24567" xr:uid="{CD0E9473-7B87-466C-8A83-3A2C899032B2}"/>
    <cellStyle name="Note 2 3 2 52" xfId="25846" xr:uid="{B52B465B-F568-40DE-9C55-5D83DCBE627C}"/>
    <cellStyle name="Note 2 3 2 53" xfId="26054" xr:uid="{B79C84BC-54F2-4C65-97E3-C88236925681}"/>
    <cellStyle name="Note 2 3 2 54" xfId="26590" xr:uid="{A3CC14A9-AC03-4CC5-B219-02ABBE22AACA}"/>
    <cellStyle name="Note 2 3 2 55" xfId="27134" xr:uid="{36169CC4-C3FC-45D1-AFC9-3A6E5B918F54}"/>
    <cellStyle name="Note 2 3 2 56" xfId="27553" xr:uid="{814D6623-3BAE-4368-A6B8-97C9FB4A7EDF}"/>
    <cellStyle name="Note 2 3 2 57" xfId="27679" xr:uid="{9CED1814-25EB-4E67-A52B-92D2B760DD50}"/>
    <cellStyle name="Note 2 3 2 58" xfId="28680" xr:uid="{889AAE39-F36F-40B4-B05A-C9F7FBF582B2}"/>
    <cellStyle name="Note 2 3 2 59" xfId="29147" xr:uid="{F8645936-6797-4914-9F9E-F5FF5F11EFD3}"/>
    <cellStyle name="Note 2 3 2 6" xfId="3580" xr:uid="{0189D9B7-07A3-4995-B8FC-8A65945095B4}"/>
    <cellStyle name="Note 2 3 2 60" xfId="28225" xr:uid="{B3686EBA-026F-4E01-9DAE-C5097C1F0A98}"/>
    <cellStyle name="Note 2 3 2 61" xfId="29936" xr:uid="{F32E8DAD-0CFC-4260-BAEF-3BD7D4E4BE79}"/>
    <cellStyle name="Note 2 3 2 62" xfId="30342" xr:uid="{8167E69E-E629-4D15-A4D8-FCAA5C35F563}"/>
    <cellStyle name="Note 2 3 2 63" xfId="30759" xr:uid="{09FBEE38-C414-4C6F-986B-52E366E170E6}"/>
    <cellStyle name="Note 2 3 2 64" xfId="29225" xr:uid="{315A39C3-EE72-4C8C-96BB-61CDE7F3051A}"/>
    <cellStyle name="Note 2 3 2 65" xfId="31375" xr:uid="{5427468A-23D4-446B-9B51-9878BAC2074E}"/>
    <cellStyle name="Note 2 3 2 7" xfId="4158" xr:uid="{7AEF73B3-F2D7-4259-8751-375019E00A1C}"/>
    <cellStyle name="Note 2 3 2 8" xfId="4595" xr:uid="{1FB618D3-F47C-4F0A-AA53-82F57FAE5CA9}"/>
    <cellStyle name="Note 2 3 2 9" xfId="2521" xr:uid="{0270AC39-981C-4CAA-8BF6-E217DAE23D0F}"/>
    <cellStyle name="Note 2 3 20" xfId="10194" xr:uid="{7CE22B3A-E570-40BF-83D7-F71CB9C617AE}"/>
    <cellStyle name="Note 2 3 21" xfId="10598" xr:uid="{624D6552-EC56-40B3-B7A0-78A31390DF3B}"/>
    <cellStyle name="Note 2 3 22" xfId="10362" xr:uid="{C9E1C62A-4289-4F52-9958-76BC1558F4F1}"/>
    <cellStyle name="Note 2 3 23" xfId="11236" xr:uid="{15615551-B268-4120-9DF4-3B74AECE2103}"/>
    <cellStyle name="Note 2 3 24" xfId="11978" xr:uid="{EA716E05-FC41-4356-BFF8-C749E808AD7D}"/>
    <cellStyle name="Note 2 3 25" xfId="12451" xr:uid="{435EFDE5-28BD-460E-A324-EAEBFC477394}"/>
    <cellStyle name="Note 2 3 26" xfId="12885" xr:uid="{0C8C0617-4E2B-473D-84A4-DFAADD598193}"/>
    <cellStyle name="Note 2 3 27" xfId="13322" xr:uid="{619CE9E8-85C5-41BC-8F44-2C311F5091F9}"/>
    <cellStyle name="Note 2 3 28" xfId="11370" xr:uid="{207E5DE7-99C7-41D7-8145-94DDB8F7E817}"/>
    <cellStyle name="Note 2 3 29" xfId="14402" xr:uid="{FAE27939-E6F9-49D4-BA5A-B0EA09C196D4}"/>
    <cellStyle name="Note 2 3 3" xfId="1108" xr:uid="{38F0CF0E-096C-494F-A14F-A6E84A86BF75}"/>
    <cellStyle name="Note 2 3 30" xfId="14801" xr:uid="{5D3A4FEF-2AED-4809-B063-9832DC226C96}"/>
    <cellStyle name="Note 2 3 31" xfId="15081" xr:uid="{71C401E1-0ADA-49EB-8DB8-627E708B29D4}"/>
    <cellStyle name="Note 2 3 32" xfId="15601" xr:uid="{2F022D74-0EC7-4AA8-ABA5-58FFC3769F6D}"/>
    <cellStyle name="Note 2 3 33" xfId="15957" xr:uid="{FA8AEDD0-80E3-4C75-9BC9-F9DB73331FE3}"/>
    <cellStyle name="Note 2 3 34" xfId="16670" xr:uid="{E55688D7-3169-49B8-B00B-AFFCDA9121F5}"/>
    <cellStyle name="Note 2 3 35" xfId="17315" xr:uid="{6C776419-E5B6-4AC9-938E-BD5557E08691}"/>
    <cellStyle name="Note 2 3 36" xfId="17758" xr:uid="{6567908A-9B18-4654-9BF3-572849F77F2C}"/>
    <cellStyle name="Note 2 3 37" xfId="18127" xr:uid="{15AED7C1-382C-4C90-BDD4-E5FAE8E49EE4}"/>
    <cellStyle name="Note 2 3 38" xfId="18488" xr:uid="{5EEA411A-BD46-47E4-AB96-17C3ACE8A222}"/>
    <cellStyle name="Note 2 3 39" xfId="18778" xr:uid="{A4CB4074-EAFD-439F-855B-986A526F725D}"/>
    <cellStyle name="Note 2 3 4" xfId="1377" xr:uid="{EE7CE170-1379-4A38-B14A-DE6E982CBF91}"/>
    <cellStyle name="Note 2 3 40" xfId="18830" xr:uid="{57AA1CA6-5CBC-450A-AE3F-9C3F5495C895}"/>
    <cellStyle name="Note 2 3 41" xfId="20007" xr:uid="{82D7F63C-CECD-4CC2-A133-FC2ED1BCCD55}"/>
    <cellStyle name="Note 2 3 42" xfId="20666" xr:uid="{25D564D7-0A2F-40A8-99CD-ABEA52401A74}"/>
    <cellStyle name="Note 2 3 43" xfId="21122" xr:uid="{225ABF5C-7888-4819-9534-FF768B86EA3C}"/>
    <cellStyle name="Note 2 3 44" xfId="21081" xr:uid="{A2B8856F-1ED1-4A51-8FE8-BF1C98651D4C}"/>
    <cellStyle name="Note 2 3 45" xfId="22054" xr:uid="{1FD9F70A-B1C4-44C3-A9B9-8113A870A87A}"/>
    <cellStyle name="Note 2 3 46" xfId="22482" xr:uid="{E579675A-59F5-4EE7-8606-986CC060CDD1}"/>
    <cellStyle name="Note 2 3 47" xfId="22523" xr:uid="{8F270370-3486-455B-9CD1-EAE59E8B4F2D}"/>
    <cellStyle name="Note 2 3 48" xfId="23049" xr:uid="{51B12101-E1BE-4123-9081-5B5390AB09E5}"/>
    <cellStyle name="Note 2 3 49" xfId="23263" xr:uid="{C7A07FA4-428A-4FDB-B20A-D9B8AB63B003}"/>
    <cellStyle name="Note 2 3 5" xfId="2447" xr:uid="{4CC49EF8-5233-4033-A050-FB330E87395C}"/>
    <cellStyle name="Note 2 3 50" xfId="23816" xr:uid="{A8484D64-6CD7-4C4F-A1AA-719999AD47B1}"/>
    <cellStyle name="Note 2 3 51" xfId="24715" xr:uid="{8EEBA874-5FC0-4723-A3C1-A11ABED3CDD0}"/>
    <cellStyle name="Note 2 3 52" xfId="25369" xr:uid="{DA645593-4E84-4F7C-B40A-E8FACD0FC6E3}"/>
    <cellStyle name="Note 2 3 53" xfId="25633" xr:uid="{3526E64C-28A5-41D0-AED1-A3ED76F6D20D}"/>
    <cellStyle name="Note 2 3 54" xfId="24998" xr:uid="{B7796D65-0F4B-4CD4-A9EA-6256060574B1}"/>
    <cellStyle name="Note 2 3 55" xfId="26618" xr:uid="{32B771BE-53A5-41DC-98D6-C2C747C6E590}"/>
    <cellStyle name="Note 2 3 56" xfId="26923" xr:uid="{BA51A0EE-E527-41D9-92F7-0D31793C3E29}"/>
    <cellStyle name="Note 2 3 57" xfId="27342" xr:uid="{D67DEBDF-71D2-4D5A-9483-DBCF4B1D0DAF}"/>
    <cellStyle name="Note 2 3 58" xfId="27786" xr:uid="{CD83F0A0-8F4C-449C-A751-7DD66E5BE88D}"/>
    <cellStyle name="Note 2 3 59" xfId="28465" xr:uid="{47B0D961-9A54-478C-BF9C-1673283DCA8F}"/>
    <cellStyle name="Note 2 3 6" xfId="2190" xr:uid="{07FD7E4A-EF4B-4C3D-B45B-EA3D68A523BE}"/>
    <cellStyle name="Note 2 3 60" xfId="28933" xr:uid="{EE90B3EA-14F7-40BF-817D-983959772B39}"/>
    <cellStyle name="Note 2 3 61" xfId="29491" xr:uid="{4CEF77F5-B949-409F-911E-211F7AC6BA67}"/>
    <cellStyle name="Note 2 3 62" xfId="29723" xr:uid="{8EA56222-3227-4D30-80B1-2EA989EC86D1}"/>
    <cellStyle name="Note 2 3 63" xfId="30131" xr:uid="{8424CE9C-4ADA-41B5-A35A-5FE5D784F413}"/>
    <cellStyle name="Note 2 3 64" xfId="30545" xr:uid="{19BC5C44-37DB-4D20-9ACC-E247649B5808}"/>
    <cellStyle name="Note 2 3 65" xfId="30976" xr:uid="{52E2EE68-FA79-41B5-9283-7DE239B43CB2}"/>
    <cellStyle name="Note 2 3 66" xfId="31169" xr:uid="{1449508C-3406-48E9-864D-CBF409CE3B6F}"/>
    <cellStyle name="Note 2 3 7" xfId="3568" xr:uid="{789403CC-1C5D-431F-8201-DE5EA7D2FF04}"/>
    <cellStyle name="Note 2 3 8" xfId="3943" xr:uid="{A144E986-169A-4ED0-A004-47E378697D56}"/>
    <cellStyle name="Note 2 3 9" xfId="4381" xr:uid="{6037F610-B47B-4007-99B4-AC7B67B84508}"/>
    <cellStyle name="Note 2 30" xfId="11363" xr:uid="{A6D82B4E-A0E1-4C03-B602-7A1F61BC4EDA}"/>
    <cellStyle name="Note 2 31" xfId="11827" xr:uid="{ECCC9DF5-7F99-4A2F-A964-D4D889A2D7A4}"/>
    <cellStyle name="Note 2 32" xfId="13767" xr:uid="{E9279684-CB15-401A-B689-DE1C33EEE304}"/>
    <cellStyle name="Note 2 33" xfId="14278" xr:uid="{20E27B59-5568-4E8E-B3E8-C2868C37193E}"/>
    <cellStyle name="Note 2 34" xfId="14161" xr:uid="{8D8BE391-52AC-4C13-8E21-30E9B7058D83}"/>
    <cellStyle name="Note 2 35" xfId="15631" xr:uid="{A2EDE33A-E300-4770-A3E2-C26236299174}"/>
    <cellStyle name="Note 2 36" xfId="15805" xr:uid="{34A57933-F748-4243-822A-F1DC7FC24FE5}"/>
    <cellStyle name="Note 2 37" xfId="16222" xr:uid="{479871BD-D33C-4DD6-B3B4-87D54E025C5A}"/>
    <cellStyle name="Note 2 38" xfId="17012" xr:uid="{7923B075-E484-4B52-9F0C-64FB0B0BCD30}"/>
    <cellStyle name="Note 2 39" xfId="17457" xr:uid="{0D7FE70F-BD4F-4BFD-A9DA-0F092B42204F}"/>
    <cellStyle name="Note 2 4" xfId="520" xr:uid="{0B6301F4-E0C7-45D8-AF6D-50927A99ADFF}"/>
    <cellStyle name="Note 2 4 10" xfId="4945" xr:uid="{1DEE1AB4-C270-4F9F-9099-99F5D58C35AA}"/>
    <cellStyle name="Note 2 4 11" xfId="5168" xr:uid="{8FF12913-9831-4036-94E9-971607961E44}"/>
    <cellStyle name="Note 2 4 12" xfId="4853" xr:uid="{F34F95E8-F93E-4BD2-A82D-811700E7B162}"/>
    <cellStyle name="Note 2 4 13" xfId="4654" xr:uid="{57810220-95CB-461B-8175-69A9183AC14F}"/>
    <cellStyle name="Note 2 4 14" xfId="6567" xr:uid="{36DA7D47-5041-455E-A0E3-BFD428C4AE42}"/>
    <cellStyle name="Note 2 4 15" xfId="7240" xr:uid="{4CEAE243-77D7-48BF-8D92-F6235EDD292A}"/>
    <cellStyle name="Note 2 4 16" xfId="8009" xr:uid="{E920D4E9-463C-400A-BC4B-319006E26091}"/>
    <cellStyle name="Note 2 4 17" xfId="8563" xr:uid="{C8EF2AF9-6463-49EF-B99A-1B2B722E9C31}"/>
    <cellStyle name="Note 2 4 18" xfId="8849" xr:uid="{5D71EE90-A757-4643-9CB9-35CFCBE2DD02}"/>
    <cellStyle name="Note 2 4 19" xfId="9454" xr:uid="{2BC5D649-FC8E-42B6-ABFA-08080C99D3DB}"/>
    <cellStyle name="Note 2 4 2" xfId="735" xr:uid="{4D96101E-7A85-41AF-BB04-8733C5F35D42}"/>
    <cellStyle name="Note 2 4 2 10" xfId="5383" xr:uid="{99C59E52-F338-44E3-B1A7-BD92DBF7A347}"/>
    <cellStyle name="Note 2 4 2 11" xfId="5816" xr:uid="{70EE16C6-EBCC-46C0-9574-8E4437839AFE}"/>
    <cellStyle name="Note 2 4 2 12" xfId="6051" xr:uid="{E2B03F3E-2EBB-4945-BEF7-C44843F19BA2}"/>
    <cellStyle name="Note 2 4 2 13" xfId="6420" xr:uid="{40C0B65B-E95C-4B64-8E4D-F84B6E5DA2A6}"/>
    <cellStyle name="Note 2 4 2 14" xfId="7455" xr:uid="{BECFA278-5163-4DED-92CB-4601F5C23692}"/>
    <cellStyle name="Note 2 4 2 15" xfId="6884" xr:uid="{24B72DEC-FB6F-43F7-BC18-161A30C4A521}"/>
    <cellStyle name="Note 2 4 2 16" xfId="8185" xr:uid="{1BF2FC04-CE7B-476D-9D77-5286AD05D959}"/>
    <cellStyle name="Note 2 4 2 17" xfId="7802" xr:uid="{84E4CF42-72A3-4181-A216-AB8D8BA63F8D}"/>
    <cellStyle name="Note 2 4 2 18" xfId="9669" xr:uid="{6A0A6D4A-8F24-4535-AFC3-44E0E8E7D0F0}"/>
    <cellStyle name="Note 2 4 2 19" xfId="9098" xr:uid="{CE679522-46F3-486E-BFF3-0F3F932A8A83}"/>
    <cellStyle name="Note 2 4 2 2" xfId="1209" xr:uid="{B7508D0C-5CEF-4D2F-BD8F-7473A90E5574}"/>
    <cellStyle name="Note 2 4 2 20" xfId="9835" xr:uid="{56681608-71E5-44B5-8EC6-267DD94CF000}"/>
    <cellStyle name="Note 2 4 2 21" xfId="10370" xr:uid="{52A50BA5-68B2-42FB-A4DC-D33427E7E77E}"/>
    <cellStyle name="Note 2 4 2 22" xfId="11260" xr:uid="{3CEAEC23-BC0C-43F4-B63B-45039F4422F3}"/>
    <cellStyle name="Note 2 4 2 23" xfId="12088" xr:uid="{8238518A-7F31-4C98-A419-F715FCD767AB}"/>
    <cellStyle name="Note 2 4 2 24" xfId="12561" xr:uid="{D4CED58E-74B6-47F0-AAB7-88421605B91C}"/>
    <cellStyle name="Note 2 4 2 25" xfId="12995" xr:uid="{EAB76147-E5BD-4FCA-B088-92E3237C4102}"/>
    <cellStyle name="Note 2 4 2 26" xfId="13432" xr:uid="{FBF6952F-2D16-4CAC-A691-CBF871470EAB}"/>
    <cellStyle name="Note 2 4 2 27" xfId="12301" xr:uid="{DC2AEBEF-2EC0-41D5-B4D1-A59D021665BA}"/>
    <cellStyle name="Note 2 4 2 28" xfId="11658" xr:uid="{AEA49FD2-A410-451C-AE95-88F40B446B64}"/>
    <cellStyle name="Note 2 4 2 29" xfId="14014" xr:uid="{E98A1A76-4B43-48FD-8972-B066B9A76718}"/>
    <cellStyle name="Note 2 4 2 3" xfId="1439" xr:uid="{ED3ACF2E-E4EC-4555-AD63-7009BE9FB08D}"/>
    <cellStyle name="Note 2 4 2 30" xfId="14180" xr:uid="{811CC0E0-ABDE-4E43-9442-7FF0ABA257DE}"/>
    <cellStyle name="Note 2 4 2 31" xfId="15746" xr:uid="{FB50FF67-99E3-4911-A4E4-FB7DA982D453}"/>
    <cellStyle name="Note 2 4 2 32" xfId="15638" xr:uid="{5FE4E337-48E2-477B-B033-21216331185E}"/>
    <cellStyle name="Note 2 4 2 33" xfId="16780" xr:uid="{FE3D534F-2AD3-4F61-9888-A0B6028BBF81}"/>
    <cellStyle name="Note 2 4 2 34" xfId="16201" xr:uid="{F2520607-F27E-430F-ADA2-67B99D311A13}"/>
    <cellStyle name="Note 2 4 2 35" xfId="16949" xr:uid="{6798A6A2-A864-4C84-9FAD-74F71020B39B}"/>
    <cellStyle name="Note 2 4 2 36" xfId="17471" xr:uid="{8C913F64-7E76-4901-95D3-23A2BACA3015}"/>
    <cellStyle name="Note 2 4 2 37" xfId="18598" xr:uid="{68483018-F4F5-4DBD-95D1-B34F8421CDBC}"/>
    <cellStyle name="Note 2 4 2 38" xfId="18964" xr:uid="{F8E85EAA-7360-4ED4-AE12-98CAC40C9CDB}"/>
    <cellStyle name="Note 2 4 2 39" xfId="18782" xr:uid="{3D6A66D3-BA51-4B6D-A327-2A55C903D052}"/>
    <cellStyle name="Note 2 4 2 4" xfId="2557" xr:uid="{59CCD8A5-8898-4BD4-94A5-C9554518F32B}"/>
    <cellStyle name="Note 2 4 2 40" xfId="20117" xr:uid="{19C052FA-9999-484F-916C-D158EEFC8023}"/>
    <cellStyle name="Note 2 4 2 41" xfId="19533" xr:uid="{23CDEBAC-36C7-4C30-BA9F-9718A9FF9F56}"/>
    <cellStyle name="Note 2 4 2 42" xfId="20711" xr:uid="{1BB3F177-CCCA-4532-8F1A-6D12E7F1CD69}"/>
    <cellStyle name="Note 2 4 2 43" xfId="21510" xr:uid="{50D0E54C-D40A-4908-8A3C-F6FF6A5A80FF}"/>
    <cellStyle name="Note 2 4 2 44" xfId="21152" xr:uid="{E6F27A92-95DD-4F5E-BE29-C5625AFC1D83}"/>
    <cellStyle name="Note 2 4 2 45" xfId="21639" xr:uid="{A06F74BF-4FC9-4D6E-BBC4-7444E0AE5A37}"/>
    <cellStyle name="Note 2 4 2 46" xfId="22165" xr:uid="{68D72EC5-C0E9-4B74-B509-B364CF22D2A6}"/>
    <cellStyle name="Note 2 4 2 47" xfId="23252" xr:uid="{02D9C039-B3B5-46BF-8A82-145EA2189DE6}"/>
    <cellStyle name="Note 2 4 2 48" xfId="23445" xr:uid="{D1252325-EB0B-42A9-A6AB-9D4C41E5B252}"/>
    <cellStyle name="Note 2 4 2 49" xfId="23917" xr:uid="{89E279EF-034C-43FB-970D-FD76AB96DCE5}"/>
    <cellStyle name="Note 2 4 2 5" xfId="2083" xr:uid="{21E26893-9415-4C40-B42E-0054160643A6}"/>
    <cellStyle name="Note 2 4 2 50" xfId="24825" xr:uid="{7CEF8072-FAD5-407C-A2F6-D4CE07023060}"/>
    <cellStyle name="Note 2 4 2 51" xfId="24512" xr:uid="{5AF1ADAC-59CE-4650-A3D2-C54A304682C3}"/>
    <cellStyle name="Note 2 4 2 52" xfId="25741" xr:uid="{97617127-278B-44A7-BB3F-84D4AA46D480}"/>
    <cellStyle name="Note 2 4 2 53" xfId="24349" xr:uid="{53BD0B03-008B-450A-AFDB-5D92C3EC29CB}"/>
    <cellStyle name="Note 2 4 2 54" xfId="25502" xr:uid="{7910D2A4-454C-496E-823C-6CAB8644AD80}"/>
    <cellStyle name="Note 2 4 2 55" xfId="27029" xr:uid="{835615C1-8CD4-462A-9671-A6676F1D76C6}"/>
    <cellStyle name="Note 2 4 2 56" xfId="27448" xr:uid="{083015F5-A117-4771-8C6C-647BC975E370}"/>
    <cellStyle name="Note 2 4 2 57" xfId="27724" xr:uid="{73C886F6-FF7C-4AED-AC15-476A06EC31AD}"/>
    <cellStyle name="Note 2 4 2 58" xfId="28575" xr:uid="{4C8A6A8F-964E-49A6-925C-1E74A8E6BB8D}"/>
    <cellStyle name="Note 2 4 2 59" xfId="29042" xr:uid="{8D9CB086-5B15-4C67-A525-01B69D86DD8A}"/>
    <cellStyle name="Note 2 4 2 6" xfId="2771" xr:uid="{C2624E47-E5D2-4CB4-8309-FBF19AFE9061}"/>
    <cellStyle name="Note 2 4 2 60" xfId="27899" xr:uid="{2C011B6E-10A3-416B-A462-D785E5BB99B0}"/>
    <cellStyle name="Note 2 4 2 61" xfId="29831" xr:uid="{3C98ECC1-3F00-43DD-9ADC-146961577A9A}"/>
    <cellStyle name="Note 2 4 2 62" xfId="30237" xr:uid="{AE71872E-66F8-4100-A477-86E177A81095}"/>
    <cellStyle name="Note 2 4 2 63" xfId="30654" xr:uid="{2BA92F5C-B91B-402A-9062-AA5316F3BFD6}"/>
    <cellStyle name="Note 2 4 2 64" xfId="29479" xr:uid="{105BE701-CFF4-4E93-8739-87E96D021A95}"/>
    <cellStyle name="Note 2 4 2 65" xfId="31270" xr:uid="{D2A522E5-6A9C-4075-81F4-389C9C9BC454}"/>
    <cellStyle name="Note 2 4 2 7" xfId="4053" xr:uid="{91DAAB62-65DB-4FEB-A042-EBC396492624}"/>
    <cellStyle name="Note 2 4 2 8" xfId="4490" xr:uid="{9C3EF820-9F1D-4311-8150-8264578D72B9}"/>
    <cellStyle name="Note 2 4 2 9" xfId="2768" xr:uid="{9855D685-2FF1-42E5-9CDC-2E1B5B8EFB5F}"/>
    <cellStyle name="Note 2 4 20" xfId="10227" xr:uid="{BBBA6814-D5DE-4571-A401-DF0BE329AFC1}"/>
    <cellStyle name="Note 2 4 21" xfId="10626" xr:uid="{82C4FD41-D90F-48B7-AB6D-CBEC512610A0}"/>
    <cellStyle name="Note 2 4 22" xfId="10522" xr:uid="{956245C0-8B8F-4F10-A83A-DBF3A1DC4E0D}"/>
    <cellStyle name="Note 2 4 23" xfId="11161" xr:uid="{F128600C-D89A-439B-908B-67648FAE2C88}"/>
    <cellStyle name="Note 2 4 24" xfId="11873" xr:uid="{CD480088-43F8-4647-B7D4-6BFCD5BC0D66}"/>
    <cellStyle name="Note 2 4 25" xfId="12346" xr:uid="{487A0558-D913-439B-A8C4-00146FE41F4A}"/>
    <cellStyle name="Note 2 4 26" xfId="12780" xr:uid="{20026C7E-EA24-4710-B321-67F459E07FF0}"/>
    <cellStyle name="Note 2 4 27" xfId="13217" xr:uid="{4ECA13F0-F858-4AA3-B325-226E06EC7A37}"/>
    <cellStyle name="Note 2 4 28" xfId="11701" xr:uid="{E60F4569-2509-4B3B-9CC5-5E4263468412}"/>
    <cellStyle name="Note 2 4 29" xfId="14160" xr:uid="{2B4DCD30-6237-4CFF-B23C-9A328D43C531}"/>
    <cellStyle name="Note 2 4 3" xfId="1003" xr:uid="{422FD09E-0F15-46AB-A9C3-B680A94200EA}"/>
    <cellStyle name="Note 2 4 30" xfId="14797" xr:uid="{3F9555AF-9096-49EE-86A1-204C1DEF312F}"/>
    <cellStyle name="Note 2 4 31" xfId="13989" xr:uid="{D0A28139-2F4E-48AF-BE81-C09D66BEF167}"/>
    <cellStyle name="Note 2 4 32" xfId="15303" xr:uid="{B030C816-3FF5-413A-A771-52741A91E570}"/>
    <cellStyle name="Note 2 4 33" xfId="15975" xr:uid="{C5224977-2686-4E34-BD59-4664B2F14615}"/>
    <cellStyle name="Note 2 4 34" xfId="16565" xr:uid="{9F3C5236-C9AB-4267-8B27-2D0059B4587B}"/>
    <cellStyle name="Note 2 4 35" xfId="17348" xr:uid="{E0DBF3FF-C80B-44BB-A190-BC3A01C3201F}"/>
    <cellStyle name="Note 2 4 36" xfId="17790" xr:uid="{90958969-0374-46D3-B099-522E0C607684}"/>
    <cellStyle name="Note 2 4 37" xfId="17442" xr:uid="{9FB8A533-EFA3-48AC-B6BA-EC2D44DEE35E}"/>
    <cellStyle name="Note 2 4 38" xfId="18383" xr:uid="{A4712575-5A21-4774-8E02-3D3489080AB0}"/>
    <cellStyle name="Note 2 4 39" xfId="19003" xr:uid="{B7A96AA5-DA36-4B7C-816A-EB382FAB4795}"/>
    <cellStyle name="Note 2 4 4" xfId="1690" xr:uid="{4B713430-DDE0-44CC-8A6B-776E0A81CBAA}"/>
    <cellStyle name="Note 2 4 40" xfId="19050" xr:uid="{00A7C51B-F2CF-4A41-898D-B56D1EF6EC5C}"/>
    <cellStyle name="Note 2 4 41" xfId="19902" xr:uid="{A808EE4F-31E5-4E06-997F-AF965F421EE3}"/>
    <cellStyle name="Note 2 4 42" xfId="20699" xr:uid="{5EC8C34C-DAB5-4484-AC31-A6E4C64DAB79}"/>
    <cellStyle name="Note 2 4 43" xfId="21156" xr:uid="{84A6184C-EF78-46B9-B396-68D387E89B7F}"/>
    <cellStyle name="Note 2 4 44" xfId="21346" xr:uid="{FBADB805-5997-4708-BED1-C17C960B16A4}"/>
    <cellStyle name="Note 2 4 45" xfId="22087" xr:uid="{1DFD1C09-8270-43F9-80A1-2538319E0F87}"/>
    <cellStyle name="Note 2 4 46" xfId="22515" xr:uid="{06962DE4-A23C-4B51-B746-B41FB7231B54}"/>
    <cellStyle name="Note 2 4 47" xfId="22519" xr:uid="{27962352-9103-4E09-8068-33F04FC01E46}"/>
    <cellStyle name="Note 2 4 48" xfId="23285" xr:uid="{A8F26496-164A-4BAD-9540-B6B95AAB84FF}"/>
    <cellStyle name="Note 2 4 49" xfId="23028" xr:uid="{ED4961C0-26DE-471D-8B3A-ED985E5ABD32}"/>
    <cellStyle name="Note 2 4 5" xfId="2342" xr:uid="{17A1B6CC-4843-4150-856E-DDC3D4F382C8}"/>
    <cellStyle name="Note 2 4 50" xfId="23711" xr:uid="{ACCAC2D8-B9D3-4557-BD3A-2D712ECAE94E}"/>
    <cellStyle name="Note 2 4 51" xfId="24610" xr:uid="{CCE41D1F-2B45-4D57-A98E-130E2D7922ED}"/>
    <cellStyle name="Note 2 4 52" xfId="25402" xr:uid="{17ADA21D-6FDD-4FA9-ADB1-679F213D83D7}"/>
    <cellStyle name="Note 2 4 53" xfId="25528" xr:uid="{CE2C0BAA-FA1D-4B25-BD5B-D24C690CDF33}"/>
    <cellStyle name="Note 2 4 54" xfId="24205" xr:uid="{DA0463CD-B50D-40C2-8D53-647C5FC4B047}"/>
    <cellStyle name="Note 2 4 55" xfId="25036" xr:uid="{044AE778-D3BC-4BE8-A36F-DDE32F1F8CED}"/>
    <cellStyle name="Note 2 4 56" xfId="26818" xr:uid="{7C33D597-324D-4CC4-9FD8-4F824D19C0AC}"/>
    <cellStyle name="Note 2 4 57" xfId="27237" xr:uid="{152AE432-AE03-4975-8EC8-53F2781C3AC0}"/>
    <cellStyle name="Note 2 4 58" xfId="27765" xr:uid="{445B4B88-AEB9-48A0-B4C3-8EEB9EAD0286}"/>
    <cellStyle name="Note 2 4 59" xfId="28360" xr:uid="{57F40796-BE60-49DB-AE8B-F3203EEEE3D2}"/>
    <cellStyle name="Note 2 4 6" xfId="2155" xr:uid="{E67D99D2-E16C-4908-872A-FA14F5EF071F}"/>
    <cellStyle name="Note 2 4 60" xfId="28828" xr:uid="{B967637F-7BF1-461A-9E55-D3909686242C}"/>
    <cellStyle name="Note 2 4 61" xfId="29517" xr:uid="{2E6834FC-C755-4FD8-AB6E-A5AC081A2D63}"/>
    <cellStyle name="Note 2 4 62" xfId="29618" xr:uid="{044F0DB4-46DA-4358-9949-203E9F905E5A}"/>
    <cellStyle name="Note 2 4 63" xfId="30026" xr:uid="{7A49BBFE-5B02-49DC-8412-D6265C1FE525}"/>
    <cellStyle name="Note 2 4 64" xfId="30440" xr:uid="{17F3F6BD-7E4A-46AD-8538-AEE23F613BC3}"/>
    <cellStyle name="Note 2 4 65" xfId="30909" xr:uid="{076EFC04-C3A7-4682-A5C5-75BA8A8C41AF}"/>
    <cellStyle name="Note 2 4 66" xfId="31064" xr:uid="{859851E5-A1E2-4838-9CFD-2AF84896EC62}"/>
    <cellStyle name="Note 2 4 7" xfId="3540" xr:uid="{356DFB51-97E3-4263-806C-0B6F0BBEF256}"/>
    <cellStyle name="Note 2 4 8" xfId="3838" xr:uid="{94F5DE91-6B1E-48E5-86EA-449F2BBDFB50}"/>
    <cellStyle name="Note 2 4 9" xfId="4276" xr:uid="{CBF6F6E0-4725-46B3-9886-19C79FEA41A6}"/>
    <cellStyle name="Note 2 40" xfId="17967" xr:uid="{57D28392-B98A-4110-81D1-2E78D05B9C15}"/>
    <cellStyle name="Note 2 41" xfId="17158" xr:uid="{A76C8CB5-24B5-4C7C-96F3-9C3DBB24B9C4}"/>
    <cellStyle name="Note 2 42" xfId="19010" xr:uid="{CF386F75-7902-4E0C-8D86-6A140FACC676}"/>
    <cellStyle name="Note 2 43" xfId="18939" xr:uid="{10544CE5-2514-40BA-9733-552EE86460FF}"/>
    <cellStyle name="Note 2 44" xfId="19555" xr:uid="{03CDFB83-BC49-483E-B342-53CCB03E56EB}"/>
    <cellStyle name="Note 2 45" xfId="20361" xr:uid="{A930B0F0-146D-40B6-AAE3-DE31B8266480}"/>
    <cellStyle name="Note 2 46" xfId="20816" xr:uid="{9F533879-4E4B-4DA9-91D9-8AFC0DC1286F}"/>
    <cellStyle name="Note 2 47" xfId="20326" xr:uid="{EB4D1894-22A2-4185-9C94-1F533DB143FF}"/>
    <cellStyle name="Note 2 48" xfId="21747" xr:uid="{5EB5C76C-8E0B-4103-8565-4F8B365CFFC6}"/>
    <cellStyle name="Note 2 49" xfId="22186" xr:uid="{04AEB7B4-5533-499F-A141-504F6F59326F}"/>
    <cellStyle name="Note 2 5" xfId="684" xr:uid="{FF1F27D5-8570-4D2B-B55D-1AFE138DBB90}"/>
    <cellStyle name="Note 2 5 10" xfId="5332" xr:uid="{209A17F0-BDB3-49EF-9ABD-6A9F6BB6C799}"/>
    <cellStyle name="Note 2 5 11" xfId="5052" xr:uid="{CC567384-2FFF-43E6-8A8E-3FEA9083331A}"/>
    <cellStyle name="Note 2 5 12" xfId="4821" xr:uid="{1C6DB5D0-B25B-476F-BD79-945A5FE1C506}"/>
    <cellStyle name="Note 2 5 13" xfId="5938" xr:uid="{528A17EF-32A5-4352-B384-E8D34EFA677D}"/>
    <cellStyle name="Note 2 5 14" xfId="7404" xr:uid="{471970FD-AA49-4296-B581-D51CC8066905}"/>
    <cellStyle name="Note 2 5 15" xfId="8030" xr:uid="{9BAB29E0-4AA4-4A29-8E30-B02E248861A1}"/>
    <cellStyle name="Note 2 5 16" xfId="7621" xr:uid="{34CE6FCF-5742-402F-807D-A97925549E84}"/>
    <cellStyle name="Note 2 5 17" xfId="8589" xr:uid="{61664345-7E99-41E8-987F-5FCF332C59F5}"/>
    <cellStyle name="Note 2 5 18" xfId="9618" xr:uid="{A6CF51D9-262E-40BA-BFEC-429D3EDD5B50}"/>
    <cellStyle name="Note 2 5 19" xfId="10250" xr:uid="{AB6495C3-D3CA-4CA3-8E1D-AA70606ED7A2}"/>
    <cellStyle name="Note 2 5 2" xfId="1166" xr:uid="{32FAF65D-2BC3-4E0B-8B8E-158666D6E00B}"/>
    <cellStyle name="Note 2 5 20" xfId="10644" xr:uid="{4466D7E2-E6F1-4867-9DAA-123D273DF9D0}"/>
    <cellStyle name="Note 2 5 21" xfId="10999" xr:uid="{5887A36D-CD99-452A-AB09-E1E99711CCE4}"/>
    <cellStyle name="Note 2 5 22" xfId="11227" xr:uid="{9465DD33-2342-4D9E-ACA7-C2DBA61777F0}"/>
    <cellStyle name="Note 2 5 23" xfId="12037" xr:uid="{76471B3F-0BF4-4D10-857F-E262F908BF49}"/>
    <cellStyle name="Note 2 5 24" xfId="12510" xr:uid="{7CAB3FD5-325E-4DDF-96D7-6DE3CA17E617}"/>
    <cellStyle name="Note 2 5 25" xfId="12944" xr:uid="{DDE7E8CC-60FC-4E3B-8629-B5473146B4F8}"/>
    <cellStyle name="Note 2 5 26" xfId="13381" xr:uid="{FFF94268-8C25-47A3-911A-7B3EDA295AB9}"/>
    <cellStyle name="Note 2 5 27" xfId="11468" xr:uid="{9E48479E-6841-4ACC-A105-E8396ABA8A0F}"/>
    <cellStyle name="Note 2 5 28" xfId="11448" xr:uid="{5C046FAA-6686-42E1-923A-9935A349B736}"/>
    <cellStyle name="Note 2 5 29" xfId="14897" xr:uid="{F044E2B8-542C-4D43-B0BA-E05393E4F99E}"/>
    <cellStyle name="Note 2 5 3" xfId="1517" xr:uid="{4AEE26DD-7BB7-4A39-A084-2530AA0FA1AD}"/>
    <cellStyle name="Note 2 5 30" xfId="11553" xr:uid="{7D22C6F0-1D9A-40C7-BBAF-E86527C8165F}"/>
    <cellStyle name="Note 2 5 31" xfId="14761" xr:uid="{AFF68D1C-ED52-4A77-BD8A-70E34176A5D3}"/>
    <cellStyle name="Note 2 5 32" xfId="15988" xr:uid="{D13A056D-834D-41CE-824E-E61847668795}"/>
    <cellStyle name="Note 2 5 33" xfId="16729" xr:uid="{BCCEAB97-EAF2-4D00-8831-116C3428A20F}"/>
    <cellStyle name="Note 2 5 34" xfId="17371" xr:uid="{ED85812C-95F2-4526-9DE2-4C57D1B93FB9}"/>
    <cellStyle name="Note 2 5 35" xfId="17813" xr:uid="{270F2091-C529-4CC3-9E2A-60312B112431}"/>
    <cellStyle name="Note 2 5 36" xfId="18060" xr:uid="{933B60F6-E1DD-4E31-8F3A-F43B24D63523}"/>
    <cellStyle name="Note 2 5 37" xfId="18547" xr:uid="{2133F3FD-A46A-4742-888C-A29E90B06527}"/>
    <cellStyle name="Note 2 5 38" xfId="17727" xr:uid="{40B705AF-1DFF-409B-A2B9-68B46CA013F5}"/>
    <cellStyle name="Note 2 5 39" xfId="19339" xr:uid="{041C4A34-1B93-424B-AE2B-D64891805E87}"/>
    <cellStyle name="Note 2 5 4" xfId="2506" xr:uid="{ACCF46A0-EFFE-45E2-9E13-59A0F693609E}"/>
    <cellStyle name="Note 2 5 40" xfId="20066" xr:uid="{9D452103-46A9-4143-9237-FEA0FFA50FA8}"/>
    <cellStyle name="Note 2 5 41" xfId="20721" xr:uid="{04F5E217-0F3A-44DB-9B2B-E387852CB0EB}"/>
    <cellStyle name="Note 2 5 42" xfId="21179" xr:uid="{998C8B87-9A2A-4E8F-ABC2-D5CFC5BC6596}"/>
    <cellStyle name="Note 2 5 43" xfId="21591" xr:uid="{4B868F6F-8AA2-44F0-B29C-EBC26F9E790F}"/>
    <cellStyle name="Note 2 5 44" xfId="22110" xr:uid="{76B5043D-9BD9-4770-8355-6F8B64E4F15C}"/>
    <cellStyle name="Note 2 5 45" xfId="22538" xr:uid="{8804D2FC-8EDA-4F31-83CC-02ABCDB7B3D5}"/>
    <cellStyle name="Note 2 5 46" xfId="22364" xr:uid="{B9F0F692-F41E-443C-A6FD-4D163C06975B}"/>
    <cellStyle name="Note 2 5 47" xfId="22253" xr:uid="{30AFDFC8-55E1-4A0F-8FEA-E623FA06B6A8}"/>
    <cellStyle name="Note 2 5 48" xfId="23660" xr:uid="{275F412C-32B4-471B-89D6-D34EA24A0CA8}"/>
    <cellStyle name="Note 2 5 49" xfId="23874" xr:uid="{6D999280-0320-4AD9-B02A-523C6579C56F}"/>
    <cellStyle name="Note 2 5 5" xfId="2253" xr:uid="{257EEAFE-71F9-496F-BDFC-0460B7FFB263}"/>
    <cellStyle name="Note 2 5 50" xfId="24774" xr:uid="{4DAD3F7A-9372-4609-BC76-28409BBBDF29}"/>
    <cellStyle name="Note 2 5 51" xfId="25425" xr:uid="{F0DB1808-8B3D-4566-BF1D-9DCA631C3EF9}"/>
    <cellStyle name="Note 2 5 52" xfId="25692" xr:uid="{FD788385-7702-45F5-963A-386E79D3B505}"/>
    <cellStyle name="Note 2 5 53" xfId="25368" xr:uid="{5E316B1F-1960-48B3-9531-5D95BA584583}"/>
    <cellStyle name="Note 2 5 54" xfId="26444" xr:uid="{42E8693D-94A0-44EF-B5F6-ACDED177FEF3}"/>
    <cellStyle name="Note 2 5 55" xfId="26982" xr:uid="{83E60F42-AD57-420F-B1AA-1C2E0EF99E93}"/>
    <cellStyle name="Note 2 5 56" xfId="27401" xr:uid="{88D95964-C9BA-4ACD-99C9-BCEA2DC73DAA}"/>
    <cellStyle name="Note 2 5 57" xfId="27743" xr:uid="{7EDED7C3-0EB3-4315-8170-FB54FFBC2644}"/>
    <cellStyle name="Note 2 5 58" xfId="28524" xr:uid="{3ECCE59F-22FC-4084-A30D-31A1E194C80B}"/>
    <cellStyle name="Note 2 5 59" xfId="28992" xr:uid="{82474BAB-2C6C-4B38-977E-998119834064}"/>
    <cellStyle name="Note 2 5 6" xfId="3008" xr:uid="{0517CB3F-0810-40E7-A83C-5B3CDE601F2C}"/>
    <cellStyle name="Note 2 5 60" xfId="29538" xr:uid="{ABE164A4-98EE-45B0-A518-1A6089EEA55B}"/>
    <cellStyle name="Note 2 5 61" xfId="29782" xr:uid="{006D6369-6854-485D-89F8-1FE63D825B12}"/>
    <cellStyle name="Note 2 5 62" xfId="30189" xr:uid="{D01D141A-FB91-4CA2-8278-7F0E6E80F52F}"/>
    <cellStyle name="Note 2 5 63" xfId="30604" xr:uid="{AF608979-C064-458D-9FBB-199B26BA1808}"/>
    <cellStyle name="Note 2 5 64" xfId="29484" xr:uid="{9CA32D8F-EF5F-4BA7-8A93-4D54103078E4}"/>
    <cellStyle name="Note 2 5 65" xfId="31227" xr:uid="{1BD5ADD0-117F-47C0-B23E-D2E7D34399CC}"/>
    <cellStyle name="Note 2 5 7" xfId="4002" xr:uid="{5A2FD7AB-03EB-4F4C-BCF2-560103F566C4}"/>
    <cellStyle name="Note 2 5 8" xfId="4440" xr:uid="{8C63563E-3C30-4F77-9E2A-8441C8C08B8D}"/>
    <cellStyle name="Note 2 5 9" xfId="4783" xr:uid="{410B20B7-AEB4-4705-ADC7-4CA0A22FF2CC}"/>
    <cellStyle name="Note 2 50" xfId="22461" xr:uid="{1FFE1FD8-CC18-4D2C-9F23-74C4855554EE}"/>
    <cellStyle name="Note 2 51" xfId="23291" xr:uid="{F4509F1B-73DD-40B6-AFDC-29CCA86092DC}"/>
    <cellStyle name="Note 2 52" xfId="23127" xr:uid="{B31E7550-99EF-4660-AA30-BB8D2DB87B2A}"/>
    <cellStyle name="Note 2 53" xfId="20366" xr:uid="{6DCBC012-2C6C-4A07-ACDA-69E729E8C6B9}"/>
    <cellStyle name="Note 2 54" xfId="24276" xr:uid="{CCCE92EA-38C3-4E44-835A-452CF4241325}"/>
    <cellStyle name="Note 2 55" xfId="25077" xr:uid="{F6FF9BB4-6D1C-41D9-9731-1FBE62F0B9BD}"/>
    <cellStyle name="Note 2 56" xfId="25223" xr:uid="{C445F00D-5537-47D7-B6DA-65AFF3986910}"/>
    <cellStyle name="Note 2 57" xfId="25330" xr:uid="{F18D4404-7E58-48B9-89F9-B3E70FB02E2F}"/>
    <cellStyle name="Note 2 58" xfId="26142" xr:uid="{8F26FEA7-6C69-43D0-BD69-013D7E77738A}"/>
    <cellStyle name="Note 2 59" xfId="24362" xr:uid="{9773D261-EF28-4200-93DD-6C71C2945245}"/>
    <cellStyle name="Note 2 6" xfId="927" xr:uid="{21A8219B-6727-4E2E-A577-C023DADCC5C1}"/>
    <cellStyle name="Note 2 60" xfId="26772" xr:uid="{DB102AC4-39A7-4B58-BAA1-A0483D553685}"/>
    <cellStyle name="Note 2 61" xfId="26785" xr:uid="{0E439440-7141-4254-8383-7B4B383B7C11}"/>
    <cellStyle name="Note 2 62" xfId="28056" xr:uid="{A18894C6-86E1-4EAB-8778-E212D7311E16}"/>
    <cellStyle name="Note 2 63" xfId="28046" xr:uid="{DEBDE385-0129-4325-AEEC-1325A828D231}"/>
    <cellStyle name="Note 2 64" xfId="29230" xr:uid="{EB3CFD33-E406-47F8-B477-01038D934F22}"/>
    <cellStyle name="Note 2 65" xfId="29398" xr:uid="{59C1EBB6-FDF7-4158-BF74-68E2AD73C602}"/>
    <cellStyle name="Note 2 66" xfId="29333" xr:uid="{EEB30B3F-E785-4844-A96D-2041EB17B0CF}"/>
    <cellStyle name="Note 2 67" xfId="29485" xr:uid="{A1E9D6C5-AEAD-43F8-AD5F-5A0F1ED9A57A}"/>
    <cellStyle name="Note 2 68" xfId="30817" xr:uid="{D3B7B67D-ECAF-4FAA-A3FB-C455B1BCDA13}"/>
    <cellStyle name="Note 2 69" xfId="29204" xr:uid="{DA0921E0-B86C-47ED-860A-50C887312E78}"/>
    <cellStyle name="Note 2 7" xfId="1594" xr:uid="{C54A4358-0B54-4CF4-A4D8-F04A758AD3EB}"/>
    <cellStyle name="Note 2 8" xfId="1998" xr:uid="{0A9EE395-AAC7-4297-AE60-5F5AD96A6520}"/>
    <cellStyle name="Note 2 9" xfId="2718" xr:uid="{5A4EB8D6-194E-4781-9B9E-49252A520929}"/>
    <cellStyle name="Note 3" xfId="236" xr:uid="{18B663CF-669F-4600-9B01-CD7D57EDF23B}"/>
    <cellStyle name="Note 3 10" xfId="3741" xr:uid="{9C037425-E128-4383-B35A-D3607930D91C}"/>
    <cellStyle name="Note 3 11" xfId="2810" xr:uid="{BBE71932-E5DC-4A68-B3C7-95EF2938FFB7}"/>
    <cellStyle name="Note 3 12" xfId="2871" xr:uid="{AE4F781B-91E2-4289-8C11-01AEEC205FBC}"/>
    <cellStyle name="Note 3 13" xfId="4449" xr:uid="{6DDE4632-47EA-4F1A-8463-769AB749686C}"/>
    <cellStyle name="Note 3 14" xfId="3440" xr:uid="{B197FED4-0ED8-4F6F-9037-30372FA3DD01}"/>
    <cellStyle name="Note 3 15" xfId="3151" xr:uid="{85DCB746-EBB1-440B-ABEF-85CAD1323A24}"/>
    <cellStyle name="Note 3 16" xfId="6072" xr:uid="{89BB1D2A-D0D6-4961-8396-A33F0E8FC653}"/>
    <cellStyle name="Note 3 17" xfId="6696" xr:uid="{10B64804-A622-4D1C-9FA9-0CDC8A9DC706}"/>
    <cellStyle name="Note 3 18" xfId="6967" xr:uid="{8908D213-B6CB-4D2C-8DE2-1BBC60B2CF43}"/>
    <cellStyle name="Note 3 19" xfId="7620" xr:uid="{559C2FBF-2DA2-4F27-A608-2DD7CCCCEB68}"/>
    <cellStyle name="Note 3 2" xfId="589" xr:uid="{A86B2AD8-B724-4B33-A639-DA65B84AE840}"/>
    <cellStyle name="Note 3 2 10" xfId="4870" xr:uid="{35A7BB59-04E2-480E-9EC0-139C47553253}"/>
    <cellStyle name="Note 3 2 11" xfId="5237" xr:uid="{0F0A738E-481D-4B06-8D81-94FDA30DF5BA}"/>
    <cellStyle name="Note 3 2 12" xfId="5644" xr:uid="{38DAB877-F4F6-43DB-8D81-2EC84636A114}"/>
    <cellStyle name="Note 3 2 13" xfId="5125" xr:uid="{C6135428-AAC3-46B2-95A6-334B04BC2C41}"/>
    <cellStyle name="Note 3 2 14" xfId="4828" xr:uid="{CDDD6C03-08E0-415F-99BB-B20955174F76}"/>
    <cellStyle name="Note 3 2 15" xfId="7309" xr:uid="{482FFACD-A6FE-4A0E-8C51-CEE0F6ABA5DB}"/>
    <cellStyle name="Note 3 2 16" xfId="7871" xr:uid="{B9DC268C-367B-4795-A87F-FA7C097CD6AB}"/>
    <cellStyle name="Note 3 2 17" xfId="7654" xr:uid="{CDD23DC7-ECE7-4D73-9591-D0E319ED843C}"/>
    <cellStyle name="Note 3 2 18" xfId="8895" xr:uid="{EE1B8EEA-B1BB-449E-BED7-08CF7FF54806}"/>
    <cellStyle name="Note 3 2 19" xfId="9523" xr:uid="{D7CAA4C1-C44F-40A4-A5A5-7089F456DB21}"/>
    <cellStyle name="Note 3 2 2" xfId="804" xr:uid="{0C9E377C-AEDB-48C2-9B5B-966D39D5FB50}"/>
    <cellStyle name="Note 3 2 2 10" xfId="5452" xr:uid="{FF47D0A4-BA7E-4A5C-BB84-F91888A46D0C}"/>
    <cellStyle name="Note 3 2 2 11" xfId="2740" xr:uid="{B38FC69C-43A5-46CA-A750-A253096F4DE8}"/>
    <cellStyle name="Note 3 2 2 12" xfId="3347" xr:uid="{556BD02F-2FF9-4FB4-A947-7FFB10785085}"/>
    <cellStyle name="Note 3 2 2 13" xfId="5652" xr:uid="{FEE966A1-5426-45BA-9618-617222A26217}"/>
    <cellStyle name="Note 3 2 2 14" xfId="7524" xr:uid="{4A9447B2-8314-4511-901F-3E661D2748BF}"/>
    <cellStyle name="Note 3 2 2 15" xfId="6772" xr:uid="{1361DBC1-1379-4BAA-8844-B17FD60A6AC2}"/>
    <cellStyle name="Note 3 2 2 16" xfId="8180" xr:uid="{C73F8081-CB40-4DF1-A1E1-729F71EE73E9}"/>
    <cellStyle name="Note 3 2 2 17" xfId="8316" xr:uid="{DE7D9112-59B0-4269-99C5-2B146FF0F123}"/>
    <cellStyle name="Note 3 2 2 18" xfId="9738" xr:uid="{8C495411-138A-4F28-BA68-AB4AE1E42BCC}"/>
    <cellStyle name="Note 3 2 2 19" xfId="8984" xr:uid="{550C5FA9-244A-4AA8-93D6-023481544E85}"/>
    <cellStyle name="Note 3 2 2 2" xfId="1278" xr:uid="{7F4E22FE-36E9-4934-B5CD-238BFB01E803}"/>
    <cellStyle name="Note 3 2 2 20" xfId="9348" xr:uid="{DCD76E82-5CC4-4F7A-8318-4C0FF7223A4F}"/>
    <cellStyle name="Note 3 2 2 21" xfId="9084" xr:uid="{C2864D5F-754A-4C65-A063-6F50D5B20D46}"/>
    <cellStyle name="Note 3 2 2 22" xfId="10225" xr:uid="{F199A29E-F67A-4685-9B76-08502DA85CC3}"/>
    <cellStyle name="Note 3 2 2 23" xfId="12157" xr:uid="{96FD0697-0030-4FC1-9371-4CF9BB083093}"/>
    <cellStyle name="Note 3 2 2 24" xfId="12630" xr:uid="{BA5795CC-24F4-4432-876F-EB114AF6F808}"/>
    <cellStyle name="Note 3 2 2 25" xfId="13064" xr:uid="{4E15F760-7421-42A5-A02D-DED2207591DA}"/>
    <cellStyle name="Note 3 2 2 26" xfId="13501" xr:uid="{E16F3674-BB71-40AA-AE70-CA171273CF5E}"/>
    <cellStyle name="Note 3 2 2 27" xfId="11378" xr:uid="{4D18FC98-762F-41F6-8941-465795AC1735}"/>
    <cellStyle name="Note 3 2 2 28" xfId="11663" xr:uid="{AC2BE4D6-1C69-45DA-9256-F43A87E3CAC6}"/>
    <cellStyle name="Note 3 2 2 29" xfId="11660" xr:uid="{B9FA5C90-DB39-4BAE-90AB-6E9AE34EF0B1}"/>
    <cellStyle name="Note 3 2 2 3" xfId="1697" xr:uid="{03F4112F-AD3D-4C49-B0E5-B7648308FCAC}"/>
    <cellStyle name="Note 3 2 2 30" xfId="11357" xr:uid="{A2D19F19-470D-482A-B475-51E5211F77D3}"/>
    <cellStyle name="Note 3 2 2 31" xfId="14364" xr:uid="{1906437A-603D-4E8A-99A8-14B5861685EA}"/>
    <cellStyle name="Note 3 2 2 32" xfId="14227" xr:uid="{6A73CDC3-CA80-4577-BB0E-268D85AD9E0F}"/>
    <cellStyle name="Note 3 2 2 33" xfId="16849" xr:uid="{F1DC12C6-8E2B-4FD4-8EF6-9449ACDCFA78}"/>
    <cellStyle name="Note 3 2 2 34" xfId="16081" xr:uid="{0B5E78AC-37EB-431B-909A-657EE0C7DAEA}"/>
    <cellStyle name="Note 3 2 2 35" xfId="16457" xr:uid="{DFD19DDF-F5EB-4665-9065-9DCA8BA04D6C}"/>
    <cellStyle name="Note 3 2 2 36" xfId="16551" xr:uid="{BF28C863-9A8B-46AC-AEF5-ECB9B5771D06}"/>
    <cellStyle name="Note 3 2 2 37" xfId="18667" xr:uid="{692B3655-BB8B-4195-9450-B8F4537E9068}"/>
    <cellStyle name="Note 3 2 2 38" xfId="17522" xr:uid="{5FB085FF-3469-417F-B243-4697741891CC}"/>
    <cellStyle name="Note 3 2 2 39" xfId="16950" xr:uid="{FAB6EB3A-8FB4-4AD5-908F-04BFD1C735D6}"/>
    <cellStyle name="Note 3 2 2 4" xfId="2626" xr:uid="{EDD3F3BB-BF97-4DB3-9A4A-673AF5583E45}"/>
    <cellStyle name="Note 3 2 2 40" xfId="20186" xr:uid="{7F874EBA-B0A4-4327-B0AD-8B66C394E1EF}"/>
    <cellStyle name="Note 3 2 2 41" xfId="19414" xr:uid="{9EDD0739-8B24-4338-91AB-E2413C0C3E87}"/>
    <cellStyle name="Note 3 2 2 42" xfId="20350" xr:uid="{CC11E3C3-5EDB-4858-A51E-4404BA7D8567}"/>
    <cellStyle name="Note 3 2 2 43" xfId="19888" xr:uid="{2C21DDA9-BCC6-47FA-AFED-51464B0CBAA0}"/>
    <cellStyle name="Note 3 2 2 44" xfId="20544" xr:uid="{C9B91AE6-D062-4436-B891-C54D9078BAC6}"/>
    <cellStyle name="Note 3 2 2 45" xfId="20580" xr:uid="{B2B798B4-784A-412F-871E-50343002DAB1}"/>
    <cellStyle name="Note 3 2 2 46" xfId="20294" xr:uid="{2CC70719-11DD-47A5-A977-174625D95A59}"/>
    <cellStyle name="Note 3 2 2 47" xfId="22167" xr:uid="{D2A7141A-DFC8-48CE-8579-4296D794A813}"/>
    <cellStyle name="Note 3 2 2 48" xfId="22782" xr:uid="{327F8351-EC9B-4F58-9736-5C3B826892F5}"/>
    <cellStyle name="Note 3 2 2 49" xfId="23986" xr:uid="{F6EFA5A8-A8E3-4FBE-A9A0-F096EB182CCC}"/>
    <cellStyle name="Note 3 2 2 5" xfId="2060" xr:uid="{384902CA-AFC8-46A8-91C4-77AAB92878F6}"/>
    <cellStyle name="Note 3 2 2 50" xfId="24894" xr:uid="{69F4FA9D-E5EE-4BB4-A8B8-5A9461707C1F}"/>
    <cellStyle name="Note 3 2 2 51" xfId="24138" xr:uid="{46DA3704-5FFE-4462-9CBA-C1D7623EFA9C}"/>
    <cellStyle name="Note 3 2 2 52" xfId="25810" xr:uid="{567BA968-DF8E-4992-8022-091A62D976F3}"/>
    <cellStyle name="Note 3 2 2 53" xfId="24126" xr:uid="{46AC0812-E918-4D60-A47A-B0A2C027A513}"/>
    <cellStyle name="Note 3 2 2 54" xfId="26340" xr:uid="{B91B85FF-1C28-4171-AC96-14D53A656E84}"/>
    <cellStyle name="Note 3 2 2 55" xfId="27098" xr:uid="{1C1F6126-D8B7-4406-A7EC-FADD47B8E797}"/>
    <cellStyle name="Note 3 2 2 56" xfId="27517" xr:uid="{E4F8F219-6BA2-4073-9C28-AD442890FA14}"/>
    <cellStyle name="Note 3 2 2 57" xfId="27649" xr:uid="{B5D9BCF4-52F3-4F55-ACB3-491355122DE0}"/>
    <cellStyle name="Note 3 2 2 58" xfId="28644" xr:uid="{72D51EBB-ADC8-4828-81E6-A7CA7B57F27F}"/>
    <cellStyle name="Note 3 2 2 59" xfId="29111" xr:uid="{AB12AC0A-94DC-47A6-BCFC-5888EBF81284}"/>
    <cellStyle name="Note 3 2 2 6" xfId="2104" xr:uid="{29ECBCE7-9E10-4ED6-832B-894C3426EF02}"/>
    <cellStyle name="Note 3 2 2 60" xfId="27920" xr:uid="{B6BB410C-6212-4711-8D68-FB4B45037590}"/>
    <cellStyle name="Note 3 2 2 61" xfId="29900" xr:uid="{D392A540-2AB1-41EF-B737-308683585F63}"/>
    <cellStyle name="Note 3 2 2 62" xfId="30306" xr:uid="{FF382FC0-7B80-4990-B61E-74DF3BA9BD0B}"/>
    <cellStyle name="Note 3 2 2 63" xfId="30723" xr:uid="{242FA59E-35F2-4F56-9164-5DEC34D5383D}"/>
    <cellStyle name="Note 3 2 2 64" xfId="30411" xr:uid="{E0222EE8-80E7-42F1-947C-81B9C8317959}"/>
    <cellStyle name="Note 3 2 2 65" xfId="31339" xr:uid="{AABBB503-05FB-4873-89A8-89D5CF070F80}"/>
    <cellStyle name="Note 3 2 2 7" xfId="4122" xr:uid="{587AA71E-A441-4225-9AB5-DB46027FE9FC}"/>
    <cellStyle name="Note 3 2 2 8" xfId="4559" xr:uid="{C3F8A41B-E07C-44A6-96A3-47ABEC0672A9}"/>
    <cellStyle name="Note 3 2 2 9" xfId="3355" xr:uid="{C432007C-CAE5-421C-A65B-1A9ECD6BB6F1}"/>
    <cellStyle name="Note 3 2 20" xfId="10085" xr:uid="{2DBEEA12-A151-4183-94D0-A01078AEF2A8}"/>
    <cellStyle name="Note 3 2 21" xfId="10500" xr:uid="{14792ECC-975A-43BE-8543-902582642769}"/>
    <cellStyle name="Note 3 2 22" xfId="10870" xr:uid="{CA315A71-3730-4B7B-B53F-42003460EEEA}"/>
    <cellStyle name="Note 3 2 23" xfId="9892" xr:uid="{9D0357AB-F88F-4D6A-9718-D875AB3EE057}"/>
    <cellStyle name="Note 3 2 24" xfId="11942" xr:uid="{446FB554-4581-407D-9498-C593C066EC00}"/>
    <cellStyle name="Note 3 2 25" xfId="12415" xr:uid="{5210A17F-60F9-46E3-86B6-77A96B1C51C6}"/>
    <cellStyle name="Note 3 2 26" xfId="12849" xr:uid="{D192D9EB-55D5-444D-8083-2F2D458C80CD}"/>
    <cellStyle name="Note 3 2 27" xfId="13286" xr:uid="{275B1379-E102-4E38-98B5-BD4566F747AF}"/>
    <cellStyle name="Note 3 2 28" xfId="13683" xr:uid="{97A166A2-CD3E-4634-B8DE-228758F5F43C}"/>
    <cellStyle name="Note 3 2 29" xfId="14367" xr:uid="{83C53B64-828C-4219-8D93-105F0A097D98}"/>
    <cellStyle name="Note 3 2 3" xfId="1072" xr:uid="{C54F5F2B-3C04-4A92-BEB1-84906E18CB65}"/>
    <cellStyle name="Note 3 2 30" xfId="14615" xr:uid="{9BB2AF50-4C47-4AC7-A0B8-5E5B75A08C11}"/>
    <cellStyle name="Note 3 2 31" xfId="15292" xr:uid="{9CA91956-48FE-4306-8577-2C2B104FE8E1}"/>
    <cellStyle name="Note 3 2 32" xfId="15304" xr:uid="{48F9D11A-8696-40E2-BE0F-322CB9B371F6}"/>
    <cellStyle name="Note 3 2 33" xfId="15900" xr:uid="{8E55EFF2-4422-41E8-8A21-76E18021BD0C}"/>
    <cellStyle name="Note 3 2 34" xfId="16634" xr:uid="{ED010F0B-2C87-4476-8CD7-3994861C610D}"/>
    <cellStyle name="Note 3 2 35" xfId="17203" xr:uid="{4C3A09F7-D89C-452D-8AA8-49E44AB99986}"/>
    <cellStyle name="Note 3 2 36" xfId="17649" xr:uid="{4551FB7A-61EF-46E7-BE3C-C6AE654A7D2B}"/>
    <cellStyle name="Note 3 2 37" xfId="16164" xr:uid="{269EB182-6709-44B3-BFEB-357240A8DB09}"/>
    <cellStyle name="Note 3 2 38" xfId="18452" xr:uid="{F055F8BE-6CFD-4B15-969E-D0BAEA211377}"/>
    <cellStyle name="Note 3 2 39" xfId="17345" xr:uid="{8F0F57DA-13B9-4C42-8DD1-FD2D789F662D}"/>
    <cellStyle name="Note 3 2 4" xfId="1712" xr:uid="{FB38CCF1-1C34-4E5B-8764-2F555D33BEC3}"/>
    <cellStyle name="Note 3 2 40" xfId="19310" xr:uid="{F1E6AE58-CE8C-487F-B8B1-0B6BCD5AB2E8}"/>
    <cellStyle name="Note 3 2 41" xfId="19971" xr:uid="{CE6B291B-4356-4180-A33E-3AF2BF822BBF}"/>
    <cellStyle name="Note 3 2 42" xfId="20556" xr:uid="{FC39F197-6660-47D8-BCCA-0AF9A3D7F90D}"/>
    <cellStyle name="Note 3 2 43" xfId="21009" xr:uid="{551AE91D-FD87-4F0E-BACA-13463899A49D}"/>
    <cellStyle name="Note 3 2 44" xfId="21300" xr:uid="{2E0D7BB7-424B-41C4-8F2C-A79B54E9E76F}"/>
    <cellStyle name="Note 3 2 45" xfId="21940" xr:uid="{AEBD8616-D9F0-4D66-BC6D-678C0B6B7FCC}"/>
    <cellStyle name="Note 3 2 46" xfId="22372" xr:uid="{8F1E19BE-4B44-417B-8EE0-2D49658505B6}"/>
    <cellStyle name="Note 3 2 47" xfId="22682" xr:uid="{6F6D9584-C53C-4E60-9ECB-7C1FD1A63BCD}"/>
    <cellStyle name="Note 3 2 48" xfId="22318" xr:uid="{6174978E-64BA-4CAB-A901-52DDB5F24369}"/>
    <cellStyle name="Note 3 2 49" xfId="23620" xr:uid="{84299F41-A67B-4082-A72C-8BED35714D1F}"/>
    <cellStyle name="Note 3 2 5" xfId="2411" xr:uid="{36EC7712-6B00-4B20-8ECA-DB82610C5E14}"/>
    <cellStyle name="Note 3 2 50" xfId="23780" xr:uid="{C6646688-BC1E-4E39-A7EB-D14D28A4D35B}"/>
    <cellStyle name="Note 3 2 51" xfId="24679" xr:uid="{6032833E-D631-4C72-8C23-5A9C11680AA1}"/>
    <cellStyle name="Note 3 2 52" xfId="25264" xr:uid="{FD1A2245-F517-496C-8C46-FD5C8048BCBE}"/>
    <cellStyle name="Note 3 2 53" xfId="25597" xr:uid="{F29E3565-433A-4462-8E6D-16A23E2567BB}"/>
    <cellStyle name="Note 3 2 54" xfId="25986" xr:uid="{7F64022E-3E20-4C0A-8485-98A6B34821D7}"/>
    <cellStyle name="Note 3 2 55" xfId="26029" xr:uid="{FDD18A08-23D6-457B-A323-15D2B340AA8F}"/>
    <cellStyle name="Note 3 2 56" xfId="26887" xr:uid="{FAB0C112-78E5-4237-A565-D2114E4C7C90}"/>
    <cellStyle name="Note 3 2 57" xfId="27306" xr:uid="{231AF61E-1708-4C98-AA65-D27CEED912EE}"/>
    <cellStyle name="Note 3 2 58" xfId="27681" xr:uid="{D8C748FB-A9E9-4AC3-B2C1-E46867CEB6DD}"/>
    <cellStyle name="Note 3 2 59" xfId="28429" xr:uid="{8B179F49-183C-4FCF-B4F5-E9A98F72BCFB}"/>
    <cellStyle name="Note 3 2 6" xfId="2848" xr:uid="{A4091C4F-15F3-4F69-AF13-5F3E8D23C96A}"/>
    <cellStyle name="Note 3 2 60" xfId="28897" xr:uid="{699509B9-E590-4BC0-927C-96305158F021}"/>
    <cellStyle name="Note 3 2 61" xfId="29395" xr:uid="{09DA5CB1-FF44-4AF4-A902-7C8D4B0044A6}"/>
    <cellStyle name="Note 3 2 62" xfId="29687" xr:uid="{EB734A9B-275A-4465-A117-307D0149F6E0}"/>
    <cellStyle name="Note 3 2 63" xfId="30095" xr:uid="{D2BB6D97-CC1C-442C-87C6-02A8F0F04384}"/>
    <cellStyle name="Note 3 2 64" xfId="30509" xr:uid="{EBC468D4-D0F6-4269-9993-580C8DBEBAEE}"/>
    <cellStyle name="Note 3 2 65" xfId="30943" xr:uid="{DA1A3582-483E-4C5D-BAB6-9FF4575BB5FC}"/>
    <cellStyle name="Note 3 2 66" xfId="31133" xr:uid="{1C3F68FD-9FA4-466F-B8D7-2DC23D532550}"/>
    <cellStyle name="Note 3 2 7" xfId="3490" xr:uid="{95F9DAD1-677B-4170-9934-CD91B96A5DD6}"/>
    <cellStyle name="Note 3 2 8" xfId="3907" xr:uid="{13CC6127-C4F4-469A-B782-E626F5A9A157}"/>
    <cellStyle name="Note 3 2 9" xfId="4345" xr:uid="{350810A8-67C3-47A9-9963-22ED74FBEAED}"/>
    <cellStyle name="Note 3 20" xfId="8640" xr:uid="{A2F77650-4CB0-4A25-9904-CF1284A37A9D}"/>
    <cellStyle name="Note 3 21" xfId="8613" xr:uid="{9657CEC4-1237-467E-8FBE-053F92B6D667}"/>
    <cellStyle name="Note 3 22" xfId="9180" xr:uid="{8B88016B-0096-429A-B724-D4628DB320A6}"/>
    <cellStyle name="Note 3 23" xfId="9833" xr:uid="{E719ABF4-6D3D-47BF-8A8C-3932B0AF1268}"/>
    <cellStyle name="Note 3 24" xfId="9368" xr:uid="{5ECD60B9-7FA5-420D-ADC0-5C2EAE2C1CE5}"/>
    <cellStyle name="Note 3 25" xfId="10864" xr:uid="{8A147909-1079-452C-BBFB-96317C0B97FA}"/>
    <cellStyle name="Note 3 26" xfId="11313" xr:uid="{EDF9C352-01A3-41EF-9929-703A0FB17A48}"/>
    <cellStyle name="Note 3 27" xfId="11592" xr:uid="{BA4DE81E-9DB2-404A-AD02-0B7F9F0772D2}"/>
    <cellStyle name="Note 3 28" xfId="11360" xr:uid="{762BBD05-360F-4BBA-A5A0-D93D914FFF4D}"/>
    <cellStyle name="Note 3 29" xfId="11655" xr:uid="{02E21739-B312-44F3-92CE-329FFAEFE7B4}"/>
    <cellStyle name="Note 3 3" xfId="555" xr:uid="{4DD4BF44-E696-4DD8-ACC2-C47D84B9AE0D}"/>
    <cellStyle name="Note 3 3 10" xfId="4225" xr:uid="{CF6AAFA0-89BC-4814-9110-6DC571293414}"/>
    <cellStyle name="Note 3 3 11" xfId="5203" xr:uid="{2C7154CE-A5E6-4541-9409-009638FFA6C9}"/>
    <cellStyle name="Note 3 3 12" xfId="5862" xr:uid="{6920EF0E-8116-45F0-9470-0F110092B18B}"/>
    <cellStyle name="Note 3 3 13" xfId="6138" xr:uid="{D71C5F99-059B-454B-86E1-FF441AF80B91}"/>
    <cellStyle name="Note 3 3 14" xfId="6367" xr:uid="{EF7B587E-00BC-467F-9782-243871DF9E71}"/>
    <cellStyle name="Note 3 3 15" xfId="7275" xr:uid="{93F10208-76BF-4151-9BB2-8C3B5446EDA1}"/>
    <cellStyle name="Note 3 3 16" xfId="7932" xr:uid="{7E973218-68BF-48B0-9583-783733B14A56}"/>
    <cellStyle name="Note 3 3 17" xfId="8578" xr:uid="{265C62F2-F222-46C0-A03F-8FF929459E1E}"/>
    <cellStyle name="Note 3 3 18" xfId="8309" xr:uid="{6580C229-7F70-4F6A-A6D9-11F617A71F69}"/>
    <cellStyle name="Note 3 3 19" xfId="9489" xr:uid="{EC16616C-EACF-4D2D-80B5-7C55098AEE5B}"/>
    <cellStyle name="Note 3 3 2" xfId="770" xr:uid="{C5014E7E-CF5B-47C3-AF9D-084A0BD6FC20}"/>
    <cellStyle name="Note 3 3 2 10" xfId="5418" xr:uid="{5BF6D970-0858-4596-BCDA-8B2B122D1520}"/>
    <cellStyle name="Note 3 3 2 11" xfId="4651" xr:uid="{D0C701A4-9088-4B5E-96CF-E0F3963CD62F}"/>
    <cellStyle name="Note 3 3 2 12" xfId="2968" xr:uid="{F25A5A10-0347-4E3E-AE6B-A6C212E4149A}"/>
    <cellStyle name="Note 3 3 2 13" xfId="6178" xr:uid="{93C6B687-528A-42BF-B487-989A069BFF3B}"/>
    <cellStyle name="Note 3 3 2 14" xfId="7490" xr:uid="{DEFB21CD-1923-4D65-884D-FB2CDA19F6F2}"/>
    <cellStyle name="Note 3 3 2 15" xfId="7195" xr:uid="{D068EFE0-933F-4A32-8849-5E635EEF2095}"/>
    <cellStyle name="Note 3 3 2 16" xfId="8399" xr:uid="{07D19F0E-69FB-4B60-A351-97BAAE2FA05C}"/>
    <cellStyle name="Note 3 3 2 17" xfId="7413" xr:uid="{B344AFC7-518C-4215-BBFB-D5EBF1A3618F}"/>
    <cellStyle name="Note 3 3 2 18" xfId="9704" xr:uid="{D5DA0B16-047B-47E6-AB86-224989C42194}"/>
    <cellStyle name="Note 3 3 2 19" xfId="9408" xr:uid="{824223DC-7FDF-44F8-AC64-8AA3369B64E7}"/>
    <cellStyle name="Note 3 3 2 2" xfId="1244" xr:uid="{E67300C5-ECEA-4D0D-AD45-726AABA5B1E8}"/>
    <cellStyle name="Note 3 3 2 20" xfId="9137" xr:uid="{C8165EEB-6574-4537-9DDC-D434250D6E5C}"/>
    <cellStyle name="Note 3 3 2 21" xfId="9139" xr:uid="{FBBD54EE-BA4E-47A8-A8CC-1B38B16523C0}"/>
    <cellStyle name="Note 3 3 2 22" xfId="11066" xr:uid="{1EEB64C8-82E9-47BA-9C06-9D3A59F34FD8}"/>
    <cellStyle name="Note 3 3 2 23" xfId="12123" xr:uid="{2F4DBEA1-6EEB-4932-A725-9CFD46B91479}"/>
    <cellStyle name="Note 3 3 2 24" xfId="12596" xr:uid="{38864038-18E6-4D1E-AB58-D39771DC3094}"/>
    <cellStyle name="Note 3 3 2 25" xfId="13030" xr:uid="{2ABAED5E-F59E-4D98-A979-5C32156E2EC8}"/>
    <cellStyle name="Note 3 3 2 26" xfId="13467" xr:uid="{D48066C4-5E95-4942-913E-EDFF632F314D}"/>
    <cellStyle name="Note 3 3 2 27" xfId="11803" xr:uid="{BB371D3C-6C87-4C5C-94A4-EAE57C174DDE}"/>
    <cellStyle name="Note 3 3 2 28" xfId="12247" xr:uid="{5506C861-D979-4885-98DE-BD9FDB979A09}"/>
    <cellStyle name="Note 3 3 2 29" xfId="14215" xr:uid="{3E829F81-F864-4B9A-BD05-A42B1647C44F}"/>
    <cellStyle name="Note 3 3 2 3" xfId="1431" xr:uid="{BCF77101-A046-4AD1-B210-6A4788B5E35D}"/>
    <cellStyle name="Note 3 3 2 30" xfId="15276" xr:uid="{5659B8DA-130F-4164-A096-B3CFC79BCBD9}"/>
    <cellStyle name="Note 3 3 2 31" xfId="13700" xr:uid="{AC7CC832-F859-4910-B8E6-6B3B4F1CFE09}"/>
    <cellStyle name="Note 3 3 2 32" xfId="14916" xr:uid="{FF93B34E-0C8B-4CA2-8ADC-C5753A4F6BDD}"/>
    <cellStyle name="Note 3 3 2 33" xfId="16815" xr:uid="{16DF0283-C822-4AA0-9BBB-FB9F4BF718AC}"/>
    <cellStyle name="Note 3 3 2 34" xfId="16517" xr:uid="{D959B0D8-B0D6-40F7-8A42-41B8DBA2F259}"/>
    <cellStyle name="Note 3 3 2 35" xfId="16241" xr:uid="{453E07F6-BC04-472F-AB23-CFE5C7CE1FAA}"/>
    <cellStyle name="Note 3 3 2 36" xfId="17887" xr:uid="{FD0BF369-E08B-4A80-90FA-A6CFAB7EB01E}"/>
    <cellStyle name="Note 3 3 2 37" xfId="18633" xr:uid="{F4C25C3C-44A4-4758-AAC5-4919EA8395BD}"/>
    <cellStyle name="Note 3 3 2 38" xfId="18039" xr:uid="{32564A33-FE04-4546-BA70-DB02B1282657}"/>
    <cellStyle name="Note 3 3 2 39" xfId="16217" xr:uid="{23256CAD-3A6F-4A82-852A-FD2A17DDC113}"/>
    <cellStyle name="Note 3 3 2 4" xfId="2592" xr:uid="{55AB61FD-1D07-4B3B-A2C4-E74EF945A5E1}"/>
    <cellStyle name="Note 3 3 2 40" xfId="20152" xr:uid="{EC14075E-1598-49FC-9EF5-5F94E03FCA0D}"/>
    <cellStyle name="Note 3 3 2 41" xfId="19853" xr:uid="{0F120831-F106-4388-A60C-058297135AC3}"/>
    <cellStyle name="Note 3 3 2 42" xfId="20302" xr:uid="{95BE38B4-727D-443B-B749-40DA821C9787}"/>
    <cellStyle name="Note 3 3 2 43" xfId="21524" xr:uid="{0A7A565F-FB2F-49B4-845D-7CB1240F365B}"/>
    <cellStyle name="Note 3 3 2 44" xfId="19542" xr:uid="{A934F192-8C8A-47C4-81A9-89D2CCCE17BE}"/>
    <cellStyle name="Note 3 3 2 45" xfId="21488" xr:uid="{35F06E0E-D81E-4338-B399-23AFF53B1DBB}"/>
    <cellStyle name="Note 3 3 2 46" xfId="22184" xr:uid="{FE3905E4-33F5-43A4-BC61-DEEAC1ED2793}"/>
    <cellStyle name="Note 3 3 2 47" xfId="22337" xr:uid="{BB5CCD62-F1AF-4241-9B3A-F49DCE200212}"/>
    <cellStyle name="Note 3 3 2 48" xfId="22780" xr:uid="{1111798C-29FC-46EB-B4B3-EA75CF11E524}"/>
    <cellStyle name="Note 3 3 2 49" xfId="23952" xr:uid="{0E4F32E8-E56C-444F-A730-E0C92CF2BF59}"/>
    <cellStyle name="Note 3 3 2 5" xfId="2328" xr:uid="{8C3C0F55-1100-4C1A-915A-200069069FB4}"/>
    <cellStyle name="Note 3 3 2 50" xfId="24860" xr:uid="{D5C1E5AB-59AA-4B3E-8FAC-4FDCDBA44200}"/>
    <cellStyle name="Note 3 3 2 51" xfId="24395" xr:uid="{08538442-01DF-445C-AC40-4021A7CA72C0}"/>
    <cellStyle name="Note 3 3 2 52" xfId="25776" xr:uid="{3DB56803-A6A9-4EED-931B-68B753D0585B}"/>
    <cellStyle name="Note 3 3 2 53" xfId="24269" xr:uid="{221BC2AF-D5A4-44F6-9250-661F0FDBF67F}"/>
    <cellStyle name="Note 3 3 2 54" xfId="26684" xr:uid="{EFD90596-D081-4839-9685-20A21D7CF871}"/>
    <cellStyle name="Note 3 3 2 55" xfId="27064" xr:uid="{E4B2D76C-92D0-493C-822D-0604AF402549}"/>
    <cellStyle name="Note 3 3 2 56" xfId="27483" xr:uid="{4B12EC4A-204B-4E42-87BE-B6E9A28891C5}"/>
    <cellStyle name="Note 3 3 2 57" xfId="26002" xr:uid="{2A89996E-C287-44EF-8180-4B1AE50673B4}"/>
    <cellStyle name="Note 3 3 2 58" xfId="28610" xr:uid="{78B20692-B0D2-4F6E-BDFE-989450EEEC55}"/>
    <cellStyle name="Note 3 3 2 59" xfId="29077" xr:uid="{B6318E39-80C3-4802-BEBD-A59312A76DF1}"/>
    <cellStyle name="Note 3 3 2 6" xfId="3359" xr:uid="{1B5B5FBB-65DE-4186-82A9-B2BC508E7EC4}"/>
    <cellStyle name="Note 3 3 2 60" xfId="28790" xr:uid="{B230205B-E42F-484E-804C-43935F399D94}"/>
    <cellStyle name="Note 3 3 2 61" xfId="29866" xr:uid="{9D40B8E7-EEAF-4C28-BB22-15A40730D930}"/>
    <cellStyle name="Note 3 3 2 62" xfId="30272" xr:uid="{9129C210-D994-4412-BD25-B2FCAA9C29A8}"/>
    <cellStyle name="Note 3 3 2 63" xfId="30689" xr:uid="{E1912BC2-E921-4BE4-9EC3-CA5EC518BFF0}"/>
    <cellStyle name="Note 3 3 2 64" xfId="29596" xr:uid="{B2AA9D37-8509-4588-BA4E-0B6D7870A778}"/>
    <cellStyle name="Note 3 3 2 65" xfId="31305" xr:uid="{E8A7EBA0-854F-47DF-B942-88837FE67D7B}"/>
    <cellStyle name="Note 3 3 2 7" xfId="4088" xr:uid="{DA7C39CE-A1F6-4F01-95D5-9E36D8F7819E}"/>
    <cellStyle name="Note 3 3 2 8" xfId="4525" xr:uid="{91F82B71-BC28-41BC-9AD1-59DD175B8B47}"/>
    <cellStyle name="Note 3 3 2 9" xfId="3542" xr:uid="{D6D8DD70-CB0E-48C7-AA77-ACAA74ACE138}"/>
    <cellStyle name="Note 3 3 20" xfId="10145" xr:uid="{37341C7A-762C-4174-8DCF-B5E4D4FCE69F}"/>
    <cellStyle name="Note 3 3 21" xfId="10555" xr:uid="{919D7628-BB4B-4AA4-808D-B4AF9FB7541B}"/>
    <cellStyle name="Note 3 3 22" xfId="8954" xr:uid="{CE13B9AC-D7E9-4124-8830-8D6AFC46A6FC}"/>
    <cellStyle name="Note 3 3 23" xfId="11095" xr:uid="{98F0D045-18A4-426C-AC2D-E8198F14693C}"/>
    <cellStyle name="Note 3 3 24" xfId="11908" xr:uid="{79CF0348-41EA-44E5-BE5F-8A3822B51816}"/>
    <cellStyle name="Note 3 3 25" xfId="12381" xr:uid="{FB7C6E00-057D-46F8-81E3-DFF60EAB5A1E}"/>
    <cellStyle name="Note 3 3 26" xfId="12815" xr:uid="{37DADCEF-E496-44F1-BF17-B12E2C3EC2AF}"/>
    <cellStyle name="Note 3 3 27" xfId="13252" xr:uid="{1CA67615-BD73-4689-996F-770A97DCC155}"/>
    <cellStyle name="Note 3 3 28" xfId="11610" xr:uid="{DE8FB246-E0EB-4984-94AB-D1E985F95E3C}"/>
    <cellStyle name="Note 3 3 29" xfId="12325" xr:uid="{6B5F96C4-BAD0-46AD-8BF3-ABB540C6AC02}"/>
    <cellStyle name="Note 3 3 3" xfId="1038" xr:uid="{65E53414-A0E2-429B-ACA8-5456B8A6A771}"/>
    <cellStyle name="Note 3 3 30" xfId="14741" xr:uid="{EA3151D4-5A89-41FF-9451-58AE482AADA0}"/>
    <cellStyle name="Note 3 3 31" xfId="11821" xr:uid="{4B92E08F-6643-4382-AE9A-E9FBE73EC67A}"/>
    <cellStyle name="Note 3 3 32" xfId="15546" xr:uid="{7B941BF5-AC0F-4406-A975-27B3CB70E6EA}"/>
    <cellStyle name="Note 3 3 33" xfId="15935" xr:uid="{3A801749-509E-4B16-91F7-4D2B04B8774F}"/>
    <cellStyle name="Note 3 3 34" xfId="16600" xr:uid="{8D1CB7CE-46BC-4116-A6E6-BC109E6A3371}"/>
    <cellStyle name="Note 3 3 35" xfId="17265" xr:uid="{1458CF67-AF3D-49BE-B256-7CA7188394C1}"/>
    <cellStyle name="Note 3 3 36" xfId="17709" xr:uid="{A8E88AF4-2149-4D9C-A72F-F19890C2F1A3}"/>
    <cellStyle name="Note 3 3 37" xfId="17536" xr:uid="{198FC08B-F011-4D4A-8227-51E7F8EB260B}"/>
    <cellStyle name="Note 3 3 38" xfId="18418" xr:uid="{4F06C914-3167-4589-8097-5CADFA9861CF}"/>
    <cellStyle name="Note 3 3 39" xfId="17942" xr:uid="{ED788CB3-7C4B-40EF-B59D-51819398167B}"/>
    <cellStyle name="Note 3 3 4" xfId="1661" xr:uid="{97012357-B01A-47FF-8FFD-C4C6D595CC02}"/>
    <cellStyle name="Note 3 3 40" xfId="18044" xr:uid="{D892F3A0-6631-4619-AF1F-7117249470C1}"/>
    <cellStyle name="Note 3 3 41" xfId="19937" xr:uid="{8ADF98A6-2022-4E73-992E-FCE73D5C195D}"/>
    <cellStyle name="Note 3 3 42" xfId="20615" xr:uid="{C62B9006-0B56-4015-A4D7-399F354CF336}"/>
    <cellStyle name="Note 3 3 43" xfId="21070" xr:uid="{5FE3D8CC-9EE3-45FE-B842-AAF602F70664}"/>
    <cellStyle name="Note 3 3 44" xfId="20880" xr:uid="{39AECE3D-B057-4F3A-87D8-4C60FE22581F}"/>
    <cellStyle name="Note 3 3 45" xfId="22001" xr:uid="{D0F03877-517B-4A18-85DE-979B0B61EE3C}"/>
    <cellStyle name="Note 3 3 46" xfId="22432" xr:uid="{B92F2653-B755-4B36-BDD4-C2EA2CC1DAFE}"/>
    <cellStyle name="Note 3 3 47" xfId="19597" xr:uid="{C4AF34C1-6F0E-477B-BDB6-0E7DB3648B80}"/>
    <cellStyle name="Note 3 3 48" xfId="20478" xr:uid="{ADD5C62A-E8B3-4D35-9229-8A23CED3950F}"/>
    <cellStyle name="Note 3 3 49" xfId="22133" xr:uid="{D76A7083-1955-4B60-AE40-671D2AB9D0C0}"/>
    <cellStyle name="Note 3 3 5" xfId="2377" xr:uid="{8CD7D771-E9B0-4196-9B02-45DCC1D0289A}"/>
    <cellStyle name="Note 3 3 50" xfId="23746" xr:uid="{4E28086C-A900-4A9B-87D2-85BEFF45A41E}"/>
    <cellStyle name="Note 3 3 51" xfId="24645" xr:uid="{92C427DB-5245-4071-8917-0E2D06DF47EE}"/>
    <cellStyle name="Note 3 3 52" xfId="25321" xr:uid="{52ADAE1B-B87B-48A5-9ED0-C3613872E346}"/>
    <cellStyle name="Note 3 3 53" xfId="25563" xr:uid="{86B5F8AC-0F63-4430-AC54-068F9EAA6A72}"/>
    <cellStyle name="Note 3 3 54" xfId="24363" xr:uid="{881436E3-D0E3-49ED-951F-BC743BDA3419}"/>
    <cellStyle name="Note 3 3 55" xfId="26635" xr:uid="{E5FEF565-13E4-419B-8D94-C6E5CEC541FB}"/>
    <cellStyle name="Note 3 3 56" xfId="26853" xr:uid="{8CA023AC-8F13-4D27-B3C0-B1F432FF2C00}"/>
    <cellStyle name="Note 3 3 57" xfId="27272" xr:uid="{23CCA6EB-11F5-4EB9-A819-7A7B5B0D10EA}"/>
    <cellStyle name="Note 3 3 58" xfId="27686" xr:uid="{6F2D7D9A-A0BB-48ED-90AA-B581BA8D7EE2}"/>
    <cellStyle name="Note 3 3 59" xfId="28395" xr:uid="{E27716B6-B3E2-4124-B467-993EC96D9608}"/>
    <cellStyle name="Note 3 3 6" xfId="1923" xr:uid="{E1BA7E32-CBAB-47E5-875E-F47516B73C72}"/>
    <cellStyle name="Note 3 3 60" xfId="28863" xr:uid="{C642D059-2A66-476E-82CC-15A13EADEDDF}"/>
    <cellStyle name="Note 3 3 61" xfId="29445" xr:uid="{331E1506-A948-4879-AD33-C27BD552A926}"/>
    <cellStyle name="Note 3 3 62" xfId="29653" xr:uid="{4BA5CEA3-D26E-4027-8270-F96ABE5D048B}"/>
    <cellStyle name="Note 3 3 63" xfId="30061" xr:uid="{708AB913-CC2B-4E7E-86A4-9DD21964A00A}"/>
    <cellStyle name="Note 3 3 64" xfId="30475" xr:uid="{7366DEAB-A47C-469E-9BE8-47AEBFEBA829}"/>
    <cellStyle name="Note 3 3 65" xfId="30922" xr:uid="{A0D47BEB-3B2E-48F5-8767-E6C29A514844}"/>
    <cellStyle name="Note 3 3 66" xfId="31099" xr:uid="{FF45200D-B50A-42FD-8C15-59EBA23DFD31}"/>
    <cellStyle name="Note 3 3 7" xfId="2179" xr:uid="{B124D0F9-B29E-4B2A-85E7-543B3AAABEE1}"/>
    <cellStyle name="Note 3 3 8" xfId="3873" xr:uid="{3C334AC5-C8CF-40FD-9D53-F42574ED2036}"/>
    <cellStyle name="Note 3 3 9" xfId="4311" xr:uid="{6E315B1B-E678-4120-9CD1-D9620421D80B}"/>
    <cellStyle name="Note 3 30" xfId="11784" xr:uid="{65CBCF1E-3920-4C1F-A8CD-9E26888E956E}"/>
    <cellStyle name="Note 3 31" xfId="13970" xr:uid="{F2D4681E-DD03-4035-A68B-C1F1E96D0E58}"/>
    <cellStyle name="Note 3 32" xfId="13172" xr:uid="{A58F0093-4738-4C06-8BA9-F694F35D3730}"/>
    <cellStyle name="Note 3 33" xfId="14379" xr:uid="{EF5F25E8-0865-4BFD-AD30-AE56373EF9DC}"/>
    <cellStyle name="Note 3 34" xfId="14663" xr:uid="{02E6F0BB-80CC-418E-BEA4-A39F5EC948C8}"/>
    <cellStyle name="Note 3 35" xfId="14996" xr:uid="{D17D44B5-6114-47A1-AA56-6197585A7AD9}"/>
    <cellStyle name="Note 3 36" xfId="15802" xr:uid="{75F8CF7B-6BB2-4789-9C6C-034EE4138072}"/>
    <cellStyle name="Note 3 37" xfId="16287" xr:uid="{D70EF32C-A123-4217-A710-7926538692F8}"/>
    <cellStyle name="Note 3 38" xfId="16946" xr:uid="{D40C8098-ABF6-40B8-87ED-2C437E4C797B}"/>
    <cellStyle name="Note 3 39" xfId="16999" xr:uid="{0CB6F0A5-DA5C-4DD0-BE8D-F49E520A567C}"/>
    <cellStyle name="Note 3 4" xfId="573" xr:uid="{57AC2032-8089-4440-A019-5350E1B400CC}"/>
    <cellStyle name="Note 3 4 10" xfId="3344" xr:uid="{6666AAD1-A3FB-4959-AFCC-AFCFBDEC4FC6}"/>
    <cellStyle name="Note 3 4 11" xfId="5221" xr:uid="{47696283-A468-4176-BC36-95835B5EA1FA}"/>
    <cellStyle name="Note 3 4 12" xfId="5725" xr:uid="{3F4CA826-B1FB-40A7-8112-4A3DE93AF23F}"/>
    <cellStyle name="Note 3 4 13" xfId="5646" xr:uid="{1AB29A1E-5658-4154-BDDA-3F03A21F6E36}"/>
    <cellStyle name="Note 3 4 14" xfId="6638" xr:uid="{14C97117-0479-4DEA-9A29-D5A8DCF80D71}"/>
    <cellStyle name="Note 3 4 15" xfId="7293" xr:uid="{3D94A5A8-34B8-4AA5-B172-D4E0A9FA92AA}"/>
    <cellStyle name="Note 3 4 16" xfId="7052" xr:uid="{C4694309-36EF-45DD-9569-8632CD37C33C}"/>
    <cellStyle name="Note 3 4 17" xfId="8181" xr:uid="{BCEC337A-ADF4-4BA2-BCF7-7979CDA644E6}"/>
    <cellStyle name="Note 3 4 18" xfId="8558" xr:uid="{17847FEF-F5AE-405C-B671-25223028ADA1}"/>
    <cellStyle name="Note 3 4 19" xfId="9507" xr:uid="{2AA9CA03-F9CD-43FD-84A6-72F21AC95D41}"/>
    <cellStyle name="Note 3 4 2" xfId="788" xr:uid="{3CA561A8-5BCC-4FFD-A9A9-01307CF5F78E}"/>
    <cellStyle name="Note 3 4 2 10" xfId="5436" xr:uid="{951D46AB-733C-4990-A757-9A793151EA9D}"/>
    <cellStyle name="Note 3 4 2 11" xfId="5960" xr:uid="{29817CA1-2E9B-40A2-8093-FAFF85974A53}"/>
    <cellStyle name="Note 3 4 2 12" xfId="3178" xr:uid="{5046417A-88E6-4464-A242-B4758FD2EB58}"/>
    <cellStyle name="Note 3 4 2 13" xfId="6570" xr:uid="{3A426D2F-1E4D-4DD4-AC35-C72BD076C781}"/>
    <cellStyle name="Note 3 4 2 14" xfId="7508" xr:uid="{366F6949-9FCE-4AED-8009-6849905F5D85}"/>
    <cellStyle name="Note 3 4 2 15" xfId="7106" xr:uid="{3C450949-9AFB-4C63-8832-EBF5994DA7B7}"/>
    <cellStyle name="Note 3 4 2 16" xfId="6900" xr:uid="{EB8BBB03-3B2A-4A01-B044-6E722E442306}"/>
    <cellStyle name="Note 3 4 2 17" xfId="8577" xr:uid="{17D9966A-B7A6-495C-976F-55CC2DEDADDD}"/>
    <cellStyle name="Note 3 4 2 18" xfId="9722" xr:uid="{59722796-9B2F-47B8-80D5-D77BFB36A798}"/>
    <cellStyle name="Note 3 4 2 19" xfId="9192" xr:uid="{1624B79A-E90E-4315-90E6-D33CDD8BB9D9}"/>
    <cellStyle name="Note 3 4 2 2" xfId="1262" xr:uid="{289449E9-EFBB-43C1-B1B5-791676D9D721}"/>
    <cellStyle name="Note 3 4 2 20" xfId="9085" xr:uid="{7624822D-3198-4AB9-BB59-FDDF785518D9}"/>
    <cellStyle name="Note 3 4 2 21" xfId="8972" xr:uid="{4CD64D4C-D060-4A10-A275-70DD9DEDF192}"/>
    <cellStyle name="Note 3 4 2 22" xfId="11120" xr:uid="{2B94CA51-733D-4FDC-9C6C-F4436A977892}"/>
    <cellStyle name="Note 3 4 2 23" xfId="12141" xr:uid="{15E40E9A-0AC0-430E-8AB1-C31428F35558}"/>
    <cellStyle name="Note 3 4 2 24" xfId="12614" xr:uid="{135AB9D3-C460-40B3-8E93-0AEA8AB66084}"/>
    <cellStyle name="Note 3 4 2 25" xfId="13048" xr:uid="{21A8E3C2-90F8-41BE-9C96-D783206CE6EC}"/>
    <cellStyle name="Note 3 4 2 26" xfId="13485" xr:uid="{9FD2250D-4DA4-4F0E-B882-C1E0D4875824}"/>
    <cellStyle name="Note 3 4 2 27" xfId="12296" xr:uid="{957576EE-5D2E-4470-8BB6-0051538DF2EB}"/>
    <cellStyle name="Note 3 4 2 28" xfId="13881" xr:uid="{D63B7ACC-5E98-4AF5-B085-3FA704B20143}"/>
    <cellStyle name="Note 3 4 2 29" xfId="14155" xr:uid="{3AD35EA6-3AF8-4A22-B801-C16049051CF3}"/>
    <cellStyle name="Note 3 4 2 3" xfId="1508" xr:uid="{9C188BCE-7382-4491-946F-88D3D0640879}"/>
    <cellStyle name="Note 3 4 2 30" xfId="15199" xr:uid="{53B8608E-8B4A-4107-994E-E55EF2087203}"/>
    <cellStyle name="Note 3 4 2 31" xfId="14572" xr:uid="{4454072D-A261-44C4-BF1E-6F54986B7B1B}"/>
    <cellStyle name="Note 3 4 2 32" xfId="14978" xr:uid="{FBBB8D06-0089-4149-8D5F-47FAD4B8ED54}"/>
    <cellStyle name="Note 3 4 2 33" xfId="16833" xr:uid="{ADD5AD6C-6E29-499E-A058-BFCE96B26CF5}"/>
    <cellStyle name="Note 3 4 2 34" xfId="16428" xr:uid="{7B42746C-D0D1-4333-9D21-E394DAEB2265}"/>
    <cellStyle name="Note 3 4 2 35" xfId="16493" xr:uid="{461C93DB-051F-4CFD-B799-AED3648A0D45}"/>
    <cellStyle name="Note 3 4 2 36" xfId="17774" xr:uid="{AE741A20-5EAD-495B-8FAC-9FC7594E28E0}"/>
    <cellStyle name="Note 3 4 2 37" xfId="18651" xr:uid="{B379F170-768D-4BA1-90DA-9E72796E9D6D}"/>
    <cellStyle name="Note 3 4 2 38" xfId="19017" xr:uid="{CE4A2590-2092-4C4F-A8A0-B7B3F2D9C802}"/>
    <cellStyle name="Note 3 4 2 39" xfId="19021" xr:uid="{1941FC13-5F74-4C88-A657-F9B96BEEEBD7}"/>
    <cellStyle name="Note 3 4 2 4" xfId="2610" xr:uid="{19E03A94-6FE9-49FE-9590-68A59E8291C5}"/>
    <cellStyle name="Note 3 4 2 40" xfId="20170" xr:uid="{F381A815-7A5B-493B-AB95-549A267DCECF}"/>
    <cellStyle name="Note 3 4 2 41" xfId="19588" xr:uid="{46376924-80FB-40CE-BB5C-1B17D23F06E6}"/>
    <cellStyle name="Note 3 4 2 42" xfId="19705" xr:uid="{D1EB2D24-83DE-4C11-971C-44EE2544C871}"/>
    <cellStyle name="Note 3 4 2 43" xfId="21426" xr:uid="{828DB5F1-4F18-453F-8426-B0AEDBA87682}"/>
    <cellStyle name="Note 3 4 2 44" xfId="20665" xr:uid="{BF17BDDF-A2D1-47B9-8F2A-2CBC0720C8B5}"/>
    <cellStyle name="Note 3 4 2 45" xfId="21328" xr:uid="{1A3036A1-50BF-4283-A777-7CCC6F277510}"/>
    <cellStyle name="Note 3 4 2 46" xfId="22170" xr:uid="{9C518442-7A71-4467-A991-BC88EAB49802}"/>
    <cellStyle name="Note 3 4 2 47" xfId="23296" xr:uid="{C1C911FB-20A3-4F38-B9BF-718479B5F63A}"/>
    <cellStyle name="Note 3 4 2 48" xfId="23165" xr:uid="{FD0B9601-179D-4F4E-A061-7612F8AB0C0F}"/>
    <cellStyle name="Note 3 4 2 49" xfId="23970" xr:uid="{6F1E0709-F7CC-4AB6-8C55-1FB88DD5BFCF}"/>
    <cellStyle name="Note 3 4 2 5" xfId="2032" xr:uid="{7DC3FFDE-1C7A-41C1-88DA-C0C0FC73C9D5}"/>
    <cellStyle name="Note 3 4 2 50" xfId="24878" xr:uid="{86B2586A-1600-4306-A08F-6991F107BFD5}"/>
    <cellStyle name="Note 3 4 2 51" xfId="24305" xr:uid="{942B44C6-C8A4-4734-8052-CBEE38D99C48}"/>
    <cellStyle name="Note 3 4 2 52" xfId="25794" xr:uid="{0A4208C3-72A4-4E40-ADB3-361EDECD004A}"/>
    <cellStyle name="Note 3 4 2 53" xfId="24493" xr:uid="{2086C291-48FA-4D81-8A10-CB829BFEA02D}"/>
    <cellStyle name="Note 3 4 2 54" xfId="26631" xr:uid="{322ADA26-9F6D-4B46-8568-D3D3A6C5967E}"/>
    <cellStyle name="Note 3 4 2 55" xfId="27082" xr:uid="{65BCA766-DF1D-4816-8EA1-378591922613}"/>
    <cellStyle name="Note 3 4 2 56" xfId="27501" xr:uid="{5D427DC5-DA2F-4676-8FD5-C1C87C03FC9F}"/>
    <cellStyle name="Note 3 4 2 57" xfId="26787" xr:uid="{05FC04C1-0C70-41EA-8143-40A66AF37648}"/>
    <cellStyle name="Note 3 4 2 58" xfId="28628" xr:uid="{4492E260-0CC4-4256-8B93-BD32656BB7F7}"/>
    <cellStyle name="Note 3 4 2 59" xfId="29095" xr:uid="{79EA0DED-718E-4745-AA91-DD22E55FAAAB}"/>
    <cellStyle name="Note 3 4 2 6" xfId="3491" xr:uid="{F2D94946-C12F-43FF-BD1E-1C41016C6D9F}"/>
    <cellStyle name="Note 3 4 2 60" xfId="28087" xr:uid="{17C7E89D-492D-435B-9E9D-DBE2FBF8C2E3}"/>
    <cellStyle name="Note 3 4 2 61" xfId="29884" xr:uid="{00752345-0FE1-4B0F-8F36-39EDE9F41405}"/>
    <cellStyle name="Note 3 4 2 62" xfId="30290" xr:uid="{FDFF22DE-0149-4BF9-B4B3-EF3099A26718}"/>
    <cellStyle name="Note 3 4 2 63" xfId="30707" xr:uid="{96908FEE-1A1D-4DF7-B1BD-7D2A9B8C0232}"/>
    <cellStyle name="Note 3 4 2 64" xfId="30857" xr:uid="{F9AD71AA-4D18-4C18-A0EE-C9F306DC230F}"/>
    <cellStyle name="Note 3 4 2 65" xfId="31323" xr:uid="{91F696AD-7694-48B8-BF6F-BE2AF90E218F}"/>
    <cellStyle name="Note 3 4 2 7" xfId="4106" xr:uid="{1A4FA466-5410-496A-9B95-19E302D675FD}"/>
    <cellStyle name="Note 3 4 2 8" xfId="4543" xr:uid="{267F2E22-BCCA-4F85-99DE-10BBD1A37496}"/>
    <cellStyle name="Note 3 4 2 9" xfId="4240" xr:uid="{C5633819-5D5E-4F43-B778-B93BA3CE068C}"/>
    <cellStyle name="Note 3 4 20" xfId="9265" xr:uid="{9558FD60-420A-4B22-8F3A-B7475676C1AC}"/>
    <cellStyle name="Note 3 4 21" xfId="9830" xr:uid="{8BC94005-1C77-4E68-9D4E-0FBBA9423280}"/>
    <cellStyle name="Note 3 4 22" xfId="10773" xr:uid="{E95EBF93-E5B0-4112-A6D4-60D7AD4C2239}"/>
    <cellStyle name="Note 3 4 23" xfId="11156" xr:uid="{0D13930B-FFBA-4620-88BB-4AE9E8E360C1}"/>
    <cellStyle name="Note 3 4 24" xfId="11926" xr:uid="{097EE104-D271-475F-B1E0-692C4AEF0841}"/>
    <cellStyle name="Note 3 4 25" xfId="12399" xr:uid="{A28F47EB-4231-40F9-BA06-10A69C57D6C9}"/>
    <cellStyle name="Note 3 4 26" xfId="12833" xr:uid="{FB90DDA2-6633-4D8E-B6D6-302CDB34246F}"/>
    <cellStyle name="Note 3 4 27" xfId="13270" xr:uid="{11D9E0D4-D541-4879-B376-9064AA0076F0}"/>
    <cellStyle name="Note 3 4 28" xfId="13749" xr:uid="{68B3D8B2-481F-41DA-B3F1-70A176E3104A}"/>
    <cellStyle name="Note 3 4 29" xfId="13193" xr:uid="{EBFE1218-059E-468F-B0E6-BE41B07ED262}"/>
    <cellStyle name="Note 3 4 3" xfId="1056" xr:uid="{3BFA2672-8CE0-4B7C-9B5E-84323E9AC02D}"/>
    <cellStyle name="Note 3 4 30" xfId="14123" xr:uid="{570DB1BD-3EAA-4D27-B9FA-2966F1905484}"/>
    <cellStyle name="Note 3 4 31" xfId="14704" xr:uid="{3DC6CCE8-6E29-4AE0-B97E-C3AE78E04CE9}"/>
    <cellStyle name="Note 3 4 32" xfId="14211" xr:uid="{0F184A01-CE2D-4FD0-9453-9D3A29C4FCA2}"/>
    <cellStyle name="Note 3 4 33" xfId="15417" xr:uid="{912647F1-E08D-4675-AB23-19643FCB1E7A}"/>
    <cellStyle name="Note 3 4 34" xfId="16618" xr:uid="{F658D630-1841-4A7D-81AA-45A0159D4C28}"/>
    <cellStyle name="Note 3 4 35" xfId="16374" xr:uid="{CB0F19E5-4115-40C1-9811-BACD548508EA}"/>
    <cellStyle name="Note 3 4 36" xfId="16943" xr:uid="{8CA790FD-91B1-4956-8DF7-74CAAA3683C4}"/>
    <cellStyle name="Note 3 4 37" xfId="18187" xr:uid="{5DDCCF88-41DF-4E53-ADF3-651FDF5188A1}"/>
    <cellStyle name="Note 3 4 38" xfId="18436" xr:uid="{64B8BF84-4D70-4EC7-9276-F0DE7F56E454}"/>
    <cellStyle name="Note 3 4 39" xfId="18871" xr:uid="{1E64D218-1B0E-4F27-B791-EA21021B1DD5}"/>
    <cellStyle name="Note 3 4 4" xfId="1692" xr:uid="{32632B5D-1B86-4D6A-8228-F3341BD681EE}"/>
    <cellStyle name="Note 3 4 40" xfId="19228" xr:uid="{2DF4E263-4A16-4EFB-AFC5-CEDBDB87EACA}"/>
    <cellStyle name="Note 3 4 41" xfId="19955" xr:uid="{2187DB68-8FFE-4337-8424-C480485FEB4D}"/>
    <cellStyle name="Note 3 4 42" xfId="19708" xr:uid="{B9A71345-108A-49E0-B28C-131542472E99}"/>
    <cellStyle name="Note 3 4 43" xfId="20475" xr:uid="{C37B51F2-3A0F-4E75-A166-0EE96DF9E550}"/>
    <cellStyle name="Note 3 4 44" xfId="19375" xr:uid="{D2203D3C-B4BD-4F7B-851B-7DCF8A38431F}"/>
    <cellStyle name="Note 3 4 45" xfId="20300" xr:uid="{7D74CCCA-B4B4-4CFB-8422-AFDC885F808A}"/>
    <cellStyle name="Note 3 4 46" xfId="21902" xr:uid="{7887D971-9B5F-4A1B-A195-40606182B9AA}"/>
    <cellStyle name="Note 3 4 47" xfId="22744" xr:uid="{6C1911C0-1C19-4B78-A9C0-3DF9E05BE6B9}"/>
    <cellStyle name="Note 3 4 48" xfId="23147" xr:uid="{A508BBBC-EBC8-44DD-A46F-59B56F3BDEFA}"/>
    <cellStyle name="Note 3 4 49" xfId="22841" xr:uid="{284AEE26-613F-47F7-BA61-7D7793337BC9}"/>
    <cellStyle name="Note 3 4 5" xfId="2395" xr:uid="{7761383A-0818-4553-A84F-16D8BB6A7273}"/>
    <cellStyle name="Note 3 4 50" xfId="23764" xr:uid="{FE86CEA6-EB87-487C-A5C3-7C880130343E}"/>
    <cellStyle name="Note 3 4 51" xfId="24663" xr:uid="{16469613-532E-4567-B529-2E29E7663AC9}"/>
    <cellStyle name="Note 3 4 52" xfId="24550" xr:uid="{EAA3C366-24AC-4497-8D7E-001A7874F737}"/>
    <cellStyle name="Note 3 4 53" xfId="25581" xr:uid="{DB9A7C27-87DF-4C2F-A0F2-87740DEF8005}"/>
    <cellStyle name="Note 3 4 54" xfId="25401" xr:uid="{ECD529C4-583C-4060-919A-CC78735789D9}"/>
    <cellStyle name="Note 3 4 55" xfId="26622" xr:uid="{CB80BA84-4FE3-4AE7-A68F-CB244330FB4F}"/>
    <cellStyle name="Note 3 4 56" xfId="26871" xr:uid="{BE2A9378-41A8-4ED0-84E2-61A4AC234597}"/>
    <cellStyle name="Note 3 4 57" xfId="27290" xr:uid="{66AB5707-EE9B-4672-A717-BC610BF82EF3}"/>
    <cellStyle name="Note 3 4 58" xfId="27624" xr:uid="{ECCF5BBA-B67D-46FC-B527-336D1323649B}"/>
    <cellStyle name="Note 3 4 59" xfId="28413" xr:uid="{F06033C9-867A-4AD1-828D-321DDFFDE6EB}"/>
    <cellStyle name="Note 3 4 6" xfId="2915" xr:uid="{1E00EAF8-C5F3-4287-8ED3-43504EE0FC34}"/>
    <cellStyle name="Note 3 4 60" xfId="28881" xr:uid="{F4C465DD-12E2-42A0-BE77-67664457C827}"/>
    <cellStyle name="Note 3 4 61" xfId="27917" xr:uid="{C62D240A-6552-48E3-8E56-AAC8949CDE80}"/>
    <cellStyle name="Note 3 4 62" xfId="29671" xr:uid="{0095DAC1-5E94-4BE4-9318-367F88E3AFA8}"/>
    <cellStyle name="Note 3 4 63" xfId="30079" xr:uid="{0E193941-91A6-4834-930A-69B01BA4D4D9}"/>
    <cellStyle name="Note 3 4 64" xfId="30493" xr:uid="{8160A11C-CFCD-4048-AF30-6BC70A4D490A}"/>
    <cellStyle name="Note 3 4 65" xfId="30889" xr:uid="{D3EA48D1-3F3F-4056-90B5-99702EE37D47}"/>
    <cellStyle name="Note 3 4 66" xfId="31117" xr:uid="{3D6118D9-B0A4-4E2A-8000-869FB02DFC3F}"/>
    <cellStyle name="Note 3 4 7" xfId="3244" xr:uid="{563BD4B6-9077-4B87-A707-EF8DF4872997}"/>
    <cellStyle name="Note 3 4 8" xfId="3891" xr:uid="{3359A13B-8860-4EFE-969A-91DA3C64B850}"/>
    <cellStyle name="Note 3 4 9" xfId="4329" xr:uid="{08F92137-2F85-4CAD-9FC4-04E5D4EB72E9}"/>
    <cellStyle name="Note 3 40" xfId="17875" xr:uid="{19BD0CB2-7342-4791-83A4-8F967F00AA83}"/>
    <cellStyle name="Note 3 41" xfId="18269" xr:uid="{C7AA1698-49AD-4730-B4D5-89E58341FE44}"/>
    <cellStyle name="Note 3 42" xfId="18167" xr:uid="{E9E5E513-34EA-4B64-833F-2D4FDEBCEA76}"/>
    <cellStyle name="Note 3 43" xfId="19196" xr:uid="{E136224E-F41E-4A3D-8DFA-E1F886550859}"/>
    <cellStyle name="Note 3 44" xfId="19620" xr:uid="{31DE52BE-834F-4C2C-B7CC-6CA33A0C1338}"/>
    <cellStyle name="Note 3 45" xfId="20289" xr:uid="{F6B7E0B2-1B8F-4535-9823-664E4E68DC21}"/>
    <cellStyle name="Note 3 46" xfId="20550" xr:uid="{5D1D4FE1-5CEB-4794-93DF-DCC125A8FEEE}"/>
    <cellStyle name="Note 3 47" xfId="21031" xr:uid="{0AD3E6C9-C28F-42DF-84B8-AF88B4AF1D31}"/>
    <cellStyle name="Note 3 48" xfId="20832" xr:uid="{D5F12486-EA15-4537-ADA4-AED2D34F9DE7}"/>
    <cellStyle name="Note 3 49" xfId="21535" xr:uid="{AFD3F08A-8868-4B44-AB37-BC4A113456FF}"/>
    <cellStyle name="Note 3 5" xfId="690" xr:uid="{DED39CB2-BCBD-4F06-BA36-7EBD0D7A0925}"/>
    <cellStyle name="Note 3 5 10" xfId="5338" xr:uid="{1D55AB9C-2067-4613-A680-3480A703CC7F}"/>
    <cellStyle name="Note 3 5 11" xfId="5860" xr:uid="{A01CF246-6354-43B0-99A9-0670A52BB749}"/>
    <cellStyle name="Note 3 5 12" xfId="4739" xr:uid="{F2059F95-C63F-4D7E-9AF2-7345E600D5C5}"/>
    <cellStyle name="Note 3 5 13" xfId="5570" xr:uid="{C01A92DA-0CB2-4735-AC12-6961CBF67926}"/>
    <cellStyle name="Note 3 5 14" xfId="7410" xr:uid="{AF0236C0-D1BA-4EFC-A120-C74620579D9D}"/>
    <cellStyle name="Note 3 5 15" xfId="7917" xr:uid="{051B9A29-CF73-4D4B-ADE9-5768C9C785BE}"/>
    <cellStyle name="Note 3 5 16" xfId="8271" xr:uid="{13D6BFBA-7DB9-4636-9C34-1554D397E24B}"/>
    <cellStyle name="Note 3 5 17" xfId="8511" xr:uid="{AEE91F16-A50D-4221-97C1-C2F54AC3FCB7}"/>
    <cellStyle name="Note 3 5 18" xfId="9624" xr:uid="{48E77B2B-4BBD-4F7C-B17C-A4FEC3EA4E5B}"/>
    <cellStyle name="Note 3 5 19" xfId="10131" xr:uid="{1E230FBB-7BBD-45FF-B054-094B6EA899D1}"/>
    <cellStyle name="Note 3 5 2" xfId="1172" xr:uid="{BFD0006B-A98D-4936-A39E-5B20CBA7B87C}"/>
    <cellStyle name="Note 3 5 20" xfId="10541" xr:uid="{C167ED83-0E6F-4C8D-A5A0-9A600F31E1BA}"/>
    <cellStyle name="Note 3 5 21" xfId="10535" xr:uid="{856FEB8F-EA0D-4B95-9520-B8CC284EA8C6}"/>
    <cellStyle name="Note 3 5 22" xfId="10704" xr:uid="{6B330692-7287-477F-AC62-4A5FA980A4F2}"/>
    <cellStyle name="Note 3 5 23" xfId="12043" xr:uid="{18088EC9-5660-45E0-9CEC-0F01B2B51554}"/>
    <cellStyle name="Note 3 5 24" xfId="12516" xr:uid="{3E127DD7-275D-4763-878C-370015D928AD}"/>
    <cellStyle name="Note 3 5 25" xfId="12950" xr:uid="{E8C5780B-3E4A-4149-BBBA-AAD043DA978C}"/>
    <cellStyle name="Note 3 5 26" xfId="13387" xr:uid="{31F45427-D762-4433-A604-14EDB17F93B7}"/>
    <cellStyle name="Note 3 5 27" xfId="11738" xr:uid="{79611E30-76A7-43AB-B5AE-10CA13C1AAD2}"/>
    <cellStyle name="Note 3 5 28" xfId="13918" xr:uid="{B55768B9-1C58-4811-97AE-9FA9496C7B19}"/>
    <cellStyle name="Note 3 5 29" xfId="14780" xr:uid="{3CC7FFEA-9992-464A-AC51-EC9CA023401A}"/>
    <cellStyle name="Note 3 5 3" xfId="1663" xr:uid="{3D5176E2-8BDB-42E4-BE83-5E1EB72A4262}"/>
    <cellStyle name="Note 3 5 30" xfId="15306" xr:uid="{71FEE527-FA90-4180-AF82-B020A3836D11}"/>
    <cellStyle name="Note 3 5 31" xfId="15365" xr:uid="{03A3729B-2284-4CFF-95B7-198A708BE101}"/>
    <cellStyle name="Note 3 5 32" xfId="15925" xr:uid="{832E7405-F6A4-4058-93E9-93E3B5C1B4D2}"/>
    <cellStyle name="Note 3 5 33" xfId="16735" xr:uid="{F06813DA-8430-4018-989E-16D685FEBE1B}"/>
    <cellStyle name="Note 3 5 34" xfId="17250" xr:uid="{DBE46CA9-BEF0-4795-B00E-C373E147297C}"/>
    <cellStyle name="Note 3 5 35" xfId="17694" xr:uid="{2F1B4894-EF10-455D-9975-F5C481A04341}"/>
    <cellStyle name="Note 3 5 36" xfId="17880" xr:uid="{BC95A7EE-9748-41D0-8BAB-AAF245C97279}"/>
    <cellStyle name="Note 3 5 37" xfId="18553" xr:uid="{F8E3899A-C54F-4FD0-8684-FE3DB1E94C8F}"/>
    <cellStyle name="Note 3 5 38" xfId="17439" xr:uid="{FDB5866C-8BA1-4830-824C-2AA942E411D8}"/>
    <cellStyle name="Note 3 5 39" xfId="17436" xr:uid="{1F78D5BB-C171-4393-B9FA-BDA82D04C5A6}"/>
    <cellStyle name="Note 3 5 4" xfId="2512" xr:uid="{ABEA90FE-C125-42FC-AC09-0D8436039A41}"/>
    <cellStyle name="Note 3 5 40" xfId="20072" xr:uid="{D0EEA6A1-C8E2-4ECD-A25A-43FB3B31AA00}"/>
    <cellStyle name="Note 3 5 41" xfId="20600" xr:uid="{99A525A8-238D-43E8-95AB-812BEA84C568}"/>
    <cellStyle name="Note 3 5 42" xfId="21055" xr:uid="{C9A9C96D-B45C-441D-AA1A-603A41773FC4}"/>
    <cellStyle name="Note 3 5 43" xfId="19541" xr:uid="{3349E84F-9752-4B24-A84D-16BC25D83DAA}"/>
    <cellStyle name="Note 3 5 44" xfId="21986" xr:uid="{ED32CD85-2B84-4259-98DD-B2614B83F766}"/>
    <cellStyle name="Note 3 5 45" xfId="22417" xr:uid="{C400DFC0-9D9E-411D-90F7-706B1A890FA9}"/>
    <cellStyle name="Note 3 5 46" xfId="22187" xr:uid="{4B0E03F5-C555-4FC1-AF4F-096D726E788F}"/>
    <cellStyle name="Note 3 5 47" xfId="22555" xr:uid="{167A2DA1-84CD-452A-8105-760DE0B302BB}"/>
    <cellStyle name="Note 3 5 48" xfId="21746" xr:uid="{5CFF6B33-712D-4BD3-94B8-EAB09E249457}"/>
    <cellStyle name="Note 3 5 49" xfId="23880" xr:uid="{6B164A5F-85EB-493A-8349-FBCA1E34A816}"/>
    <cellStyle name="Note 3 5 5" xfId="1994" xr:uid="{5C47F3E8-9A8A-4922-82D0-7E4D03F85E90}"/>
    <cellStyle name="Note 3 5 50" xfId="24780" xr:uid="{3BFF05E5-0E09-4C6E-BD74-17FED4452189}"/>
    <cellStyle name="Note 3 5 51" xfId="25309" xr:uid="{4B28B9DE-2223-4474-BA94-5E87194D1B3C}"/>
    <cellStyle name="Note 3 5 52" xfId="25698" xr:uid="{93B11A63-6E00-4896-8AEF-E7E54BDFDB77}"/>
    <cellStyle name="Note 3 5 53" xfId="25252" xr:uid="{6AF44D13-9FBB-4BF5-AF1D-08DA80DE8F4B}"/>
    <cellStyle name="Note 3 5 54" xfId="26595" xr:uid="{2738AEE7-DDD4-441D-95F9-876D36610B57}"/>
    <cellStyle name="Note 3 5 55" xfId="26988" xr:uid="{E3E86FB3-D4B4-4849-AB79-DAB944733969}"/>
    <cellStyle name="Note 3 5 56" xfId="27407" xr:uid="{4A33BB3B-7DCD-4C4F-9236-119A23049A58}"/>
    <cellStyle name="Note 3 5 57" xfId="27819" xr:uid="{175B018C-5FB0-49DC-A4AC-CBDE72911409}"/>
    <cellStyle name="Note 3 5 58" xfId="28530" xr:uid="{48151E65-D8BB-4C58-9C4E-1061983A8491}"/>
    <cellStyle name="Note 3 5 59" xfId="28998" xr:uid="{78943782-DE55-43ED-BD95-F4D970C8D455}"/>
    <cellStyle name="Note 3 5 6" xfId="3402" xr:uid="{33D872B2-22A1-4ABF-9A79-6BB101CF9A27}"/>
    <cellStyle name="Note 3 5 60" xfId="29431" xr:uid="{3C2068F7-D0CA-4350-B05D-94E21CF14941}"/>
    <cellStyle name="Note 3 5 61" xfId="29788" xr:uid="{7ED8AFD2-7AFC-4102-8BFA-F735086FE3C3}"/>
    <cellStyle name="Note 3 5 62" xfId="30195" xr:uid="{6CF61B0E-1A40-46AD-84F3-7BE10A229C22}"/>
    <cellStyle name="Note 3 5 63" xfId="30610" xr:uid="{D8811A93-EF23-4C4F-A3DF-4742AD703432}"/>
    <cellStyle name="Note 3 5 64" xfId="30867" xr:uid="{E3A1001A-936D-4F74-9C3B-EF5127218AFE}"/>
    <cellStyle name="Note 3 5 65" xfId="31233" xr:uid="{41E3F4BE-2ED9-4A83-B17D-F898CE1DFE9F}"/>
    <cellStyle name="Note 3 5 7" xfId="4008" xr:uid="{8E1DA068-4AB3-44E2-9F65-F35747AFA067}"/>
    <cellStyle name="Note 3 5 8" xfId="4446" xr:uid="{0DD8A74D-E9E9-4DE4-AD8C-39063B125EDA}"/>
    <cellStyle name="Note 3 5 9" xfId="3438" xr:uid="{D98DB141-6D67-4AC5-A1A9-56680500AECA}"/>
    <cellStyle name="Note 3 50" xfId="22943" xr:uid="{8AA09E46-71F9-4520-8447-09D88D7A46C5}"/>
    <cellStyle name="Note 3 51" xfId="22720" xr:uid="{13CAF59B-215B-49BA-87CA-442FD42C7BED}"/>
    <cellStyle name="Note 3 52" xfId="23572" xr:uid="{5F06DE58-F3ED-4809-B66A-93A632CD2F7A}"/>
    <cellStyle name="Note 3 53" xfId="22647" xr:uid="{D540689F-35A9-408A-8B1C-BEAD371CF69A}"/>
    <cellStyle name="Note 3 54" xfId="24341" xr:uid="{E43626B2-50A7-43E3-A4B0-2F8225660520}"/>
    <cellStyle name="Note 3 55" xfId="25046" xr:uid="{08388028-C60A-4B26-83AB-7A22867D6D31}"/>
    <cellStyle name="Note 3 56" xfId="24152" xr:uid="{8DC8EDC0-3236-4850-AAF2-A5BCD3ACC718}"/>
    <cellStyle name="Note 3 57" xfId="26292" xr:uid="{C7FA7669-87D8-4850-8E48-99CE47CC2C98}"/>
    <cellStyle name="Note 3 58" xfId="26251" xr:uid="{2C625BDD-44DB-49D2-8704-F55585D98BE7}"/>
    <cellStyle name="Note 3 59" xfId="25299" xr:uid="{1CB0DE6B-CAE4-428A-B505-9FBD4356E6D6}"/>
    <cellStyle name="Note 3 6" xfId="934" xr:uid="{CD15529B-900C-41C6-A0AD-D45E7B2AF6F6}"/>
    <cellStyle name="Note 3 60" xfId="24578" xr:uid="{552F1B6F-D365-4E13-8C26-12EE3272CC4C}"/>
    <cellStyle name="Note 3 61" xfId="27607" xr:uid="{DF990779-3641-48B1-A99C-2CE92A282012}"/>
    <cellStyle name="Note 3 62" xfId="28114" xr:uid="{757502FC-9A4A-4B1C-9C5B-8EA9F3D361FA}"/>
    <cellStyle name="Note 3 63" xfId="27902" xr:uid="{8526F907-F166-44A1-8E63-E65DD4B52577}"/>
    <cellStyle name="Note 3 64" xfId="27977" xr:uid="{F6E49811-8620-4E2A-8021-CABE78AD97AF}"/>
    <cellStyle name="Note 3 65" xfId="28203" xr:uid="{134F0C8C-88AD-44ED-B58F-2D3DD8C6EC2C}"/>
    <cellStyle name="Note 3 66" xfId="28263" xr:uid="{E340F971-5DFF-4593-B620-7A9651304239}"/>
    <cellStyle name="Note 3 67" xfId="28762" xr:uid="{A1F0B53C-0121-4A58-B8B0-D7072FB2C190}"/>
    <cellStyle name="Note 3 68" xfId="30814" xr:uid="{13D5B62D-14BB-4E32-9078-584A3A8229F1}"/>
    <cellStyle name="Note 3 69" xfId="30906" xr:uid="{365BBB8D-849F-4ACF-A77F-0E69EA77CFCB}"/>
    <cellStyle name="Note 3 7" xfId="1593" xr:uid="{0212EE72-5E12-4B35-BD61-AD9E076388EF}"/>
    <cellStyle name="Note 3 8" xfId="2061" xr:uid="{B17FD8D9-1EA7-4FAD-819B-B5F6DC00E56A}"/>
    <cellStyle name="Note 3 9" xfId="3140" xr:uid="{7370E669-F899-48A8-9F7A-7EE11FE1CF69}"/>
    <cellStyle name="Notiz" xfId="172" xr:uid="{B7600077-6B6C-4B3F-9055-F739CF88A6FD}"/>
    <cellStyle name="Notiz 10" xfId="2100" xr:uid="{D83634CA-1772-4227-846D-9064A760B7E2}"/>
    <cellStyle name="Notiz 11" xfId="3695" xr:uid="{6C8A73D9-D321-48C6-B07E-7F5543E794BF}"/>
    <cellStyle name="Notiz 12" xfId="3564" xr:uid="{FEAAFAB2-8102-4690-8BAB-3861B2FE97A0}"/>
    <cellStyle name="Notiz 13" xfId="2330" xr:uid="{1C30548E-2773-49D9-9064-F81CA3C30F02}"/>
    <cellStyle name="Notiz 14" xfId="4837" xr:uid="{6955FF41-02B6-473F-958F-EADBB7B2510D}"/>
    <cellStyle name="Notiz 15" xfId="5951" xr:uid="{39FC75F8-DEB8-454F-AB83-F4B456E7BB98}"/>
    <cellStyle name="Notiz 16" xfId="5593" xr:uid="{0EA74677-6689-4EF1-B940-329B98989E27}"/>
    <cellStyle name="Notiz 17" xfId="6269" xr:uid="{CD58D0B2-4BC3-4E53-AFAF-D996ABE7FB7B}"/>
    <cellStyle name="Notiz 18" xfId="6906" xr:uid="{260AC715-FFD0-45FE-A3B0-3B44D715FFD1}"/>
    <cellStyle name="Notiz 19" xfId="7685" xr:uid="{6EFD2922-87F9-4802-90AD-2A74D09D873D}"/>
    <cellStyle name="Notiz 2" xfId="562" xr:uid="{D5D9CAB9-0D4D-4276-9E43-8C9AD5A481FA}"/>
    <cellStyle name="Notiz 2 10" xfId="4251" xr:uid="{36B4880F-F7D8-4313-9789-2A2AE4D5DDF8}"/>
    <cellStyle name="Notiz 2 11" xfId="5210" xr:uid="{F370DED0-C387-4662-80EC-90BD536433F9}"/>
    <cellStyle name="Notiz 2 12" xfId="5847" xr:uid="{E8B608A3-DB1A-4F23-A732-D39B9B149852}"/>
    <cellStyle name="Notiz 2 13" xfId="5564" xr:uid="{E8D2EDB0-E74D-4F8A-878D-DDCB7B0803B9}"/>
    <cellStyle name="Notiz 2 14" xfId="6577" xr:uid="{CCA5AA3F-F16D-46E9-A882-55F5B6A912B7}"/>
    <cellStyle name="Notiz 2 15" xfId="7282" xr:uid="{5C3E754C-3CF0-4968-93AA-02C70C01312B}"/>
    <cellStyle name="Notiz 2 16" xfId="6756" xr:uid="{E1523610-BC71-4918-B2E1-70D4AE5C392F}"/>
    <cellStyle name="Notiz 2 17" xfId="7211" xr:uid="{12FFE63E-3B2B-47E5-9F2C-5BCF7E1D27B2}"/>
    <cellStyle name="Notiz 2 18" xfId="7743" xr:uid="{6FA99977-C08F-407A-9FB1-445B66B34320}"/>
    <cellStyle name="Notiz 2 19" xfId="9496" xr:uid="{2BBB77A4-2E51-4E95-91CB-E44E42B152EC}"/>
    <cellStyle name="Notiz 2 2" xfId="777" xr:uid="{43484427-C5D6-4BB7-9FF9-52E2171B5E9C}"/>
    <cellStyle name="Notiz 2 2 10" xfId="5425" xr:uid="{0D803110-60DA-41A3-A419-8B1BF170AB8C}"/>
    <cellStyle name="Notiz 2 2 11" xfId="5658" xr:uid="{472FB4AF-11EC-42F8-89B8-2D71E0CFC8EB}"/>
    <cellStyle name="Notiz 2 2 12" xfId="5594" xr:uid="{F7C7E912-2621-42E0-9AFA-577CE071FC13}"/>
    <cellStyle name="Notiz 2 2 13" xfId="6468" xr:uid="{50657B12-82A1-4EEE-8F4D-DED5AEBF333A}"/>
    <cellStyle name="Notiz 2 2 14" xfId="7497" xr:uid="{871F4EEB-E8E5-4B51-9762-FB9895420676}"/>
    <cellStyle name="Notiz 2 2 15" xfId="6768" xr:uid="{1EB092FD-63CB-41CE-B333-0B98086B81D4}"/>
    <cellStyle name="Notiz 2 2 16" xfId="7763" xr:uid="{B401C472-79B7-4E54-AF88-D1A86B1C8703}"/>
    <cellStyle name="Notiz 2 2 17" xfId="8836" xr:uid="{E667FBB6-C1D9-46AA-B49A-E098CE74A17C}"/>
    <cellStyle name="Notiz 2 2 18" xfId="9711" xr:uid="{73C11E3E-E78A-4A93-8AB4-F1C9AE6BBDFB}"/>
    <cellStyle name="Notiz 2 2 19" xfId="8980" xr:uid="{B032812A-5487-4122-A5A7-B226B6CDFE0E}"/>
    <cellStyle name="Notiz 2 2 2" xfId="1251" xr:uid="{D79F057E-F6CD-4754-B716-AEBDCA751A8C}"/>
    <cellStyle name="Notiz 2 2 20" xfId="10081" xr:uid="{E15B68A9-2BCF-4DFF-93F0-251876292892}"/>
    <cellStyle name="Notiz 2 2 21" xfId="10649" xr:uid="{DF18E45B-3ED6-4E8D-AA83-D58E39195D46}"/>
    <cellStyle name="Notiz 2 2 22" xfId="11195" xr:uid="{31D8382C-27E8-4162-AA0E-2BEA073210AA}"/>
    <cellStyle name="Notiz 2 2 23" xfId="12130" xr:uid="{B3DB70E2-DB15-4249-8813-4431019DB887}"/>
    <cellStyle name="Notiz 2 2 24" xfId="12603" xr:uid="{593E0CDD-54DC-4319-A52A-3C52A81ABC2F}"/>
    <cellStyle name="Notiz 2 2 25" xfId="13037" xr:uid="{4687A0A8-55BE-45EB-B7E0-382B2597EE5E}"/>
    <cellStyle name="Notiz 2 2 26" xfId="13474" xr:uid="{DBB879A4-0356-45C0-A599-3FFE83310B9F}"/>
    <cellStyle name="Notiz 2 2 27" xfId="13614" xr:uid="{8B4FBD1F-630F-4DFE-B5BF-A1844779F623}"/>
    <cellStyle name="Notiz 2 2 28" xfId="14293" xr:uid="{DFFBB77A-F020-4DF7-95E1-33375213E9A1}"/>
    <cellStyle name="Notiz 2 2 29" xfId="12291" xr:uid="{B4E7568F-80D2-412D-BDC2-17DABA2F9B17}"/>
    <cellStyle name="Notiz 2 2 3" xfId="1428" xr:uid="{9E3E9762-AE67-4196-8A33-DF2E792C5CAC}"/>
    <cellStyle name="Notiz 2 2 30" xfId="14824" xr:uid="{138202DF-F7DF-4DA6-9C94-E6C69BDA9DC5}"/>
    <cellStyle name="Notiz 2 2 31" xfId="15516" xr:uid="{B0A8EAB0-EB10-44DF-837E-295F6F9CF904}"/>
    <cellStyle name="Notiz 2 2 32" xfId="15774" xr:uid="{9F9A5E20-369B-4F43-88DC-86EBD7FE6262}"/>
    <cellStyle name="Notiz 2 2 33" xfId="16822" xr:uid="{E5220E47-4AA4-49AE-888D-4B208F783C51}"/>
    <cellStyle name="Notiz 2 2 34" xfId="16077" xr:uid="{27D7DE58-4EB1-4650-B967-E938283D68C3}"/>
    <cellStyle name="Notiz 2 2 35" xfId="17199" xr:uid="{D02DA4EE-5ED8-43CE-9A49-144EA77EB52B}"/>
    <cellStyle name="Notiz 2 2 36" xfId="17293" xr:uid="{DD3170F8-300E-4C30-8645-FDC8CB855621}"/>
    <cellStyle name="Notiz 2 2 37" xfId="18640" xr:uid="{ABA1F434-937B-4492-BBCB-DB390DC04A73}"/>
    <cellStyle name="Notiz 2 2 38" xfId="18993" xr:uid="{8E757219-CC0B-479E-81D6-F4A35A3D1B27}"/>
    <cellStyle name="Notiz 2 2 39" xfId="19170" xr:uid="{9ABE3893-3DB7-41DE-B003-4610F613D8DE}"/>
    <cellStyle name="Notiz 2 2 4" xfId="2599" xr:uid="{8B973471-86F5-4523-94F7-0476B168380E}"/>
    <cellStyle name="Notiz 2 2 40" xfId="20159" xr:uid="{6A58BAAB-B0B9-4B1C-BFB2-A7433694699E}"/>
    <cellStyle name="Notiz 2 2 41" xfId="19410" xr:uid="{A4E6DE84-B9BB-4A33-BD45-90D3AC0E6257}"/>
    <cellStyle name="Notiz 2 2 42" xfId="19466" xr:uid="{D0E17AAB-9E01-4DC1-B186-9B942A9BE22F}"/>
    <cellStyle name="Notiz 2 2 43" xfId="21367" xr:uid="{C8D3297C-0AD4-4623-97C5-86F0E7D7A0DB}"/>
    <cellStyle name="Notiz 2 2 44" xfId="21648" xr:uid="{50D6191C-5547-4B24-A6B4-E55CF4CC05B9}"/>
    <cellStyle name="Notiz 2 2 45" xfId="21882" xr:uid="{BE5FFA0F-13A1-4AE5-920E-BC1B8FD15361}"/>
    <cellStyle name="Notiz 2 2 46" xfId="22623" xr:uid="{4D564F63-BCD6-42C9-AAC7-8C15446EE069}"/>
    <cellStyle name="Notiz 2 2 47" xfId="23276" xr:uid="{C4B64CE7-8E49-457D-9FF5-A6E4ED823E26}"/>
    <cellStyle name="Notiz 2 2 48" xfId="22859" xr:uid="{378A533B-5F72-4343-ABBA-84A683AB742F}"/>
    <cellStyle name="Notiz 2 2 49" xfId="23959" xr:uid="{12EBBD45-7B4C-437C-A4D2-458F149A292F}"/>
    <cellStyle name="Notiz 2 2 5" xfId="2781" xr:uid="{07EE2215-F432-47AD-98F0-8BD9868513B6}"/>
    <cellStyle name="Notiz 2 2 50" xfId="24867" xr:uid="{F4824E9C-7BE4-4092-BA14-67FD10B2F848}"/>
    <cellStyle name="Notiz 2 2 51" xfId="24463" xr:uid="{1CF02CD4-5BC8-447D-A73D-BC6B2034200C}"/>
    <cellStyle name="Notiz 2 2 52" xfId="25783" xr:uid="{AD8ECE77-73BB-4028-9512-C6A9DCA9E109}"/>
    <cellStyle name="Notiz 2 2 53" xfId="25095" xr:uid="{B5385B3E-D61D-4265-980D-AAFD26927A34}"/>
    <cellStyle name="Notiz 2 2 54" xfId="26516" xr:uid="{4535B07D-B8CB-40FB-9044-A06FC0AFE55F}"/>
    <cellStyle name="Notiz 2 2 55" xfId="27071" xr:uid="{2B229099-6AD3-478D-8F05-2F32A1529FE9}"/>
    <cellStyle name="Notiz 2 2 56" xfId="27490" xr:uid="{23743E2A-9372-4EE0-AB4B-F17DE880E376}"/>
    <cellStyle name="Notiz 2 2 57" xfId="26687" xr:uid="{6711F5D7-6A96-4412-80E0-6980702D7066}"/>
    <cellStyle name="Notiz 2 2 58" xfId="28617" xr:uid="{6D55A432-FAB5-471C-BCFB-D98CAFFC1D87}"/>
    <cellStyle name="Notiz 2 2 59" xfId="29084" xr:uid="{E21B2F59-8BC2-4EC3-96D4-7930AEA33F1F}"/>
    <cellStyle name="Notiz 2 2 6" xfId="2217" xr:uid="{98760151-A08A-4583-B63F-5C883BA790C9}"/>
    <cellStyle name="Notiz 2 2 60" xfId="27907" xr:uid="{629ECAAA-5FC4-4998-B60D-4FB2133DCF3A}"/>
    <cellStyle name="Notiz 2 2 61" xfId="29873" xr:uid="{B1822BC9-EC0F-47B7-BB33-9BACFD7EF237}"/>
    <cellStyle name="Notiz 2 2 62" xfId="30279" xr:uid="{DD639E48-19C2-4FEE-99B7-C54129F34622}"/>
    <cellStyle name="Notiz 2 2 63" xfId="30696" xr:uid="{E2EB80E6-BFA0-401F-915D-19E49EBDA400}"/>
    <cellStyle name="Notiz 2 2 64" xfId="29589" xr:uid="{99E526B5-AB3B-48E8-841C-102C4BB190D6}"/>
    <cellStyle name="Notiz 2 2 65" xfId="31312" xr:uid="{58FCC405-A3D1-4A80-AFFA-8551EDFC963B}"/>
    <cellStyle name="Notiz 2 2 7" xfId="4095" xr:uid="{0E50261E-5B1B-4375-8635-C2ACE27C8E0E}"/>
    <cellStyle name="Notiz 2 2 8" xfId="4532" xr:uid="{5EF11B31-680A-434E-B50B-B14BA088C7E5}"/>
    <cellStyle name="Notiz 2 2 9" xfId="2794" xr:uid="{89F582F2-432A-4417-9ECA-F591C5F52B99}"/>
    <cellStyle name="Notiz 2 20" xfId="8970" xr:uid="{400AB72D-4C90-45BE-865E-EC14B29B2031}"/>
    <cellStyle name="Notiz 2 21" xfId="10178" xr:uid="{BFAB8EF7-52C2-4CDF-96AC-681D99C3A726}"/>
    <cellStyle name="Notiz 2 22" xfId="10494" xr:uid="{9342EBB5-0BEE-4F14-A5B6-E8740708F65E}"/>
    <cellStyle name="Notiz 2 23" xfId="11223" xr:uid="{E8E4B870-55B3-44E1-BA3C-72D619E0E3C0}"/>
    <cellStyle name="Notiz 2 24" xfId="11915" xr:uid="{BE899657-CE61-44DE-8F18-3EFE1FD3A72A}"/>
    <cellStyle name="Notiz 2 25" xfId="12388" xr:uid="{2241B79A-0A8B-4BB0-9FEF-E822DA410F35}"/>
    <cellStyle name="Notiz 2 26" xfId="12822" xr:uid="{7FE30348-7663-4C3C-8A96-C65C258073EB}"/>
    <cellStyle name="Notiz 2 27" xfId="13259" xr:uid="{A281DDFF-EAF5-4F9F-980C-EEAAD4D22931}"/>
    <cellStyle name="Notiz 2 28" xfId="11707" xr:uid="{21D51897-09F0-4A85-9CBB-7ACB578894B2}"/>
    <cellStyle name="Notiz 2 29" xfId="14284" xr:uid="{333E8B3D-A370-4ED2-9CF1-3B5E4412B0A7}"/>
    <cellStyle name="Notiz 2 3" xfId="1045" xr:uid="{39530E23-E473-484F-AD53-05987A48BD1B}"/>
    <cellStyle name="Notiz 2 30" xfId="14783" xr:uid="{3860C95C-CCA0-454E-967B-DD78F0143F8A}"/>
    <cellStyle name="Notiz 2 31" xfId="14726" xr:uid="{2FCDFA32-F6BD-4BAD-A823-D9BF4DFD2AFD}"/>
    <cellStyle name="Notiz 2 32" xfId="15437" xr:uid="{53900A2A-433C-4D7A-9EC2-E762BC237313}"/>
    <cellStyle name="Notiz 2 33" xfId="15679" xr:uid="{B38480A6-3892-4E8D-9219-A6941D10D81B}"/>
    <cellStyle name="Notiz 2 34" xfId="16607" xr:uid="{65F08591-827E-4CD1-81B8-B31F7B409D75}"/>
    <cellStyle name="Notiz 2 35" xfId="16065" xr:uid="{898E6261-8D83-412B-A704-C49DBEDF875D}"/>
    <cellStyle name="Notiz 2 36" xfId="17229" xr:uid="{B4B3746C-37D6-4ACB-BF40-F2F0BE497A0B}"/>
    <cellStyle name="Notiz 2 37" xfId="17820" xr:uid="{CF720696-84F0-42ED-8207-FB328CBC0B81}"/>
    <cellStyle name="Notiz 2 38" xfId="18425" xr:uid="{DAEA26CF-3C18-4580-B9B5-DAD89EB86EC3}"/>
    <cellStyle name="Notiz 2 39" xfId="18907" xr:uid="{B10910AB-2077-4DB4-A68E-EE1717148942}"/>
    <cellStyle name="Notiz 2 4" xfId="1652" xr:uid="{A0ADFA05-63DF-4315-82F3-26FF90543F9B}"/>
    <cellStyle name="Notiz 2 40" xfId="19147" xr:uid="{3F0974A6-B9C1-4D71-A0A7-29B8C5EC6A2A}"/>
    <cellStyle name="Notiz 2 41" xfId="19944" xr:uid="{E07FC255-BC24-42CD-A2C7-1D5DEAE17B23}"/>
    <cellStyle name="Notiz 2 42" xfId="19789" xr:uid="{65FB6D93-2AB0-4C03-946A-143BCA5A700B}"/>
    <cellStyle name="Notiz 2 43" xfId="20688" xr:uid="{2345F4A2-3AA7-4E1A-96EA-594689C70D37}"/>
    <cellStyle name="Notiz 2 44" xfId="21455" xr:uid="{E0AE481B-2D7B-43FB-B62C-140E1CCDC791}"/>
    <cellStyle name="Notiz 2 45" xfId="21503" xr:uid="{2E098306-8E1D-46EB-A093-15F419FF28E7}"/>
    <cellStyle name="Notiz 2 46" xfId="21827" xr:uid="{B19CCBC5-DB7A-425E-9CAD-5CE7BB3CF2B8}"/>
    <cellStyle name="Notiz 2 47" xfId="22589" xr:uid="{B87CF173-F6A0-40C9-82F2-16923E1E0B68}"/>
    <cellStyle name="Notiz 2 48" xfId="23184" xr:uid="{F7E78309-5194-48CD-B025-9D13F1434899}"/>
    <cellStyle name="Notiz 2 49" xfId="22828" xr:uid="{DDAA4F5E-36B6-4E3E-BB7F-8A906CADC324}"/>
    <cellStyle name="Notiz 2 5" xfId="2384" xr:uid="{B7B981F4-DF57-4002-85F4-44FE7FF2F4DF}"/>
    <cellStyle name="Notiz 2 50" xfId="23753" xr:uid="{EECA624E-784A-4290-B224-47E31AD57775}"/>
    <cellStyle name="Notiz 2 51" xfId="24652" xr:uid="{459CB670-1AA7-4E63-8E87-6226F4B6064F}"/>
    <cellStyle name="Notiz 2 52" xfId="24120" xr:uid="{F2282390-9AB9-4AAA-AC84-6D4A8644D8E4}"/>
    <cellStyle name="Notiz 2 53" xfId="25570" xr:uid="{809B95F6-92D4-4E18-BE9E-9F2D2A3AEDA1}"/>
    <cellStyle name="Notiz 2 54" xfId="25009" xr:uid="{7E9F0809-9B7D-417B-8A82-1A3E8621E0F5}"/>
    <cellStyle name="Notiz 2 55" xfId="26071" xr:uid="{667F00BB-D8C2-43F0-ACE3-18D7959E12FD}"/>
    <cellStyle name="Notiz 2 56" xfId="26860" xr:uid="{AE64B8AB-F5A7-4AEC-A9CF-4B082F992354}"/>
    <cellStyle name="Notiz 2 57" xfId="27279" xr:uid="{D9198F8B-E2FE-4D4F-B626-FAC476CD2B3A}"/>
    <cellStyle name="Notiz 2 58" xfId="27693" xr:uid="{0A240B16-8261-479B-8410-9182679FC0B4}"/>
    <cellStyle name="Notiz 2 59" xfId="28402" xr:uid="{D908B800-8030-4A0F-A1A8-4771305C210C}"/>
    <cellStyle name="Notiz 2 6" xfId="2745" xr:uid="{6273044E-648C-4BF9-9C52-A21AC6646933}"/>
    <cellStyle name="Notiz 2 60" xfId="28870" xr:uid="{0D85A27D-6AE6-4746-B276-99617A79FF47}"/>
    <cellStyle name="Notiz 2 61" xfId="28169" xr:uid="{62703A29-1F88-4E99-B716-6DBBE2E53C29}"/>
    <cellStyle name="Notiz 2 62" xfId="29660" xr:uid="{8890ADDD-4A8A-49C5-88A1-2CF1489B4C41}"/>
    <cellStyle name="Notiz 2 63" xfId="30068" xr:uid="{C3855082-1925-4FB1-B20D-1210E189B15C}"/>
    <cellStyle name="Notiz 2 64" xfId="30482" xr:uid="{A2A401F9-B33B-4315-B809-CCC0CBD94209}"/>
    <cellStyle name="Notiz 2 65" xfId="29226" xr:uid="{ACE63E5C-E8A7-4854-9EA7-8D2BED8AB8DC}"/>
    <cellStyle name="Notiz 2 66" xfId="31106" xr:uid="{5173A69C-AE3A-4031-B257-44479879A8D4}"/>
    <cellStyle name="Notiz 2 7" xfId="3644" xr:uid="{1AA88912-6383-4133-B132-44BE4C0FE4C8}"/>
    <cellStyle name="Notiz 2 8" xfId="3880" xr:uid="{3BE067A3-70CE-41B7-8AF1-0E21A770DFEB}"/>
    <cellStyle name="Notiz 2 9" xfId="4318" xr:uid="{15D7DBDA-7474-440B-9A59-D5F7287A11D7}"/>
    <cellStyle name="Notiz 20" xfId="8568" xr:uid="{AAE65FE9-44AC-415C-9B2E-243B6C1DD715}"/>
    <cellStyle name="Notiz 21" xfId="8449" xr:uid="{E44CFF1B-10A4-4808-8F68-E0098EE56D1B}"/>
    <cellStyle name="Notiz 22" xfId="9119" xr:uid="{7D0510BF-A9D1-4F41-B859-231C06C743D7}"/>
    <cellStyle name="Notiz 23" xfId="9901" xr:uid="{D7C04B44-8217-4615-B6A1-354FDA26C050}"/>
    <cellStyle name="Notiz 24" xfId="10335" xr:uid="{06230CF7-B071-41D4-877F-0B0DE9186799}"/>
    <cellStyle name="Notiz 25" xfId="9057" xr:uid="{D46E5DB3-A259-4737-8B73-C75593B19533}"/>
    <cellStyle name="Notiz 26" xfId="11176" xr:uid="{0C730BB2-D0BC-486D-970B-DF3BB1838C53}"/>
    <cellStyle name="Notiz 27" xfId="11530" xr:uid="{69010959-46B8-4983-9241-20714B03328D}"/>
    <cellStyle name="Notiz 28" xfId="11515" xr:uid="{CC393AC9-6628-4203-A394-2E20192A43AF}"/>
    <cellStyle name="Notiz 29" xfId="12271" xr:uid="{71413AE6-73C7-4CA0-AA87-A6E767BF2A1E}"/>
    <cellStyle name="Notiz 3" xfId="624" xr:uid="{A59F5559-C1F4-407E-9BE8-7E990170AE0D}"/>
    <cellStyle name="Notiz 3 10" xfId="5031" xr:uid="{6E49445B-33F4-49DC-AD84-71ACA6D845AD}"/>
    <cellStyle name="Notiz 3 11" xfId="5272" xr:uid="{420B8439-C556-422C-834D-5EA245DD8F5B}"/>
    <cellStyle name="Notiz 3 12" xfId="5964" xr:uid="{2CE54535-E5B4-437D-AFAB-F73BA17788AC}"/>
    <cellStyle name="Notiz 3 13" xfId="6080" xr:uid="{78C4EB91-F3A8-4296-BD42-AFEE2F8D31B7}"/>
    <cellStyle name="Notiz 3 14" xfId="6614" xr:uid="{D4A6AA87-35B5-4C97-82F4-DBE5E4F01366}"/>
    <cellStyle name="Notiz 3 15" xfId="7344" xr:uid="{B34B4BC5-A326-4B92-AEEF-6E808632EFA2}"/>
    <cellStyle name="Notiz 3 16" xfId="7065" xr:uid="{BE3FD984-7F10-472D-BDD7-6C38F7F7881F}"/>
    <cellStyle name="Notiz 3 17" xfId="8439" xr:uid="{9A0FDCA0-40B3-4E9F-B65F-598B83C0F97D}"/>
    <cellStyle name="Notiz 3 18" xfId="8809" xr:uid="{2BF74FE9-CDF4-40F1-9EE7-89A0FCA6265E}"/>
    <cellStyle name="Notiz 3 19" xfId="9558" xr:uid="{18AC6F3D-8B01-4F3E-AEC2-C3D560A5A9F1}"/>
    <cellStyle name="Notiz 3 2" xfId="839" xr:uid="{AF81A8A4-8ED3-4571-BB97-D25922E304D2}"/>
    <cellStyle name="Notiz 3 2 10" xfId="5487" xr:uid="{09139607-270C-4905-A2E8-AA015F65996A}"/>
    <cellStyle name="Notiz 3 2 11" xfId="4702" xr:uid="{ACF88C63-CC66-44BC-A050-7B4B3078B2AA}"/>
    <cellStyle name="Notiz 3 2 12" xfId="6259" xr:uid="{C36C3D91-44B2-4B89-BD4D-F4F9EF6C3A51}"/>
    <cellStyle name="Notiz 3 2 13" xfId="5631" xr:uid="{73108BBE-1A11-4F17-B206-D59B8E755AE9}"/>
    <cellStyle name="Notiz 3 2 14" xfId="7559" xr:uid="{C48C9E66-2872-4E30-822F-3416DECB543D}"/>
    <cellStyle name="Notiz 3 2 15" xfId="6933" xr:uid="{B9BB8C16-CB2C-4DF8-AD8D-96D7CB9FE748}"/>
    <cellStyle name="Notiz 3 2 16" xfId="8475" xr:uid="{8B4E9822-A8DB-4DB5-BA71-58B61DF509B8}"/>
    <cellStyle name="Notiz 3 2 17" xfId="8659" xr:uid="{31F4BDAF-997E-4DAF-94D4-AF884DFEB332}"/>
    <cellStyle name="Notiz 3 2 18" xfId="9773" xr:uid="{DFED518E-8518-4AAA-9F32-1F4DDB5DA81B}"/>
    <cellStyle name="Notiz 3 2 19" xfId="9036" xr:uid="{EEDF8E4F-F448-4791-9E4B-F52A02E6E119}"/>
    <cellStyle name="Notiz 3 2 2" xfId="1313" xr:uid="{87B891AF-A0C9-4C4D-B850-0F605BA23707}"/>
    <cellStyle name="Notiz 3 2 20" xfId="9140" xr:uid="{C44F0B65-9436-4039-AFBF-C37111D9FEEC}"/>
    <cellStyle name="Notiz 3 2 21" xfId="10865" xr:uid="{550A103B-77F4-4085-974A-0AA714B1517E}"/>
    <cellStyle name="Notiz 3 2 22" xfId="11259" xr:uid="{ED18C3C9-EB23-4E30-84D2-18DFF9CEB2EC}"/>
    <cellStyle name="Notiz 3 2 23" xfId="12192" xr:uid="{879E5E09-68E7-4FF5-99F7-664D132238CA}"/>
    <cellStyle name="Notiz 3 2 24" xfId="12665" xr:uid="{DE44BA12-20A5-49DB-8800-613C45E208E4}"/>
    <cellStyle name="Notiz 3 2 25" xfId="13099" xr:uid="{D1766E4E-8442-49C7-BE26-A0576B5A8772}"/>
    <cellStyle name="Notiz 3 2 26" xfId="13536" xr:uid="{8C717708-4F82-470B-BCEF-D9A20E536160}"/>
    <cellStyle name="Notiz 3 2 27" xfId="13968" xr:uid="{955864B7-DAE6-4C26-A33B-4ECE443B2A77}"/>
    <cellStyle name="Notiz 3 2 28" xfId="11509" xr:uid="{58D961CE-1CB8-40A3-8193-8C3DA9AADCD8}"/>
    <cellStyle name="Notiz 3 2 29" xfId="14078" xr:uid="{50DC8E62-90E1-4ED3-A1FF-FAD05455ABAB}"/>
    <cellStyle name="Notiz 3 2 3" xfId="1762" xr:uid="{8332A57F-57FB-40D2-AF7B-496059E2BDE2}"/>
    <cellStyle name="Notiz 3 2 30" xfId="14788" xr:uid="{E1F3B226-4DD6-4DDE-92F2-1B751066CD88}"/>
    <cellStyle name="Notiz 3 2 31" xfId="15212" xr:uid="{BD8F4596-814F-4527-AA8C-3DAB146C8B38}"/>
    <cellStyle name="Notiz 3 2 32" xfId="15699" xr:uid="{3837EE92-B70B-40C2-B281-8C789A2376A3}"/>
    <cellStyle name="Notiz 3 2 33" xfId="16884" xr:uid="{4EACBDA5-A7FF-4641-9527-1E0FE1BCD82B}"/>
    <cellStyle name="Notiz 3 2 34" xfId="16251" xr:uid="{BF76E666-C2A3-46CD-84D8-675BFD27CF79}"/>
    <cellStyle name="Notiz 3 2 35" xfId="17242" xr:uid="{3589B562-8D52-4151-80B9-9EC909F38DA5}"/>
    <cellStyle name="Notiz 3 2 36" xfId="17960" xr:uid="{11E7AA0B-B0AC-4112-9C4C-EE78C6276D91}"/>
    <cellStyle name="Notiz 3 2 37" xfId="18702" xr:uid="{F25AE623-2BE3-4F83-BBC0-B92A1BE905C3}"/>
    <cellStyle name="Notiz 3 2 38" xfId="18290" xr:uid="{0647F803-F174-4FEF-82DD-CEDEC7CCB139}"/>
    <cellStyle name="Notiz 3 2 39" xfId="19197" xr:uid="{78DF98E5-9752-42DC-81E6-68E69CEE2209}"/>
    <cellStyle name="Notiz 3 2 4" xfId="2661" xr:uid="{55AAD347-4497-4094-9F73-D3AF9E04CD07}"/>
    <cellStyle name="Notiz 3 2 40" xfId="20221" xr:uid="{E10990D1-787D-4789-BE77-624682CC0756}"/>
    <cellStyle name="Notiz 3 2 41" xfId="19630" xr:uid="{B8995FA1-7B72-48A1-904A-CD02067851FD}"/>
    <cellStyle name="Notiz 3 2 42" xfId="20346" xr:uid="{2ECF60CA-87E4-4BFA-BB89-D872117F728C}"/>
    <cellStyle name="Notiz 3 2 43" xfId="20890" xr:uid="{7ED794A2-DA00-45E7-81CA-104DF8F15138}"/>
    <cellStyle name="Notiz 3 2 44" xfId="21370" xr:uid="{02A40982-B2B8-4884-870F-976E0352F9C3}"/>
    <cellStyle name="Notiz 3 2 45" xfId="21543" xr:uid="{E77D1EFC-59D4-4593-92A4-E5A6F0763CDC}"/>
    <cellStyle name="Notiz 3 2 46" xfId="22942" xr:uid="{BE626E98-D144-4B2F-93A8-9C089A486E88}"/>
    <cellStyle name="Notiz 3 2 47" xfId="22247" xr:uid="{96B0C48F-1F26-41DF-BC9F-0D4BCA5EFD79}"/>
    <cellStyle name="Notiz 3 2 48" xfId="23604" xr:uid="{E9AEA54D-AB54-4A05-8D16-D32927F47974}"/>
    <cellStyle name="Notiz 3 2 49" xfId="24021" xr:uid="{24BDC685-F9CE-438F-971A-74A0E625DE93}"/>
    <cellStyle name="Notiz 3 2 5" xfId="3138" xr:uid="{8EDFF658-9B02-4327-BBE5-9091BD96B922}"/>
    <cellStyle name="Notiz 3 2 50" xfId="24929" xr:uid="{0C9F5B49-B5EB-4A70-B3FE-FB3194DAF5F0}"/>
    <cellStyle name="Notiz 3 2 51" xfId="24346" xr:uid="{6FEA9137-435D-43F8-B9A4-C1090749E852}"/>
    <cellStyle name="Notiz 3 2 52" xfId="25845" xr:uid="{FE145D98-59DB-4463-A118-5F350309A268}"/>
    <cellStyle name="Notiz 3 2 53" xfId="26248" xr:uid="{8D66ADCC-5422-400A-BB84-75992756B07D}"/>
    <cellStyle name="Notiz 3 2 54" xfId="24438" xr:uid="{FAB341E6-6AC4-49FA-AB8B-6530685CDD22}"/>
    <cellStyle name="Notiz 3 2 55" xfId="27133" xr:uid="{84B75504-C66C-4F1F-8A61-BF0F125310D1}"/>
    <cellStyle name="Notiz 3 2 56" xfId="27552" xr:uid="{C89BC165-AE79-44E9-B1D3-86736DC71634}"/>
    <cellStyle name="Notiz 3 2 57" xfId="27801" xr:uid="{6E4DAA87-E2E4-4262-AE02-3CA779321E77}"/>
    <cellStyle name="Notiz 3 2 58" xfId="28679" xr:uid="{280EEBE4-A09A-4F99-B6BB-96B91BCADCFA}"/>
    <cellStyle name="Notiz 3 2 59" xfId="29146" xr:uid="{7BC51A94-BD28-4CD5-80BD-DFB5A8189743}"/>
    <cellStyle name="Notiz 3 2 6" xfId="2926" xr:uid="{29EA6DAB-DAEB-428F-AF9B-16033734CA7D}"/>
    <cellStyle name="Notiz 3 2 60" xfId="28314" xr:uid="{6B39604B-8248-4E34-B94E-F2C3D18BF403}"/>
    <cellStyle name="Notiz 3 2 61" xfId="29935" xr:uid="{57468826-6D1F-470A-8B1B-81778846F5A3}"/>
    <cellStyle name="Notiz 3 2 62" xfId="30341" xr:uid="{74B6578B-481B-4DBC-9836-B2F799852E26}"/>
    <cellStyle name="Notiz 3 2 63" xfId="30758" xr:uid="{1F0C998A-2EDF-4D84-A64C-2645E5876C99}"/>
    <cellStyle name="Notiz 3 2 64" xfId="29206" xr:uid="{521CF801-317D-4A9F-AD84-CEA728F1A218}"/>
    <cellStyle name="Notiz 3 2 65" xfId="31374" xr:uid="{EB0BCFD2-E19F-468A-8DBF-0E2E6893F570}"/>
    <cellStyle name="Notiz 3 2 7" xfId="4157" xr:uid="{F0601982-019A-4B72-BB72-7BA40867C88A}"/>
    <cellStyle name="Notiz 3 2 8" xfId="4594" xr:uid="{118C6DA2-57DD-4809-BD59-D7CFDF7795C7}"/>
    <cellStyle name="Notiz 3 2 9" xfId="4249" xr:uid="{3F703EA7-59CB-441B-A2AC-C0A2151819CC}"/>
    <cellStyle name="Notiz 3 20" xfId="9278" xr:uid="{FAFB7029-698E-4DC6-8214-9C844012E527}"/>
    <cellStyle name="Notiz 3 21" xfId="10020" xr:uid="{03B02995-1C3B-4E5B-912D-30A594AFBFB2}"/>
    <cellStyle name="Notiz 3 22" xfId="10760" xr:uid="{53E9B9FF-ECAA-4C5C-95BD-4B493A30CC92}"/>
    <cellStyle name="Notiz 3 23" xfId="10017" xr:uid="{84F89747-FD8F-49FD-A61D-E40D6536E17F}"/>
    <cellStyle name="Notiz 3 24" xfId="11977" xr:uid="{80D0AB73-3138-4FFD-B289-1773F3343188}"/>
    <cellStyle name="Notiz 3 25" xfId="12450" xr:uid="{5856EB7C-C669-4248-A569-267D117DC45B}"/>
    <cellStyle name="Notiz 3 26" xfId="12884" xr:uid="{C6B83689-8D3F-4168-873A-1CEF5D4231F9}"/>
    <cellStyle name="Notiz 3 27" xfId="13321" xr:uid="{A4AC4CE3-3722-4F14-BEC4-95996D083991}"/>
    <cellStyle name="Notiz 3 28" xfId="13816" xr:uid="{37A82B5B-C883-4ED8-A0BE-0850A0608CE0}"/>
    <cellStyle name="Notiz 3 29" xfId="14245" xr:uid="{4BB44AA8-C697-4E5E-894A-9BBFF4B70D9B}"/>
    <cellStyle name="Notiz 3 3" xfId="1107" xr:uid="{903AF3AD-89B6-434F-BFE8-3CE55CBCB0D6}"/>
    <cellStyle name="Notiz 3 30" xfId="14643" xr:uid="{A87B2A91-22CD-4D63-BE19-BB75E56E59B9}"/>
    <cellStyle name="Notiz 3 31" xfId="15070" xr:uid="{96FA7658-BDE2-4C88-AE53-8E09B9036D0B}"/>
    <cellStyle name="Notiz 3 32" xfId="11563" xr:uid="{AD441B70-D3AB-449E-8671-A5FC7AC047A2}"/>
    <cellStyle name="Notiz 3 33" xfId="15454" xr:uid="{6534A335-2958-4D06-ADF3-D3FB79F65C9F}"/>
    <cellStyle name="Notiz 3 34" xfId="16669" xr:uid="{A5EB01B5-21CA-415E-B525-CBEB935A851D}"/>
    <cellStyle name="Notiz 3 35" xfId="16387" xr:uid="{F3DA3DDA-FAA9-4802-87F1-A7A7488EC85E}"/>
    <cellStyle name="Notiz 3 36" xfId="17137" xr:uid="{982F0660-ACA7-4F01-9B5D-0EFDE9872FEA}"/>
    <cellStyle name="Notiz 3 37" xfId="16143" xr:uid="{63135D1F-8076-43C0-8FD4-0A58E024B0B0}"/>
    <cellStyle name="Notiz 3 38" xfId="18487" xr:uid="{07A4DFE5-8F8F-4D06-87A2-137CA2FBFC98}"/>
    <cellStyle name="Notiz 3 39" xfId="19029" xr:uid="{26A0AFE1-3AE8-49CB-B966-D61FF4BC972D}"/>
    <cellStyle name="Notiz 3 4" xfId="1370" xr:uid="{6F3500BD-1044-45D3-9993-8F37407C6B5C}"/>
    <cellStyle name="Notiz 3 40" xfId="19253" xr:uid="{94BB853A-B34A-4DA7-92DB-57ED4359BA78}"/>
    <cellStyle name="Notiz 3 41" xfId="20006" xr:uid="{4F5453C2-F8D7-404C-97D3-493A314E471B}"/>
    <cellStyle name="Notiz 3 42" xfId="19721" xr:uid="{5B3B34C8-78CF-423E-B872-659A099B091D}"/>
    <cellStyle name="Notiz 3 43" xfId="20304" xr:uid="{3E298C72-E0C4-4C5A-A0A9-8F59C24BCCDA}"/>
    <cellStyle name="Notiz 3 44" xfId="21285" xr:uid="{C661B844-A207-427F-AE40-7560DA5E6E0B}"/>
    <cellStyle name="Notiz 3 45" xfId="21366" xr:uid="{0593824E-7839-4221-B27A-3A94D70DEB43}"/>
    <cellStyle name="Notiz 3 46" xfId="20356" xr:uid="{0A06D1CD-812C-4C53-9D29-D051F4798973}"/>
    <cellStyle name="Notiz 3 47" xfId="22805" xr:uid="{0C0A3115-A947-467F-B9E5-648939F7D57D}"/>
    <cellStyle name="Notiz 3 48" xfId="23307" xr:uid="{DBE182CC-3C11-4B2A-879F-45608B5960AC}"/>
    <cellStyle name="Notiz 3 49" xfId="21299" xr:uid="{696064BB-E97B-4E83-8B1D-B48A25B404CF}"/>
    <cellStyle name="Notiz 3 5" xfId="2446" xr:uid="{1B973AAA-8750-442C-8E0E-0D9D2F57029B}"/>
    <cellStyle name="Notiz 3 50" xfId="23815" xr:uid="{DC5065DE-99CE-4AE0-97F9-9E541B66CA51}"/>
    <cellStyle name="Notiz 3 51" xfId="24714" xr:uid="{DD7CC641-883A-4517-B64C-41F246CD5889}"/>
    <cellStyle name="Notiz 3 52" xfId="24489" xr:uid="{7276D59D-21E3-4745-8E23-C6168BAD7F55}"/>
    <cellStyle name="Notiz 3 53" xfId="25632" xr:uid="{8BD23B0C-2131-4F90-BBE4-FB88C42117A3}"/>
    <cellStyle name="Notiz 3 54" xfId="26025" xr:uid="{9CD75FE8-1060-4F5E-A2F7-078551190ED4}"/>
    <cellStyle name="Notiz 3 55" xfId="26171" xr:uid="{71E4B8D7-F533-4EE2-A27C-4440173BF6F2}"/>
    <cellStyle name="Notiz 3 56" xfId="26922" xr:uid="{17514C20-F708-4811-AF2D-80BD4FD6D3F1}"/>
    <cellStyle name="Notiz 3 57" xfId="27341" xr:uid="{B62C9958-1A1E-4E1A-BB38-3F1E86D61EDA}"/>
    <cellStyle name="Notiz 3 58" xfId="27633" xr:uid="{B802EE75-886B-4EDA-B5EC-B5448920F76E}"/>
    <cellStyle name="Notiz 3 59" xfId="28464" xr:uid="{B68D3772-1F18-4D1C-8997-171C9BE6CA70}"/>
    <cellStyle name="Notiz 3 6" xfId="2982" xr:uid="{84BE2105-A15E-4F57-B27E-F753DDDE0888}"/>
    <cellStyle name="Notiz 3 60" xfId="28932" xr:uid="{AD952670-9F70-4C10-A395-21A00038A38B}"/>
    <cellStyle name="Notiz 3 61" xfId="28798" xr:uid="{BB164AD3-0E3C-4B79-B6CD-E1E82B21B6A0}"/>
    <cellStyle name="Notiz 3 62" xfId="29722" xr:uid="{8570708A-AC8A-4A56-B79D-3B4B3B967B17}"/>
    <cellStyle name="Notiz 3 63" xfId="30130" xr:uid="{D6BA7191-EC3D-492E-BC1E-D30A732B46BE}"/>
    <cellStyle name="Notiz 3 64" xfId="30544" xr:uid="{8FEE8876-0BF0-4271-AE85-CB2F3CC2ABB0}"/>
    <cellStyle name="Notiz 3 65" xfId="30931" xr:uid="{351387C3-8520-4CD7-B868-DF02C45EABFC}"/>
    <cellStyle name="Notiz 3 66" xfId="31168" xr:uid="{4FA15B35-5242-4472-BFD0-34836783E036}"/>
    <cellStyle name="Notiz 3 7" xfId="1932" xr:uid="{89C63A21-A39D-42E9-9A39-3A3638DC9D4D}"/>
    <cellStyle name="Notiz 3 8" xfId="3942" xr:uid="{0373F002-9E43-4C12-BEA5-5E181B242B28}"/>
    <cellStyle name="Notiz 3 9" xfId="4380" xr:uid="{0E798BC8-2986-4ADF-9D8B-72D04E213A46}"/>
    <cellStyle name="Notiz 30" xfId="11541" xr:uid="{D57390E0-3175-4FF3-BB93-9A44B0692AC3}"/>
    <cellStyle name="Notiz 31" xfId="12251" xr:uid="{3C6B85F7-F97B-4D79-ABD6-584C42E1D2A1}"/>
    <cellStyle name="Notiz 32" xfId="13600" xr:uid="{5B525CD9-7C2E-4D73-BA84-85B0E2E1B735}"/>
    <cellStyle name="Notiz 33" xfId="14317" xr:uid="{B1546192-49E9-46F3-9C7A-878E50D57641}"/>
    <cellStyle name="Notiz 34" xfId="15136" xr:uid="{A6D093DB-C209-4B5C-8D15-AE0439E60286}"/>
    <cellStyle name="Notiz 35" xfId="14803" xr:uid="{191AC647-3366-4A64-B0C4-E9D5D9C89D94}"/>
    <cellStyle name="Notiz 36" xfId="15715" xr:uid="{0FCA948C-E863-48EB-A7B5-A5B4DE451C48}"/>
    <cellStyle name="Notiz 37" xfId="16223" xr:uid="{B3C31B62-B22D-4089-AF87-D88CA077ED6C}"/>
    <cellStyle name="Notiz 38" xfId="17015" xr:uid="{95D04B25-2E45-41B9-9CAF-4ACFB87FAA47}"/>
    <cellStyle name="Notiz 39" xfId="17460" xr:uid="{1DAE5E6C-E07B-470B-9318-500F51A09224}"/>
    <cellStyle name="Notiz 4" xfId="593" xr:uid="{E942EFC5-DF07-4E0C-8F07-195890B5CC78}"/>
    <cellStyle name="Notiz 4 10" xfId="4734" xr:uid="{DF5AED1A-E62B-44DF-AE25-FAF740E85AF4}"/>
    <cellStyle name="Notiz 4 11" xfId="5241" xr:uid="{B73ED449-49EA-482E-AF73-ED24BF92A7AA}"/>
    <cellStyle name="Notiz 4 12" xfId="5880" xr:uid="{5A0AE0FD-69B8-4D32-A794-E5917D768C0A}"/>
    <cellStyle name="Notiz 4 13" xfId="6212" xr:uid="{6A44096D-E26B-4FA3-98E7-CADDF283CC38}"/>
    <cellStyle name="Notiz 4 14" xfId="6444" xr:uid="{62655043-C709-4DBE-BCFB-D71B4982BE7E}"/>
    <cellStyle name="Notiz 4 15" xfId="7313" xr:uid="{876CC872-114D-4455-9D85-D8FD7F9A2AF7}"/>
    <cellStyle name="Notiz 4 16" xfId="7767" xr:uid="{944C215B-BD6F-423E-9E33-7FC900908F3C}"/>
    <cellStyle name="Notiz 4 17" xfId="6891" xr:uid="{14AA0618-3673-4DE9-BF52-E30133DF8B6C}"/>
    <cellStyle name="Notiz 4 18" xfId="8605" xr:uid="{52AE547D-1352-4581-804A-A5DE99584FDF}"/>
    <cellStyle name="Notiz 4 19" xfId="9527" xr:uid="{7837FCEC-B1E7-43AE-BC2F-3E6D81E62FA3}"/>
    <cellStyle name="Notiz 4 2" xfId="808" xr:uid="{79018637-3A4F-4E8E-A064-9525EBA8A2AF}"/>
    <cellStyle name="Notiz 4 2 10" xfId="5456" xr:uid="{9A91E2EE-8EB0-4D38-90E9-992379E62A2D}"/>
    <cellStyle name="Notiz 4 2 11" xfId="5869" xr:uid="{EA9F4B93-8CBB-4877-8BBE-5E5A277A1471}"/>
    <cellStyle name="Notiz 4 2 12" xfId="5715" xr:uid="{A4D109EF-63C8-42DD-A9A1-D0261F367748}"/>
    <cellStyle name="Notiz 4 2 13" xfId="6653" xr:uid="{A2754584-E19E-49E1-81D0-A431405A4417}"/>
    <cellStyle name="Notiz 4 2 14" xfId="7528" xr:uid="{44152CA4-6868-45DE-86FD-EE452F12C813}"/>
    <cellStyle name="Notiz 4 2 15" xfId="7037" xr:uid="{7DAA2198-3D7C-42D8-944F-0DE5A4D6050E}"/>
    <cellStyle name="Notiz 4 2 16" xfId="7848" xr:uid="{01D24D45-4A33-4242-A82C-8577ECDB09F6}"/>
    <cellStyle name="Notiz 4 2 17" xfId="8460" xr:uid="{E8D3731C-1D31-4F21-8D9F-CADEF9F0F038}"/>
    <cellStyle name="Notiz 4 2 18" xfId="9742" xr:uid="{81FE96E4-EF6B-4473-8FAE-9F7191FC5F80}"/>
    <cellStyle name="Notiz 4 2 19" xfId="9250" xr:uid="{7764B9B4-2396-4C7F-94C0-7BFE4E66D065}"/>
    <cellStyle name="Notiz 4 2 2" xfId="1282" xr:uid="{87BE61D7-8705-4470-B1CE-33400A9FA117}"/>
    <cellStyle name="Notiz 4 2 20" xfId="9942" xr:uid="{F60DAB4E-84AE-4C27-8617-2E0CBA83F32D}"/>
    <cellStyle name="Notiz 4 2 21" xfId="10911" xr:uid="{108F737A-7EEB-4322-8D03-DDF38FFE9247}"/>
    <cellStyle name="Notiz 4 2 22" xfId="10113" xr:uid="{A01E7897-E832-4FED-80F4-9304E28F1B6D}"/>
    <cellStyle name="Notiz 4 2 23" xfId="12161" xr:uid="{D458E612-19B4-406B-86DE-E54B145BF6F1}"/>
    <cellStyle name="Notiz 4 2 24" xfId="12634" xr:uid="{0F5FBCC4-24CA-48E4-A35C-3651D98E6489}"/>
    <cellStyle name="Notiz 4 2 25" xfId="13068" xr:uid="{01C03B51-F87F-47C9-8324-2CEDBEFF7056}"/>
    <cellStyle name="Notiz 4 2 26" xfId="13505" xr:uid="{EE8E940F-A49C-4688-A8F2-CC34EAF1EB30}"/>
    <cellStyle name="Notiz 4 2 27" xfId="13865" xr:uid="{324C85DF-8F6C-4A1C-9A38-7AB7821C668F}"/>
    <cellStyle name="Notiz 4 2 28" xfId="13751" xr:uid="{42A6CFD9-A7CE-421E-8DF3-22AF0A44CE50}"/>
    <cellStyle name="Notiz 4 2 29" xfId="14266" xr:uid="{4D74B37A-C744-4D0F-8A69-93624DA309D1}"/>
    <cellStyle name="Notiz 4 2 3" xfId="1423" xr:uid="{1BBE9F9A-22F9-4398-98EA-22A21B2BE9CE}"/>
    <cellStyle name="Notiz 4 2 30" xfId="14306" xr:uid="{AE7A64B2-6A38-462D-ADE5-CAFA190D6DA2}"/>
    <cellStyle name="Notiz 4 2 31" xfId="15683" xr:uid="{C8C6A368-2C97-41FB-A002-5D73FE59B47D}"/>
    <cellStyle name="Notiz 4 2 32" xfId="15247" xr:uid="{967BEF6A-A8D6-47AE-A40F-F49950A96E79}"/>
    <cellStyle name="Notiz 4 2 33" xfId="16853" xr:uid="{012F2BED-54F6-4E0C-AB3C-2326E32025A9}"/>
    <cellStyle name="Notiz 4 2 34" xfId="16360" xr:uid="{BD79492C-C1FC-4078-851D-1DE02E038A50}"/>
    <cellStyle name="Notiz 4 2 35" xfId="17056" xr:uid="{E9044354-555A-494E-AC5C-4C0A56B2E6C7}"/>
    <cellStyle name="Notiz 4 2 36" xfId="17656" xr:uid="{F75827B4-E0FF-497C-9C41-F544207C236F}"/>
    <cellStyle name="Notiz 4 2 37" xfId="18671" xr:uid="{FA4A9576-C67D-4BE0-8E29-B31E6FB5A544}"/>
    <cellStyle name="Notiz 4 2 38" xfId="18056" xr:uid="{46B67972-B980-476C-A5FF-1DDF44F0C470}"/>
    <cellStyle name="Notiz 4 2 39" xfId="19276" xr:uid="{1D8C0F02-0BF9-48DA-A1B5-1BE9638D71B4}"/>
    <cellStyle name="Notiz 4 2 4" xfId="2630" xr:uid="{051C8CC2-A194-4A77-B7A8-C1945B1A8DC0}"/>
    <cellStyle name="Notiz 4 2 40" xfId="20190" xr:uid="{625C32A6-4D57-48B8-88AA-E2F7BEC3C0A5}"/>
    <cellStyle name="Notiz 4 2 41" xfId="19693" xr:uid="{47737479-C22F-49C8-8550-0E8F72843522}"/>
    <cellStyle name="Notiz 4 2 42" xfId="20279" xr:uid="{9A2545CE-EA64-438D-8F84-CB5888331DE6}"/>
    <cellStyle name="Notiz 4 2 43" xfId="20718" xr:uid="{53805F3E-CF69-44CE-8865-351AEB3A47F2}"/>
    <cellStyle name="Notiz 4 2 44" xfId="20590" xr:uid="{EB2DA6D4-4DA2-4476-A551-B067ACC6BEB0}"/>
    <cellStyle name="Notiz 4 2 45" xfId="21856" xr:uid="{7F6C7792-957B-4D13-B8F6-7714D8126B3A}"/>
    <cellStyle name="Notiz 4 2 46" xfId="22848" xr:uid="{8891E540-2B5D-4E75-BF73-3E516E66FD40}"/>
    <cellStyle name="Notiz 4 2 47" xfId="22826" xr:uid="{E67B1F0B-C830-4686-8575-0E74F17C49A5}"/>
    <cellStyle name="Notiz 4 2 48" xfId="23480" xr:uid="{0F19627C-AEC4-4C3C-ADC0-9BEEAACF3373}"/>
    <cellStyle name="Notiz 4 2 49" xfId="23990" xr:uid="{9B5A7673-5261-4214-9DA9-F776461C104A}"/>
    <cellStyle name="Notiz 4 2 5" xfId="3031" xr:uid="{6342F6D1-EA75-4A68-AE26-820DA38008B1}"/>
    <cellStyle name="Notiz 4 2 50" xfId="24898" xr:uid="{3E4DE7CD-36C2-4C24-9620-90D37CE244B4}"/>
    <cellStyle name="Notiz 4 2 51" xfId="24408" xr:uid="{26DB6E2D-95B6-443B-86A9-5165806F76D0}"/>
    <cellStyle name="Notiz 4 2 52" xfId="25814" xr:uid="{42061143-1E1B-4C53-A420-8CEB89020A3A}"/>
    <cellStyle name="Notiz 4 2 53" xfId="25086" xr:uid="{B62A1BF0-CF23-4E57-872C-8340F39A0BC3}"/>
    <cellStyle name="Notiz 4 2 54" xfId="26577" xr:uid="{035769E6-14C1-4E45-A29D-9577B8F04E98}"/>
    <cellStyle name="Notiz 4 2 55" xfId="27102" xr:uid="{DF8F86B5-34EE-4EE5-8FA3-58DB9BE3841F}"/>
    <cellStyle name="Notiz 4 2 56" xfId="27521" xr:uid="{F362D88D-142B-4C14-B69E-D73713CB1187}"/>
    <cellStyle name="Notiz 4 2 57" xfId="26698" xr:uid="{97D684B5-554A-4BDE-A70E-9B4CF2541CF4}"/>
    <cellStyle name="Notiz 4 2 58" xfId="28648" xr:uid="{2F3B43F6-3E50-4616-BE02-7529FCB3B35A}"/>
    <cellStyle name="Notiz 4 2 59" xfId="29115" xr:uid="{1DA567E1-C8C6-4B9F-9E54-C81DF1D6D569}"/>
    <cellStyle name="Notiz 4 2 6" xfId="3562" xr:uid="{399E1CDB-C63C-46E3-87AC-2B5130ABC355}"/>
    <cellStyle name="Notiz 4 2 60" xfId="28794" xr:uid="{16DA0FCA-E4AE-4DA1-83D8-E57BAC2D4648}"/>
    <cellStyle name="Notiz 4 2 61" xfId="29904" xr:uid="{7B543A08-3093-408A-B6BE-223F8ED22240}"/>
    <cellStyle name="Notiz 4 2 62" xfId="30310" xr:uid="{173F3A90-E864-4141-B213-9FDECFA02CDD}"/>
    <cellStyle name="Notiz 4 2 63" xfId="30727" xr:uid="{72760BE4-367C-4F6B-9114-B65DA6683F4C}"/>
    <cellStyle name="Notiz 4 2 64" xfId="30412" xr:uid="{D4BE8236-5A5D-4227-85F4-A1270CE1B753}"/>
    <cellStyle name="Notiz 4 2 65" xfId="31343" xr:uid="{9EF406A4-585B-485F-AD65-EABFB1378EAF}"/>
    <cellStyle name="Notiz 4 2 7" xfId="4126" xr:uid="{C79272D2-9F46-48DB-A32E-7E65FCF54A2A}"/>
    <cellStyle name="Notiz 4 2 8" xfId="4563" xr:uid="{DC2877B1-3B0B-429C-9166-89835DC0A3F5}"/>
    <cellStyle name="Notiz 4 2 9" xfId="2307" xr:uid="{4FDF5D07-3EF7-424C-A8AA-259917816F4B}"/>
    <cellStyle name="Notiz 4 20" xfId="9980" xr:uid="{DDA4477D-1349-44CF-88C3-4DC30AA2F068}"/>
    <cellStyle name="Notiz 4 21" xfId="10407" xr:uid="{8CBAEBF8-22C9-4952-BB31-5255CA561170}"/>
    <cellStyle name="Notiz 4 22" xfId="10917" xr:uid="{2F63AB34-76C3-44D5-B7C6-3A27F08477C3}"/>
    <cellStyle name="Notiz 4 23" xfId="11145" xr:uid="{3C14F567-450E-47A1-919E-E0316656C996}"/>
    <cellStyle name="Notiz 4 24" xfId="11946" xr:uid="{2834ACC5-36D1-4148-91EB-BCF34F4FE29F}"/>
    <cellStyle name="Notiz 4 25" xfId="12419" xr:uid="{02C6D6FA-D4ED-4149-ABA8-E6493CDBAB66}"/>
    <cellStyle name="Notiz 4 26" xfId="12853" xr:uid="{76436F77-5308-4E29-9D5F-2EF1F67ED73E}"/>
    <cellStyle name="Notiz 4 27" xfId="13290" xr:uid="{5B5E5268-7699-4523-A1E4-F928EBD536AB}"/>
    <cellStyle name="Notiz 4 28" xfId="13774" xr:uid="{D2A3FE85-0E10-47AA-93D3-62B7D6FC72E3}"/>
    <cellStyle name="Notiz 4 29" xfId="14403" xr:uid="{69EC813B-293B-4712-BE2C-E596A7FBDA84}"/>
    <cellStyle name="Notiz 4 3" xfId="1076" xr:uid="{EBB92E02-80B6-40EB-AD20-3FF92FA9D05C}"/>
    <cellStyle name="Notiz 4 30" xfId="14657" xr:uid="{85BB316E-E97C-4677-BAFA-E243241CBB2E}"/>
    <cellStyle name="Notiz 4 31" xfId="14900" xr:uid="{9D6D85F2-735A-4B69-A853-4611B5E60EC4}"/>
    <cellStyle name="Notiz 4 32" xfId="14515" xr:uid="{750CD918-F9B8-4E48-ADED-5AB4F7022911}"/>
    <cellStyle name="Notiz 4 33" xfId="15841" xr:uid="{BF9587AB-F222-4BB7-B838-C28641524E6F}"/>
    <cellStyle name="Notiz 4 34" xfId="16638" xr:uid="{49C59D92-8669-4B6A-AC52-D42437573809}"/>
    <cellStyle name="Notiz 4 35" xfId="17095" xr:uid="{A619DA07-3AFF-45B7-BC32-84DE48ACD4A5}"/>
    <cellStyle name="Notiz 4 36" xfId="17543" xr:uid="{C2681894-EA22-4ACE-9B8E-2662BD13BDDA}"/>
    <cellStyle name="Notiz 4 37" xfId="17437" xr:uid="{6F2138D2-79F2-46A3-86D2-376F07A81DC0}"/>
    <cellStyle name="Notiz 4 38" xfId="18456" xr:uid="{CB5C0183-C50C-4B8A-88E1-8C480D12D560}"/>
    <cellStyle name="Notiz 4 39" xfId="19068" xr:uid="{EA82BB0B-2E24-40C5-8019-D19D9A862EF9}"/>
    <cellStyle name="Notiz 4 4" xfId="1730" xr:uid="{10BDF7F3-F4AE-45E7-9570-40406806187E}"/>
    <cellStyle name="Notiz 4 40" xfId="19296" xr:uid="{3BD4F408-9FDF-4E43-B59E-0964FD4586C4}"/>
    <cellStyle name="Notiz 4 41" xfId="19975" xr:uid="{2D0CDB43-3DA5-4873-B3C4-60DE1627DB13}"/>
    <cellStyle name="Notiz 4 42" xfId="20449" xr:uid="{0DD3A702-2F35-4B0C-BFD8-35519C05BC78}"/>
    <cellStyle name="Notiz 4 43" xfId="20901" xr:uid="{4DDEEF07-BD0C-4386-90B2-C788B86E19F0}"/>
    <cellStyle name="Notiz 4 44" xfId="21147" xr:uid="{79C956AD-8FC7-4F2E-8EB0-3BB8045CDFEA}"/>
    <cellStyle name="Notiz 4 45" xfId="21831" xr:uid="{D2E6DB8C-6E7D-4AB0-BE16-FFA57FAB8BE7}"/>
    <cellStyle name="Notiz 4 46" xfId="22267" xr:uid="{71B669BB-9522-4972-BECE-9D968A307871}"/>
    <cellStyle name="Notiz 4 47" xfId="22767" xr:uid="{52A775D1-24FD-499C-9ABF-9A3029750AA5}"/>
    <cellStyle name="Notiz 4 48" xfId="23343" xr:uid="{276CED05-F924-4B46-AB42-F84115089279}"/>
    <cellStyle name="Notiz 4 49" xfId="23485" xr:uid="{CEF8CCC6-A579-4CA9-AE73-B203558668B6}"/>
    <cellStyle name="Notiz 4 5" xfId="2415" xr:uid="{1F1DF65F-0F30-4917-A533-27CE1A6BEE55}"/>
    <cellStyle name="Notiz 4 50" xfId="23784" xr:uid="{C20534C0-8042-4530-9F80-5EBC0FC7311C}"/>
    <cellStyle name="Notiz 4 51" xfId="24683" xr:uid="{51AF0B2A-F741-43B1-8FDD-49A5274566C8}"/>
    <cellStyle name="Notiz 4 52" xfId="25156" xr:uid="{5CD8C8CA-ECE4-4991-A9B2-4151F80E1CF0}"/>
    <cellStyle name="Notiz 4 53" xfId="25601" xr:uid="{42D294B1-694C-45C0-A5FD-4AE77CB1D606}"/>
    <cellStyle name="Notiz 4 54" xfId="26072" xr:uid="{2E2A957E-E843-4BA8-B274-7B9E27FE8C61}"/>
    <cellStyle name="Notiz 4 55" xfId="26524" xr:uid="{28BF00D0-CC65-4D9E-BC8E-1E16043B70F1}"/>
    <cellStyle name="Notiz 4 56" xfId="26891" xr:uid="{879889E7-0370-4AC4-950C-E29FE2AD4BF6}"/>
    <cellStyle name="Notiz 4 57" xfId="27310" xr:uid="{E9E8764C-ED27-4F98-B9B7-7663B725C294}"/>
    <cellStyle name="Notiz 4 58" xfId="27805" xr:uid="{6F9F441A-FB59-42FD-9A00-8F9634880855}"/>
    <cellStyle name="Notiz 4 59" xfId="28433" xr:uid="{D0C7CB53-BCC7-4FEF-8F9E-D76C78BAA015}"/>
    <cellStyle name="Notiz 4 6" xfId="2941" xr:uid="{533E196A-1197-4927-B322-56768CA94712}"/>
    <cellStyle name="Notiz 4 60" xfId="28901" xr:uid="{ED0FF8B9-DF7A-4B45-A723-887CD16E8100}"/>
    <cellStyle name="Notiz 4 61" xfId="29306" xr:uid="{904A5D3B-0EA5-4325-BD26-1B8D95F974D0}"/>
    <cellStyle name="Notiz 4 62" xfId="29691" xr:uid="{1023C61B-9ABD-485F-88D9-154BB0E7B26E}"/>
    <cellStyle name="Notiz 4 63" xfId="30099" xr:uid="{A486FC16-2E15-47FA-9929-372E3BFDA739}"/>
    <cellStyle name="Notiz 4 64" xfId="30513" xr:uid="{644440B5-6F52-471F-AAD7-A05C3DDABF10}"/>
    <cellStyle name="Notiz 4 65" xfId="29441" xr:uid="{979AF03D-09CB-423A-808B-0CF8B790013F}"/>
    <cellStyle name="Notiz 4 66" xfId="31137" xr:uid="{2E2505FD-C584-46B6-825C-60F16DBA1EE3}"/>
    <cellStyle name="Notiz 4 7" xfId="3642" xr:uid="{53174182-ADB3-4732-8747-BBBD27EECE63}"/>
    <cellStyle name="Notiz 4 8" xfId="3911" xr:uid="{86BFB37D-9388-4F6F-AE11-F3629F267986}"/>
    <cellStyle name="Notiz 4 9" xfId="4349" xr:uid="{B32BD73E-1CB4-46C6-94EE-5C48953509C4}"/>
    <cellStyle name="Notiz 40" xfId="18146" xr:uid="{6F8AB78B-D83A-41B7-80FD-EBC02E5BCABB}"/>
    <cellStyle name="Notiz 41" xfId="18235" xr:uid="{8FB4E729-91DA-4DF1-B279-F148E38F35A6}"/>
    <cellStyle name="Notiz 42" xfId="18291" xr:uid="{EEDE0312-4FF6-450B-8E4A-932B9EA27A00}"/>
    <cellStyle name="Notiz 43" xfId="18884" xr:uid="{CE849FAA-DAE3-4F77-8553-C51DC9F04970}"/>
    <cellStyle name="Notiz 44" xfId="19556" xr:uid="{00AAE1E4-9B14-4CDC-9C04-351D704FDDF6}"/>
    <cellStyle name="Notiz 45" xfId="20364" xr:uid="{C066A62A-26D6-449E-B3CE-711C974C06F0}"/>
    <cellStyle name="Notiz 46" xfId="20819" xr:uid="{504C7B9B-B1CC-47F4-892B-01EF09079044}"/>
    <cellStyle name="Notiz 47" xfId="20614" xr:uid="{50B0AA8A-52C4-4CB2-A3CC-632E9E7566E1}"/>
    <cellStyle name="Notiz 48" xfId="21750" xr:uid="{2973AA7E-703E-4FA5-BDE8-85B33639F87E}"/>
    <cellStyle name="Notiz 49" xfId="22189" xr:uid="{589ACB6D-A2A7-4B34-A73A-23B9F2008E78}"/>
    <cellStyle name="Notiz 5" xfId="685" xr:uid="{B3A5177A-D8C9-45F6-9546-313626CBB132}"/>
    <cellStyle name="Notiz 5 10" xfId="5333" xr:uid="{7D7A5623-C3E2-44C6-9A04-6B2AABEEA7B0}"/>
    <cellStyle name="Notiz 5 11" xfId="5824" xr:uid="{9BD844F6-7F3D-450A-A444-2087D42DD915}"/>
    <cellStyle name="Notiz 5 12" xfId="4876" xr:uid="{46EB111D-C3DD-40EE-8E07-52555D0BACC7}"/>
    <cellStyle name="Notiz 5 13" xfId="6283" xr:uid="{D026D339-9442-44A0-AA2F-015AF9EFF344}"/>
    <cellStyle name="Notiz 5 14" xfId="7405" xr:uid="{91A0F35E-062A-4DB3-94CE-CCC3BC32F5E8}"/>
    <cellStyle name="Notiz 5 15" xfId="7831" xr:uid="{0AFF40A2-0F9F-4575-9F6A-78E53853EAB3}"/>
    <cellStyle name="Notiz 5 16" xfId="6805" xr:uid="{BCA181CC-EA88-4FED-8DB5-3C2D985AAD7C}"/>
    <cellStyle name="Notiz 5 17" xfId="8821" xr:uid="{1AC86335-625D-4F5B-BF1F-DDE75B1AA33D}"/>
    <cellStyle name="Notiz 5 18" xfId="9619" xr:uid="{312A73FB-EF8E-4D32-A8EE-A855B1EFCE31}"/>
    <cellStyle name="Notiz 5 19" xfId="10043" xr:uid="{047310DF-CC6F-4040-AEEF-2B2BED80BD06}"/>
    <cellStyle name="Notiz 5 2" xfId="1167" xr:uid="{A3FB22DE-5F5B-42E5-9476-4ADB0C2AFC36}"/>
    <cellStyle name="Notiz 5 20" xfId="10463" xr:uid="{F28025FE-F674-4E14-A052-DFC032A131CC}"/>
    <cellStyle name="Notiz 5 21" xfId="10915" xr:uid="{EFF79983-D29D-43A6-A7E6-C75B8F003E31}"/>
    <cellStyle name="Notiz 5 22" xfId="10164" xr:uid="{10552461-69AD-4BA4-9BD2-0F216A1468A8}"/>
    <cellStyle name="Notiz 5 23" xfId="12038" xr:uid="{6E9A0989-A527-4ED5-A3EC-AE6ED37A217B}"/>
    <cellStyle name="Notiz 5 24" xfId="12511" xr:uid="{FB25221B-FAD6-4CCD-9D17-77A77A33E791}"/>
    <cellStyle name="Notiz 5 25" xfId="12945" xr:uid="{CEAD597A-0BC0-4357-A65B-69EA297062A2}"/>
    <cellStyle name="Notiz 5 26" xfId="13382" xr:uid="{C6FCC066-CAA8-434B-9CCB-52323B6FC9F7}"/>
    <cellStyle name="Notiz 5 27" xfId="12496" xr:uid="{4FADADF4-F7FD-486D-A961-653D61BBA1F3}"/>
    <cellStyle name="Notiz 5 28" xfId="14301" xr:uid="{96D5FBD3-97D2-422A-9863-F32FBBB3296B}"/>
    <cellStyle name="Notiz 5 29" xfId="14697" xr:uid="{DE4D6299-CCCB-45DA-9F3E-9941EEFED96F}"/>
    <cellStyle name="Notiz 5 3" xfId="1682" xr:uid="{B2F0E43F-853B-4E41-A6A3-7A9E8D557983}"/>
    <cellStyle name="Notiz 5 30" xfId="14571" xr:uid="{61F3EDEA-7EF6-454F-9983-899F67DC2D5C}"/>
    <cellStyle name="Notiz 5 31" xfId="15519" xr:uid="{B771F10B-F271-4535-828A-788D83B262B4}"/>
    <cellStyle name="Notiz 5 32" xfId="15876" xr:uid="{A7F572B8-A27A-49E3-91F4-031F07A7D9BA}"/>
    <cellStyle name="Notiz 5 33" xfId="16730" xr:uid="{8FB7F0B5-F596-461A-8475-BAF341B850BC}"/>
    <cellStyle name="Notiz 5 34" xfId="17161" xr:uid="{981FC570-0199-4059-8109-D65783623B08}"/>
    <cellStyle name="Notiz 5 35" xfId="17606" xr:uid="{B110C33E-1144-48E4-94DE-D25AEC66626E}"/>
    <cellStyle name="Notiz 5 36" xfId="17468" xr:uid="{0A62B20C-DB85-43E4-8131-4C467D406F29}"/>
    <cellStyle name="Notiz 5 37" xfId="18548" xr:uid="{7234A2FA-23DC-416A-8E5A-635CDA1A543C}"/>
    <cellStyle name="Notiz 5 38" xfId="18956" xr:uid="{FB146BCC-E647-482E-918A-8751D342D939}"/>
    <cellStyle name="Notiz 5 39" xfId="19204" xr:uid="{3589E0B6-F632-4B3C-AA9D-AC2E0CE34CD7}"/>
    <cellStyle name="Notiz 5 4" xfId="2507" xr:uid="{256C5C34-251F-4CEE-9970-CAB2C69F0475}"/>
    <cellStyle name="Notiz 5 40" xfId="20067" xr:uid="{3DC43C1F-2AAA-471F-9B01-BFD97D8CCE39}"/>
    <cellStyle name="Notiz 5 41" xfId="20513" xr:uid="{3FE2244A-18A8-4F98-B79E-F87BE536179B}"/>
    <cellStyle name="Notiz 5 42" xfId="20966" xr:uid="{6D1085AC-9227-4343-90F0-149D975E01AB}"/>
    <cellStyle name="Notiz 5 43" xfId="21324" xr:uid="{610B55B7-5E2A-48A4-88D4-0CBC0D3CFAD0}"/>
    <cellStyle name="Notiz 5 44" xfId="21897" xr:uid="{94072791-7628-488F-8C27-320CA3DB6213}"/>
    <cellStyle name="Notiz 5 45" xfId="22333" xr:uid="{A1CE1010-DDE4-4FD8-9697-DB1A51FE41C9}"/>
    <cellStyle name="Notiz 5 46" xfId="21883" xr:uid="{6B8B777F-467F-481D-91AF-B8F59B4C1134}"/>
    <cellStyle name="Notiz 5 47" xfId="23244" xr:uid="{A4A7E019-544B-4D17-B36C-22A358B5D940}"/>
    <cellStyle name="Notiz 5 48" xfId="23483" xr:uid="{77D4A9E9-70A7-44B8-94CD-49BA13E58BF2}"/>
    <cellStyle name="Notiz 5 49" xfId="23875" xr:uid="{23488837-1671-43E7-B3B4-9F1620B61F06}"/>
    <cellStyle name="Notiz 5 5" xfId="1906" xr:uid="{BF3467ED-573E-4F7B-82D4-F2479037C912}"/>
    <cellStyle name="Notiz 5 50" xfId="24775" xr:uid="{C4930F1D-21CE-4392-9DD0-A4AAA8D785A1}"/>
    <cellStyle name="Notiz 5 51" xfId="25222" xr:uid="{97C9436A-E896-45EC-8980-EE6002CEFF29}"/>
    <cellStyle name="Notiz 5 52" xfId="25693" xr:uid="{76562F05-1A24-4D0E-BE00-66D13CC46F2F}"/>
    <cellStyle name="Notiz 5 53" xfId="24598" xr:uid="{2CD4640C-87D0-442E-B1F3-DC88AF5F26B2}"/>
    <cellStyle name="Notiz 5 54" xfId="26136" xr:uid="{39AA504E-03E5-4332-896D-188A505EE7D5}"/>
    <cellStyle name="Notiz 5 55" xfId="26983" xr:uid="{FE8D1710-5F09-4B87-AFCC-45B3428B031B}"/>
    <cellStyle name="Notiz 5 56" xfId="27402" xr:uid="{7DCC0344-3551-4BD4-B117-E2387EDCCF8D}"/>
    <cellStyle name="Notiz 5 57" xfId="27621" xr:uid="{F71B97E0-BB68-4353-B179-C24E4AD2EBF3}"/>
    <cellStyle name="Notiz 5 58" xfId="28525" xr:uid="{78C69C87-395A-46EF-A558-3D697A1EB57E}"/>
    <cellStyle name="Notiz 5 59" xfId="28993" xr:uid="{83BE8492-F1B3-4375-8A15-D02CA0986322}"/>
    <cellStyle name="Notiz 5 6" xfId="2961" xr:uid="{DCDB1402-DD1E-47E3-807E-84DCF6402CB0}"/>
    <cellStyle name="Notiz 5 60" xfId="29363" xr:uid="{12EBAA1F-7D63-414E-89D6-BEE8D80F6F7F}"/>
    <cellStyle name="Notiz 5 61" xfId="29783" xr:uid="{324BD779-94FF-4018-81A2-2B0EB01BC720}"/>
    <cellStyle name="Notiz 5 62" xfId="30190" xr:uid="{B4F7EE62-D3E3-45D2-9765-E6EDC0CBEF2A}"/>
    <cellStyle name="Notiz 5 63" xfId="30605" xr:uid="{1DD96716-C136-4B4E-B90C-DB4E130C3ABA}"/>
    <cellStyle name="Notiz 5 64" xfId="30998" xr:uid="{6E2E4689-3990-40BF-9777-B16390429055}"/>
    <cellStyle name="Notiz 5 65" xfId="31228" xr:uid="{1AB5875C-78C7-4D8F-9172-0E7DEE009133}"/>
    <cellStyle name="Notiz 5 7" xfId="4003" xr:uid="{1D04C36B-825D-4152-B079-41DB75437E9D}"/>
    <cellStyle name="Notiz 5 8" xfId="4441" xr:uid="{28CA3185-F94F-4C16-A1F6-45B878D83079}"/>
    <cellStyle name="Notiz 5 9" xfId="2801" xr:uid="{477A0A8A-27B6-411B-BD07-8B922910021B}"/>
    <cellStyle name="Notiz 50" xfId="22453" xr:uid="{07CCFBC7-95D7-4FF2-BCAF-213BCCD6CE66}"/>
    <cellStyle name="Notiz 51" xfId="22763" xr:uid="{8476A51B-6092-4A2A-BE46-C0310E953075}"/>
    <cellStyle name="Notiz 52" xfId="23229" xr:uid="{900266BB-A5BE-43D6-85F1-92CCAFFBE99C}"/>
    <cellStyle name="Notiz 53" xfId="23119" xr:uid="{D6A1EF9A-6E59-47BA-BE5F-065D07FFB232}"/>
    <cellStyle name="Notiz 54" xfId="24277" xr:uid="{568A11BC-5778-4576-8CB7-49FF038F4199}"/>
    <cellStyle name="Notiz 55" xfId="24480" xr:uid="{4057F1B6-F794-483B-BAF6-65AE71730ED9}"/>
    <cellStyle name="Notiz 56" xfId="24167" xr:uid="{C8B88F9A-8E9A-43DE-A5D5-83E60E88A985}"/>
    <cellStyle name="Notiz 57" xfId="24268" xr:uid="{3BB748CB-8B39-4625-AD27-16F5D55C93D6}"/>
    <cellStyle name="Notiz 58" xfId="26515" xr:uid="{7F46E96A-91DC-4152-A196-E7A85E48FFBC}"/>
    <cellStyle name="Notiz 59" xfId="25934" xr:uid="{759D5604-3F74-4048-9D79-AFCCE1B31C0F}"/>
    <cellStyle name="Notiz 6" xfId="928" xr:uid="{B37EE614-921A-410C-A661-CA200826F188}"/>
    <cellStyle name="Notiz 60" xfId="26774" xr:uid="{C134CF03-ADA5-48A1-9CA7-25DAC7E5223A}"/>
    <cellStyle name="Notiz 61" xfId="27610" xr:uid="{0FD26F0F-66E4-4DEC-B1CE-7947AA2FE4B2}"/>
    <cellStyle name="Notiz 62" xfId="28057" xr:uid="{D54A4F57-56C3-4C1C-8E2B-967075A36211}"/>
    <cellStyle name="Notiz 63" xfId="28045" xr:uid="{F68E4B24-F12C-4373-8B4C-E3B95AD96505}"/>
    <cellStyle name="Notiz 64" xfId="29233" xr:uid="{ADD4E2E2-EFB6-4527-909E-FA992E2AAFB1}"/>
    <cellStyle name="Notiz 65" xfId="28090" xr:uid="{4D9BFBEE-7E45-44A5-B084-E2C6CBC6E2EA}"/>
    <cellStyle name="Notiz 66" xfId="29472" xr:uid="{D334D8B4-8B7A-4A09-AB3A-ACB48416D8BE}"/>
    <cellStyle name="Notiz 67" xfId="29541" xr:uid="{06BAA373-9889-44FF-8112-D3A24484B10D}"/>
    <cellStyle name="Notiz 68" xfId="30819" xr:uid="{119FEE65-DD6B-4B12-A797-77226D3773E8}"/>
    <cellStyle name="Notiz 69" xfId="30940" xr:uid="{3B61C3F5-3E71-4456-886C-C01681E3A815}"/>
    <cellStyle name="Notiz 7" xfId="1595" xr:uid="{00B112B4-D5E0-4663-B4A0-415DD8B4D1ED}"/>
    <cellStyle name="Notiz 8" xfId="1999" xr:uid="{94C8227F-DBB5-43A0-BE6A-A888BA9846E6}"/>
    <cellStyle name="Notiz 9" xfId="1881" xr:uid="{2757A987-B64C-427F-877F-92AAC4D65AD2}"/>
    <cellStyle name="Output 2" xfId="173" xr:uid="{54E5C78E-FA75-4A1A-A773-E6D794C17B4C}"/>
    <cellStyle name="Output 2 10" xfId="3704" xr:uid="{758769B9-9E81-420B-94EC-16776FA7EFFF}"/>
    <cellStyle name="Output 2 11" xfId="2814" xr:uid="{A191694F-CF1E-4FA9-A2B7-16D5B172EE81}"/>
    <cellStyle name="Output 2 12" xfId="6907" xr:uid="{1751B2E2-C52A-4B84-A686-B4A681BF5B93}"/>
    <cellStyle name="Output 2 13" xfId="6837" xr:uid="{E8EB5741-AFE9-40BB-A462-87F07FDA2703}"/>
    <cellStyle name="Output 2 14" xfId="8254" xr:uid="{AD709863-C200-40E9-B9EF-ACD362320B5C}"/>
    <cellStyle name="Output 2 15" xfId="9120" xr:uid="{6375D6F2-B860-461E-A917-7BD8B184B956}"/>
    <cellStyle name="Output 2 16" xfId="9160" xr:uid="{04AF8DFF-C4D7-4B18-91B3-3E6BD12074D0}"/>
    <cellStyle name="Output 2 17" xfId="11531" xr:uid="{B0C8E407-B34D-49B4-9B47-8FA362FA3111}"/>
    <cellStyle name="Output 2 18" xfId="12274" xr:uid="{3AE4DC00-3DB3-48C5-941A-31A2A8A5D3B9}"/>
    <cellStyle name="Output 2 19" xfId="11783" xr:uid="{4163664B-ACA0-4FC7-A115-55E0A30425B4}"/>
    <cellStyle name="Output 2 2" xfId="563" xr:uid="{08525963-92DB-4CDB-940B-4F323842C13E}"/>
    <cellStyle name="Output 2 2 10" xfId="4872" xr:uid="{6622B35A-36EF-4F0C-B8BE-AA49D1863BE0}"/>
    <cellStyle name="Output 2 2 11" xfId="5211" xr:uid="{85BF37C7-E277-4C79-8E46-D644FCE3FA8C}"/>
    <cellStyle name="Output 2 2 12" xfId="5004" xr:uid="{82C2CA9E-C084-49EB-9513-7BB93B13108F}"/>
    <cellStyle name="Output 2 2 13" xfId="6263" xr:uid="{C9D8AACD-B894-4E6F-9533-1631A1DCF630}"/>
    <cellStyle name="Output 2 2 14" xfId="6110" xr:uid="{CFF71B36-AFC8-48BB-9087-A0880EBC5950}"/>
    <cellStyle name="Output 2 2 15" xfId="7283" xr:uid="{DE4DDDD6-CAE0-4F4A-9CF6-408147EF5FB3}"/>
    <cellStyle name="Output 2 2 16" xfId="7880" xr:uid="{AD7084CA-00F9-4ABB-B8F7-DDECDCDD8D67}"/>
    <cellStyle name="Output 2 2 17" xfId="8409" xr:uid="{600C9EFA-DA1F-490B-B928-3D09D5B01375}"/>
    <cellStyle name="Output 2 2 18" xfId="8555" xr:uid="{1BD15EC4-6D9D-4965-8BE6-40E8E2CBE929}"/>
    <cellStyle name="Output 2 2 19" xfId="9497" xr:uid="{18763CC5-1B15-4C31-8E71-BB1A7809FCBB}"/>
    <cellStyle name="Output 2 2 2" xfId="778" xr:uid="{3EA29027-84D7-4A9C-9CD6-6816CE5EF1EF}"/>
    <cellStyle name="Output 2 2 2 10" xfId="5426" xr:uid="{BBD9079B-C5BB-4874-8317-8433AF26A9B8}"/>
    <cellStyle name="Output 2 2 2 11" xfId="5608" xr:uid="{34295B09-5187-4817-9D98-E685288BFB35}"/>
    <cellStyle name="Output 2 2 2 12" xfId="5158" xr:uid="{05C3E35E-438D-4A12-805B-603310343CD0}"/>
    <cellStyle name="Output 2 2 2 13" xfId="6647" xr:uid="{BEE13D67-1655-47A1-A3CA-BBD765FE9A93}"/>
    <cellStyle name="Output 2 2 2 14" xfId="7498" xr:uid="{D6C394F2-C405-472D-9F84-28B8C89B7013}"/>
    <cellStyle name="Output 2 2 2 15" xfId="7199" xr:uid="{1EBBB384-8E12-4929-9705-B5DDDCD46A03}"/>
    <cellStyle name="Output 2 2 2 16" xfId="6971" xr:uid="{F7FC266A-1082-405F-BFD4-60F6F4E1A1AD}"/>
    <cellStyle name="Output 2 2 2 17" xfId="8805" xr:uid="{79BB9085-82F2-493D-BFB9-E9B1EA1B8041}"/>
    <cellStyle name="Output 2 2 2 18" xfId="9712" xr:uid="{DE4FC0F8-00E5-4988-B81B-2C0C82355155}"/>
    <cellStyle name="Output 2 2 2 19" xfId="9412" xr:uid="{B32971E2-5381-4826-8F65-1A030135FFA9}"/>
    <cellStyle name="Output 2 2 2 2" xfId="1252" xr:uid="{1D18125A-CCF5-42E4-8299-411F8A0B6FA8}"/>
    <cellStyle name="Output 2 2 2 20" xfId="9828" xr:uid="{F331E680-92AF-49EB-8D14-543B655FF7C6}"/>
    <cellStyle name="Output 2 2 2 21" xfId="10330" xr:uid="{02C96584-5298-411D-8882-B41BF766B3E4}"/>
    <cellStyle name="Output 2 2 2 22" xfId="11184" xr:uid="{789A5859-6FB9-495F-A566-88BBE43D8172}"/>
    <cellStyle name="Output 2 2 2 23" xfId="12131" xr:uid="{7986CFBB-9F87-4416-98A8-0CCFFB1E2CEB}"/>
    <cellStyle name="Output 2 2 2 24" xfId="12604" xr:uid="{E311312D-A380-435C-881B-AC039AE4908C}"/>
    <cellStyle name="Output 2 2 2 25" xfId="13038" xr:uid="{C6C11F51-1938-4D03-9FB8-82A8F4CE54C1}"/>
    <cellStyle name="Output 2 2 2 26" xfId="13475" xr:uid="{2C0628AE-91F3-4D7D-9807-2732FB6A1CED}"/>
    <cellStyle name="Output 2 2 2 27" xfId="13693" xr:uid="{ED3AA01B-334D-489D-BCC5-024EA4E3379D}"/>
    <cellStyle name="Output 2 2 2 28" xfId="14460" xr:uid="{E2CD5B5A-48DE-46B3-BF65-E06F58A820DC}"/>
    <cellStyle name="Output 2 2 2 29" xfId="14450" xr:uid="{462B342D-58EE-467D-969C-6CDEB1CF0868}"/>
    <cellStyle name="Output 2 2 2 3" xfId="1481" xr:uid="{D2A67954-6624-4BE7-AD0C-DDDCA7482C8E}"/>
    <cellStyle name="Output 2 2 2 30" xfId="14947" xr:uid="{000FA8D2-6C31-4E05-83F8-31EE5FF83D24}"/>
    <cellStyle name="Output 2 2 2 31" xfId="15361" xr:uid="{ED0BEE5C-62CA-4647-8E17-6CF702FDA583}"/>
    <cellStyle name="Output 2 2 2 32" xfId="15493" xr:uid="{BADB9766-0B53-432F-8D54-39E5CB46CDE6}"/>
    <cellStyle name="Output 2 2 2 33" xfId="16823" xr:uid="{3F2922BF-CEF1-4A11-A3DF-AF483B420646}"/>
    <cellStyle name="Output 2 2 2 34" xfId="16521" xr:uid="{01A4EB43-8E5D-4B9B-901E-8EA0278B8087}"/>
    <cellStyle name="Output 2 2 2 35" xfId="16941" xr:uid="{A367850A-1AF2-400C-AC8F-6EADBB14967B}"/>
    <cellStyle name="Output 2 2 2 36" xfId="17111" xr:uid="{2F555DC8-2898-4D64-B897-60096157A282}"/>
    <cellStyle name="Output 2 2 2 37" xfId="18641" xr:uid="{F1A7A61B-AD89-4DDA-BB9F-41C71FEB6821}"/>
    <cellStyle name="Output 2 2 2 38" xfId="18881" xr:uid="{EA688963-543F-49D1-BC1B-7B7427C9FC31}"/>
    <cellStyle name="Output 2 2 2 39" xfId="19201" xr:uid="{6FE4964E-D99C-4365-ACAC-922E4BEA3F3C}"/>
    <cellStyle name="Output 2 2 2 4" xfId="2600" xr:uid="{F2E0CAC8-9809-487A-BFBC-9FEC238EF510}"/>
    <cellStyle name="Output 2 2 2 40" xfId="20160" xr:uid="{137D97B3-D8C0-4108-A2E8-8A54CBCDBDD3}"/>
    <cellStyle name="Output 2 2 2 41" xfId="19857" xr:uid="{69C2E6A1-1609-44DE-AF3A-9592674D7B4A}"/>
    <cellStyle name="Output 2 2 2 42" xfId="20404" xr:uid="{CC5C6CDC-53CC-47EA-8D96-8B18A4AEBA98}"/>
    <cellStyle name="Output 2 2 2 43" xfId="21616" xr:uid="{0CE9FBF9-7A38-478B-9240-765338CB9395}"/>
    <cellStyle name="Output 2 2 2 44" xfId="20349" xr:uid="{2EE53F94-516C-4434-9E7B-B6A6B721A35A}"/>
    <cellStyle name="Output 2 2 2 45" xfId="21142" xr:uid="{D5E3843E-90AB-48E4-98CC-2A76E5F64D67}"/>
    <cellStyle name="Output 2 2 2 46" xfId="22690" xr:uid="{73B60C8E-46F5-4CCB-B9B4-63DABAA3A886}"/>
    <cellStyle name="Output 2 2 2 47" xfId="23156" xr:uid="{10F5FC92-EC7A-4706-9686-3280CFD2E712}"/>
    <cellStyle name="Output 2 2 2 48" xfId="22729" xr:uid="{149E01EB-65D4-4365-9231-2EBA95B5FD0A}"/>
    <cellStyle name="Output 2 2 2 49" xfId="23960" xr:uid="{0CF35896-1495-4386-930F-3EC3B89AC3CF}"/>
    <cellStyle name="Output 2 2 2 5" xfId="2858" xr:uid="{726746ED-4266-4640-82DD-134AD7EA95A9}"/>
    <cellStyle name="Output 2 2 2 50" xfId="24868" xr:uid="{6E88AA00-6FBE-4407-8D7E-7BE187E1B2E3}"/>
    <cellStyle name="Output 2 2 2 51" xfId="24563" xr:uid="{5F4C6D62-E5B3-4873-AB70-74CBCE6FB789}"/>
    <cellStyle name="Output 2 2 2 52" xfId="25784" xr:uid="{F6BDD7BA-066A-4AC4-AB7C-021E04AFB621}"/>
    <cellStyle name="Output 2 2 2 53" xfId="24272" xr:uid="{82E70C82-1ADF-44BE-8381-BEB02CC8518F}"/>
    <cellStyle name="Output 2 2 2 54" xfId="26641" xr:uid="{3FE70390-5AD8-4646-BDA4-67FA6853636A}"/>
    <cellStyle name="Output 2 2 2 55" xfId="27072" xr:uid="{27EE5371-96C3-4BF6-9B45-3261724170BC}"/>
    <cellStyle name="Output 2 2 2 56" xfId="27491" xr:uid="{00DE32D0-FAE2-4E10-94A9-F6658F3DCE94}"/>
    <cellStyle name="Output 2 2 2 57" xfId="27201" xr:uid="{1B45F83E-8F8C-4708-A7D9-DEBE410552D1}"/>
    <cellStyle name="Output 2 2 2 58" xfId="28618" xr:uid="{43B77AA5-6032-4937-9B75-B0B97BD96E4F}"/>
    <cellStyle name="Output 2 2 2 59" xfId="29085" xr:uid="{F3B6B809-2957-4CF6-8430-5BE5CB08597B}"/>
    <cellStyle name="Output 2 2 2 6" xfId="3326" xr:uid="{757A6556-5CDB-4E2D-BBEE-6875D1832DD2}"/>
    <cellStyle name="Output 2 2 2 60" xfId="28792" xr:uid="{D3087B7B-0EC9-4B88-A5FC-8AAC49A0FE12}"/>
    <cellStyle name="Output 2 2 2 61" xfId="29874" xr:uid="{A5428BBE-04B7-49B2-940F-F7D6583769F6}"/>
    <cellStyle name="Output 2 2 2 62" xfId="30280" xr:uid="{B542E5B9-070B-4448-A97E-F35A63C1D6E6}"/>
    <cellStyle name="Output 2 2 2 63" xfId="30697" xr:uid="{7D3EA1C0-C238-4E22-8E52-5E95B4FD8A9E}"/>
    <cellStyle name="Output 2 2 2 64" xfId="28186" xr:uid="{BADA5025-AB19-4A32-B94D-7310045F8316}"/>
    <cellStyle name="Output 2 2 2 65" xfId="31313" xr:uid="{B35C63C2-DE8E-4605-98CA-D5259607ADE8}"/>
    <cellStyle name="Output 2 2 2 7" xfId="4096" xr:uid="{5A028C78-7896-43EB-BA41-C2CCFC336C19}"/>
    <cellStyle name="Output 2 2 2 8" xfId="4533" xr:uid="{52946D6C-D0D1-4CBC-9D1A-9212706F576F}"/>
    <cellStyle name="Output 2 2 2 9" xfId="4881" xr:uid="{4ED702F5-5E75-4E90-AC16-39ABFB342440}"/>
    <cellStyle name="Output 2 2 20" xfId="10094" xr:uid="{030B6C3E-79FE-4297-919C-0E92E80DF58D}"/>
    <cellStyle name="Output 2 2 21" xfId="10509" xr:uid="{6A4C2528-1A01-41A6-BE0A-AD6B533567A3}"/>
    <cellStyle name="Output 2 2 22" xfId="10966" xr:uid="{791782B5-0DD5-4302-96E9-100B071083F4}"/>
    <cellStyle name="Output 2 2 23" xfId="10799" xr:uid="{7623AA97-731B-452B-A163-A586262E77C6}"/>
    <cellStyle name="Output 2 2 24" xfId="11916" xr:uid="{743A5753-484B-4C50-9334-D05375B9F744}"/>
    <cellStyle name="Output 2 2 25" xfId="12389" xr:uid="{B83079DF-E27F-48F0-9296-D813AB4D33CD}"/>
    <cellStyle name="Output 2 2 26" xfId="12823" xr:uid="{A5BFCB01-D681-4A96-AAA0-F197CF33F502}"/>
    <cellStyle name="Output 2 2 27" xfId="13260" xr:uid="{FFFFA12A-B90B-41DC-9FFD-471C7403BD06}"/>
    <cellStyle name="Output 2 2 28" xfId="11575" xr:uid="{665B14B9-1B97-4201-94C5-B14B8D89FA0B}"/>
    <cellStyle name="Output 2 2 29" xfId="14456" xr:uid="{C2A1A0C6-5E64-414D-8B4F-33C1068CAC81}"/>
    <cellStyle name="Output 2 2 3" xfId="1046" xr:uid="{7C9F6CE8-5B5A-4BAA-8D36-66304C3137A7}"/>
    <cellStyle name="Output 2 2 30" xfId="14581" xr:uid="{E2298406-8681-43AC-8B3A-BFDA80FDA692}"/>
    <cellStyle name="Output 2 2 31" xfId="14600" xr:uid="{65C3ED52-5B49-4854-BDB5-5B522160A498}"/>
    <cellStyle name="Output 2 2 32" xfId="15528" xr:uid="{A2B3569B-7AC1-4351-B7A2-A402BB6DB703}"/>
    <cellStyle name="Output 2 2 33" xfId="15905" xr:uid="{1B232A8A-8005-40FA-ADE1-4C003A3BBB42}"/>
    <cellStyle name="Output 2 2 34" xfId="16608" xr:uid="{D02A63C9-A9C3-4A3C-92E8-819B9A22381C}"/>
    <cellStyle name="Output 2 2 35" xfId="17212" xr:uid="{EFADE917-5895-4675-BB20-63A7C45E82A6}"/>
    <cellStyle name="Output 2 2 36" xfId="17658" xr:uid="{1454E8F3-DA94-468A-B592-46E487C21EC0}"/>
    <cellStyle name="Output 2 2 37" xfId="17881" xr:uid="{B4A75DF5-8533-45D6-B9E1-F085EB5501F6}"/>
    <cellStyle name="Output 2 2 38" xfId="18426" xr:uid="{622BC2CA-B85B-4460-998D-DEF5C5011F8E}"/>
    <cellStyle name="Output 2 2 39" xfId="18209" xr:uid="{BB8E72E4-0CFE-487B-AB57-C8008D80EF97}"/>
    <cellStyle name="Output 2 2 4" xfId="1385" xr:uid="{097DCFE7-BDA3-487C-A867-6D890CAE3609}"/>
    <cellStyle name="Output 2 2 40" xfId="19272" xr:uid="{D9F30A25-B7E3-4116-8FB1-167E716E0D33}"/>
    <cellStyle name="Output 2 2 41" xfId="19945" xr:uid="{8594CC49-CBB8-4004-BF52-48D61195F607}"/>
    <cellStyle name="Output 2 2 42" xfId="20565" xr:uid="{15FDE477-E5BE-466A-82C6-644067EB6CED}"/>
    <cellStyle name="Output 2 2 43" xfId="21018" xr:uid="{806DC700-2B08-46E9-B969-3005BDF18D75}"/>
    <cellStyle name="Output 2 2 44" xfId="20357" xr:uid="{C517D565-6E67-4A9F-94A0-76EA9F10CA02}"/>
    <cellStyle name="Output 2 2 45" xfId="21949" xr:uid="{39106496-9F89-4B8C-91F2-32BE99757B71}"/>
    <cellStyle name="Output 2 2 46" xfId="22380" xr:uid="{489F4323-4BC6-48F7-8362-F2801860E8F2}"/>
    <cellStyle name="Output 2 2 47" xfId="22179" xr:uid="{6398A951-1571-44FA-A7CB-D9F68BF5E053}"/>
    <cellStyle name="Output 2 2 48" xfId="21352" xr:uid="{495AE178-9AD7-49C2-84C0-5E091796CA8C}"/>
    <cellStyle name="Output 2 2 49" xfId="23522" xr:uid="{BB15037A-CE1F-434E-AC4F-06906B102B13}"/>
    <cellStyle name="Output 2 2 5" xfId="2385" xr:uid="{8DB56C1E-8606-4497-8410-2D76BED0C1AE}"/>
    <cellStyle name="Output 2 2 50" xfId="23754" xr:uid="{E3BAE5CE-6199-4D6E-9EE8-8750A7E8FB51}"/>
    <cellStyle name="Output 2 2 51" xfId="24653" xr:uid="{311755D2-5B6F-4DE4-B67F-A64DED7E3B4B}"/>
    <cellStyle name="Output 2 2 52" xfId="25273" xr:uid="{C8E7C2F6-9FFE-4FDD-A733-91AC14439D3C}"/>
    <cellStyle name="Output 2 2 53" xfId="25571" xr:uid="{A0EFBA8B-0B57-48AC-87E9-F6E54217B612}"/>
    <cellStyle name="Output 2 2 54" xfId="24105" xr:uid="{7FD838A8-330C-4A8F-8CDE-E6A297182747}"/>
    <cellStyle name="Output 2 2 55" xfId="24347" xr:uid="{C5361AC3-2D27-40B4-BC5F-1314D006A92D}"/>
    <cellStyle name="Output 2 2 56" xfId="26861" xr:uid="{71ECCEE4-7561-4D92-A8DC-A6DA3CB26113}"/>
    <cellStyle name="Output 2 2 57" xfId="27280" xr:uid="{6D85603A-D96A-47D8-A662-9F743DB159AC}"/>
    <cellStyle name="Output 2 2 58" xfId="27752" xr:uid="{5EAE8E76-BF5F-44E2-9013-8D3D08E1C75F}"/>
    <cellStyle name="Output 2 2 59" xfId="28403" xr:uid="{00ED8FF3-C308-425B-BEBD-CD032F7CB6F2}"/>
    <cellStyle name="Output 2 2 6" xfId="2219" xr:uid="{23FB8010-FF63-499D-A5F5-7C2BF6D92B75}"/>
    <cellStyle name="Output 2 2 60" xfId="28871" xr:uid="{D5A8F902-5025-42B4-850A-BFCD3BD3D7C5}"/>
    <cellStyle name="Output 2 2 61" xfId="29402" xr:uid="{9DC83E3B-350E-4994-883D-0C4B808D3745}"/>
    <cellStyle name="Output 2 2 62" xfId="29661" xr:uid="{9F89746F-F7B3-47BA-9193-A6A293A5FB4E}"/>
    <cellStyle name="Output 2 2 63" xfId="30069" xr:uid="{53E78184-03A5-483A-88E0-1864C9F6E311}"/>
    <cellStyle name="Output 2 2 64" xfId="30483" xr:uid="{DD04D5EC-B274-404D-9B89-EC6506B6EECF}"/>
    <cellStyle name="Output 2 2 65" xfId="30395" xr:uid="{8B006F1F-B0BD-4AF1-88B5-DC06BC801225}"/>
    <cellStyle name="Output 2 2 66" xfId="31107" xr:uid="{0348B3B7-2E70-41EB-AED4-288454B9B8EC}"/>
    <cellStyle name="Output 2 2 7" xfId="2998" xr:uid="{DEF63B08-A8DC-4372-8190-95E1C0E2C19C}"/>
    <cellStyle name="Output 2 2 8" xfId="3881" xr:uid="{D54632CF-85C1-41A1-B362-65A8EF3144B1}"/>
    <cellStyle name="Output 2 2 9" xfId="4319" xr:uid="{008F8796-8C84-40E2-8EDA-E0CF87841336}"/>
    <cellStyle name="Output 2 20" xfId="16224" xr:uid="{5C8AF056-1196-45EB-9BBD-C805B5AFC1A1}"/>
    <cellStyle name="Output 2 21" xfId="16151" xr:uid="{6D10BCF3-E64E-4993-BC6C-1CC1FDE5352B}"/>
    <cellStyle name="Output 2 22" xfId="18200" xr:uid="{F8D539FD-1895-47A9-BB99-936A6C2BB928}"/>
    <cellStyle name="Output 2 23" xfId="16327" xr:uid="{C16A7429-F3A9-4786-8501-92BEE7EFBD70}"/>
    <cellStyle name="Output 2 24" xfId="19557" xr:uid="{60074F28-8257-467D-BC3F-63A2952A767C}"/>
    <cellStyle name="Output 2 25" xfId="22022" xr:uid="{19E9256D-BA26-4A33-B16D-24CE3B5B4A7D}"/>
    <cellStyle name="Output 2 26" xfId="23187" xr:uid="{8944AF69-287A-4506-9976-37274DEF2A64}"/>
    <cellStyle name="Output 2 27" xfId="24278" xr:uid="{3BD30A6D-6D20-4A45-AF6E-DA666E209712}"/>
    <cellStyle name="Output 2 28" xfId="24403" xr:uid="{DFC863F0-53B7-420D-8DFF-7C7FE70C6DD6}"/>
    <cellStyle name="Output 2 29" xfId="25506" xr:uid="{3D550B8B-83F4-4CF5-B7EB-84EB01DDEAF8}"/>
    <cellStyle name="Output 2 3" xfId="659" xr:uid="{27A32375-7753-42FD-AE1D-CB75B303F014}"/>
    <cellStyle name="Output 2 3 10" xfId="4785" xr:uid="{8B13331F-3833-477B-9285-FC9998421DA7}"/>
    <cellStyle name="Output 2 3 11" xfId="5307" xr:uid="{D8D9490D-1FFE-4E19-9A5F-FE9C62DE0443}"/>
    <cellStyle name="Output 2 3 12" xfId="5660" xr:uid="{CF3F86AD-CBE5-477B-8BD0-A76973BE5293}"/>
    <cellStyle name="Output 2 3 13" xfId="3747" xr:uid="{B6E2EAB6-39A3-460E-8CDA-95C864F10DA2}"/>
    <cellStyle name="Output 2 3 14" xfId="3802" xr:uid="{085A69BB-53A2-48BD-B461-C5339546BFA9}"/>
    <cellStyle name="Output 2 3 15" xfId="7379" xr:uid="{28E716E6-4B93-4934-A9E7-5AE8409DECB7}"/>
    <cellStyle name="Output 2 3 16" xfId="7974" xr:uid="{3BCAA8BB-BDD5-494E-8ABE-4FFCBDD99756}"/>
    <cellStyle name="Output 2 3 17" xfId="7632" xr:uid="{62ACB0B4-D5BF-4488-87F1-78F982F2436B}"/>
    <cellStyle name="Output 2 3 18" xfId="8031" xr:uid="{A2B6F195-D8C4-46DD-942E-ADC0522D9264}"/>
    <cellStyle name="Output 2 3 19" xfId="9593" xr:uid="{C2EA0D16-13AC-4BCD-B055-EC2604ED576B}"/>
    <cellStyle name="Output 2 3 2" xfId="874" xr:uid="{E2A57AB1-580D-42D5-9A2F-83423A3F7D16}"/>
    <cellStyle name="Output 2 3 2 10" xfId="5522" xr:uid="{E48194D5-5CC3-4F7D-89EC-D1CE7D05AE41}"/>
    <cellStyle name="Output 2 3 2 11" xfId="6016" xr:uid="{02298221-DD1C-495C-A8E1-63BAD107158F}"/>
    <cellStyle name="Output 2 3 2 12" xfId="6375" xr:uid="{EC3E5FD3-B3E3-4758-9465-B00865CD8BDD}"/>
    <cellStyle name="Output 2 3 2 13" xfId="6713" xr:uid="{D17B7513-7375-49CC-A596-053926DFDCBD}"/>
    <cellStyle name="Output 2 3 2 14" xfId="7594" xr:uid="{DFAE2CDD-26EF-43D1-A919-1625D9FA8BEE}"/>
    <cellStyle name="Output 2 3 2 15" xfId="8058" xr:uid="{4752F9CB-C81D-4CA0-9C76-E83B693FCE06}"/>
    <cellStyle name="Output 2 3 2 16" xfId="8667" xr:uid="{706DCB12-3108-4C46-9908-4DD4895931FE}"/>
    <cellStyle name="Output 2 3 2 17" xfId="8926" xr:uid="{CBADF946-6ADD-4B61-B6E5-39DF734A56FD}"/>
    <cellStyle name="Output 2 3 2 18" xfId="9808" xr:uid="{2F443CFE-AFBE-4390-AAF8-34134F0466E8}"/>
    <cellStyle name="Output 2 3 2 19" xfId="10277" xr:uid="{6AD0FA21-67C6-4CC6-B05A-04CB8BC83D0C}"/>
    <cellStyle name="Output 2 3 2 2" xfId="1348" xr:uid="{0EB6305E-9475-4864-A36C-1BDF2A4931F7}"/>
    <cellStyle name="Output 2 3 2 20" xfId="10671" xr:uid="{244D3F31-A264-4219-A177-E524DEDD7E5D}"/>
    <cellStyle name="Output 2 3 2 21" xfId="11020" xr:uid="{566B8B02-0B58-41A5-929C-1676844A16B5}"/>
    <cellStyle name="Output 2 3 2 22" xfId="11330" xr:uid="{E855934E-8F0C-4971-B945-E26442E9598E}"/>
    <cellStyle name="Output 2 3 2 23" xfId="12227" xr:uid="{39208D4F-3BEB-44A1-802A-8F535188FB35}"/>
    <cellStyle name="Output 2 3 2 24" xfId="12700" xr:uid="{2CDDD564-E58B-42AA-AC8E-D116759F271B}"/>
    <cellStyle name="Output 2 3 2 25" xfId="13134" xr:uid="{D7761F94-4B89-49BA-8989-AF3DA4B373CC}"/>
    <cellStyle name="Output 2 3 2 26" xfId="13571" xr:uid="{CB3862BE-A52A-4185-B311-9BFC6BB8B34E}"/>
    <cellStyle name="Output 2 3 2 27" xfId="14043" xr:uid="{BDB64357-0E19-4180-9ECC-6D9AF7C7C5DB}"/>
    <cellStyle name="Output 2 3 2 28" xfId="14490" xr:uid="{F3C369DF-E0BB-41CD-B288-E99CE914B98A}"/>
    <cellStyle name="Output 2 3 2 29" xfId="14924" xr:uid="{5C613BFF-AD16-46E6-94C4-356FDDD2546E}"/>
    <cellStyle name="Output 2 3 2 3" xfId="1797" xr:uid="{4B012913-E5A0-4144-B419-05FB86EF270E}"/>
    <cellStyle name="Output 2 3 2 30" xfId="15394" xr:uid="{29FF699C-9ED4-44F2-8FAF-2D58F9BC5B96}"/>
    <cellStyle name="Output 2 3 2 31" xfId="15784" xr:uid="{75F53D3D-6614-4EF8-941F-D88FF9643497}"/>
    <cellStyle name="Output 2 3 2 32" xfId="16006" xr:uid="{270FDACB-89B0-46EA-B781-42AD885C5B12}"/>
    <cellStyle name="Output 2 3 2 33" xfId="16919" xr:uid="{AF0E13BD-1D47-4D83-9BF3-73107A926ADF}"/>
    <cellStyle name="Output 2 3 2 34" xfId="17400" xr:uid="{820E2641-DB7A-44C0-AB6B-24133692C3DD}"/>
    <cellStyle name="Output 2 3 2 35" xfId="17841" xr:uid="{2BC0539D-BCC2-48CD-8DAA-B8B3F7506305}"/>
    <cellStyle name="Output 2 3 2 36" xfId="18316" xr:uid="{FB1968AC-7D30-4A6E-B3AD-D497118E3EF9}"/>
    <cellStyle name="Output 2 3 2 37" xfId="18737" xr:uid="{726334D7-C463-4BF7-9219-D59F41258F2B}"/>
    <cellStyle name="Output 2 3 2 38" xfId="19124" xr:uid="{202B1AE9-9201-4EFF-9CF1-CDD563417985}"/>
    <cellStyle name="Output 2 3 2 39" xfId="19354" xr:uid="{11E1F2F5-0FDF-42A7-A78B-A6A5199CAECA}"/>
    <cellStyle name="Output 2 3 2 4" xfId="2696" xr:uid="{71D7F9DB-37BE-4146-AFCD-A6932D85E1C4}"/>
    <cellStyle name="Output 2 3 2 40" xfId="20256" xr:uid="{896E1D76-8B30-4DC2-8BF2-F677FF79E8D6}"/>
    <cellStyle name="Output 2 3 2 41" xfId="20749" xr:uid="{3B8964F0-AC69-49B0-AADA-26F3A5B07E79}"/>
    <cellStyle name="Output 2 3 2 42" xfId="21208" xr:uid="{D4FEA220-DDC9-441A-AE71-D241ED55C847}"/>
    <cellStyle name="Output 2 3 2 43" xfId="21700" xr:uid="{2774DCC3-EB26-4FE8-8A41-212CC793F7D4}"/>
    <cellStyle name="Output 2 3 2 44" xfId="22139" xr:uid="{C56BD87C-6407-4A33-AF9A-AABC04448C20}"/>
    <cellStyle name="Output 2 3 2 45" xfId="22566" xr:uid="{C39A3BBC-8B41-492A-968C-94F96E91EC14}"/>
    <cellStyle name="Output 2 3 2 46" xfId="23011" xr:uid="{FD94438A-A24C-4EA2-A170-DA51E5008050}"/>
    <cellStyle name="Output 2 3 2 47" xfId="23413" xr:uid="{C17D437D-9B8C-4480-B595-178588526244}"/>
    <cellStyle name="Output 2 3 2 48" xfId="23676" xr:uid="{DF76D7E1-55EA-4DA9-8B37-B19357A38C77}"/>
    <cellStyle name="Output 2 3 2 49" xfId="24056" xr:uid="{2EAACC30-E00F-4575-A467-6F93865F1641}"/>
    <cellStyle name="Output 2 3 2 5" xfId="3216" xr:uid="{891BC3B7-78C7-4AED-B6B9-2C07CDB89624}"/>
    <cellStyle name="Output 2 3 2 50" xfId="24964" xr:uid="{3C5D5BDB-A6C8-4337-B75D-5D17DCE19CEC}"/>
    <cellStyle name="Output 2 3 2 51" xfId="25452" xr:uid="{87CA8C9C-68AF-486D-A83D-96A03BD9FE67}"/>
    <cellStyle name="Output 2 3 2 52" xfId="25880" xr:uid="{F8918119-E0B9-4E6A-B8C0-8A95B297EFEE}"/>
    <cellStyle name="Output 2 3 2 53" xfId="26318" xr:uid="{35C797AC-A47C-4108-BE30-285883DEAD08}"/>
    <cellStyle name="Output 2 3 2 54" xfId="26747" xr:uid="{98D0EDC8-D4DF-4A41-B08F-421513A7F457}"/>
    <cellStyle name="Output 2 3 2 55" xfId="27168" xr:uid="{34FA2E14-973D-4533-96D9-DD933D2C169C}"/>
    <cellStyle name="Output 2 3 2 56" xfId="27587" xr:uid="{6D3F2B67-8C5D-4959-A732-4D2B0C3886DF}"/>
    <cellStyle name="Output 2 3 2 57" xfId="25703" xr:uid="{0D5285E2-E11A-42D0-8234-B043A5FAED4E}"/>
    <cellStyle name="Output 2 3 2 58" xfId="28714" xr:uid="{A5038ECC-FF62-4578-9CE9-FF69061CB9F0}"/>
    <cellStyle name="Output 2 3 2 59" xfId="29181" xr:uid="{730C93B9-40F1-4BAD-B0B5-500236E4B0D6}"/>
    <cellStyle name="Output 2 3 2 6" xfId="3771" xr:uid="{3F505281-2DE6-43CF-9F28-2FF2D39C4300}"/>
    <cellStyle name="Output 2 3 2 60" xfId="29563" xr:uid="{8D0E6D56-5F79-40E2-A937-8711D44A6D47}"/>
    <cellStyle name="Output 2 3 2 61" xfId="29970" xr:uid="{3199B128-1BE4-422E-B9B7-B49C68C79DC7}"/>
    <cellStyle name="Output 2 3 2 62" xfId="30376" xr:uid="{A081248D-4B26-4142-A73E-571276B69221}"/>
    <cellStyle name="Output 2 3 2 63" xfId="30793" xr:uid="{7F1929F5-A106-4C63-A82A-FD530FC0F739}"/>
    <cellStyle name="Output 2 3 2 64" xfId="31038" xr:uid="{E6809B74-A98B-4A23-A75C-23CB7BFE3D55}"/>
    <cellStyle name="Output 2 3 2 65" xfId="31409" xr:uid="{181B9B42-B269-4A1A-970F-7430E3408C22}"/>
    <cellStyle name="Output 2 3 2 7" xfId="4192" xr:uid="{6D529D2C-190C-4175-ADFD-6FB13C4AB921}"/>
    <cellStyle name="Output 2 3 2 8" xfId="4629" xr:uid="{854E8751-52BA-4AC4-BFDB-BCE16679BAA8}"/>
    <cellStyle name="Output 2 3 2 9" xfId="5075" xr:uid="{56D2688D-6BFA-43FC-8B30-9CC2A5B79548}"/>
    <cellStyle name="Output 2 3 20" xfId="10190" xr:uid="{94735939-8747-4D09-9F99-1C3BC0FC09B3}"/>
    <cellStyle name="Output 2 3 21" xfId="10595" xr:uid="{7B6F60F5-DB86-4EB4-B4D6-639FFBEFCD35}"/>
    <cellStyle name="Output 2 3 22" xfId="10252" xr:uid="{D75530FB-276F-4265-99F6-95DC8CBAF57E}"/>
    <cellStyle name="Output 2 3 23" xfId="11278" xr:uid="{C644B6C5-FDAC-41C3-A680-4788C9AB3CAB}"/>
    <cellStyle name="Output 2 3 24" xfId="12012" xr:uid="{5B104D4C-9D9E-4BCA-A350-C4815257B956}"/>
    <cellStyle name="Output 2 3 25" xfId="12485" xr:uid="{9B5886A3-6AE3-40E6-850E-CB6B39D5EE05}"/>
    <cellStyle name="Output 2 3 26" xfId="12919" xr:uid="{CA3B6335-3FF2-4EAC-943A-7CF923202BFA}"/>
    <cellStyle name="Output 2 3 27" xfId="13356" xr:uid="{AF9C60C8-4728-496B-B6B9-C724572190D6}"/>
    <cellStyle name="Output 2 3 28" xfId="11573" xr:uid="{3EB4B814-ED60-4CE9-A14A-AE3B3A231889}"/>
    <cellStyle name="Output 2 3 29" xfId="13689" xr:uid="{2114DA7E-506E-4514-B0BD-50518D32A6FE}"/>
    <cellStyle name="Output 2 3 3" xfId="1142" xr:uid="{B952B48F-825E-4A1C-BB14-BF9AFFA9C9DB}"/>
    <cellStyle name="Output 2 3 30" xfId="14841" xr:uid="{266477BC-CC20-4B46-BE5D-6787B164F2F3}"/>
    <cellStyle name="Output 2 3 31" xfId="15176" xr:uid="{CA73BB62-3130-41ED-B514-1D35F08198B8}"/>
    <cellStyle name="Output 2 3 32" xfId="15384" xr:uid="{B74F3746-E51B-41DD-BCB4-80DFFBCB8AA2}"/>
    <cellStyle name="Output 2 3 33" xfId="15955" xr:uid="{6EC9EEF4-F59C-4DBE-BB1A-45ADA08D864C}"/>
    <cellStyle name="Output 2 3 34" xfId="16704" xr:uid="{DDB75469-4A49-464B-87C1-37F70E7C3B7B}"/>
    <cellStyle name="Output 2 3 35" xfId="17311" xr:uid="{42D92190-1EB5-4221-AE4F-1D642EA003B8}"/>
    <cellStyle name="Output 2 3 36" xfId="17754" xr:uid="{D9B2417C-7590-41CC-B26B-D83596605E18}"/>
    <cellStyle name="Output 2 3 37" xfId="17443" xr:uid="{7D800637-BF6E-43BD-8FAC-F6349C6C6335}"/>
    <cellStyle name="Output 2 3 38" xfId="18522" xr:uid="{4D84C676-EE93-4808-A271-9FA6F5C8D0B1}"/>
    <cellStyle name="Output 2 3 39" xfId="17896" xr:uid="{0889D64F-0A90-4EF1-8D32-BFBEB99477C6}"/>
    <cellStyle name="Output 2 3 4" xfId="1683" xr:uid="{C0E13313-AD8F-4E95-AC56-E5743872D1B0}"/>
    <cellStyle name="Output 2 3 40" xfId="18844" xr:uid="{94FEC605-8624-4181-BC0A-9247A921F07D}"/>
    <cellStyle name="Output 2 3 41" xfId="20041" xr:uid="{A2525D45-45C1-4202-927F-3CEC0DB690A9}"/>
    <cellStyle name="Output 2 3 42" xfId="20662" xr:uid="{A7B31BD2-780C-4DB7-B27F-4D9A0A1DE29B}"/>
    <cellStyle name="Output 2 3 43" xfId="21118" xr:uid="{CBA092BA-DD92-4565-8785-A048C4C325CA}"/>
    <cellStyle name="Output 2 3 44" xfId="21238" xr:uid="{E02EA71A-6184-404E-9283-B6FC5FFE6F42}"/>
    <cellStyle name="Output 2 3 45" xfId="22050" xr:uid="{4FE191BF-BF7F-4AC0-B17D-D132E5C90CEC}"/>
    <cellStyle name="Output 2 3 46" xfId="22478" xr:uid="{71890AC7-2C7B-4257-B5A7-883B61624424}"/>
    <cellStyle name="Output 2 3 47" xfId="20769" xr:uid="{AD8349B0-B410-4063-B454-989E5A555A4E}"/>
    <cellStyle name="Output 2 3 48" xfId="22591" xr:uid="{5A580343-F6B3-4A47-BF52-ED1308D287B9}"/>
    <cellStyle name="Output 2 3 49" xfId="23352" xr:uid="{47F17B7A-0397-4C84-A27F-87F8EF35907D}"/>
    <cellStyle name="Output 2 3 5" xfId="2481" xr:uid="{7C1DDF80-3179-4C0E-80E8-8025CF5FCB45}"/>
    <cellStyle name="Output 2 3 50" xfId="23850" xr:uid="{5890C27B-BF91-46C8-A029-94B0B1A2A742}"/>
    <cellStyle name="Output 2 3 51" xfId="24749" xr:uid="{281829DE-B452-43D8-A3F8-CFD448CACB7C}"/>
    <cellStyle name="Output 2 3 52" xfId="25365" xr:uid="{714597D2-1B77-4C88-9DB3-984953424BC2}"/>
    <cellStyle name="Output 2 3 53" xfId="25667" xr:uid="{97E48D22-234F-48A4-9E82-E49925948FA5}"/>
    <cellStyle name="Output 2 3 54" xfId="24794" xr:uid="{C412A723-BAC6-49B0-9B15-046A4ACD316D}"/>
    <cellStyle name="Output 2 3 55" xfId="25067" xr:uid="{2B3F1282-7095-4C8C-82D6-5B24526961E8}"/>
    <cellStyle name="Output 2 3 56" xfId="26957" xr:uid="{85F9594C-9967-44C9-ACD9-02DF086038C6}"/>
    <cellStyle name="Output 2 3 57" xfId="27376" xr:uid="{62AFCDCE-A4BA-4C8D-A240-4318D422D1F4}"/>
    <cellStyle name="Output 2 3 58" xfId="26629" xr:uid="{F9776330-DD35-4534-AF22-1EF0A82B07D3}"/>
    <cellStyle name="Output 2 3 59" xfId="28499" xr:uid="{5CAA7D15-DC4E-495A-9A5C-DEED94C59ED6}"/>
    <cellStyle name="Output 2 3 6" xfId="1968" xr:uid="{AD822047-CE3F-4F1A-B165-ADD2AD979116}"/>
    <cellStyle name="Output 2 3 60" xfId="28967" xr:uid="{C8E9EBA3-7794-498E-B3E4-CF8ABA69D287}"/>
    <cellStyle name="Output 2 3 61" xfId="29488" xr:uid="{49770CCF-72A9-476B-BFDC-A082271D95FA}"/>
    <cellStyle name="Output 2 3 62" xfId="29757" xr:uid="{F19C4526-C936-43DF-9607-2B044C8223EE}"/>
    <cellStyle name="Output 2 3 63" xfId="30165" xr:uid="{2763CD6E-8EC2-4363-A2B6-D303ACEB1183}"/>
    <cellStyle name="Output 2 3 64" xfId="30579" xr:uid="{EFCE41FB-01DF-4438-8C82-A03D2B3810FD}"/>
    <cellStyle name="Output 2 3 65" xfId="28122" xr:uid="{C38E4D3D-E3D8-4014-B73D-4A5A00169ECA}"/>
    <cellStyle name="Output 2 3 66" xfId="31203" xr:uid="{47B54C9F-CD7E-46D6-A18D-F7F763646195}"/>
    <cellStyle name="Output 2 3 7" xfId="3279" xr:uid="{1D76DF80-37B3-4FEF-97E6-B17C908D7BB5}"/>
    <cellStyle name="Output 2 3 8" xfId="3977" xr:uid="{152CF72F-B75F-47F5-B995-5F1567D0BC8F}"/>
    <cellStyle name="Output 2 3 9" xfId="4415" xr:uid="{DEAA0357-CF68-4832-8162-37A893044A6D}"/>
    <cellStyle name="Output 2 30" xfId="25229" xr:uid="{5C96B417-1A16-402A-9BC8-0B09A45B8E79}"/>
    <cellStyle name="Output 2 31" xfId="28058" xr:uid="{5B543451-A30C-4327-B4D8-8D4F3B207856}"/>
    <cellStyle name="Output 2 32" xfId="29791" xr:uid="{249C8708-E081-4249-AE72-695EB56D7972}"/>
    <cellStyle name="Output 2 33" xfId="29389" xr:uid="{72BCFB58-23BE-4357-BFE1-9873EC0FCED9}"/>
    <cellStyle name="Output 2 4" xfId="686" xr:uid="{8C5A7EFF-9BC0-436C-A5A3-5C24A99E73B3}"/>
    <cellStyle name="Output 2 4 10" xfId="5334" xr:uid="{07C0792B-96D0-4D1E-B10A-0156FA51CED1}"/>
    <cellStyle name="Output 2 4 11" xfId="5902" xr:uid="{70E06470-456A-454F-A63E-4E98F3A551A9}"/>
    <cellStyle name="Output 2 4 12" xfId="5978" xr:uid="{9188EDA5-F226-4051-8D0C-31C35B29297C}"/>
    <cellStyle name="Output 2 4 13" xfId="6437" xr:uid="{82E268EC-566C-4C66-B33C-F9B39B473787}"/>
    <cellStyle name="Output 2 4 14" xfId="7406" xr:uid="{E982924D-43A8-4F41-8064-BEF6F13AAA80}"/>
    <cellStyle name="Output 2 4 15" xfId="7983" xr:uid="{92AEAC49-84E5-4D45-90D1-BC16E6053BA2}"/>
    <cellStyle name="Output 2 4 16" xfId="7661" xr:uid="{8AC16992-6EFF-4C82-B823-E4F31891AA81}"/>
    <cellStyle name="Output 2 4 17" xfId="8856" xr:uid="{EDC31780-F20C-499C-9178-18CAA88BF8CD}"/>
    <cellStyle name="Output 2 4 18" xfId="9620" xr:uid="{FAD07811-E2D2-4DA4-A33D-CC8E788A3001}"/>
    <cellStyle name="Output 2 4 19" xfId="10199" xr:uid="{41B13678-FD9E-438F-BE0E-25A9438F332C}"/>
    <cellStyle name="Output 2 4 2" xfId="1168" xr:uid="{DFA585E9-62F1-4A9D-A1FD-6DBCB285A43A}"/>
    <cellStyle name="Output 2 4 20" xfId="10603" xr:uid="{8B49F2F7-B740-4A55-9B3F-D3F0BDF43BFD}"/>
    <cellStyle name="Output 2 4 21" xfId="9915" xr:uid="{A14B73A6-A5B8-4D9A-9BF7-4C8B2FD4F19E}"/>
    <cellStyle name="Output 2 4 22" xfId="11047" xr:uid="{AE1B0F09-9F09-4331-8D5C-D2E4CA0F8598}"/>
    <cellStyle name="Output 2 4 23" xfId="12039" xr:uid="{2179A379-1CC8-4FD1-A1B3-B3B82C0AABB7}"/>
    <cellStyle name="Output 2 4 24" xfId="12512" xr:uid="{1994A233-256B-414E-A3EA-FC4442F964BF}"/>
    <cellStyle name="Output 2 4 25" xfId="12946" xr:uid="{D716E6CA-5157-489A-B58F-0D6FB07F8FF8}"/>
    <cellStyle name="Output 2 4 26" xfId="13383" xr:uid="{6761E212-E0F3-4DB6-9FEC-1FEB54FE1A97}"/>
    <cellStyle name="Output 2 4 27" xfId="11564" xr:uid="{57B25E9E-6D07-4CFA-8CE6-0407AB56EF46}"/>
    <cellStyle name="Output 2 4 28" xfId="14394" xr:uid="{4B3DD257-DC97-43EB-9172-8BF869D88DA3}"/>
    <cellStyle name="Output 2 4 29" xfId="14849" xr:uid="{C0B9DDDD-50C3-44A0-A270-C83317AD0124}"/>
    <cellStyle name="Output 2 4 3" xfId="1696" xr:uid="{09F2364E-775A-4549-B9C5-AD7D63B9C70B}"/>
    <cellStyle name="Output 2 4 30" xfId="15062" xr:uid="{26B98CBF-D2EA-4DC2-B477-5AC4C1EDB3D4}"/>
    <cellStyle name="Output 2 4 31" xfId="15584" xr:uid="{7C3E4601-AF43-4850-AD52-4FAE46E98DE2}"/>
    <cellStyle name="Output 2 4 32" xfId="15962" xr:uid="{759F0796-ACA0-46EB-ACFE-172457B52E04}"/>
    <cellStyle name="Output 2 4 33" xfId="16731" xr:uid="{1EB99227-0325-4C8B-8DEB-3D32F04116E7}"/>
    <cellStyle name="Output 2 4 34" xfId="17320" xr:uid="{EB8E06D1-7CD1-4414-8ED1-368576B26021}"/>
    <cellStyle name="Output 2 4 35" xfId="17763" xr:uid="{6AF33328-35B3-4E47-8984-5D4301C97EC4}"/>
    <cellStyle name="Output 2 4 36" xfId="17017" xr:uid="{572931D9-80B4-4A13-B88A-404B65E8586C}"/>
    <cellStyle name="Output 2 4 37" xfId="18549" xr:uid="{462FDE3D-E107-415E-B5CD-836B38FCAC8E}"/>
    <cellStyle name="Output 2 4 38" xfId="19018" xr:uid="{12C04650-C2B8-4361-8A12-ACEC1B4EE1AD}"/>
    <cellStyle name="Output 2 4 39" xfId="18108" xr:uid="{4D231DF8-2FD1-4B35-AAF4-341A1469162F}"/>
    <cellStyle name="Output 2 4 4" xfId="2508" xr:uid="{A0005709-15AF-4DC6-9316-E7F968F05457}"/>
    <cellStyle name="Output 2 4 40" xfId="20068" xr:uid="{FA2F9AC9-73DD-463B-B82D-A0E256661C81}"/>
    <cellStyle name="Output 2 4 41" xfId="20671" xr:uid="{D093627B-A24B-4B13-BCE9-6434A73F70A4}"/>
    <cellStyle name="Output 2 4 42" xfId="21127" xr:uid="{E6D96823-FB6C-4177-B205-F1309BDCA3A1}"/>
    <cellStyle name="Output 2 4 43" xfId="21277" xr:uid="{9C1922D7-63FE-4955-8A6B-9B5926B04B43}"/>
    <cellStyle name="Output 2 4 44" xfId="22059" xr:uid="{ED241001-5DE3-41BC-BE73-969BDB9AEC7D}"/>
    <cellStyle name="Output 2 4 45" xfId="22487" xr:uid="{621F3E48-280D-4ECF-9C1E-4D939473F6A2}"/>
    <cellStyle name="Output 2 4 46" xfId="22366" xr:uid="{27810088-2FE4-4798-8E3E-F630B4E2FAFD}"/>
    <cellStyle name="Output 2 4 47" xfId="23297" xr:uid="{6B042F76-B93F-40B6-90C3-283443F8A5A8}"/>
    <cellStyle name="Output 2 4 48" xfId="23388" xr:uid="{26CC6221-DC52-4717-9A62-DA79609C34AE}"/>
    <cellStyle name="Output 2 4 49" xfId="23876" xr:uid="{D2BD888A-8FAE-4CD6-8B56-25FF1524D257}"/>
    <cellStyle name="Output 2 4 5" xfId="2133" xr:uid="{80ACA569-4E5F-4B3F-9608-FCAE0190965A}"/>
    <cellStyle name="Output 2 4 50" xfId="24776" xr:uid="{0A220A09-56F7-48DE-847A-A2386E7A241F}"/>
    <cellStyle name="Output 2 4 51" xfId="25374" xr:uid="{B03183BB-3D97-4D27-A1DE-B1952DA88E97}"/>
    <cellStyle name="Output 2 4 52" xfId="25694" xr:uid="{B76EEBEE-3D41-4D49-9BAD-4F5C7C756915}"/>
    <cellStyle name="Output 2 4 53" xfId="25068" xr:uid="{86CE3046-1632-4825-A073-2973BEFED872}"/>
    <cellStyle name="Output 2 4 54" xfId="26578" xr:uid="{23441886-81CF-4FFB-8718-216C7CCC79E4}"/>
    <cellStyle name="Output 2 4 55" xfId="26984" xr:uid="{23C3CF52-B936-4E66-BCE4-7DBF2A320226}"/>
    <cellStyle name="Output 2 4 56" xfId="27403" xr:uid="{607761CD-1924-4C8C-ACB1-705DDA3A1894}"/>
    <cellStyle name="Output 2 4 57" xfId="25985" xr:uid="{632A4D67-CF2C-4B8A-932B-A394E093BB1A}"/>
    <cellStyle name="Output 2 4 58" xfId="28526" xr:uid="{CA315B24-130D-4E40-A278-DF15CF8B9F04}"/>
    <cellStyle name="Output 2 4 59" xfId="28994" xr:uid="{5F560A38-CC54-48C6-9C3B-0246BF02F072}"/>
    <cellStyle name="Output 2 4 6" xfId="3426" xr:uid="{23EFCD73-ACF8-409D-9AD0-FC8CA0BF0DE1}"/>
    <cellStyle name="Output 2 4 60" xfId="29496" xr:uid="{2E6E05F2-5ACA-48BC-B3B8-6BC7E1B2F93D}"/>
    <cellStyle name="Output 2 4 61" xfId="29784" xr:uid="{3BE80A75-25D6-461B-BCF5-559A2584A016}"/>
    <cellStyle name="Output 2 4 62" xfId="30191" xr:uid="{F6D8E818-3476-4CD7-8B1D-753F1A04ED5C}"/>
    <cellStyle name="Output 2 4 63" xfId="30606" xr:uid="{5BA4FE1C-D939-4442-B839-C6FD304DBFC2}"/>
    <cellStyle name="Output 2 4 64" xfId="30881" xr:uid="{79EB7408-C852-4244-AD60-3115A39B8409}"/>
    <cellStyle name="Output 2 4 65" xfId="31229" xr:uid="{FA1FC24B-E82C-41D5-A969-CB5C2A6A2754}"/>
    <cellStyle name="Output 2 4 7" xfId="4004" xr:uid="{9AC3D4D2-A4E3-4746-9A64-135BBF5091CD}"/>
    <cellStyle name="Output 2 4 8" xfId="4442" xr:uid="{28F9CABA-84E1-499F-A25C-8C9E1B1AC775}"/>
    <cellStyle name="Output 2 4 9" xfId="4889" xr:uid="{C90328CC-D819-424C-8730-A5958E590931}"/>
    <cellStyle name="Output 2 5" xfId="929" xr:uid="{43D0CF7D-28DA-4E3E-A257-017893CAF9DC}"/>
    <cellStyle name="Output 2 6" xfId="2000" xr:uid="{9C0AC079-B074-484F-BE65-6E54C2323C28}"/>
    <cellStyle name="Output 2 7" xfId="2721" xr:uid="{0A269069-DD70-4352-B883-B61FFC6405DF}"/>
    <cellStyle name="Output 2 8" xfId="3693" xr:uid="{4FC1DD7A-EC3D-4C64-9AC6-5A978F8BAA0C}"/>
    <cellStyle name="Output 2 9" xfId="2211" xr:uid="{3483E081-00BB-47CD-A76C-D086CF28EBEE}"/>
    <cellStyle name="Output 3" xfId="237" xr:uid="{6030A89D-1943-4334-B908-3C8A125CF3D0}"/>
    <cellStyle name="Output 3 10" xfId="3007" xr:uid="{11D234DF-5E84-47EA-B347-743A404DF1FE}"/>
    <cellStyle name="Output 3 11" xfId="2854" xr:uid="{EA1A6A1D-911A-4818-89B6-379404D17D6D}"/>
    <cellStyle name="Output 3 12" xfId="6968" xr:uid="{84289001-6DEC-40D5-BD50-3BAB01736428}"/>
    <cellStyle name="Output 3 13" xfId="7657" xr:uid="{8873F660-9BC1-468F-B566-069ECF95D81C}"/>
    <cellStyle name="Output 3 14" xfId="8289" xr:uid="{C8B256B0-9D52-412A-A2EA-85EF8EC5276E}"/>
    <cellStyle name="Output 3 15" xfId="9181" xr:uid="{DAEE006F-D419-4C46-8B91-C8EE923EED77}"/>
    <cellStyle name="Output 3 16" xfId="9868" xr:uid="{EC40BCBF-40BE-423F-8D43-6567F1F12337}"/>
    <cellStyle name="Output 3 17" xfId="11593" xr:uid="{4A90C4EE-21AD-4F08-9F27-7CB097356489}"/>
    <cellStyle name="Output 3 18" xfId="11453" xr:uid="{E7E71D78-47F5-435D-8B05-D82159E2017E}"/>
    <cellStyle name="Output 3 19" xfId="14015" xr:uid="{386EDF57-8531-4DFD-A960-1B38E775C48F}"/>
    <cellStyle name="Output 3 2" xfId="590" xr:uid="{423FA8AA-F2F3-4AB9-BC6E-E56B2CA070E7}"/>
    <cellStyle name="Output 3 2 10" xfId="4954" xr:uid="{4628B56F-4DD2-4A4A-A13D-6B05958C619E}"/>
    <cellStyle name="Output 3 2 11" xfId="5238" xr:uid="{66F1D8B6-A0D0-456C-994A-33B2C6DC4377}"/>
    <cellStyle name="Output 3 2 12" xfId="4687" xr:uid="{407B0A34-9612-4405-8385-05810328492C}"/>
    <cellStyle name="Output 3 2 13" xfId="5576" xr:uid="{66AB58E0-8408-47D7-867A-CD92E5215F04}"/>
    <cellStyle name="Output 3 2 14" xfId="6619" xr:uid="{D3E77901-C423-4076-B801-D5319372684A}"/>
    <cellStyle name="Output 3 2 15" xfId="7310" xr:uid="{8051D630-6C87-42B8-963C-9AB0DD709EFD}"/>
    <cellStyle name="Output 3 2 16" xfId="7954" xr:uid="{F9A30CCF-0D3E-4DBF-9549-89F618D6CB46}"/>
    <cellStyle name="Output 3 2 17" xfId="8349" xr:uid="{A01AF00D-ACC0-4BE1-9A94-E89C0FE5A3A6}"/>
    <cellStyle name="Output 3 2 18" xfId="8288" xr:uid="{832C4FD8-17D7-4C2F-9FC8-539887184977}"/>
    <cellStyle name="Output 3 2 19" xfId="9524" xr:uid="{E4F458A3-E088-4B72-83A6-BF5DE2F75AC0}"/>
    <cellStyle name="Output 3 2 2" xfId="805" xr:uid="{C42722FE-26E5-4F1B-A9C4-3DDC165BDF0B}"/>
    <cellStyle name="Output 3 2 2 10" xfId="5453" xr:uid="{04D239AE-278A-45C8-9A0C-E3E1A470E5A3}"/>
    <cellStyle name="Output 3 2 2 11" xfId="5636" xr:uid="{06D9F356-D2F1-427F-911E-6A39D9A5831E}"/>
    <cellStyle name="Output 3 2 2 12" xfId="5585" xr:uid="{0C4793FC-05CD-4F77-9D56-72E504876C7E}"/>
    <cellStyle name="Output 3 2 2 13" xfId="6354" xr:uid="{287A63F8-BE4F-4D17-B08F-16863FD0926D}"/>
    <cellStyle name="Output 3 2 2 14" xfId="7525" xr:uid="{BEDFC9C8-A027-4D23-9C68-1A20745DC642}"/>
    <cellStyle name="Output 3 2 2 15" xfId="7071" xr:uid="{8D94F36F-C936-48D9-970A-342947A1FBD6}"/>
    <cellStyle name="Output 3 2 2 16" xfId="8159" xr:uid="{998CD5F5-A439-4CFB-84CF-448A8B45346E}"/>
    <cellStyle name="Output 3 2 2 17" xfId="8799" xr:uid="{06335D10-5FDA-4A6F-8F47-30ACF8B73F69}"/>
    <cellStyle name="Output 3 2 2 18" xfId="9739" xr:uid="{CBEC4471-DBD3-4390-8E9A-51B9A69EBF09}"/>
    <cellStyle name="Output 3 2 2 19" xfId="9284" xr:uid="{9ED9920E-A5E8-4466-9C72-A057C7CB3559}"/>
    <cellStyle name="Output 3 2 2 2" xfId="1279" xr:uid="{A490CB1E-C4C0-41A5-BF81-6A90A89F6E86}"/>
    <cellStyle name="Output 3 2 2 20" xfId="10235" xr:uid="{3AF6CB4E-81F6-4D95-AC3E-079D4135E716}"/>
    <cellStyle name="Output 3 2 2 21" xfId="10699" xr:uid="{5FF46646-E5F0-48B9-A1BB-C05EADD904F5}"/>
    <cellStyle name="Output 3 2 2 22" xfId="11075" xr:uid="{ABE124D1-5BAF-43EC-B76E-096299E5E1C6}"/>
    <cellStyle name="Output 3 2 2 23" xfId="12158" xr:uid="{08C69DCC-4AF3-40D0-896D-FCD0DA581245}"/>
    <cellStyle name="Output 3 2 2 24" xfId="12631" xr:uid="{A6DF6BFF-44BA-47D1-9F70-9AF2C99A25A4}"/>
    <cellStyle name="Output 3 2 2 25" xfId="13065" xr:uid="{48044C4B-5A32-4D9F-9D6D-1A97FD49173C}"/>
    <cellStyle name="Output 3 2 2 26" xfId="13502" xr:uid="{C569E1A9-09F2-47C0-A159-AF7C96FBDA0E}"/>
    <cellStyle name="Output 3 2 2 27" xfId="13611" xr:uid="{535451D4-A1C8-4DB6-B676-5B211595432A}"/>
    <cellStyle name="Output 3 2 2 28" xfId="13773" xr:uid="{145A6FDD-9051-49B6-8330-5C7CFA9104B9}"/>
    <cellStyle name="Output 3 2 2 29" xfId="11471" xr:uid="{749D88F4-46EE-420C-B250-B6BD8B8A141E}"/>
    <cellStyle name="Output 3 2 2 3" xfId="1605" xr:uid="{67DC460F-76FF-4092-A0FC-E7DCFF67382E}"/>
    <cellStyle name="Output 3 2 2 30" xfId="12289" xr:uid="{97D2B19B-74EE-4965-915A-F1742E186A47}"/>
    <cellStyle name="Output 3 2 2 31" xfId="15606" xr:uid="{7E3C13DC-5BF4-404C-975E-8000BB409685}"/>
    <cellStyle name="Output 3 2 2 32" xfId="15674" xr:uid="{4439BABA-25D6-4924-B681-5381190AB105}"/>
    <cellStyle name="Output 3 2 2 33" xfId="16850" xr:uid="{0A29ED61-33BB-4B78-AC2B-27D8B9ED76CE}"/>
    <cellStyle name="Output 3 2 2 34" xfId="16392" xr:uid="{78310304-0445-4FF2-9B41-5A668754C1AF}"/>
    <cellStyle name="Output 3 2 2 35" xfId="17356" xr:uid="{80571DB6-53E5-4E71-B9EF-773E37CBC1E2}"/>
    <cellStyle name="Output 3 2 2 36" xfId="17965" xr:uid="{44D836C9-D5AB-4B2E-A09E-5D79001D92E2}"/>
    <cellStyle name="Output 3 2 2 37" xfId="18668" xr:uid="{3CD15287-AAA5-4A79-BF09-38E71FEB2300}"/>
    <cellStyle name="Output 3 2 2 38" xfId="18224" xr:uid="{53D34AC2-C91A-4C0B-9742-A1F93A093800}"/>
    <cellStyle name="Output 3 2 2 39" xfId="19167" xr:uid="{25FA7341-6C95-421A-A571-63D3C7F2158C}"/>
    <cellStyle name="Output 3 2 2 4" xfId="2627" xr:uid="{A52D5B87-9C1C-4429-9715-0129B740B828}"/>
    <cellStyle name="Output 3 2 2 40" xfId="20187" xr:uid="{6AC8781F-765B-4118-B738-38137782CCD0}"/>
    <cellStyle name="Output 3 2 2 41" xfId="19727" xr:uid="{3F1CD477-C0DF-4EF9-A3C8-27658BFF4AA1}"/>
    <cellStyle name="Output 3 2 2 42" xfId="20426" xr:uid="{97F7F39E-C803-4E38-9F2D-99D4F2062BDA}"/>
    <cellStyle name="Output 3 2 2 43" xfId="21515" xr:uid="{03191D88-722A-4804-95B9-5C0D99F3CCD0}"/>
    <cellStyle name="Output 3 2 2 44" xfId="20477" xr:uid="{646829AB-FA64-4FCE-9FD3-83A299B10E8C}"/>
    <cellStyle name="Output 3 2 2 45" xfId="21604" xr:uid="{B2AC6A36-5EAA-4CBB-9DCA-3FA2B85366B8}"/>
    <cellStyle name="Output 3 2 2 46" xfId="22620" xr:uid="{46EA591C-76C0-4CF7-8FED-378F2BE3E0D0}"/>
    <cellStyle name="Output 3 2 2 47" xfId="22210" xr:uid="{BE1B6DBA-CF3A-43DF-9214-9418C49995E0}"/>
    <cellStyle name="Output 3 2 2 48" xfId="23393" xr:uid="{D71CE597-CEEF-4867-98A7-D7BE8FE5F10F}"/>
    <cellStyle name="Output 3 2 2 49" xfId="23987" xr:uid="{63A9B837-002F-4254-B9A3-CB3215085D65}"/>
    <cellStyle name="Output 3 2 2 5" xfId="2778" xr:uid="{4D351CD7-6AF6-4DFB-A7E0-7DCA3C7744F5}"/>
    <cellStyle name="Output 3 2 2 50" xfId="24895" xr:uid="{F0B0E59F-8DD3-4C1C-980D-4D208681DE77}"/>
    <cellStyle name="Output 3 2 2 51" xfId="24245" xr:uid="{72E5166C-3202-4AF4-A2E2-FCC0FEA185B2}"/>
    <cellStyle name="Output 3 2 2 52" xfId="25811" xr:uid="{1980D441-DC4F-4601-84C7-070A9F6CAD30}"/>
    <cellStyle name="Output 3 2 2 53" xfId="25926" xr:uid="{87726234-2C27-42A1-8D2D-B74CA81314FA}"/>
    <cellStyle name="Output 3 2 2 54" xfId="26661" xr:uid="{D5F17B8D-3A43-44C3-BBFA-40F562614EEF}"/>
    <cellStyle name="Output 3 2 2 55" xfId="27099" xr:uid="{310E9BAF-E217-4E4A-8F0A-6181B9683D6D}"/>
    <cellStyle name="Output 3 2 2 56" xfId="27518" xr:uid="{02E24F20-1D4A-4EB8-A48F-72938B2331E7}"/>
    <cellStyle name="Output 3 2 2 57" xfId="27800" xr:uid="{3AB1F9C4-DBA3-4B89-B382-7B6A077D3076}"/>
    <cellStyle name="Output 3 2 2 58" xfId="28645" xr:uid="{52E0198B-EE10-4500-AF35-17D1E5DD5BE7}"/>
    <cellStyle name="Output 3 2 2 59" xfId="29112" xr:uid="{722A2078-0FEC-44DE-9DEA-BCE4D4CCF91D}"/>
    <cellStyle name="Output 3 2 2 6" xfId="2967" xr:uid="{04B8DB05-3F38-4900-AF88-28673B73B168}"/>
    <cellStyle name="Output 3 2 2 60" xfId="28089" xr:uid="{6E1DFC35-7565-45E9-A569-CD860D85F8C1}"/>
    <cellStyle name="Output 3 2 2 61" xfId="29901" xr:uid="{E459A718-4FCD-477A-B2C0-BA512D6753FB}"/>
    <cellStyle name="Output 3 2 2 62" xfId="30307" xr:uid="{0E5034FE-474C-48E4-903F-BA1A733B3A4C}"/>
    <cellStyle name="Output 3 2 2 63" xfId="30724" xr:uid="{104440F5-18A5-4D75-9467-90A96EABDECE}"/>
    <cellStyle name="Output 3 2 2 64" xfId="29277" xr:uid="{D15874F9-B7F7-4AD8-A245-10EF947D278D}"/>
    <cellStyle name="Output 3 2 2 65" xfId="31340" xr:uid="{2489435C-F797-40A9-99AF-109584FBFB35}"/>
    <cellStyle name="Output 3 2 2 7" xfId="4123" xr:uid="{A150E516-C81D-442E-A743-1BF32ECD3786}"/>
    <cellStyle name="Output 3 2 2 8" xfId="4560" xr:uid="{3C3B0D11-EB3D-4BC1-A03A-3A8851EFF656}"/>
    <cellStyle name="Output 3 2 2 9" xfId="3376" xr:uid="{2778BBEF-91D5-4215-AA20-817534D27EC4}"/>
    <cellStyle name="Output 3 2 20" xfId="10169" xr:uid="{537AE06C-F5CD-4A48-B95E-BD8903F19C3E}"/>
    <cellStyle name="Output 3 2 21" xfId="10576" xr:uid="{F300DC2C-D70B-48EE-BB21-4B0C81ED257A}"/>
    <cellStyle name="Output 3 2 22" xfId="9371" xr:uid="{41E1A8E7-64DD-4792-A29F-FBB73E9DE83B}"/>
    <cellStyle name="Output 3 2 23" xfId="10745" xr:uid="{4003E73A-F2CD-4D98-8DBC-AE5A15FA9958}"/>
    <cellStyle name="Output 3 2 24" xfId="11943" xr:uid="{274FDA44-EF07-4541-AD5B-0AEB69AEC309}"/>
    <cellStyle name="Output 3 2 25" xfId="12416" xr:uid="{2C18C9D2-95AB-495F-B0D7-645A99C5FBD9}"/>
    <cellStyle name="Output 3 2 26" xfId="12850" xr:uid="{748336D1-9F82-4C9E-8132-CE4A94FFDA75}"/>
    <cellStyle name="Output 3 2 27" xfId="13287" xr:uid="{61A88C32-A17E-45EE-8F9F-9D8DC14E56FB}"/>
    <cellStyle name="Output 3 2 28" xfId="11386" xr:uid="{2E7992BC-A3CD-46FF-92AC-CDC3019B4D6E}"/>
    <cellStyle name="Output 3 2 29" xfId="14169" xr:uid="{1E001216-880A-4321-9197-0CA800A67A1D}"/>
    <cellStyle name="Output 3 2 3" xfId="1073" xr:uid="{B719A36A-E547-4517-A9C9-92B5333206E9}"/>
    <cellStyle name="Output 3 2 30" xfId="14835" xr:uid="{62566170-4C21-4ACC-9285-0F5DC1F9EE07}"/>
    <cellStyle name="Output 3 2 31" xfId="14310" xr:uid="{E1830186-79B1-4FA4-BC7A-EDC1B5B7EDFD}"/>
    <cellStyle name="Output 3 2 32" xfId="15264" xr:uid="{CEDE5576-67F5-4264-A394-DEFF29E28099}"/>
    <cellStyle name="Output 3 2 33" xfId="15944" xr:uid="{2304BDD5-1BDD-4A93-902A-CE075CC8BCF5}"/>
    <cellStyle name="Output 3 2 34" xfId="16635" xr:uid="{12540EA3-6D05-44FC-83D3-273C296325E9}"/>
    <cellStyle name="Output 3 2 35" xfId="17289" xr:uid="{CBC4400E-8F4A-4571-B53A-A503B278ADA2}"/>
    <cellStyle name="Output 3 2 36" xfId="17732" xr:uid="{C3321456-B4B6-40E1-BDD1-41F362406537}"/>
    <cellStyle name="Output 3 2 37" xfId="18021" xr:uid="{E81C36BC-A6FC-4F8A-815A-71C418637D81}"/>
    <cellStyle name="Output 3 2 38" xfId="18453" xr:uid="{A43B77FB-D455-4F83-B28B-E87976CB542B}"/>
    <cellStyle name="Output 3 2 39" xfId="16351" xr:uid="{9B800975-345F-4E29-B2C4-93446E280EA6}"/>
    <cellStyle name="Output 3 2 4" xfId="1621" xr:uid="{B1F9CEF9-6F34-4F00-9EEA-C79C2BA1E30F}"/>
    <cellStyle name="Output 3 2 40" xfId="19063" xr:uid="{D63EDAF5-6E68-4433-A626-4BE4DDB6DA3E}"/>
    <cellStyle name="Output 3 2 41" xfId="19972" xr:uid="{DD422B1C-663B-4B3A-8848-1817C0960004}"/>
    <cellStyle name="Output 3 2 42" xfId="20639" xr:uid="{1C8680A3-D6E3-4058-95E4-868758EBC1AB}"/>
    <cellStyle name="Output 3 2 43" xfId="21095" xr:uid="{A8B91627-EA09-46AE-9D09-E85E8A33AECF}"/>
    <cellStyle name="Output 3 2 44" xfId="20782" xr:uid="{D82FA0C7-23CC-4F91-81FE-346C39CC5AB4}"/>
    <cellStyle name="Output 3 2 45" xfId="22026" xr:uid="{224E8CF3-08DE-4C1F-8F99-B2F763F9BF74}"/>
    <cellStyle name="Output 3 2 46" xfId="22456" xr:uid="{64A36C14-97EF-427E-82CF-6FAEE5746E80}"/>
    <cellStyle name="Output 3 2 47" xfId="21549" xr:uid="{EE3E0253-06EE-40FE-8141-73DF35BA1430}"/>
    <cellStyle name="Output 3 2 48" xfId="22557" xr:uid="{0F46014F-C5DE-4A8F-8961-9BC49AF8EEB9}"/>
    <cellStyle name="Output 3 2 49" xfId="23060" xr:uid="{CD3573C6-A3F7-480C-AC1B-D9A4EF1548C1}"/>
    <cellStyle name="Output 3 2 5" xfId="2412" xr:uid="{1B3FFC9E-EC16-4C6D-840C-35BE6442EDC1}"/>
    <cellStyle name="Output 3 2 50" xfId="23781" xr:uid="{4496B6A6-4A3D-417A-8AC2-6FEC5449FDBF}"/>
    <cellStyle name="Output 3 2 51" xfId="24680" xr:uid="{C390F993-831B-4678-8269-4A1EDDFFC411}"/>
    <cellStyle name="Output 3 2 52" xfId="25343" xr:uid="{57691F8A-11C0-4834-BD33-81C8A0409670}"/>
    <cellStyle name="Output 3 2 53" xfId="25598" xr:uid="{69C53BDF-D0C1-4E27-95A4-2BB5CCE1D8DD}"/>
    <cellStyle name="Output 3 2 54" xfId="24302" xr:uid="{7B27B668-244E-4DCC-BB2D-22A7EA71E8AF}"/>
    <cellStyle name="Output 3 2 55" xfId="26336" xr:uid="{ECFCC648-292A-428B-9ED8-8875559A1011}"/>
    <cellStyle name="Output 3 2 56" xfId="26888" xr:uid="{A057C59D-121D-49A2-8909-A450A84487AB}"/>
    <cellStyle name="Output 3 2 57" xfId="27307" xr:uid="{E56683A5-FFDB-445A-8E04-2D118A9ACCBE}"/>
    <cellStyle name="Output 3 2 58" xfId="27787" xr:uid="{7464083C-AE9A-4325-8BA2-AA7DD63A1DC9}"/>
    <cellStyle name="Output 3 2 59" xfId="28430" xr:uid="{3E950EAD-4340-47A4-B28F-532E1070AF14}"/>
    <cellStyle name="Output 3 2 6" xfId="1948" xr:uid="{498B0DC5-3074-4129-85EF-3D1201CDEEFF}"/>
    <cellStyle name="Output 3 2 60" xfId="28898" xr:uid="{72C4CAC9-6B0E-4FEC-883F-B91112C9FF2B}"/>
    <cellStyle name="Output 3 2 61" xfId="29467" xr:uid="{44440C83-8C37-4C3F-8340-E22B72DB9805}"/>
    <cellStyle name="Output 3 2 62" xfId="29688" xr:uid="{8315E976-D31A-4DA2-9A88-3CC4D3A9986F}"/>
    <cellStyle name="Output 3 2 63" xfId="30096" xr:uid="{A9C19219-0087-4B92-960D-7B41D6826A06}"/>
    <cellStyle name="Output 3 2 64" xfId="30510" xr:uid="{CCD77F8F-CDA8-4543-8907-87DBCC29B8D6}"/>
    <cellStyle name="Output 3 2 65" xfId="30826" xr:uid="{C862E285-F5A2-4AD5-8D9C-89D8CA134717}"/>
    <cellStyle name="Output 3 2 66" xfId="31134" xr:uid="{E7DC010B-0799-4AEA-9226-A79BFF08944D}"/>
    <cellStyle name="Output 3 2 7" xfId="3041" xr:uid="{0B2610ED-35ED-4A46-82F1-FD1DD82F1B5D}"/>
    <cellStyle name="Output 3 2 8" xfId="3908" xr:uid="{D8B13DCB-1DC9-486F-8276-571EAF19462A}"/>
    <cellStyle name="Output 3 2 9" xfId="4346" xr:uid="{BCED6452-BE0C-4CC9-B76E-9F28CD780CAB}"/>
    <cellStyle name="Output 3 20" xfId="16288" xr:uid="{16184F60-746D-43F6-A175-BE7902F43EAE}"/>
    <cellStyle name="Output 3 21" xfId="16983" xr:uid="{EBFF976E-C1F4-4FFA-9389-6D7E8A0BBB43}"/>
    <cellStyle name="Output 3 22" xfId="17453" xr:uid="{0610841A-60C7-4AA2-9D2A-F5F54AA44E34}"/>
    <cellStyle name="Output 3 23" xfId="19104" xr:uid="{61C0329A-DA32-49DB-8E83-9E683FC53061}"/>
    <cellStyle name="Output 3 24" xfId="19621" xr:uid="{06C7D926-C579-4B2D-B060-D3EA796BE946}"/>
    <cellStyle name="Output 3 25" xfId="22157" xr:uid="{8CBCC189-D46C-46AF-8B8D-B052A1907F2E}"/>
    <cellStyle name="Output 3 26" xfId="22832" xr:uid="{34F003B0-5BA1-4A2D-93BE-2099360F1903}"/>
    <cellStyle name="Output 3 27" xfId="24342" xr:uid="{07EFC5BC-CC50-49A2-937C-E1DDFC0D5553}"/>
    <cellStyle name="Output 3 28" xfId="25158" xr:uid="{EDDE165F-431F-4A10-95DC-42521B344A5D}"/>
    <cellStyle name="Output 3 29" xfId="24399" xr:uid="{DF5C6767-907C-47B4-9E26-94310153C43A}"/>
    <cellStyle name="Output 3 3" xfId="641" xr:uid="{4A9E61E5-174B-495A-9B84-54DB221B5E53}"/>
    <cellStyle name="Output 3 3 10" xfId="4263" xr:uid="{2755C4DF-C1FD-4292-8A15-CB05146B7A25}"/>
    <cellStyle name="Output 3 3 11" xfId="5289" xr:uid="{954E0002-981C-47A0-8336-114BEAB8E681}"/>
    <cellStyle name="Output 3 3 12" xfId="1873" xr:uid="{C7D99F21-E1D2-49F8-8D3A-7EFFE7DE0416}"/>
    <cellStyle name="Output 3 3 13" xfId="6223" xr:uid="{64F82A67-213F-41D8-AE60-964C716437FA}"/>
    <cellStyle name="Output 3 3 14" xfId="5121" xr:uid="{3EDFF7B2-C7BE-4508-A1BF-55A1FF37DB32}"/>
    <cellStyle name="Output 3 3 15" xfId="7361" xr:uid="{ADA64CD9-B8B9-4E0F-8B7F-CCEB21346C8C}"/>
    <cellStyle name="Output 3 3 16" xfId="7786" xr:uid="{60591F77-1FA0-4F0E-A2D0-DFA0F7849059}"/>
    <cellStyle name="Output 3 3 17" xfId="8444" xr:uid="{F184C365-2260-445B-A037-9D50CCFE0585}"/>
    <cellStyle name="Output 3 3 18" xfId="7893" xr:uid="{11CC9294-878C-4B7B-966D-F150C43FF021}"/>
    <cellStyle name="Output 3 3 19" xfId="9575" xr:uid="{4B7A3177-6267-4FDD-B3D9-4C3E5E5D4173}"/>
    <cellStyle name="Output 3 3 2" xfId="856" xr:uid="{3465A469-8AAB-416F-8CB8-65B597F6DADD}"/>
    <cellStyle name="Output 3 3 2 10" xfId="5504" xr:uid="{DFF06DD2-B7CE-4B8A-9F59-73A5E5AC4A73}"/>
    <cellStyle name="Output 3 3 2 11" xfId="5001" xr:uid="{39262AD0-9EBC-4660-BF66-F644B54BF155}"/>
    <cellStyle name="Output 3 3 2 12" xfId="5657" xr:uid="{663D939B-BF6F-4FD7-96C8-AFD1552A12BE}"/>
    <cellStyle name="Output 3 3 2 13" xfId="4727" xr:uid="{B528FA0C-4007-4DEA-85FD-03C0A90F21A9}"/>
    <cellStyle name="Output 3 3 2 14" xfId="7576" xr:uid="{068A0D15-683E-4F2E-B8F4-2C3C14D16527}"/>
    <cellStyle name="Output 3 3 2 15" xfId="7140" xr:uid="{F69A6F6E-AB1A-4EDC-BBBC-75791ABF61FB}"/>
    <cellStyle name="Output 3 3 2 16" xfId="8256" xr:uid="{3BD4EFEE-86B2-450E-A938-40E090FECA5F}"/>
    <cellStyle name="Output 3 3 2 17" xfId="8764" xr:uid="{028DCC3D-8EE2-45FA-BAFC-13D2EDB46D86}"/>
    <cellStyle name="Output 3 3 2 18" xfId="9790" xr:uid="{B079BC8A-B05A-439C-888A-93337D895182}"/>
    <cellStyle name="Output 3 3 2 19" xfId="9443" xr:uid="{75DF2558-D07E-41B0-BED3-304C49B425F6}"/>
    <cellStyle name="Output 3 3 2 2" xfId="1330" xr:uid="{888AC1CF-3F96-4839-9E2D-4A3CA7FC0CF1}"/>
    <cellStyle name="Output 3 3 2 20" xfId="9850" xr:uid="{F1D5F25D-02E4-4BED-A128-B43F6847671A}"/>
    <cellStyle name="Output 3 3 2 21" xfId="10173" xr:uid="{CBAB710B-B56F-4371-9561-558EB80508F6}"/>
    <cellStyle name="Output 3 3 2 22" xfId="10974" xr:uid="{E97C3CA9-D2C6-4383-8D8A-2731C2F9933F}"/>
    <cellStyle name="Output 3 3 2 23" xfId="12209" xr:uid="{5689757F-332F-4FEC-868B-BD0F9D589910}"/>
    <cellStyle name="Output 3 3 2 24" xfId="12682" xr:uid="{F7BC19EC-C5B8-41E2-B385-78FFA961D8B2}"/>
    <cellStyle name="Output 3 3 2 25" xfId="13116" xr:uid="{A4927D0D-BC96-4BDA-917A-41517FBB5FF4}"/>
    <cellStyle name="Output 3 3 2 26" xfId="13553" xr:uid="{BF8E0D3B-7A7A-4A81-9899-02348F2CC7DB}"/>
    <cellStyle name="Output 3 3 2 27" xfId="13598" xr:uid="{017430B2-B9C2-4048-8652-65FB543FFCB3}"/>
    <cellStyle name="Output 3 3 2 28" xfId="14472" xr:uid="{2ADB0F98-8CB9-40B3-8560-45D6D616B4CE}"/>
    <cellStyle name="Output 3 3 2 29" xfId="14341" xr:uid="{7DDC9B15-18BC-4BDF-881A-089B1B34B034}"/>
    <cellStyle name="Output 3 3 2 3" xfId="1779" xr:uid="{74B42DA5-80CC-4BB3-BD78-884EC4049451}"/>
    <cellStyle name="Output 3 3 2 30" xfId="14016" xr:uid="{D6DF9309-D34B-45EE-933C-FF7B55115AE6}"/>
    <cellStyle name="Output 3 3 2 31" xfId="11546" xr:uid="{400E622E-8B84-4DE0-BDE6-CFD7D0636948}"/>
    <cellStyle name="Output 3 3 2 32" xfId="15250" xr:uid="{66231811-8A76-496C-980B-632C4970726A}"/>
    <cellStyle name="Output 3 3 2 33" xfId="16901" xr:uid="{1456C2BB-9070-436C-BCA7-C918658F2525}"/>
    <cellStyle name="Output 3 3 2 34" xfId="16463" xr:uid="{D586447A-E268-4D2F-93E8-470818596689}"/>
    <cellStyle name="Output 3 3 2 35" xfId="16966" xr:uid="{FD1F93CD-7779-4326-B97A-A55E5DDCF026}"/>
    <cellStyle name="Output 3 3 2 36" xfId="18186" xr:uid="{01ACF8C0-595B-44F4-840A-7FCE68F75214}"/>
    <cellStyle name="Output 3 3 2 37" xfId="18719" xr:uid="{62DDC024-801A-4780-8DF2-B920C94591E8}"/>
    <cellStyle name="Output 3 3 2 38" xfId="18895" xr:uid="{2B71937C-6850-44FA-A9DA-AB2263D6AC87}"/>
    <cellStyle name="Output 3 3 2 39" xfId="19161" xr:uid="{B920957D-6615-415E-9E3D-07C0859913B3}"/>
    <cellStyle name="Output 3 3 2 4" xfId="2678" xr:uid="{A6460622-1BEB-46D0-AF70-409410F36E1C}"/>
    <cellStyle name="Output 3 3 2 40" xfId="20238" xr:uid="{40F44A03-9018-4E2A-9995-4273A3982E83}"/>
    <cellStyle name="Output 3 3 2 41" xfId="19625" xr:uid="{2111D779-1697-45E2-9B1C-169C7BCB4B87}"/>
    <cellStyle name="Output 3 3 2 42" xfId="19886" xr:uid="{AE6CCCB3-2294-464A-8223-99DB6B67B527}"/>
    <cellStyle name="Output 3 3 2 43" xfId="21432" xr:uid="{5FF0CFFC-44BB-4AE8-9D23-2600083C0F21}"/>
    <cellStyle name="Output 3 3 2 44" xfId="21087" xr:uid="{4AF0B47D-AB51-4FCD-A6A7-2739EEB15904}"/>
    <cellStyle name="Output 3 3 2 45" xfId="21772" xr:uid="{6203E770-D3E7-4236-BAE8-69B95B59B40B}"/>
    <cellStyle name="Output 3 3 2 46" xfId="22607" xr:uid="{59F18D0A-1402-46C7-8FA7-3725C19DB27F}"/>
    <cellStyle name="Output 3 3 2 47" xfId="23171" xr:uid="{D7627EB4-460B-4B14-B992-16071F504849}"/>
    <cellStyle name="Output 3 3 2 48" xfId="22873" xr:uid="{9E1FAA6D-6CE9-474D-B375-982B291E6036}"/>
    <cellStyle name="Output 3 3 2 49" xfId="24038" xr:uid="{A0FEDA9E-5058-4B0A-87DB-B5AE5D4FC3E4}"/>
    <cellStyle name="Output 3 3 2 5" xfId="2764" xr:uid="{CE829F09-A3AF-4FB6-8521-279EB141191D}"/>
    <cellStyle name="Output 3 3 2 50" xfId="24946" xr:uid="{1D61B59B-57CE-41C9-B7FF-1242A9262313}"/>
    <cellStyle name="Output 3 3 2 51" xfId="24461" xr:uid="{6A9CA3EE-81FD-4FB7-B05C-DD76D6E88D63}"/>
    <cellStyle name="Output 3 3 2 52" xfId="25862" xr:uid="{85D52CFB-2BAE-44EC-84F8-AB320B7DF65A}"/>
    <cellStyle name="Output 3 3 2 53" xfId="25069" xr:uid="{6DC158BF-1B1D-4B38-8B6E-6ACB2EE78FDE}"/>
    <cellStyle name="Output 3 3 2 54" xfId="26729" xr:uid="{4A75517B-6241-4BE6-8296-8038C3F12848}"/>
    <cellStyle name="Output 3 3 2 55" xfId="27150" xr:uid="{0158F943-0B20-4DBC-89EC-1D3BFF5C42BD}"/>
    <cellStyle name="Output 3 3 2 56" xfId="27569" xr:uid="{95298A5F-72BC-4EAF-B2A9-122CC6CE757A}"/>
    <cellStyle name="Output 3 3 2 57" xfId="26504" xr:uid="{6DF99B40-87B0-4A7E-866D-DB6813CD790C}"/>
    <cellStyle name="Output 3 3 2 58" xfId="28696" xr:uid="{815A0140-7405-44D1-97B9-3AD0277760EB}"/>
    <cellStyle name="Output 3 3 2 59" xfId="29163" xr:uid="{310256BC-8AF4-4B3D-9BB5-5133A791A688}"/>
    <cellStyle name="Output 3 3 2 6" xfId="3413" xr:uid="{E05FB145-6E7A-4938-B70A-31EE6B20DD94}"/>
    <cellStyle name="Output 3 3 2 60" xfId="28220" xr:uid="{32BF92DD-3162-4896-98AE-502FAA3C023B}"/>
    <cellStyle name="Output 3 3 2 61" xfId="29952" xr:uid="{174D837E-6958-4C02-998A-432C54C785C1}"/>
    <cellStyle name="Output 3 3 2 62" xfId="30358" xr:uid="{95E4888E-2EB1-4AA0-A65A-EDC116FBE517}"/>
    <cellStyle name="Output 3 3 2 63" xfId="30775" xr:uid="{98CDC8CB-A52E-427C-AA6F-009AE5C1D6FF}"/>
    <cellStyle name="Output 3 3 2 64" xfId="28172" xr:uid="{7530C871-C846-419E-8AC0-2FE365DDD229}"/>
    <cellStyle name="Output 3 3 2 65" xfId="31391" xr:uid="{0C73D17B-BCDD-429B-BFAE-F37E39920830}"/>
    <cellStyle name="Output 3 3 2 7" xfId="4174" xr:uid="{FE2E96FD-0022-4C8C-9A1E-30EEA1759C8B}"/>
    <cellStyle name="Output 3 3 2 8" xfId="4611" xr:uid="{B1BB7884-E534-4F73-835D-83FA64781BF0}"/>
    <cellStyle name="Output 3 3 2 9" xfId="5057" xr:uid="{AD651968-847E-4014-880D-E07EF03678C4}"/>
    <cellStyle name="Output 3 3 20" xfId="9999" xr:uid="{7F34B836-DF1C-4033-80E7-376EA53DD6F9}"/>
    <cellStyle name="Output 3 3 21" xfId="10424" xr:uid="{EA719D01-F9E3-4F25-B696-1060D440925C}"/>
    <cellStyle name="Output 3 3 22" xfId="10469" xr:uid="{C57F125B-58ED-42F3-AEFC-F3572369F064}"/>
    <cellStyle name="Output 3 3 23" xfId="10404" xr:uid="{049E4855-3D35-464E-A479-C8D4EDA47449}"/>
    <cellStyle name="Output 3 3 24" xfId="11994" xr:uid="{1A09BCA8-2B06-41F0-8437-94DCBDFD92D5}"/>
    <cellStyle name="Output 3 3 25" xfId="12467" xr:uid="{8A3F460C-2DF5-4A77-9B29-B87F57F7CC28}"/>
    <cellStyle name="Output 3 3 26" xfId="12901" xr:uid="{12831DB2-A732-4253-AB44-8653A612B2A5}"/>
    <cellStyle name="Output 3 3 27" xfId="13338" xr:uid="{9D2853AE-1012-40E7-ADA4-ABD016B96D34}"/>
    <cellStyle name="Output 3 3 28" xfId="13892" xr:uid="{C30F97FA-799C-4E24-906B-0F801A051A0E}"/>
    <cellStyle name="Output 3 3 29" xfId="13167" xr:uid="{393941B2-3EFB-443A-8AC9-9C5C51715197}"/>
    <cellStyle name="Output 3 3 3" xfId="1124" xr:uid="{806F3166-880B-404C-9311-F46914E1A6D4}"/>
    <cellStyle name="Output 3 3 30" xfId="14754" xr:uid="{A45977A3-51E5-4989-B06E-3BDBF414AEA8}"/>
    <cellStyle name="Output 3 3 31" xfId="15064" xr:uid="{8FA171B6-221A-4855-8179-027BC9EC7F37}"/>
    <cellStyle name="Output 3 3 32" xfId="15491" xr:uid="{D7D2BDF9-2354-4F59-A1B5-01D8B52FA965}"/>
    <cellStyle name="Output 3 3 33" xfId="15854" xr:uid="{5A37E4D4-00CB-409F-9C5A-52559E9FBCDD}"/>
    <cellStyle name="Output 3 3 34" xfId="16686" xr:uid="{D202E81E-D39F-490F-BDDC-0E70950E9823}"/>
    <cellStyle name="Output 3 3 35" xfId="17115" xr:uid="{9757125F-2DEC-4C54-B328-AA547CA94A0A}"/>
    <cellStyle name="Output 3 3 36" xfId="17562" xr:uid="{FBB6C50A-D9AD-426F-A311-69AF4CE5E5AD}"/>
    <cellStyle name="Output 3 3 37" xfId="16988" xr:uid="{4D4E38E9-2B3A-4336-8EA4-CF454693E48A}"/>
    <cellStyle name="Output 3 3 38" xfId="18504" xr:uid="{ABC0BF2D-7D04-4480-9324-73D8CBE8C80A}"/>
    <cellStyle name="Output 3 3 39" xfId="17737" xr:uid="{47E8ACF9-D469-4324-BD71-1FB2FB2DF929}"/>
    <cellStyle name="Output 3 3 4" xfId="1596" xr:uid="{3570092E-EE76-4FAD-8040-B1C11BBFAB5A}"/>
    <cellStyle name="Output 3 3 40" xfId="16403" xr:uid="{DE80795C-2A87-4CA0-B386-86599DA85EF5}"/>
    <cellStyle name="Output 3 3 41" xfId="20023" xr:uid="{8A58970A-CFCD-49E3-A355-30451E385F85}"/>
    <cellStyle name="Output 3 3 42" xfId="20468" xr:uid="{DB4592E2-6FE6-4B2D-A432-39C9E51EC6B5}"/>
    <cellStyle name="Output 3 3 43" xfId="20921" xr:uid="{3B2626A6-BB36-4C46-921F-E5E5570D954F}"/>
    <cellStyle name="Output 3 3 44" xfId="21005" xr:uid="{3D9B79F5-1535-4914-A58F-D7D38EEFEDD0}"/>
    <cellStyle name="Output 3 3 45" xfId="21850" xr:uid="{93010D4E-06A1-4EE8-8225-79E164E7B342}"/>
    <cellStyle name="Output 3 3 46" xfId="22287" xr:uid="{6C1AA5D4-073D-4303-A0B8-92861DE5AD09}"/>
    <cellStyle name="Output 3 3 47" xfId="22872" xr:uid="{932BA0AA-2023-40E9-86DB-15F2B0317072}"/>
    <cellStyle name="Output 3 3 48" xfId="22636" xr:uid="{39AA9608-6A8C-40D7-A831-315B6594E1F6}"/>
    <cellStyle name="Output 3 3 49" xfId="22477" xr:uid="{B1F6BD50-9BCD-4C78-9A5D-80A1BB382CFC}"/>
    <cellStyle name="Output 3 3 5" xfId="2463" xr:uid="{941A1369-B951-4E3C-B9C5-4E1A0D27BE42}"/>
    <cellStyle name="Output 3 3 50" xfId="23832" xr:uid="{3E4799B6-4006-43D6-A07E-C6CFB8A6812F}"/>
    <cellStyle name="Output 3 3 51" xfId="24731" xr:uid="{75576C53-3CA2-498A-9FA2-70BF14623876}"/>
    <cellStyle name="Output 3 3 52" xfId="25176" xr:uid="{3D10C625-2A68-4731-8DEE-5E5E93CA8C18}"/>
    <cellStyle name="Output 3 3 53" xfId="25649" xr:uid="{1222FE94-1628-44AF-8840-BA5BBC7E9CCC}"/>
    <cellStyle name="Output 3 3 54" xfId="26178" xr:uid="{9EB8B8A3-5114-44A6-AA5A-FF4DBA8725BD}"/>
    <cellStyle name="Output 3 3 55" xfId="25047" xr:uid="{8DFD4093-A2FA-461B-ABE9-0F93F0F447FB}"/>
    <cellStyle name="Output 3 3 56" xfId="26939" xr:uid="{3CB4A2EA-B382-42C0-8643-E85C81E41919}"/>
    <cellStyle name="Output 3 3 57" xfId="27358" xr:uid="{9386C380-4CC5-4999-A96A-488BB70F3113}"/>
    <cellStyle name="Output 3 3 58" xfId="27776" xr:uid="{2F042F3A-F423-4950-8601-B79DDB4EDF29}"/>
    <cellStyle name="Output 3 3 59" xfId="28481" xr:uid="{4404F458-5F8A-4C2E-87B5-597A00827D51}"/>
    <cellStyle name="Output 3 3 6" xfId="3060" xr:uid="{57C3B601-9428-4A10-8E4A-4A0984C72383}"/>
    <cellStyle name="Output 3 3 60" xfId="28949" xr:uid="{504312A4-9B19-4782-806B-5E6BBF5C33B1}"/>
    <cellStyle name="Output 3 3 61" xfId="29323" xr:uid="{0965AC5C-ADF2-4738-BFAE-4C6159A745F3}"/>
    <cellStyle name="Output 3 3 62" xfId="29739" xr:uid="{412339F3-E402-4316-8AE0-4F60CB8A0746}"/>
    <cellStyle name="Output 3 3 63" xfId="30147" xr:uid="{3F570088-9755-4C0E-82CB-2EA7DC8D1E6F}"/>
    <cellStyle name="Output 3 3 64" xfId="30561" xr:uid="{6889E30D-58D3-4B2A-8292-DFCE457CD208}"/>
    <cellStyle name="Output 3 3 65" xfId="29551" xr:uid="{38581375-1AD8-4E0E-BCE1-00E69A5B2322}"/>
    <cellStyle name="Output 3 3 66" xfId="31185" xr:uid="{3145E6CD-C209-4655-87A8-35709379CD15}"/>
    <cellStyle name="Output 3 3 7" xfId="3442" xr:uid="{DAF8D3B4-E776-4002-AE87-F6285361E967}"/>
    <cellStyle name="Output 3 3 8" xfId="3959" xr:uid="{82FFB977-3961-450C-9ECA-B7CD021435E6}"/>
    <cellStyle name="Output 3 3 9" xfId="4397" xr:uid="{98A5631F-25E2-4F38-8303-C0D82A4F27D3}"/>
    <cellStyle name="Output 3 30" xfId="26436" xr:uid="{AF25552C-6215-48DC-8822-E83D7F82CDB8}"/>
    <cellStyle name="Output 3 31" xfId="28115" xr:uid="{2400C38E-13D4-430C-A7CE-C30C32354A6F}"/>
    <cellStyle name="Output 3 32" xfId="29003" xr:uid="{F3485597-C89B-4A76-9589-447C936CF829}"/>
    <cellStyle name="Output 3 33" xfId="28132" xr:uid="{D9F38FA1-3663-4E6E-8D79-C57183B03D53}"/>
    <cellStyle name="Output 3 4" xfId="691" xr:uid="{9563BF86-73C8-44B9-B504-B29B1E7CA669}"/>
    <cellStyle name="Output 3 4 10" xfId="5339" xr:uid="{AC081AEF-FAFC-4442-83A5-4DA6AF995906}"/>
    <cellStyle name="Output 3 4 11" xfId="4426" xr:uid="{E79F6A10-D525-449C-ADAA-08F4D8606161}"/>
    <cellStyle name="Output 3 4 12" xfId="6187" xr:uid="{0B25093F-2C90-4AD3-ADDE-5B71295FBB75}"/>
    <cellStyle name="Output 3 4 13" xfId="6533" xr:uid="{9A7A823C-00C4-4BDC-92C9-6F642E4FC22F}"/>
    <cellStyle name="Output 3 4 14" xfId="7411" xr:uid="{6BB7F5EC-852E-4F9C-94E9-94AAF6CD9DEE}"/>
    <cellStyle name="Output 3 4 15" xfId="7711" xr:uid="{C160C82A-2F56-4E3F-893A-FA0FF5F7AC77}"/>
    <cellStyle name="Output 3 4 16" xfId="8168" xr:uid="{70CC1222-F5E5-40C4-9B59-30FC248DDBEF}"/>
    <cellStyle name="Output 3 4 17" xfId="8826" xr:uid="{3C1AE0E1-7255-4A2E-A60E-02CB768FE187}"/>
    <cellStyle name="Output 3 4 18" xfId="9625" xr:uid="{3AE0E177-DD17-4E4C-9D5D-303176C7B53B}"/>
    <cellStyle name="Output 3 4 19" xfId="9925" xr:uid="{78C4376B-3AEA-4579-8B73-0A895B1A6145}"/>
    <cellStyle name="Output 3 4 2" xfId="1173" xr:uid="{426BB4B5-E641-48CB-BB0A-F6D3ED746AAC}"/>
    <cellStyle name="Output 3 4 20" xfId="10356" xr:uid="{D2F926FF-88F6-4902-BDF8-8BC796D919C1}"/>
    <cellStyle name="Output 3 4 21" xfId="10747" xr:uid="{53CDF690-D0BA-4C85-9093-513E7C8BF3C1}"/>
    <cellStyle name="Output 3 4 22" xfId="11275" xr:uid="{379B1F3A-E0CC-4D5A-9654-DB35430AF4BE}"/>
    <cellStyle name="Output 3 4 23" xfId="12044" xr:uid="{7ED7166A-1164-4C8B-801C-8C5B563D2A55}"/>
    <cellStyle name="Output 3 4 24" xfId="12517" xr:uid="{8F04606C-B7D3-40D2-9896-8B24ABA52133}"/>
    <cellStyle name="Output 3 4 25" xfId="12951" xr:uid="{E9207937-7110-4054-AD6D-DD1FCF3866D8}"/>
    <cellStyle name="Output 3 4 26" xfId="13388" xr:uid="{974AA0B4-2B83-4C18-8957-3BA987E719A1}"/>
    <cellStyle name="Output 3 4 27" xfId="13803" xr:uid="{252EF118-FB91-462E-9100-975A6AB3B329}"/>
    <cellStyle name="Output 3 4 28" xfId="13657" xr:uid="{6D854ECE-90D0-4C94-9A00-196799FDACCD}"/>
    <cellStyle name="Output 3 4 29" xfId="14577" xr:uid="{92B69138-1AD0-43BB-B3B0-BA226FF20D04}"/>
    <cellStyle name="Output 3 4 3" xfId="1757" xr:uid="{D596CE98-846E-44F8-B0DB-893D8A034E64}"/>
    <cellStyle name="Output 3 4 30" xfId="15039" xr:uid="{F1309325-5E1A-4359-9734-E700D523BEE0}"/>
    <cellStyle name="Output 3 4 31" xfId="15520" xr:uid="{77A1371F-3403-49B6-B2C7-AB923752E794}"/>
    <cellStyle name="Output 3 4 32" xfId="15813" xr:uid="{D6B73C5A-BD6A-4F48-9470-5B5F9BD939A7}"/>
    <cellStyle name="Output 3 4 33" xfId="16736" xr:uid="{4A59429B-C234-4642-B29B-E36345759353}"/>
    <cellStyle name="Output 3 4 34" xfId="17039" xr:uid="{420AD695-CC1F-497D-8E00-F934D1E0C5C8}"/>
    <cellStyle name="Output 3 4 35" xfId="17487" xr:uid="{48240F93-7BF9-4AEE-9251-B7D37B8A039D}"/>
    <cellStyle name="Output 3 4 36" xfId="18151" xr:uid="{34A24D4F-BD25-4ED2-8703-689EF6A98B10}"/>
    <cellStyle name="Output 3 4 37" xfId="18554" xr:uid="{CDB916D7-010E-47AF-986B-C6424C232124}"/>
    <cellStyle name="Output 3 4 38" xfId="18867" xr:uid="{5D9DFEAA-A57C-4996-A6E0-CCC2548C577C}"/>
    <cellStyle name="Output 3 4 39" xfId="19283" xr:uid="{8B03C3E5-F163-4AC1-9DEE-41541EBE7AE4}"/>
    <cellStyle name="Output 3 4 4" xfId="2513" xr:uid="{B3418533-46C1-44EC-801D-6083B94C2ED1}"/>
    <cellStyle name="Output 3 4 40" xfId="20073" xr:uid="{BCF36DD1-CD09-4F0C-BC81-4FF087F0884B}"/>
    <cellStyle name="Output 3 4 41" xfId="20391" xr:uid="{A3F9360A-D1C3-4E57-8ABA-558865CC7725}"/>
    <cellStyle name="Output 3 4 42" xfId="20844" xr:uid="{5F49A6E8-E99B-4C28-8DA6-762A36E55B9D}"/>
    <cellStyle name="Output 3 4 43" xfId="20809" xr:uid="{CD9820CB-43AD-45E4-924B-6F3D2BAFB1B9}"/>
    <cellStyle name="Output 3 4 44" xfId="21777" xr:uid="{1FBC0B05-1167-434C-B0C6-2A74F57C0436}"/>
    <cellStyle name="Output 3 4 45" xfId="22214" xr:uid="{40906EFD-174C-4C0C-8BE5-7D71F1586B01}"/>
    <cellStyle name="Output 3 4 46" xfId="22793" xr:uid="{D34D44A1-268B-4225-A335-0AD3426764C5}"/>
    <cellStyle name="Output 3 4 47" xfId="23143" xr:uid="{E0F1C92F-E83A-455D-8E91-BBF5BE7DA36C}"/>
    <cellStyle name="Output 3 4 48" xfId="23554" xr:uid="{B19EEE89-2B34-414B-A0E1-C3C59932C511}"/>
    <cellStyle name="Output 3 4 49" xfId="23881" xr:uid="{9452D79D-3882-4321-A9CD-023496306E3D}"/>
    <cellStyle name="Output 3 4 5" xfId="2970" xr:uid="{EBE0A3B1-14DA-480A-8403-8ED6268C4462}"/>
    <cellStyle name="Output 3 4 50" xfId="24781" xr:uid="{DCAA76B9-5219-4FEF-B9D1-4F809993CB35}"/>
    <cellStyle name="Output 3 4 51" xfId="25101" xr:uid="{C7023A6A-5DE9-46B7-A576-945E7E9DD710}"/>
    <cellStyle name="Output 3 4 52" xfId="25699" xr:uid="{F4261E24-E80A-4899-88C3-0B05DD9DDA77}"/>
    <cellStyle name="Output 3 4 53" xfId="26096" xr:uid="{BDDC0D87-4659-4B83-B6BB-B4B218E671AB}"/>
    <cellStyle name="Output 3 4 54" xfId="26062" xr:uid="{C28E0709-17C0-439B-AA3C-932E45F8ED3B}"/>
    <cellStyle name="Output 3 4 55" xfId="26989" xr:uid="{B57E312E-1768-4D36-BDE0-4D55317AF875}"/>
    <cellStyle name="Output 3 4 56" xfId="27408" xr:uid="{DCC82483-30D5-475C-8458-F725F2158FB9}"/>
    <cellStyle name="Output 3 4 57" xfId="27695" xr:uid="{A2D13787-4854-47E7-9025-D68052DE7A6B}"/>
    <cellStyle name="Output 3 4 58" xfId="28531" xr:uid="{7198E535-FCCC-49F7-B6D7-CFB7009CA603}"/>
    <cellStyle name="Output 3 4 59" xfId="28999" xr:uid="{270771D3-37AC-4139-A17A-C3F1A61D9674}"/>
    <cellStyle name="Output 3 4 6" xfId="3184" xr:uid="{3AC34191-9A80-4DF6-B59B-CDA94143C505}"/>
    <cellStyle name="Output 3 4 60" xfId="29255" xr:uid="{7C23F2F5-C11B-4B75-9777-F23A31CE6776}"/>
    <cellStyle name="Output 3 4 61" xfId="29789" xr:uid="{BFEC1267-D03B-4588-89B1-065F87F6DF6E}"/>
    <cellStyle name="Output 3 4 62" xfId="30196" xr:uid="{79AD7C04-8931-4A19-BC38-81F19ACEF194}"/>
    <cellStyle name="Output 3 4 63" xfId="30611" xr:uid="{8C8F87A3-C389-44CD-BF55-70806F306BE4}"/>
    <cellStyle name="Output 3 4 64" xfId="28120" xr:uid="{FD704286-8EF5-4A0C-9840-74E7E3ABECB2}"/>
    <cellStyle name="Output 3 4 65" xfId="31234" xr:uid="{842CAC08-94DF-4EA1-8C89-04E22C362CDE}"/>
    <cellStyle name="Output 3 4 7" xfId="4009" xr:uid="{ACC82143-242C-4DFB-8730-31C556BA843E}"/>
    <cellStyle name="Output 3 4 8" xfId="4447" xr:uid="{E0B72656-A1D2-4D0C-A16E-36313918900E}"/>
    <cellStyle name="Output 3 4 9" xfId="3425" xr:uid="{C8C768D5-5B0E-4493-85C5-6F97D38F851A}"/>
    <cellStyle name="Output 3 5" xfId="935" xr:uid="{2F4F0F2D-9865-4198-9F35-6E1C61E0A860}"/>
    <cellStyle name="Output 3 6" xfId="2062" xr:uid="{DB02E8ED-B80D-455D-B72A-F5E1BEDA8D3F}"/>
    <cellStyle name="Output 3 7" xfId="3187" xr:uid="{EC73B93B-C47D-4B56-B1FC-5B48F7D582F3}"/>
    <cellStyle name="Output 3 8" xfId="3358" xr:uid="{2A59364A-2D24-4141-AC92-4105E2923C1F}"/>
    <cellStyle name="Output 3 9" xfId="2750" xr:uid="{22BD5F03-13B9-41AF-B1D8-AABA920A3D78}"/>
    <cellStyle name="Pattern" xfId="174" xr:uid="{43AD4B32-8041-43FE-80A7-7E4D7C18747D}"/>
    <cellStyle name="Pattern 2" xfId="434" xr:uid="{28A81C50-ED86-4269-872B-8A60548A4DFA}"/>
    <cellStyle name="Pattern 2 2" xfId="577" xr:uid="{44629451-40B4-4BC4-A58B-1232DF6452CB}"/>
    <cellStyle name="Pattern 2 2 10" xfId="4751" xr:uid="{22F65779-71D4-4610-8EE9-15E3AF42C126}"/>
    <cellStyle name="Pattern 2 2 11" xfId="5225" xr:uid="{2E22DAFA-6227-45DA-BEED-3D89497E1750}"/>
    <cellStyle name="Pattern 2 2 12" xfId="4809" xr:uid="{86963A18-DE17-48B7-A6FC-3128AE21208A}"/>
    <cellStyle name="Pattern 2 2 13" xfId="5104" xr:uid="{89538E1A-EA15-4365-B1AC-F01CDFED25EE}"/>
    <cellStyle name="Pattern 2 2 14" xfId="6100" xr:uid="{EBB0A8DC-07D5-47B8-8DB3-95ABA92DFE13}"/>
    <cellStyle name="Pattern 2 2 15" xfId="7297" xr:uid="{A98E0377-4178-4A1E-8ABF-BF22E80C389A}"/>
    <cellStyle name="Pattern 2 2 16" xfId="7870" xr:uid="{D0312C8A-FF24-4A88-BF02-AA3415E4D812}"/>
    <cellStyle name="Pattern 2 2 17" xfId="8649" xr:uid="{72737C38-BED3-4C77-9EE4-1627C9C142BD}"/>
    <cellStyle name="Pattern 2 2 18" xfId="7801" xr:uid="{A3BC6709-82DA-482E-AB73-143233DD0B5C}"/>
    <cellStyle name="Pattern 2 2 19" xfId="9511" xr:uid="{BAA5894A-91DC-4836-BD77-7FCC5108CF12}"/>
    <cellStyle name="Pattern 2 2 2" xfId="792" xr:uid="{1917EC5F-F2C0-4538-A8B5-FA66D1AD2078}"/>
    <cellStyle name="Pattern 2 2 2 10" xfId="5440" xr:uid="{B1F0CF33-C677-4D21-B4A3-629BAFED27F8}"/>
    <cellStyle name="Pattern 2 2 2 11" xfId="5915" xr:uid="{B8C3DEA8-10E8-4393-BEB7-A109EECB936D}"/>
    <cellStyle name="Pattern 2 2 2 12" xfId="6008" xr:uid="{9FACA6E9-81AB-463E-B92A-66800F217EF8}"/>
    <cellStyle name="Pattern 2 2 2 13" xfId="6588" xr:uid="{D2B96537-C1A7-4583-8814-81C3650197A2}"/>
    <cellStyle name="Pattern 2 2 2 14" xfId="7512" xr:uid="{3697B746-1F98-4B25-BBE6-9EAE6EE8E493}"/>
    <cellStyle name="Pattern 2 2 2 15" xfId="7879" xr:uid="{A075BC1A-2A06-4C50-801F-E3519D02AB94}"/>
    <cellStyle name="Pattern 2 2 2 16" xfId="8653" xr:uid="{3041C8AF-4B55-4E52-BE71-15568B57E27F}"/>
    <cellStyle name="Pattern 2 2 2 17" xfId="8610" xr:uid="{5D92158D-DB3D-4A34-A47B-8C640BC6B1B4}"/>
    <cellStyle name="Pattern 2 2 2 18" xfId="9726" xr:uid="{7AD247FD-E8EF-4BA1-B6C7-222D8019B4E8}"/>
    <cellStyle name="Pattern 2 2 2 19" xfId="10093" xr:uid="{2B675B0B-15C9-42C9-834B-D00A366153E4}"/>
    <cellStyle name="Pattern 2 2 2 2" xfId="1266" xr:uid="{8FAAE054-AB6F-426F-BB49-B7EF1D9B27EE}"/>
    <cellStyle name="Pattern 2 2 2 20" xfId="10508" xr:uid="{E8E7B06B-24DF-45CB-969E-EB6DE3157B44}"/>
    <cellStyle name="Pattern 2 2 2 21" xfId="10662" xr:uid="{91B989D2-A37A-461E-82C2-F88A50B0950E}"/>
    <cellStyle name="Pattern 2 2 2 22" xfId="10991" xr:uid="{2A54D89E-09DF-4281-A5F8-9D74871ACB78}"/>
    <cellStyle name="Pattern 2 2 2 23" xfId="12145" xr:uid="{26381034-5F13-4E50-9A47-7D24126B86AC}"/>
    <cellStyle name="Pattern 2 2 2 24" xfId="12618" xr:uid="{4E4367C4-ADE5-442B-99B6-887AE318CB3F}"/>
    <cellStyle name="Pattern 2 2 2 25" xfId="13052" xr:uid="{E3DA371A-52E2-4A6D-8AF8-4468FEF95F68}"/>
    <cellStyle name="Pattern 2 2 2 26" xfId="13489" xr:uid="{E8094709-E092-484A-BC5A-2E4469A5436D}"/>
    <cellStyle name="Pattern 2 2 2 27" xfId="13173" xr:uid="{BD94DF1C-E1FE-4D4D-8E94-72FA28BB066C}"/>
    <cellStyle name="Pattern 2 2 2 28" xfId="11734" xr:uid="{071B838F-B469-4D4C-B15A-10AD654C8D87}"/>
    <cellStyle name="Pattern 2 2 2 29" xfId="14743" xr:uid="{864DBD44-CA97-433B-981B-880C2F2FFBCA}"/>
    <cellStyle name="Pattern 2 2 2 3" xfId="1506" xr:uid="{C86FE937-D75B-427F-9463-D1060F7B01AE}"/>
    <cellStyle name="Pattern 2 2 2 30" xfId="14068" xr:uid="{2B0A8589-4847-40EE-9198-8383EA68B099}"/>
    <cellStyle name="Pattern 2 2 2 31" xfId="14969" xr:uid="{34024DF9-1D98-402C-AD6A-DEF034179428}"/>
    <cellStyle name="Pattern 2 2 2 32" xfId="15904" xr:uid="{6ABF62A3-3905-45E6-81A5-290DABA14E41}"/>
    <cellStyle name="Pattern 2 2 2 33" xfId="16837" xr:uid="{6A97F1A4-4F9D-4410-B282-77EE1D156A44}"/>
    <cellStyle name="Pattern 2 2 2 34" xfId="17211" xr:uid="{AFEE6609-9F15-4395-8AE7-9744C965E2F2}"/>
    <cellStyle name="Pattern 2 2 2 35" xfId="17657" xr:uid="{63007AC9-3EE4-4523-891D-70A91D278210}"/>
    <cellStyle name="Pattern 2 2 2 36" xfId="17231" xr:uid="{F92D6F57-E274-44B1-B16C-82FADFBD788E}"/>
    <cellStyle name="Pattern 2 2 2 37" xfId="18655" xr:uid="{024023C3-2A52-47B5-B3D4-A11EA4826B48}"/>
    <cellStyle name="Pattern 2 2 2 38" xfId="18361" xr:uid="{D4A0E2D6-30A0-4C6B-B84B-161ABC14BEDB}"/>
    <cellStyle name="Pattern 2 2 2 39" xfId="19236" xr:uid="{DA7C099E-A348-45D8-BB5F-2A74811393B0}"/>
    <cellStyle name="Pattern 2 2 2 4" xfId="2614" xr:uid="{EDBE560B-C4FC-4ACF-8EC3-112B3B28790B}"/>
    <cellStyle name="Pattern 2 2 2 40" xfId="20174" xr:uid="{DAEA42A6-FD53-4CEB-A54A-47C618E7C031}"/>
    <cellStyle name="Pattern 2 2 2 41" xfId="20564" xr:uid="{036C2120-449E-462E-B137-829D8EDCAB3D}"/>
    <cellStyle name="Pattern 2 2 2 42" xfId="21017" xr:uid="{7EB8260E-CCB0-4DAB-AF63-529C3C9AEF4B}"/>
    <cellStyle name="Pattern 2 2 2 43" xfId="21588" xr:uid="{5492C074-E095-4034-8719-0B9970B27083}"/>
    <cellStyle name="Pattern 2 2 2 44" xfId="21948" xr:uid="{2AC126C4-0C9B-4E24-B157-01F88DF55DD2}"/>
    <cellStyle name="Pattern 2 2 2 45" xfId="22379" xr:uid="{B832F95E-54CB-4666-B2DC-3B854747032B}"/>
    <cellStyle name="Pattern 2 2 2 46" xfId="22405" xr:uid="{E1542211-7801-4633-B52B-2D3FD200AFBF}"/>
    <cellStyle name="Pattern 2 2 2 47" xfId="22644" xr:uid="{18667390-5F83-471A-B436-2B6511A29ED5}"/>
    <cellStyle name="Pattern 2 2 2 48" xfId="23638" xr:uid="{A7D2054C-28B8-4A93-B5B5-CEB4A48E9CCF}"/>
    <cellStyle name="Pattern 2 2 2 49" xfId="23974" xr:uid="{2FE98AA2-1F6C-472A-8E59-5A51D335D176}"/>
    <cellStyle name="Pattern 2 2 2 5" xfId="2284" xr:uid="{C2E9ADEF-E72B-4006-BA2E-6142B33DA7A1}"/>
    <cellStyle name="Pattern 2 2 2 50" xfId="24882" xr:uid="{7C11619E-A24A-4EC5-8FAB-F65B5918B3D9}"/>
    <cellStyle name="Pattern 2 2 2 51" xfId="25272" xr:uid="{C07854C1-164B-4084-B1BA-37E3A67734B5}"/>
    <cellStyle name="Pattern 2 2 2 52" xfId="25798" xr:uid="{BAC2907D-E195-4BFB-9C65-F6A918AA6B43}"/>
    <cellStyle name="Pattern 2 2 2 53" xfId="25484" xr:uid="{3ED138BC-6BC7-48BF-886B-8B1865DE3553}"/>
    <cellStyle name="Pattern 2 2 2 54" xfId="26200" xr:uid="{D4DAD9A3-BF9D-4600-8285-B54580E19B2B}"/>
    <cellStyle name="Pattern 2 2 2 55" xfId="27086" xr:uid="{2EDA1D2B-BD18-4F87-AF4C-BAE919F9BF20}"/>
    <cellStyle name="Pattern 2 2 2 56" xfId="27505" xr:uid="{F824AD77-9AE6-4C77-808F-A293ED65504C}"/>
    <cellStyle name="Pattern 2 2 2 57" xfId="26790" xr:uid="{C7CF4341-2954-48C2-89BB-90A6B409A737}"/>
    <cellStyle name="Pattern 2 2 2 58" xfId="28632" xr:uid="{EA25D33B-D041-444F-97E6-05FACD17DCA4}"/>
    <cellStyle name="Pattern 2 2 2 59" xfId="29099" xr:uid="{B5FA6B78-D08C-4E1C-86B7-8D05F0D9DED7}"/>
    <cellStyle name="Pattern 2 2 2 6" xfId="3755" xr:uid="{039CB618-BC0E-42A9-AF21-FBADC5325BA7}"/>
    <cellStyle name="Pattern 2 2 2 60" xfId="29401" xr:uid="{73AE1AD4-1062-4F83-A063-758F4ADF4522}"/>
    <cellStyle name="Pattern 2 2 2 61" xfId="29888" xr:uid="{D95699F7-94DA-4D67-ACBF-6255D7115B7F}"/>
    <cellStyle name="Pattern 2 2 2 62" xfId="30294" xr:uid="{4E9882F6-1892-47A9-B37E-DDA7D42BD559}"/>
    <cellStyle name="Pattern 2 2 2 63" xfId="30711" xr:uid="{91A0CCAC-2933-4EE0-ABFB-FFA1F9DCAA9C}"/>
    <cellStyle name="Pattern 2 2 2 64" xfId="30000" xr:uid="{3E41C1CC-35AD-4892-8E79-BEE0E7ED8F5B}"/>
    <cellStyle name="Pattern 2 2 2 65" xfId="31327" xr:uid="{0157F210-C751-4918-B202-F97F1C02C2C3}"/>
    <cellStyle name="Pattern 2 2 2 7" xfId="4110" xr:uid="{E078C2F5-DF0A-4B1D-B6E7-04B3C6A629CB}"/>
    <cellStyle name="Pattern 2 2 2 8" xfId="4547" xr:uid="{E5A833DF-5D9F-4A57-BD2D-B829545CDD0E}"/>
    <cellStyle name="Pattern 2 2 2 9" xfId="3701" xr:uid="{7835EFAC-608B-4802-9CBC-14EEDE7ACA96}"/>
    <cellStyle name="Pattern 2 2 20" xfId="10084" xr:uid="{AA6270AF-9212-420E-9804-05D75C40AF39}"/>
    <cellStyle name="Pattern 2 2 21" xfId="10499" xr:uid="{7D0B0671-3643-47B1-BC14-CD40DB022527}"/>
    <cellStyle name="Pattern 2 2 22" xfId="10107" xr:uid="{C9CF43F9-4858-4BBF-AB60-2B1E334D3613}"/>
    <cellStyle name="Pattern 2 2 23" xfId="11080" xr:uid="{45FD7275-9470-4E56-966E-7777F8A35F66}"/>
    <cellStyle name="Pattern 2 2 24" xfId="11930" xr:uid="{2487743B-DCEF-43B6-99F1-05C1EAD60D0E}"/>
    <cellStyle name="Pattern 2 2 25" xfId="12403" xr:uid="{17642DF1-37A8-4588-9E59-079284F23E05}"/>
    <cellStyle name="Pattern 2 2 26" xfId="12837" xr:uid="{97414513-7249-43E3-8535-B09635D7EFCF}"/>
    <cellStyle name="Pattern 2 2 27" xfId="13274" xr:uid="{352BF4E2-42A6-4D14-ADC9-92A1868A4724}"/>
    <cellStyle name="Pattern 2 2 28" xfId="13894" xr:uid="{9EA20B57-B36B-4469-9AD1-E3D582E4B596}"/>
    <cellStyle name="Pattern 2 2 29" xfId="14383" xr:uid="{C2D3A135-D20D-4BBD-B56D-E18677E265E6}"/>
    <cellStyle name="Pattern 2 2 3" xfId="1060" xr:uid="{7CEF78BC-6BE5-4ADD-8119-D008B1678014}"/>
    <cellStyle name="Pattern 2 2 30" xfId="14707" xr:uid="{6923F1EA-18D9-4CEA-BD9D-0A89959CBA41}"/>
    <cellStyle name="Pattern 2 2 31" xfId="14868" xr:uid="{6F184706-6ECF-4E4B-A848-B41663D78524}"/>
    <cellStyle name="Pattern 2 2 32" xfId="15500" xr:uid="{0A757D32-029A-42A9-9E05-63A69FD42236}"/>
    <cellStyle name="Pattern 2 2 33" xfId="15899" xr:uid="{706A5F30-A03C-4C7F-B5B5-42F5480A32BA}"/>
    <cellStyle name="Pattern 2 2 34" xfId="16622" xr:uid="{DD8F99B3-0784-4CD8-82ED-B13B64312E09}"/>
    <cellStyle name="Pattern 2 2 35" xfId="17202" xr:uid="{9EEA7BEE-0C5A-4271-ABD8-8C9C7A20FAAD}"/>
    <cellStyle name="Pattern 2 2 36" xfId="17648" xr:uid="{B61657E9-50BD-4438-9E69-28673361B587}"/>
    <cellStyle name="Pattern 2 2 37" xfId="16390" xr:uid="{6CDBEBCC-23ED-40CC-85CF-AFA77B51269E}"/>
    <cellStyle name="Pattern 2 2 38" xfId="18440" xr:uid="{1B978ABB-1D2D-4C3C-95CC-158A23C2BD7B}"/>
    <cellStyle name="Pattern 2 2 39" xfId="17346" xr:uid="{C8A67E6C-0941-4FF5-B20E-582072BBEB0D}"/>
    <cellStyle name="Pattern 2 2 4" xfId="1372" xr:uid="{B0141B5C-150F-4901-AF82-605C161216F9}"/>
    <cellStyle name="Pattern 2 2 40" xfId="19266" xr:uid="{49CD1DEC-1659-4220-BE0C-28A44C73A0E0}"/>
    <cellStyle name="Pattern 2 2 41" xfId="19959" xr:uid="{6C019FDE-55F9-4ACF-9F1F-39BB62F57421}"/>
    <cellStyle name="Pattern 2 2 42" xfId="20555" xr:uid="{656B862A-DA5C-4F87-A822-B9C6542FFA26}"/>
    <cellStyle name="Pattern 2 2 43" xfId="21008" xr:uid="{53C0F7FE-5E00-400E-B8F4-09D61412DF47}"/>
    <cellStyle name="Pattern 2 2 44" xfId="21164" xr:uid="{42D41256-BF26-4152-9542-D7FDD8C251ED}"/>
    <cellStyle name="Pattern 2 2 45" xfId="21939" xr:uid="{79CC7218-4EC5-4724-BF08-48ECA9248009}"/>
    <cellStyle name="Pattern 2 2 46" xfId="22371" xr:uid="{45F9CA33-F34B-4A9F-ADBD-CA29690413A0}"/>
    <cellStyle name="Pattern 2 2 47" xfId="22874" xr:uid="{377AC099-8F6B-4991-894B-FF651252E390}"/>
    <cellStyle name="Pattern 2 2 48" xfId="21931" xr:uid="{CA0870E1-F1A3-4E33-BB1B-5EF82AA48FD3}"/>
    <cellStyle name="Pattern 2 2 49" xfId="23560" xr:uid="{9C092350-822D-49C2-ABCE-52B55ADBC75D}"/>
    <cellStyle name="Pattern 2 2 5" xfId="2399" xr:uid="{7F6C593F-921A-4E55-B40A-053EB3E7B993}"/>
    <cellStyle name="Pattern 2 2 50" xfId="23768" xr:uid="{B376F879-AF31-4619-8A46-E1F3ADB5F848}"/>
    <cellStyle name="Pattern 2 2 51" xfId="24667" xr:uid="{14CDEDF6-AFC7-43E1-B8C7-A9F8D4A884BE}"/>
    <cellStyle name="Pattern 2 2 52" xfId="25263" xr:uid="{44464BED-4442-465D-B249-2A1128A94082}"/>
    <cellStyle name="Pattern 2 2 53" xfId="25585" xr:uid="{1982989A-E464-46E2-8C1E-04B80A3FF172}"/>
    <cellStyle name="Pattern 2 2 54" xfId="26180" xr:uid="{38A11B5C-2527-4C12-90B0-83F53CD7DFAA}"/>
    <cellStyle name="Pattern 2 2 55" xfId="25952" xr:uid="{9F8C26DF-4B76-4041-BE8A-DCAEB9B44F6A}"/>
    <cellStyle name="Pattern 2 2 56" xfId="26875" xr:uid="{0DC11FFD-40C0-4C1B-B2CC-D571930DEC21}"/>
    <cellStyle name="Pattern 2 2 57" xfId="27294" xr:uid="{1ABA7B5E-7E08-40C3-9E11-885F9676A944}"/>
    <cellStyle name="Pattern 2 2 58" xfId="27188" xr:uid="{B11F5C0A-4DA5-45B5-B92B-BBB890BDDDE7}"/>
    <cellStyle name="Pattern 2 2 59" xfId="28417" xr:uid="{5A3D5AF9-3427-4F65-9A19-602A29F4C363}"/>
    <cellStyle name="Pattern 2 2 6" xfId="3062" xr:uid="{322E5B16-D464-413D-94B9-0BF6F86BCD8A}"/>
    <cellStyle name="Pattern 2 2 60" xfId="28885" xr:uid="{A1E26C37-8256-4436-800A-3EE527C6A8DC}"/>
    <cellStyle name="Pattern 2 2 61" xfId="29394" xr:uid="{D3A29C51-BFA9-47BA-B40C-A82FDF3D6564}"/>
    <cellStyle name="Pattern 2 2 62" xfId="29675" xr:uid="{02E3CFE7-627F-40A4-8ABA-E60886CF1862}"/>
    <cellStyle name="Pattern 2 2 63" xfId="30083" xr:uid="{9A025346-EBF1-4BB7-801A-C2CA965B230E}"/>
    <cellStyle name="Pattern 2 2 64" xfId="30497" xr:uid="{8A4E9A8A-3960-4C10-B88A-D01CD5DB4007}"/>
    <cellStyle name="Pattern 2 2 65" xfId="31006" xr:uid="{2159B402-B57D-406D-9620-E47E8BABEAC5}"/>
    <cellStyle name="Pattern 2 2 66" xfId="31121" xr:uid="{B0F7184C-41D2-4599-89DD-6A8374E57336}"/>
    <cellStyle name="Pattern 2 2 7" xfId="3751" xr:uid="{1113A08A-1AB3-4825-AB08-F3FF796B4762}"/>
    <cellStyle name="Pattern 2 2 8" xfId="3895" xr:uid="{C02B95F3-6728-4366-9423-6A969016F951}"/>
    <cellStyle name="Pattern 2 2 9" xfId="4333" xr:uid="{92331102-953E-489D-A94C-B6762095DFEE}"/>
    <cellStyle name="Pattern 2 3" xfId="723" xr:uid="{516B13C1-0007-4BE0-9978-789860D87416}"/>
    <cellStyle name="Pattern 2 3 10" xfId="5371" xr:uid="{6B5BF5FF-027E-48C0-AE63-FE5C4D258C9F}"/>
    <cellStyle name="Pattern 2 3 11" xfId="5695" xr:uid="{C7134BE2-F838-47AA-A6B2-7C2B5F035D34}"/>
    <cellStyle name="Pattern 2 3 12" xfId="6081" xr:uid="{88694CA8-032D-4D51-BAC9-2622135FCA77}"/>
    <cellStyle name="Pattern 2 3 13" xfId="5672" xr:uid="{D7F1EACC-F5E7-4A11-87F3-7425E2AD73AD}"/>
    <cellStyle name="Pattern 2 3 14" xfId="7443" xr:uid="{D9999909-F33B-4741-8107-8DC80C438A5C}"/>
    <cellStyle name="Pattern 2 3 15" xfId="7847" xr:uid="{511E8283-A1DB-40A9-B857-5B9B661E5F99}"/>
    <cellStyle name="Pattern 2 3 16" xfId="8184" xr:uid="{960254F7-503D-47B6-A828-2FFC1A6E00AF}"/>
    <cellStyle name="Pattern 2 3 17" xfId="8791" xr:uid="{76A2A682-7F5F-4BCF-8243-4FF65046BE9D}"/>
    <cellStyle name="Pattern 2 3 18" xfId="9657" xr:uid="{85B1B3B6-C4D6-4935-AF98-4C4B371434DC}"/>
    <cellStyle name="Pattern 2 3 19" xfId="10059" xr:uid="{8C498E79-3120-414E-B8B1-4EEC7C12770B}"/>
    <cellStyle name="Pattern 2 3 2" xfId="1197" xr:uid="{3982BEE2-44F8-49E5-A76C-6CA08F54DA20}"/>
    <cellStyle name="Pattern 2 3 20" xfId="10478" xr:uid="{809A7E81-90AF-48D8-99CB-8A463F8E73F0}"/>
    <cellStyle name="Pattern 2 3 21" xfId="10793" xr:uid="{FF1A1F93-1C6C-4383-9216-44AF5FBFDC4D}"/>
    <cellStyle name="Pattern 2 3 22" xfId="10965" xr:uid="{7BDC98A5-9EF4-4685-8F21-F17EC8B27D79}"/>
    <cellStyle name="Pattern 2 3 23" xfId="12076" xr:uid="{F945E6C2-5FBD-4A17-A512-424CFB987F21}"/>
    <cellStyle name="Pattern 2 3 24" xfId="12549" xr:uid="{D59F5A24-38BA-43E9-AF06-0DFBBB4C7996}"/>
    <cellStyle name="Pattern 2 3 25" xfId="12983" xr:uid="{5525AE92-66C8-40D8-A298-34CA6020ADC1}"/>
    <cellStyle name="Pattern 2 3 26" xfId="13420" xr:uid="{625AC0EF-1F03-4E3D-9F3B-D96E6F089A97}"/>
    <cellStyle name="Pattern 2 3 27" xfId="13659" xr:uid="{D4F28D93-7857-4643-9179-32DA3FB8847B}"/>
    <cellStyle name="Pattern 2 3 28" xfId="13777" xr:uid="{B79DAB7A-EB88-4635-B0D2-35D59FE35705}"/>
    <cellStyle name="Pattern 2 3 29" xfId="14713" xr:uid="{B908546E-39F4-4548-9995-D9BD0A8E90F9}"/>
    <cellStyle name="Pattern 2 3 3" xfId="1494" xr:uid="{B11243C5-FF74-445F-83C1-648170AFC5B5}"/>
    <cellStyle name="Pattern 2 3 30" xfId="15336" xr:uid="{E342227A-5196-46AD-BFE0-F07B2FFDE9DC}"/>
    <cellStyle name="Pattern 2 3 31" xfId="13963" xr:uid="{C163CB48-5B38-4075-B982-3A68F90F3DCC}"/>
    <cellStyle name="Pattern 2 3 32" xfId="15888" xr:uid="{E058F32B-95F7-467D-A4AE-76BA90590159}"/>
    <cellStyle name="Pattern 2 3 33" xfId="16768" xr:uid="{D9CE98B9-A728-42D6-933D-5F50C8CDF60F}"/>
    <cellStyle name="Pattern 2 3 34" xfId="17177" xr:uid="{DFE681D7-546E-4FD2-8347-3994581DDF98}"/>
    <cellStyle name="Pattern 2 3 35" xfId="17622" xr:uid="{7A7BFB1A-12F7-495E-ADA7-E9E2B81BAAF1}"/>
    <cellStyle name="Pattern 2 3 36" xfId="16058" xr:uid="{A10A5B41-6F18-4290-8A1E-4BD653F101E8}"/>
    <cellStyle name="Pattern 2 3 37" xfId="18586" xr:uid="{9C8C9BA5-2202-412D-9FBE-73A90020D084}"/>
    <cellStyle name="Pattern 2 3 38" xfId="18922" xr:uid="{B8E1021E-70EC-402B-86C2-5B70124EDABB}"/>
    <cellStyle name="Pattern 2 3 39" xfId="18908" xr:uid="{299DC1E6-3625-43FD-B592-B33D9CCDBDBE}"/>
    <cellStyle name="Pattern 2 3 4" xfId="2545" xr:uid="{380C8EB6-F741-4414-B92A-0F11449F342E}"/>
    <cellStyle name="Pattern 2 3 40" xfId="20105" xr:uid="{B0EEE63E-BDF4-421D-9CB2-0A364A28B5B8}"/>
    <cellStyle name="Pattern 2 3 41" xfId="20529" xr:uid="{8D240E91-2BAF-4F1C-BDF1-7AC3347B432B}"/>
    <cellStyle name="Pattern 2 3 42" xfId="20982" xr:uid="{62D13698-956B-4BBA-B78D-28CA0B72F8EE}"/>
    <cellStyle name="Pattern 2 3 43" xfId="21514" xr:uid="{7F67F32A-6CAC-40B4-87EE-ECD8A885E815}"/>
    <cellStyle name="Pattern 2 3 44" xfId="21913" xr:uid="{5BE47EA8-BD1B-4ECE-826E-A18C75AA8D8D}"/>
    <cellStyle name="Pattern 2 3 45" xfId="22347" xr:uid="{24391C5D-C872-47B4-A261-6A026624246D}"/>
    <cellStyle name="Pattern 2 3 46" xfId="22662" xr:uid="{66EAB466-0D82-423D-8963-813D0EB9620D}"/>
    <cellStyle name="Pattern 2 3 47" xfId="23204" xr:uid="{5B0662B2-A6A6-4B82-8C9C-6BD4ACED4810}"/>
    <cellStyle name="Pattern 2 3 48" xfId="23294" xr:uid="{86A14511-4805-4E20-B0E4-5FCCAD8FC0BE}"/>
    <cellStyle name="Pattern 2 3 49" xfId="23905" xr:uid="{0CED9E4A-4C9F-4D92-8189-F17C0A29C8BB}"/>
    <cellStyle name="Pattern 2 3 5" xfId="2825" xr:uid="{FBC66005-5A04-44D4-909E-7B42F5D03127}"/>
    <cellStyle name="Pattern 2 3 50" xfId="24813" xr:uid="{4CF41899-28C3-48A7-93D3-AD338CABAD1B}"/>
    <cellStyle name="Pattern 2 3 51" xfId="25238" xr:uid="{90BA989F-7683-4C05-B91D-F757EB1811C9}"/>
    <cellStyle name="Pattern 2 3 52" xfId="25729" xr:uid="{52B8E280-9A07-4C02-9655-9FD3861CB95B}"/>
    <cellStyle name="Pattern 2 3 53" xfId="25965" xr:uid="{808543E8-F96E-4E0F-9EA3-45D99203A9D9}"/>
    <cellStyle name="Pattern 2 3 54" xfId="26242" xr:uid="{66334C94-5229-44C3-A147-946FF6A50002}"/>
    <cellStyle name="Pattern 2 3 55" xfId="27017" xr:uid="{B385060B-57B2-4665-AB16-10ED68758C7A}"/>
    <cellStyle name="Pattern 2 3 56" xfId="27436" xr:uid="{33A1BE1E-F49C-4180-A2EE-91C7D9559D70}"/>
    <cellStyle name="Pattern 2 3 57" xfId="25966" xr:uid="{3D78C1E9-0676-426D-A47F-ECFD6B8E514F}"/>
    <cellStyle name="Pattern 2 3 58" xfId="28563" xr:uid="{BF70C956-15E5-4924-BB4F-8F833BC2BE9A}"/>
    <cellStyle name="Pattern 2 3 59" xfId="29030" xr:uid="{B8251BEA-2473-4326-AF5F-0CB63D8967AF}"/>
    <cellStyle name="Pattern 2 3 6" xfId="3164" xr:uid="{03E547EC-3136-4198-B6D3-9578473B0828}"/>
    <cellStyle name="Pattern 2 3 60" xfId="29377" xr:uid="{3BBF4D87-F5AE-4312-9542-02D8D8EEBD6B}"/>
    <cellStyle name="Pattern 2 3 61" xfId="29819" xr:uid="{09F67DEF-E992-412C-81C2-2A35E3E43108}"/>
    <cellStyle name="Pattern 2 3 62" xfId="30225" xr:uid="{B18A76B7-D416-40D5-ABFE-4BE5D4C14F2E}"/>
    <cellStyle name="Pattern 2 3 63" xfId="30642" xr:uid="{1F04AF83-469C-4ED4-A309-25371E456AAF}"/>
    <cellStyle name="Pattern 2 3 64" xfId="30400" xr:uid="{3C7CE05E-F85E-4C3D-9860-462744CC7B3A}"/>
    <cellStyle name="Pattern 2 3 65" xfId="31258" xr:uid="{41E18A00-1AE5-4719-A418-8667190B5A42}"/>
    <cellStyle name="Pattern 2 3 7" xfId="4041" xr:uid="{A84925E4-339B-4389-8600-6A9B0A3247D0}"/>
    <cellStyle name="Pattern 2 3 8" xfId="4478" xr:uid="{D81F2487-9212-4886-9A1D-D529D92D3AA3}"/>
    <cellStyle name="Pattern 2 3 9" xfId="3167" xr:uid="{33C23327-81CE-4799-9FAA-24820CC9C9F0}"/>
    <cellStyle name="Pattern 3" xfId="283" xr:uid="{95F310EC-6A0B-4EB0-AFA2-652727A84B79}"/>
    <cellStyle name="Pattern 3 10" xfId="3123" xr:uid="{EDF917C8-CD11-4771-A01B-E5A39539308C}"/>
    <cellStyle name="Pattern 3 11" xfId="3573" xr:uid="{165EF7D5-DE07-4AA7-872E-F4A9B76CFBC4}"/>
    <cellStyle name="Pattern 3 12" xfId="3538" xr:uid="{F6E8C036-FCBD-48F2-8887-E8DE4EF328AE}"/>
    <cellStyle name="Pattern 3 13" xfId="3288" xr:uid="{9561A022-461D-4F97-A13D-19796BB2BF1E}"/>
    <cellStyle name="Pattern 3 14" xfId="5616" xr:uid="{DCEF9C72-288A-434F-8660-46E9287D2F2D}"/>
    <cellStyle name="Pattern 3 15" xfId="4666" xr:uid="{E707398B-1F7E-4FBA-82CA-D371329862D6}"/>
    <cellStyle name="Pattern 3 16" xfId="6672" xr:uid="{5AF8122E-F6F2-4163-B16A-C7BFFF1A926E}"/>
    <cellStyle name="Pattern 3 17" xfId="7013" xr:uid="{005A47D9-7001-406C-8366-EE12A7F3FA6C}"/>
    <cellStyle name="Pattern 3 18" xfId="7637" xr:uid="{638F2E37-0482-4B1D-BAAC-8F86DDFBC5A7}"/>
    <cellStyle name="Pattern 3 19" xfId="8595" xr:uid="{E163BC0C-7EC2-4202-B67F-2B1AC4A4BAF3}"/>
    <cellStyle name="Pattern 3 2" xfId="620" xr:uid="{4B970A8F-1440-4B39-8030-1B00BCE2384E}"/>
    <cellStyle name="Pattern 3 2 10" xfId="4778" xr:uid="{2EA051A8-57F9-4A0A-8EA9-78EA485DD1C5}"/>
    <cellStyle name="Pattern 3 2 11" xfId="5268" xr:uid="{94002FF4-43DE-41E1-A943-4B227600789F}"/>
    <cellStyle name="Pattern 3 2 12" xfId="4671" xr:uid="{73EF1A69-4699-447D-919B-6E9FCCA6F8CF}"/>
    <cellStyle name="Pattern 3 2 13" xfId="6288" xr:uid="{9F50F104-8FA6-4688-B7BB-214B7656CA19}"/>
    <cellStyle name="Pattern 3 2 14" xfId="6630" xr:uid="{A9D3D63B-2D0D-42C4-82CA-0ACF18F45261}"/>
    <cellStyle name="Pattern 3 2 15" xfId="7340" xr:uid="{99FE8634-580A-4764-9A0C-EB0FEB1F8168}"/>
    <cellStyle name="Pattern 3 2 16" xfId="7102" xr:uid="{A4590655-27AF-4036-A428-0A369026DCF5}"/>
    <cellStyle name="Pattern 3 2 17" xfId="8519" xr:uid="{43F28699-010D-4125-A44A-0968A4675DAA}"/>
    <cellStyle name="Pattern 3 2 18" xfId="8685" xr:uid="{18B6EC27-44D2-4428-9DBA-5AA8E66C9FF0}"/>
    <cellStyle name="Pattern 3 2 19" xfId="9554" xr:uid="{2ED96BB7-AC72-49A7-A2DC-C539B95BDC9D}"/>
    <cellStyle name="Pattern 3 2 2" xfId="835" xr:uid="{7D56EC9A-8220-44E4-A6D9-BFC453021884}"/>
    <cellStyle name="Pattern 3 2 2 10" xfId="5483" xr:uid="{26DE78B8-9520-497F-B53F-D83597064202}"/>
    <cellStyle name="Pattern 3 2 2 11" xfId="3146" xr:uid="{67489DFA-04C5-4E54-AA58-32D2D0E9E1F8}"/>
    <cellStyle name="Pattern 3 2 2 12" xfId="5736" xr:uid="{52236FBD-474E-4673-B334-D1A657A30951}"/>
    <cellStyle name="Pattern 3 2 2 13" xfId="6406" xr:uid="{775CE348-8032-4CBB-A6F1-B53B156A2036}"/>
    <cellStyle name="Pattern 3 2 2 14" xfId="7555" xr:uid="{AFC710D8-F8A4-48CA-87F2-317C13D71F99}"/>
    <cellStyle name="Pattern 3 2 2 15" xfId="6988" xr:uid="{5F076851-2392-457F-AED3-E91B630BDAAE}"/>
    <cellStyle name="Pattern 3 2 2 16" xfId="8459" xr:uid="{0D9B0A22-6D6D-408E-BA06-E176DE65FA6A}"/>
    <cellStyle name="Pattern 3 2 2 17" xfId="8119" xr:uid="{98ED5C36-D319-423B-B8C5-927C0B1AD796}"/>
    <cellStyle name="Pattern 3 2 2 18" xfId="9769" xr:uid="{E710F9B5-0E41-4D18-B2AA-B5084BBC69AE}"/>
    <cellStyle name="Pattern 3 2 2 19" xfId="9329" xr:uid="{F140E997-DEC4-421F-A58F-22E8982A0049}"/>
    <cellStyle name="Pattern 3 2 2 2" xfId="1309" xr:uid="{DAB5B3AB-540D-4B42-A893-CBCDBEB85C82}"/>
    <cellStyle name="Pattern 3 2 2 20" xfId="9048" xr:uid="{39B2CEEE-F959-49EC-A866-651A85F75C0E}"/>
    <cellStyle name="Pattern 3 2 2 21" xfId="10322" xr:uid="{8A086434-5C10-4537-9276-6CE624896806}"/>
    <cellStyle name="Pattern 3 2 2 22" xfId="11073" xr:uid="{1529EF8D-A205-4446-847F-9CBF60F1B7E9}"/>
    <cellStyle name="Pattern 3 2 2 23" xfId="12188" xr:uid="{D7525FAC-7D72-4E74-81A0-D28B91157119}"/>
    <cellStyle name="Pattern 3 2 2 24" xfId="12661" xr:uid="{0044A64B-E373-464F-9A29-9DC277335B02}"/>
    <cellStyle name="Pattern 3 2 2 25" xfId="13095" xr:uid="{86378495-994F-4643-BAEE-1D53C740E9CD}"/>
    <cellStyle name="Pattern 3 2 2 26" xfId="13532" xr:uid="{0A8C9F1E-1446-4C18-BAF3-403C47FC121D}"/>
    <cellStyle name="Pattern 3 2 2 27" xfId="13937" xr:uid="{2B6A6C09-7DEC-42C1-A16F-ECFA9DDF49E4}"/>
    <cellStyle name="Pattern 3 2 2 28" xfId="13902" xr:uid="{2A3A8880-57CD-4D62-9A19-F8509F239591}"/>
    <cellStyle name="Pattern 3 2 2 29" xfId="11837" xr:uid="{516ECE55-CCB0-4082-BDCA-B3DA5277C7C2}"/>
    <cellStyle name="Pattern 3 2 2 3" xfId="1383" xr:uid="{B571DE90-D120-4EF7-B136-A57EB44413EC}"/>
    <cellStyle name="Pattern 3 2 2 30" xfId="14816" xr:uid="{97B886E4-42AA-422C-BB48-31941E820F93}"/>
    <cellStyle name="Pattern 3 2 2 31" xfId="11452" xr:uid="{2A21809A-0B44-4918-AE8A-A85DC799BC6D}"/>
    <cellStyle name="Pattern 3 2 2 32" xfId="15712" xr:uid="{651FDEE7-3BC7-4881-81D6-D81687923FA1}"/>
    <cellStyle name="Pattern 3 2 2 33" xfId="16880" xr:uid="{A5CF7FB1-BB7A-4189-AE5A-B070D3ADF811}"/>
    <cellStyle name="Pattern 3 2 2 34" xfId="16308" xr:uid="{64AF6D19-C181-4818-8033-3E64360ADBE1}"/>
    <cellStyle name="Pattern 3 2 2 35" xfId="16285" xr:uid="{3D65D9B5-4D35-4A4F-9429-5A6F8FFA7B18}"/>
    <cellStyle name="Pattern 3 2 2 36" xfId="17703" xr:uid="{55A75E8C-C3A6-4E7C-9AFD-5BB5C90FD72A}"/>
    <cellStyle name="Pattern 3 2 2 37" xfId="18698" xr:uid="{EB2804C6-A320-46AC-8CF3-025401761DA8}"/>
    <cellStyle name="Pattern 3 2 2 38" xfId="17640" xr:uid="{5E75EF01-4A46-43AF-84A7-B5063C7B81FF}"/>
    <cellStyle name="Pattern 3 2 2 39" xfId="18860" xr:uid="{EE429C45-C0F3-4D9B-A56E-768C089FC216}"/>
    <cellStyle name="Pattern 3 2 2 4" xfId="2657" xr:uid="{60650FC8-A25F-4E46-9FC5-74F7651A1A88}"/>
    <cellStyle name="Pattern 3 2 2 40" xfId="20217" xr:uid="{6E790E94-7BF6-4E66-81A8-90FB02A1BD6C}"/>
    <cellStyle name="Pattern 3 2 2 41" xfId="19638" xr:uid="{22417472-1D13-4C62-86A4-00A1C4E6B138}"/>
    <cellStyle name="Pattern 3 2 2 42" xfId="19639" xr:uid="{8349C792-DB6C-4583-B03B-1246BB814E1B}"/>
    <cellStyle name="Pattern 3 2 2 43" xfId="20824" xr:uid="{759DCA5B-EBE9-4496-BB3D-0695ABF9BE00}"/>
    <cellStyle name="Pattern 3 2 2 44" xfId="20903" xr:uid="{4D3AB358-D82A-4A55-8156-6A60E55BA959}"/>
    <cellStyle name="Pattern 3 2 2 45" xfId="21246" xr:uid="{3E57F932-9BF4-44ED-A205-474DF7D2554D}"/>
    <cellStyle name="Pattern 3 2 2 46" xfId="22912" xr:uid="{36C80DCB-D4AE-431F-AA79-4D0A9822560C}"/>
    <cellStyle name="Pattern 3 2 2 47" xfId="22883" xr:uid="{21855C52-4521-4246-95F2-B995FC206F1E}"/>
    <cellStyle name="Pattern 3 2 2 48" xfId="23300" xr:uid="{337575A9-D2ED-46F9-B177-CB8328237B36}"/>
    <cellStyle name="Pattern 3 2 2 49" xfId="24017" xr:uid="{7285F12C-6AA5-4E7F-B2A0-D2ECD980B053}"/>
    <cellStyle name="Pattern 3 2 2 5" xfId="3105" xr:uid="{CCF44B65-8F5D-4086-92D0-BE3F5E86E8AB}"/>
    <cellStyle name="Pattern 3 2 2 50" xfId="24925" xr:uid="{82AC2196-13C1-4F95-8E54-25B232C6EF94}"/>
    <cellStyle name="Pattern 3 2 2 51" xfId="24108" xr:uid="{214F5CD9-D134-458B-8B72-6A1DC4381085}"/>
    <cellStyle name="Pattern 3 2 2 52" xfId="25841" xr:uid="{853F0E19-D62B-489A-8240-0934EB0E2569}"/>
    <cellStyle name="Pattern 3 2 2 53" xfId="26217" xr:uid="{084F0B04-4A2D-42BD-A39F-867F661BA836}"/>
    <cellStyle name="Pattern 3 2 2 54" xfId="25241" xr:uid="{C39B5A7B-7F8B-4283-A837-A43B5AD84118}"/>
    <cellStyle name="Pattern 3 2 2 55" xfId="27129" xr:uid="{484DE458-204B-4CFB-A1A2-0C14561C6739}"/>
    <cellStyle name="Pattern 3 2 2 56" xfId="27548" xr:uid="{0D913F47-2C19-4E46-9004-834BC965900C}"/>
    <cellStyle name="Pattern 3 2 2 57" xfId="26274" xr:uid="{97D83253-F88A-4D68-8892-D245BCCC51F6}"/>
    <cellStyle name="Pattern 3 2 2 58" xfId="28675" xr:uid="{7F50286F-C515-4687-B614-3EB7C8897773}"/>
    <cellStyle name="Pattern 3 2 2 59" xfId="29142" xr:uid="{37F3E791-9B79-4F7A-BBCD-A5F6F44A082A}"/>
    <cellStyle name="Pattern 3 2 2 6" xfId="2956" xr:uid="{6FA3DF9A-C858-457C-918A-3AABA0EE9274}"/>
    <cellStyle name="Pattern 3 2 2 60" xfId="27912" xr:uid="{B70564BE-F7DC-46C4-AD97-7B19EFE1FDB1}"/>
    <cellStyle name="Pattern 3 2 2 61" xfId="29931" xr:uid="{15AB891E-52FD-487B-824D-C53DEDF011ED}"/>
    <cellStyle name="Pattern 3 2 2 62" xfId="30337" xr:uid="{DAD169DE-2DB5-41E2-A36A-8ACBC16D62C8}"/>
    <cellStyle name="Pattern 3 2 2 63" xfId="30754" xr:uid="{4E84898D-4316-4ECB-A7EA-17156DBD4A2E}"/>
    <cellStyle name="Pattern 3 2 2 64" xfId="29221" xr:uid="{74281E89-EA77-425F-8759-AE7F64AE4912}"/>
    <cellStyle name="Pattern 3 2 2 65" xfId="31370" xr:uid="{2E2D53AF-ECCD-4E32-BA57-71C4C6D8BC4C}"/>
    <cellStyle name="Pattern 3 2 2 7" xfId="4153" xr:uid="{98FCF3E9-3FA4-4C3D-8267-038A47F8B6D8}"/>
    <cellStyle name="Pattern 3 2 2 8" xfId="4590" xr:uid="{5D2F78C8-D381-4985-859A-8CB44600037C}"/>
    <cellStyle name="Pattern 3 2 2 9" xfId="3730" xr:uid="{5B97478C-B153-42DD-B32F-125ED2FAC85B}"/>
    <cellStyle name="Pattern 3 2 20" xfId="9188" xr:uid="{BB002783-4D2F-4088-BEA1-45108C9947D4}"/>
    <cellStyle name="Pattern 3 2 21" xfId="9171" xr:uid="{156B4545-B314-46BD-BF1C-35EFA47EF532}"/>
    <cellStyle name="Pattern 3 2 22" xfId="10928" xr:uid="{12E40BAF-EF10-4C77-BD3B-D13C513AEE8D}"/>
    <cellStyle name="Pattern 3 2 23" xfId="10814" xr:uid="{566DADC5-852C-4322-A70C-A9995B2B0F97}"/>
    <cellStyle name="Pattern 3 2 24" xfId="11973" xr:uid="{A490BA78-7CC0-4430-BE9B-DF1286F040A4}"/>
    <cellStyle name="Pattern 3 2 25" xfId="12446" xr:uid="{63E4C3CD-520D-4299-8841-0E9A7A671C20}"/>
    <cellStyle name="Pattern 3 2 26" xfId="12880" xr:uid="{96C4F925-E679-4E1F-95A5-ADF5BB57036E}"/>
    <cellStyle name="Pattern 3 2 27" xfId="13317" xr:uid="{1722733E-4B7D-4F35-8AF5-978F71E0CC4E}"/>
    <cellStyle name="Pattern 3 2 28" xfId="12730" xr:uid="{D97AF37A-0E09-4B5B-9993-88F6E38C4741}"/>
    <cellStyle name="Pattern 3 2 29" xfId="11647" xr:uid="{CAA8E9AB-B9DC-43CA-B67E-507E4A8222CC}"/>
    <cellStyle name="Pattern 3 2 3" xfId="1103" xr:uid="{5048DFC5-F5F4-4405-9C32-266304474144}"/>
    <cellStyle name="Pattern 3 2 30" xfId="14345" xr:uid="{2736B292-BFF2-4FEA-A580-E74F28073821}"/>
    <cellStyle name="Pattern 3 2 31" xfId="14962" xr:uid="{98997E90-5429-497C-9032-C73B7E64010F}"/>
    <cellStyle name="Pattern 3 2 32" xfId="15255" xr:uid="{B1C44083-C6A7-498B-AA8E-2DC2F11E8F69}"/>
    <cellStyle name="Pattern 3 2 33" xfId="15626" xr:uid="{CA697145-E3BD-4778-9DA5-64E378BA3389}"/>
    <cellStyle name="Pattern 3 2 34" xfId="16665" xr:uid="{A456942E-DA67-44BF-A43F-4F8CEC1803A0}"/>
    <cellStyle name="Pattern 3 2 35" xfId="16424" xr:uid="{18D70F59-7F77-4127-A1D9-B339839CC0DF}"/>
    <cellStyle name="Pattern 3 2 36" xfId="16975" xr:uid="{ACD245C4-D2E9-474A-8B64-E72A17179F79}"/>
    <cellStyle name="Pattern 3 2 37" xfId="17162" xr:uid="{14175AB8-943F-4D2A-A2FB-CF262971F0F0}"/>
    <cellStyle name="Pattern 3 2 38" xfId="18483" xr:uid="{C02F6110-3B50-420E-95C7-2D32BE12A20B}"/>
    <cellStyle name="Pattern 3 2 39" xfId="17627" xr:uid="{7299ED3E-D087-46B9-8F6C-3A185571D445}"/>
    <cellStyle name="Pattern 3 2 4" xfId="1744" xr:uid="{EDB8C6CC-FEC6-40F4-A646-E01D047D51F3}"/>
    <cellStyle name="Pattern 3 2 40" xfId="19207" xr:uid="{515A8405-CAC4-48AF-BF96-87E7034BBF7C}"/>
    <cellStyle name="Pattern 3 2 41" xfId="20002" xr:uid="{7CA0EE4E-E213-48CF-959D-D310B27A37F7}"/>
    <cellStyle name="Pattern 3 2 42" xfId="20274" xr:uid="{C935D6CB-93B1-4890-9FB3-79D868D3D3B8}"/>
    <cellStyle name="Pattern 3 2 43" xfId="19684" xr:uid="{4EA8EF29-58DC-4174-84E4-888C2E0DE037}"/>
    <cellStyle name="Pattern 3 2 44" xfId="20929" xr:uid="{AC0B147A-23EB-49AB-8EBD-B2E52E7A008C}"/>
    <cellStyle name="Pattern 3 2 45" xfId="20589" xr:uid="{48798E96-94AA-4D1A-BFA2-72F7CD169771}"/>
    <cellStyle name="Pattern 3 2 46" xfId="21869" xr:uid="{B5242DFB-F12C-4D97-82A2-9C75F1EF7FA6}"/>
    <cellStyle name="Pattern 3 2 47" xfId="22236" xr:uid="{37358DE1-156B-4856-9270-CAFA13586C38}"/>
    <cellStyle name="Pattern 3 2 48" xfId="22802" xr:uid="{79A353C9-C632-4534-B7EF-831C83FD3C64}"/>
    <cellStyle name="Pattern 3 2 49" xfId="23494" xr:uid="{E199458D-50AC-44A7-87F1-E97FE9ED0689}"/>
    <cellStyle name="Pattern 3 2 5" xfId="2442" xr:uid="{CA18A47B-8E55-448C-B1AD-5A13C8CF98B2}"/>
    <cellStyle name="Pattern 3 2 50" xfId="23811" xr:uid="{22014BCD-AD40-42AA-B6C5-ECFC28D76430}"/>
    <cellStyle name="Pattern 3 2 51" xfId="24710" xr:uid="{F70AA568-85CA-43B5-B6FB-625238012C47}"/>
    <cellStyle name="Pattern 3 2 52" xfId="24990" xr:uid="{D9278580-DC68-4DA4-A923-0DE6AE2F951F}"/>
    <cellStyle name="Pattern 3 2 53" xfId="25628" xr:uid="{D7A366AA-D950-4689-8551-413AB638B1E7}"/>
    <cellStyle name="Pattern 3 2 54" xfId="25239" xr:uid="{81EAFB7D-7386-47CB-9E32-7FEB2D55FEB7}"/>
    <cellStyle name="Pattern 3 2 55" xfId="25492" xr:uid="{490ACF7C-4619-4407-99CF-35C929946127}"/>
    <cellStyle name="Pattern 3 2 56" xfId="26918" xr:uid="{95F8CBB8-629D-41CF-9F39-0F41D74A544D}"/>
    <cellStyle name="Pattern 3 2 57" xfId="27337" xr:uid="{60203A80-7972-4836-AF6A-ADF43B593246}"/>
    <cellStyle name="Pattern 3 2 58" xfId="27712" xr:uid="{340B80C1-ABF6-4551-9591-E088DBDD7DA7}"/>
    <cellStyle name="Pattern 3 2 59" xfId="28460" xr:uid="{5C165703-F8CA-47F5-8A1B-FF0312271300}"/>
    <cellStyle name="Pattern 3 2 6" xfId="2227" xr:uid="{46836922-B375-4661-99CC-005CE7C09F26}"/>
    <cellStyle name="Pattern 3 2 60" xfId="28928" xr:uid="{EBA5CFAA-E17F-439D-87C7-0B6410020F63}"/>
    <cellStyle name="Pattern 3 2 61" xfId="28323" xr:uid="{A0D16419-20C8-4EE3-AFA8-E766EB532826}"/>
    <cellStyle name="Pattern 3 2 62" xfId="29718" xr:uid="{B4C70C9C-48F7-41BC-8202-2A873611E773}"/>
    <cellStyle name="Pattern 3 2 63" xfId="30126" xr:uid="{646CD70C-A8F2-4163-BEBD-B9BC36125F11}"/>
    <cellStyle name="Pattern 3 2 64" xfId="30540" xr:uid="{8D74D9EB-98F7-4136-B458-64EB67AD2B6F}"/>
    <cellStyle name="Pattern 3 2 65" xfId="30844" xr:uid="{07526B91-34CB-4670-873E-8AE3E3D39EFD}"/>
    <cellStyle name="Pattern 3 2 66" xfId="31164" xr:uid="{DEC066D6-80D0-4AA2-B306-C5D26FBF41B2}"/>
    <cellStyle name="Pattern 3 2 7" xfId="3576" xr:uid="{2CDF63C6-77C8-49AE-8247-EC7BDA7989A1}"/>
    <cellStyle name="Pattern 3 2 8" xfId="3938" xr:uid="{045C99D6-26AB-423D-A45B-9188EB467C77}"/>
    <cellStyle name="Pattern 3 2 9" xfId="4376" xr:uid="{572A77D4-EBC9-4C37-8213-04171FC4704D}"/>
    <cellStyle name="Pattern 3 20" xfId="8552" xr:uid="{3AAFB717-D2F7-4D4B-99E4-5C91397223D8}"/>
    <cellStyle name="Pattern 3 21" xfId="9226" xr:uid="{5078E6AA-006F-43D0-B38B-ADB15B93C500}"/>
    <cellStyle name="Pattern 3 22" xfId="9847" xr:uid="{3ED8BC55-F8BD-433E-8D10-57EBB9EC7A15}"/>
    <cellStyle name="Pattern 3 23" xfId="9862" xr:uid="{D749BC5D-9E02-4480-B5AB-BC6F2FE1AE2A}"/>
    <cellStyle name="Pattern 3 24" xfId="10727" xr:uid="{3C8B44BF-8ED5-4D1D-AB61-E6AF8EE1D381}"/>
    <cellStyle name="Pattern 3 25" xfId="11289" xr:uid="{79D51E2C-531C-46D2-8E15-CE5937BB15CF}"/>
    <cellStyle name="Pattern 3 26" xfId="11639" xr:uid="{8B403853-8FBA-432B-A1A6-4F30F16F5B83}"/>
    <cellStyle name="Pattern 3 27" xfId="11373" xr:uid="{7D7BFE4F-2CF5-46FB-9C12-9459A2C8B3D8}"/>
    <cellStyle name="Pattern 3 28" xfId="11375" xr:uid="{EF5B7E05-FEDE-463D-93A1-84F825D366A7}"/>
    <cellStyle name="Pattern 3 29" xfId="11362" xr:uid="{FE05A007-A8F1-4B3E-9384-604E91EA23A6}"/>
    <cellStyle name="Pattern 3 3" xfId="519" xr:uid="{76FF1343-BB3F-41F4-AB10-9B2BE976112C}"/>
    <cellStyle name="Pattern 3 3 10" xfId="4874" xr:uid="{493C4B25-75B0-4E7B-917F-8A0E3E4C42F6}"/>
    <cellStyle name="Pattern 3 3 11" xfId="5167" xr:uid="{29C1B2AB-3AA9-4BE0-AC82-1174000034DF}"/>
    <cellStyle name="Pattern 3 3 12" xfId="5573" xr:uid="{30AA432B-D4AE-48F3-AA5B-6B475C468F9A}"/>
    <cellStyle name="Pattern 3 3 13" xfId="6227" xr:uid="{D5A8DA98-A8C1-4CCD-BF1C-67EABE13CC21}"/>
    <cellStyle name="Pattern 3 3 14" xfId="5783" xr:uid="{64FE40EB-2E38-4288-8ABC-2FF47F2DBC3A}"/>
    <cellStyle name="Pattern 3 3 15" xfId="7239" xr:uid="{01538E61-C83F-4438-A083-6AD3B7D78A64}"/>
    <cellStyle name="Pattern 3 3 16" xfId="7719" xr:uid="{DD7A8183-C646-41AC-8B7F-4EDE37264A87}"/>
    <cellStyle name="Pattern 3 3 17" xfId="8241" xr:uid="{EC19CA4E-B845-43DA-9A01-9A7DF921EF73}"/>
    <cellStyle name="Pattern 3 3 18" xfId="8576" xr:uid="{93802F43-C44D-416E-B2F9-EF4ED01165B7}"/>
    <cellStyle name="Pattern 3 3 19" xfId="9453" xr:uid="{F0CF116F-AC26-4A60-B9AF-B8A3772AFE13}"/>
    <cellStyle name="Pattern 3 3 2" xfId="734" xr:uid="{B3D461E9-C8EF-4DBB-AC48-55AB09C671A8}"/>
    <cellStyle name="Pattern 3 3 2 10" xfId="5382" xr:uid="{3DB98A96-9E8E-4491-934E-A81C6C136E28}"/>
    <cellStyle name="Pattern 3 3 2 11" xfId="5571" xr:uid="{6C378F2E-6FAF-4051-BFA5-2889251EF2D3}"/>
    <cellStyle name="Pattern 3 3 2 12" xfId="6134" xr:uid="{056CF446-8241-473B-B8BD-8D4A2A200C86}"/>
    <cellStyle name="Pattern 3 3 2 13" xfId="6562" xr:uid="{5A7CE08A-38D8-486B-BE69-3A188CDCE6AB}"/>
    <cellStyle name="Pattern 3 3 2 14" xfId="7454" xr:uid="{12C194AA-8311-4A6F-9D32-E61F4DD43CAB}"/>
    <cellStyle name="Pattern 3 3 2 15" xfId="7117" xr:uid="{47526601-3440-4157-8012-A984E8A0EBAF}"/>
    <cellStyle name="Pattern 3 3 2 16" xfId="8554" xr:uid="{87353225-9297-464E-B51B-14D68FBB2364}"/>
    <cellStyle name="Pattern 3 3 2 17" xfId="8501" xr:uid="{EA80ECE8-E133-4062-BAAE-04223E72ABC0}"/>
    <cellStyle name="Pattern 3 3 2 18" xfId="9668" xr:uid="{A9412F17-5A9B-4F69-B4FE-4278FD8B6E67}"/>
    <cellStyle name="Pattern 3 3 2 19" xfId="9203" xr:uid="{202256DE-4F0D-4BE0-82E5-332CFB841B62}"/>
    <cellStyle name="Pattern 3 3 2 2" xfId="1208" xr:uid="{95A0779C-D773-42F4-92F4-9FAFDC0BF3CE}"/>
    <cellStyle name="Pattern 3 3 2 20" xfId="9107" xr:uid="{AA542D39-DF2E-4ED4-9E92-3C3BE83256EF}"/>
    <cellStyle name="Pattern 3 3 2 21" xfId="10785" xr:uid="{25612C40-111B-47A3-84D2-A77630D838E9}"/>
    <cellStyle name="Pattern 3 3 2 22" xfId="11148" xr:uid="{15773841-1267-4DAE-A343-F956648B8A96}"/>
    <cellStyle name="Pattern 3 3 2 23" xfId="12087" xr:uid="{3C4CF8BD-79AB-4896-BE9C-CEB73B99D82A}"/>
    <cellStyle name="Pattern 3 3 2 24" xfId="12560" xr:uid="{161451E3-F89F-4468-B633-FD1AE8698850}"/>
    <cellStyle name="Pattern 3 3 2 25" xfId="12994" xr:uid="{E8CD8868-CCB6-49D4-ABE6-A8FA136E9379}"/>
    <cellStyle name="Pattern 3 3 2 26" xfId="13431" xr:uid="{09F2E938-FC72-46C7-91D2-6148AC97294F}"/>
    <cellStyle name="Pattern 3 3 2 27" xfId="13748" xr:uid="{E48286C5-9D33-416E-80E9-58CD0761B4B4}"/>
    <cellStyle name="Pattern 3 3 2 28" xfId="13798" xr:uid="{A93647A8-E808-484E-AB52-ABD98ECFEDA2}"/>
    <cellStyle name="Pattern 3 3 2 29" xfId="12300" xr:uid="{75D175D0-A71F-4F6E-A689-FDC4D309D551}"/>
    <cellStyle name="Pattern 3 3 2 3" xfId="1490" xr:uid="{566A04AF-50A2-4B12-A924-0323E155042D}"/>
    <cellStyle name="Pattern 3 3 2 30" xfId="14590" xr:uid="{156D3A7D-C4E9-4A57-9B63-099937FCD67B}"/>
    <cellStyle name="Pattern 3 3 2 31" xfId="14425" xr:uid="{8951E81E-773E-4D08-808C-E6A348BB7EC0}"/>
    <cellStyle name="Pattern 3 3 2 32" xfId="15530" xr:uid="{65C92D8B-CFA9-4DB5-B508-252477492F45}"/>
    <cellStyle name="Pattern 3 3 2 33" xfId="16779" xr:uid="{42D8E35A-0BE8-4E11-B1C7-9FAEDE7823B6}"/>
    <cellStyle name="Pattern 3 3 2 34" xfId="16439" xr:uid="{42EDF1A3-72B0-43C6-905F-8E150AC9BCC6}"/>
    <cellStyle name="Pattern 3 3 2 35" xfId="16468" xr:uid="{37EBB1C2-CBE9-4102-858D-55F24A6A411C}"/>
    <cellStyle name="Pattern 3 3 2 36" xfId="17689" xr:uid="{9ED3C653-1456-463B-8ACF-8594F98D6933}"/>
    <cellStyle name="Pattern 3 3 2 37" xfId="18597" xr:uid="{DCD0FC82-DDED-4798-8684-E2646953D2FA}"/>
    <cellStyle name="Pattern 3 3 2 38" xfId="19035" xr:uid="{286BE14C-6B9D-418A-A1BB-0E9593C1B249}"/>
    <cellStyle name="Pattern 3 3 2 39" xfId="19309" xr:uid="{A33AF4CB-16E1-4CBB-B6E3-72FD378E11B9}"/>
    <cellStyle name="Pattern 3 3 2 4" xfId="2556" xr:uid="{A4012D7B-B3D1-4025-98FF-35CA3D3ADC50}"/>
    <cellStyle name="Pattern 3 3 2 40" xfId="20116" xr:uid="{33ECFE6C-3CF4-47B9-B718-688DB8B97703}"/>
    <cellStyle name="Pattern 3 3 2 41" xfId="19771" xr:uid="{E865BD3D-08E4-4B66-B16F-DB678118C42F}"/>
    <cellStyle name="Pattern 3 3 2 42" xfId="19618" xr:uid="{E2E2D0BC-A2DD-41E7-BEC2-580C558B7CF8}"/>
    <cellStyle name="Pattern 3 3 2 43" xfId="20342" xr:uid="{CD6E9E3D-FE49-4348-97A8-80F7733624A4}"/>
    <cellStyle name="Pattern 3 3 2 44" xfId="20482" xr:uid="{81DBC9A0-2F9A-4A70-8A38-BCE5E0B65B17}"/>
    <cellStyle name="Pattern 3 3 2 45" xfId="22011" xr:uid="{65206B6C-347B-4C85-AFE0-988EB3588BAB}"/>
    <cellStyle name="Pattern 3 3 2 46" xfId="22743" xr:uid="{F75BA7B3-EA0F-4D34-8DAD-E755AF92156B}"/>
    <cellStyle name="Pattern 3 3 2 47" xfId="23312" xr:uid="{C01EDC3F-A9B4-4A68-B5FC-7D8044DC8E10}"/>
    <cellStyle name="Pattern 3 3 2 48" xfId="22822" xr:uid="{FB230F74-C8A7-4B62-B797-169F64241EB8}"/>
    <cellStyle name="Pattern 3 3 2 49" xfId="23916" xr:uid="{622D085C-3E54-4DC1-814F-E4FE60D72AB2}"/>
    <cellStyle name="Pattern 3 3 2 5" xfId="2914" xr:uid="{9A33320F-07E6-4818-A02C-D2F929EB15AF}"/>
    <cellStyle name="Pattern 3 3 2 50" xfId="24824" xr:uid="{5142CFF8-5201-405F-80CB-999F8D59FE36}"/>
    <cellStyle name="Pattern 3 3 2 51" xfId="24201" xr:uid="{E35CCCE7-C943-4CD5-9599-6340C49FB18E}"/>
    <cellStyle name="Pattern 3 3 2 52" xfId="25740" xr:uid="{860D35FD-7E5D-47A9-B0BC-96756C30DA3B}"/>
    <cellStyle name="Pattern 3 3 2 53" xfId="26048" xr:uid="{165736A7-F891-43FB-A3FB-8267D9F51924}"/>
    <cellStyle name="Pattern 3 3 2 54" xfId="24497" xr:uid="{46832705-572B-4FC4-9DF0-436112A2137B}"/>
    <cellStyle name="Pattern 3 3 2 55" xfId="27028" xr:uid="{23D360DF-2088-4A99-8F34-B56E31DFFAF4}"/>
    <cellStyle name="Pattern 3 3 2 56" xfId="27447" xr:uid="{36234DF0-BFBB-4BDF-A0B4-01F9A42FB14C}"/>
    <cellStyle name="Pattern 3 3 2 57" xfId="25387" xr:uid="{07A26788-C529-48C5-BE01-129623D674CB}"/>
    <cellStyle name="Pattern 3 3 2 58" xfId="28574" xr:uid="{BCB09F60-3B62-4BBC-9B75-DB865827F109}"/>
    <cellStyle name="Pattern 3 3 2 59" xfId="29041" xr:uid="{EAA1624D-A8D8-4B0C-A6AB-3FDB16DA9F43}"/>
    <cellStyle name="Pattern 3 3 2 6" xfId="3256" xr:uid="{A75428A8-916D-4E8F-96AA-B19CC8598C36}"/>
    <cellStyle name="Pattern 3 3 2 60" xfId="27940" xr:uid="{D88C2E2C-2C0F-4FE0-A2AB-7B26AA281A82}"/>
    <cellStyle name="Pattern 3 3 2 61" xfId="29830" xr:uid="{E7B679FF-4FF6-4D52-A78E-A90357371A6A}"/>
    <cellStyle name="Pattern 3 3 2 62" xfId="30236" xr:uid="{41948208-BDC3-499F-BE8C-40B6FA8AF9C1}"/>
    <cellStyle name="Pattern 3 3 2 63" xfId="30653" xr:uid="{8BC27344-ADA4-4A6C-BA1A-838E52B0B5A3}"/>
    <cellStyle name="Pattern 3 3 2 64" xfId="29210" xr:uid="{BB3E5C3F-B880-4D0C-81B9-1531ABE7E099}"/>
    <cellStyle name="Pattern 3 3 2 65" xfId="31269" xr:uid="{974C3843-73A2-4141-AEFF-DB02E51DED34}"/>
    <cellStyle name="Pattern 3 3 2 7" xfId="4052" xr:uid="{24290223-9938-4E8E-99B1-BC49EB5F1A24}"/>
    <cellStyle name="Pattern 3 3 2 8" xfId="4489" xr:uid="{65ABDBF5-B26E-498B-B83D-D97A455AE1EC}"/>
    <cellStyle name="Pattern 3 3 2 9" xfId="4232" xr:uid="{ACBF85AF-8BB2-4AF7-BC3E-F7E97193FFCD}"/>
    <cellStyle name="Pattern 3 3 20" xfId="9933" xr:uid="{DD34A9A1-BDF0-43C5-B906-0B2FDE53EB0D}"/>
    <cellStyle name="Pattern 3 3 21" xfId="10364" xr:uid="{381978DE-D2D6-4207-A617-E010966E8928}"/>
    <cellStyle name="Pattern 3 3 22" xfId="10403" xr:uid="{0BDD4901-8161-4378-8A59-6DC50EDD15AC}"/>
    <cellStyle name="Pattern 3 3 23" xfId="11162" xr:uid="{1FBC389E-38D2-4049-904F-4AE4A2BEF002}"/>
    <cellStyle name="Pattern 3 3 24" xfId="11872" xr:uid="{4617DA1C-2B62-4406-BDDC-53C8129BF296}"/>
    <cellStyle name="Pattern 3 3 25" xfId="12345" xr:uid="{AC94D67B-E680-4D29-A453-BCDE63A9FA0E}"/>
    <cellStyle name="Pattern 3 3 26" xfId="12779" xr:uid="{9E9060C6-A58B-45A0-97DB-D0EF10FBDB00}"/>
    <cellStyle name="Pattern 3 3 27" xfId="13216" xr:uid="{3B1E8656-491F-45C6-99C0-EF5AC53C80B6}"/>
    <cellStyle name="Pattern 3 3 28" xfId="13890" xr:uid="{88707D23-7ABC-4F43-894C-F57733B82110}"/>
    <cellStyle name="Pattern 3 3 29" xfId="14356" xr:uid="{853E4613-59C1-4E6B-A026-5591A2B691B8}"/>
    <cellStyle name="Pattern 3 3 3" xfId="1002" xr:uid="{BE847B21-6492-4BD8-9670-B5EAC015839B}"/>
    <cellStyle name="Pattern 3 3 30" xfId="14676" xr:uid="{E8C8D3E8-C997-4B16-AF39-8D8896EF35A1}"/>
    <cellStyle name="Pattern 3 3 31" xfId="15289" xr:uid="{87E4D969-8F01-4781-A1DA-14D277B4F583}"/>
    <cellStyle name="Pattern 3 3 32" xfId="12051" xr:uid="{7889BD4D-B53F-4AA8-B43F-679C9A9E5C7A}"/>
    <cellStyle name="Pattern 3 3 33" xfId="15819" xr:uid="{F70A9AD2-C2BB-4731-95DE-1C88B1E2F1E2}"/>
    <cellStyle name="Pattern 3 3 34" xfId="16564" xr:uid="{B3C3D485-342D-4D5E-8BCA-830FD56479FA}"/>
    <cellStyle name="Pattern 3 3 35" xfId="17047" xr:uid="{0B1A36C9-C00E-487D-9175-52B69CD8B6B8}"/>
    <cellStyle name="Pattern 3 3 36" xfId="17494" xr:uid="{C0823F99-A828-449B-AEFE-35F85E6C5979}"/>
    <cellStyle name="Pattern 3 3 37" xfId="17862" xr:uid="{7558FEC2-9474-4134-87F2-A38DEE17A374}"/>
    <cellStyle name="Pattern 3 3 38" xfId="18382" xr:uid="{77ABAC29-3DF1-4F17-B011-D7BFA7ECA799}"/>
    <cellStyle name="Pattern 3 3 39" xfId="17636" xr:uid="{BEAB829C-8514-41AA-A812-6F57A570D463}"/>
    <cellStyle name="Pattern 3 3 4" xfId="1619" xr:uid="{F5B11F07-B612-420E-9A84-00FF13C4A4E7}"/>
    <cellStyle name="Pattern 3 3 40" xfId="19226" xr:uid="{05AF824B-BAD6-4F6E-A592-015B8EBAC4C6}"/>
    <cellStyle name="Pattern 3 3 41" xfId="19901" xr:uid="{CB4F0E6C-01CD-4E1E-987D-5947E58BBCDE}"/>
    <cellStyle name="Pattern 3 3 42" xfId="20399" xr:uid="{8DEB4618-4F3E-498E-A870-D00AA26D67EB}"/>
    <cellStyle name="Pattern 3 3 43" xfId="20852" xr:uid="{A7B7A86D-D02C-4F4D-9B3F-E10597B52AA4}"/>
    <cellStyle name="Pattern 3 3 44" xfId="20592" xr:uid="{AD419D3C-8898-48B1-A3EC-7DDBD95F3F84}"/>
    <cellStyle name="Pattern 3 3 45" xfId="21785" xr:uid="{D0C1E04A-A8C6-47B5-9534-9C7498DF2BD4}"/>
    <cellStyle name="Pattern 3 3 46" xfId="22222" xr:uid="{C13637A4-77EC-4C38-84D2-00F2DFFF95C7}"/>
    <cellStyle name="Pattern 3 3 47" xfId="22870" xr:uid="{628D7D79-DC6F-4953-97F2-69FA904ABD29}"/>
    <cellStyle name="Pattern 3 3 48" xfId="22821" xr:uid="{422D225B-BC5D-4908-B534-0C8B3E961DDB}"/>
    <cellStyle name="Pattern 3 3 49" xfId="23557" xr:uid="{2009CBD8-134A-475A-9411-9999084C45E3}"/>
    <cellStyle name="Pattern 3 3 5" xfId="2341" xr:uid="{21583FAA-E740-4B4A-9EC2-C20F10525D81}"/>
    <cellStyle name="Pattern 3 3 50" xfId="23710" xr:uid="{1DB19608-D1CF-4A69-80DC-5DB90CF73729}"/>
    <cellStyle name="Pattern 3 3 51" xfId="24609" xr:uid="{EE0094A5-4520-40BE-8C2F-A6A2F31A2A8B}"/>
    <cellStyle name="Pattern 3 3 52" xfId="25108" xr:uid="{EF1CBB88-7A49-4E3B-9CC2-9F1538703731}"/>
    <cellStyle name="Pattern 3 3 53" xfId="25527" xr:uid="{5F33F582-26D6-466D-8046-EFF61F489EF3}"/>
    <cellStyle name="Pattern 3 3 54" xfId="26176" xr:uid="{825628C8-39E7-4694-A1B1-3DFA01E98C43}"/>
    <cellStyle name="Pattern 3 3 55" xfId="25362" xr:uid="{A4AFDE46-5893-4E03-AB43-DAEE44CF4CB0}"/>
    <cellStyle name="Pattern 3 3 56" xfId="26817" xr:uid="{5A1F79F6-8502-48AC-8072-8FF97BF0DDE9}"/>
    <cellStyle name="Pattern 3 3 57" xfId="27236" xr:uid="{951D17CA-A1B2-4EC5-9D48-7116CC273412}"/>
    <cellStyle name="Pattern 3 3 58" xfId="27689" xr:uid="{6F1B85BA-EBC5-414C-91BC-D15D9E622A9E}"/>
    <cellStyle name="Pattern 3 3 59" xfId="28359" xr:uid="{235BAA96-2148-4E82-9450-1B1DE60374C2}"/>
    <cellStyle name="Pattern 3 3 6" xfId="3058" xr:uid="{4465535E-1588-4ADA-B7F9-7FE43933C22A}"/>
    <cellStyle name="Pattern 3 3 60" xfId="28827" xr:uid="{402C8706-6758-48E6-B48C-34A035DA3313}"/>
    <cellStyle name="Pattern 3 3 61" xfId="29263" xr:uid="{70B91C16-A3C6-48E2-91AE-51A130A04B2A}"/>
    <cellStyle name="Pattern 3 3 62" xfId="29617" xr:uid="{BB9E7C18-3B00-4DCF-A358-1CC7C6AE5D7D}"/>
    <cellStyle name="Pattern 3 3 63" xfId="30025" xr:uid="{6F7AAECA-CF75-4A71-9117-83AFB164E3F5}"/>
    <cellStyle name="Pattern 3 3 64" xfId="30439" xr:uid="{D0514548-4F31-4E7D-9752-C9B021D5DCED}"/>
    <cellStyle name="Pattern 3 3 65" xfId="31024" xr:uid="{51BD1665-7316-4BB5-A949-5D703EB9A58E}"/>
    <cellStyle name="Pattern 3 3 66" xfId="31063" xr:uid="{78F942DF-5226-484F-A829-EC35BF597F3D}"/>
    <cellStyle name="Pattern 3 3 7" xfId="3404" xr:uid="{1B6ED762-1142-4AFD-8A12-74089C953F32}"/>
    <cellStyle name="Pattern 3 3 8" xfId="3837" xr:uid="{6BBDCF34-4299-4DE3-98E2-2EE08A5FC87A}"/>
    <cellStyle name="Pattern 3 3 9" xfId="4275" xr:uid="{47CD59DC-222C-4A9F-B278-A363FA701B28}"/>
    <cellStyle name="Pattern 3 30" xfId="12277" xr:uid="{0B1B751B-64F3-4458-A87E-69A8DEBDAC5A}"/>
    <cellStyle name="Pattern 3 31" xfId="12734" xr:uid="{7994D1E7-B044-4F06-A5C4-14FA2A00135E}"/>
    <cellStyle name="Pattern 3 32" xfId="14424" xr:uid="{B87617A1-8029-4462-A35D-36E4D85F1C82}"/>
    <cellStyle name="Pattern 3 33" xfId="13170" xr:uid="{905BEE16-B18C-4A37-B1B4-8B3D92A4A744}"/>
    <cellStyle name="Pattern 3 34" xfId="15701" xr:uid="{024F00F5-0BCE-4144-95C3-1DE88C50630C}"/>
    <cellStyle name="Pattern 3 35" xfId="15286" xr:uid="{B5F63A5D-C7F9-4910-A684-B1365F9FD3AB}"/>
    <cellStyle name="Pattern 3 36" xfId="16334" xr:uid="{23C85AA2-6CBA-4AF0-9196-7C3E00B27A3B}"/>
    <cellStyle name="Pattern 3 37" xfId="16963" xr:uid="{BEFB939F-792D-45FB-BB48-B4315727A50F}"/>
    <cellStyle name="Pattern 3 38" xfId="16501" xr:uid="{D53DD7CD-AA4E-40A5-8E9F-F1C44EBAEF37}"/>
    <cellStyle name="Pattern 3 39" xfId="18201" xr:uid="{BE9CA194-C20F-4C6B-84F7-278186750CE1}"/>
    <cellStyle name="Pattern 3 4" xfId="633" xr:uid="{D4D8FBC0-B757-4787-A75D-CF8D80B18774}"/>
    <cellStyle name="Pattern 3 4 10" xfId="4230" xr:uid="{0C963BD1-80E3-4FA7-88EF-C1490237C4B0}"/>
    <cellStyle name="Pattern 3 4 11" xfId="5281" xr:uid="{9E0DCF85-552D-41CC-8C50-ED90908A4E03}"/>
    <cellStyle name="Pattern 3 4 12" xfId="4797" xr:uid="{483B3D0C-D83B-4676-A236-9D037790A993}"/>
    <cellStyle name="Pattern 3 4 13" xfId="6157" xr:uid="{71726292-BB7B-4A29-B0E1-2B48AA87D294}"/>
    <cellStyle name="Pattern 3 4 14" xfId="6549" xr:uid="{CBB27EB7-0826-437B-854E-9F82180C4892}"/>
    <cellStyle name="Pattern 3 4 15" xfId="7353" xr:uid="{3F2A571C-4A2B-4A25-ADA0-F5925F29B022}"/>
    <cellStyle name="Pattern 3 4 16" xfId="7979" xr:uid="{437C5818-511F-42DE-A93D-B560F678EFEA}"/>
    <cellStyle name="Pattern 3 4 17" xfId="7717" xr:uid="{C9EDEB49-06CB-4012-B1D4-AF6A06ABB2DD}"/>
    <cellStyle name="Pattern 3 4 18" xfId="7699" xr:uid="{7D4D34EC-787D-478B-9F26-674302E081D2}"/>
    <cellStyle name="Pattern 3 4 19" xfId="9567" xr:uid="{06965069-D131-4922-A4E6-4D8939ECB906}"/>
    <cellStyle name="Pattern 3 4 2" xfId="848" xr:uid="{4A280688-D9FE-4798-8FF8-F3CC04CFC5A2}"/>
    <cellStyle name="Pattern 3 4 2 10" xfId="5496" xr:uid="{455353C2-C645-4831-8FCD-A90D6C4AED97}"/>
    <cellStyle name="Pattern 3 4 2 11" xfId="5037" xr:uid="{A0038670-8675-49BC-95C5-F723BD69D60F}"/>
    <cellStyle name="Pattern 3 4 2 12" xfId="6048" xr:uid="{F1C71351-2BD6-4F18-A013-9A3197681398}"/>
    <cellStyle name="Pattern 3 4 2 13" xfId="6062" xr:uid="{1907F837-B856-4DBA-B63D-88988C8E43E0}"/>
    <cellStyle name="Pattern 3 4 2 14" xfId="7568" xr:uid="{4FA4CAA3-CECB-485B-A0C2-DC4089A86A62}"/>
    <cellStyle name="Pattern 3 4 2 15" xfId="7145" xr:uid="{5D0EF2DB-951F-4242-BB56-D2C1EC928529}"/>
    <cellStyle name="Pattern 3 4 2 16" xfId="8259" xr:uid="{03B5F7E7-ACD1-4684-878C-2BCFCB36EA20}"/>
    <cellStyle name="Pattern 3 4 2 17" xfId="8354" xr:uid="{7E19FDB3-B8A9-46C4-BB20-02D0E0D3D487}"/>
    <cellStyle name="Pattern 3 4 2 18" xfId="9782" xr:uid="{9D956036-1244-4D7B-B59C-63D00C059A62}"/>
    <cellStyle name="Pattern 3 4 2 19" xfId="9360" xr:uid="{17A45F3C-5C6C-4076-9B53-2619C282C6A4}"/>
    <cellStyle name="Pattern 3 4 2 2" xfId="1322" xr:uid="{37FC5582-076D-45C1-A998-14C7835AC0CF}"/>
    <cellStyle name="Pattern 3 4 2 20" xfId="10050" xr:uid="{AFF7194B-2349-417E-9A51-BD731F0B668C}"/>
    <cellStyle name="Pattern 3 4 2 21" xfId="10701" xr:uid="{9FEA34B5-CDEE-4BEF-9781-B5BF926D5A8C}"/>
    <cellStyle name="Pattern 3 4 2 22" xfId="10801" xr:uid="{F1C83AEB-364F-4971-8692-75E028BDA5F9}"/>
    <cellStyle name="Pattern 3 4 2 23" xfId="12201" xr:uid="{73887302-EBA5-4A05-8321-CF1C23B36E77}"/>
    <cellStyle name="Pattern 3 4 2 24" xfId="12674" xr:uid="{5AAF0E12-DEEA-45EE-B2A5-8C24634C7BAE}"/>
    <cellStyle name="Pattern 3 4 2 25" xfId="13108" xr:uid="{38E78808-2D27-4E36-9E8E-E6CEA70DD995}"/>
    <cellStyle name="Pattern 3 4 2 26" xfId="13545" xr:uid="{21C826AD-7C00-41A4-B4B1-6C9AD581329B}"/>
    <cellStyle name="Pattern 3 4 2 27" xfId="13618" xr:uid="{DBAA5751-7E09-4A36-95F5-C1B20BA34A51}"/>
    <cellStyle name="Pattern 3 4 2 28" xfId="13884" xr:uid="{26301C20-595F-40A2-AAD1-039BDE9B060F}"/>
    <cellStyle name="Pattern 3 4 2 29" xfId="14115" xr:uid="{AB93E55D-90CC-4DBE-8132-AE477FF611F3}"/>
    <cellStyle name="Pattern 3 4 2 3" xfId="1771" xr:uid="{A2892F87-BF44-4CA0-BDE2-84459D24A4FB}"/>
    <cellStyle name="Pattern 3 4 2 30" xfId="15043" xr:uid="{A35621E5-B5FD-433F-AAC5-FA193BF651D9}"/>
    <cellStyle name="Pattern 3 4 2 31" xfId="15721" xr:uid="{9751B0A2-ABD0-49E4-A706-CA364FDB417E}"/>
    <cellStyle name="Pattern 3 4 2 32" xfId="14813" xr:uid="{25225D32-D7E5-463A-A70F-D1D384D56C14}"/>
    <cellStyle name="Pattern 3 4 2 33" xfId="16893" xr:uid="{99369434-5191-4DD6-ACB6-C38EA6772443}"/>
    <cellStyle name="Pattern 3 4 2 34" xfId="16467" xr:uid="{A263AA9F-1BB1-4063-AFBA-CEAB1E85CBA6}"/>
    <cellStyle name="Pattern 3 4 2 35" xfId="17168" xr:uid="{99FBBB5F-6BAC-44EB-9B9C-86BE09CC7A94}"/>
    <cellStyle name="Pattern 3 4 2 36" xfId="16948" xr:uid="{7B461169-1A73-4EC0-9E89-21260F0B8918}"/>
    <cellStyle name="Pattern 3 4 2 37" xfId="18711" xr:uid="{F656C0C4-346E-4295-80A1-D293AF312062}"/>
    <cellStyle name="Pattern 3 4 2 38" xfId="19039" xr:uid="{5A13A43C-6EAE-48C4-B66F-5E3939F5ADC9}"/>
    <cellStyle name="Pattern 3 4 2 39" xfId="19174" xr:uid="{F91DB748-4B30-4F65-AE80-1413247ABB3D}"/>
    <cellStyle name="Pattern 3 4 2 4" xfId="2670" xr:uid="{25DC6370-3B9F-4C42-AB89-BF333195E563}"/>
    <cellStyle name="Pattern 3 4 2 40" xfId="20230" xr:uid="{E7ACAD23-3600-40C7-93A9-15B5FCE04934}"/>
    <cellStyle name="Pattern 3 4 2 41" xfId="19803" xr:uid="{5E16674F-B28B-4A3D-A79D-9B0AE4D9E294}"/>
    <cellStyle name="Pattern 3 4 2 42" xfId="20737" xr:uid="{48C50978-AEC2-4BB1-AFA8-E80EBBBE3B0B}"/>
    <cellStyle name="Pattern 3 4 2 43" xfId="21545" xr:uid="{C260ACBE-FF6A-4125-9496-8C5A5E28EB4E}"/>
    <cellStyle name="Pattern 3 4 2 44" xfId="21674" xr:uid="{A42F0593-591D-4FBF-B162-FE5238FF5549}"/>
    <cellStyle name="Pattern 3 4 2 45" xfId="22112" xr:uid="{4194E312-F79C-4AC5-9844-3EA77BC543A6}"/>
    <cellStyle name="Pattern 3 4 2 46" xfId="22627" xr:uid="{3AB823E8-07DA-4254-93F3-08FA9B9646C5}"/>
    <cellStyle name="Pattern 3 4 2 47" xfId="23316" xr:uid="{25F51D80-C51F-4E85-BCDF-55BCBE3D7FBE}"/>
    <cellStyle name="Pattern 3 4 2 48" xfId="23443" xr:uid="{2DDE23DF-F555-4D88-B173-E6A681D639D0}"/>
    <cellStyle name="Pattern 3 4 2 49" xfId="24030" xr:uid="{4D3845B4-FD01-444A-B80F-8B5F1E28F2C0}"/>
    <cellStyle name="Pattern 3 4 2 5" xfId="2785" xr:uid="{840E37A0-5BF8-4A59-9B33-32042E5670A6}"/>
    <cellStyle name="Pattern 3 4 2 50" xfId="24938" xr:uid="{105AD3D6-00A4-4EFB-B99B-F71B80C7752D}"/>
    <cellStyle name="Pattern 3 4 2 51" xfId="24442" xr:uid="{A7D0ECE9-44D8-4FCD-BD3D-209E5C5F89F5}"/>
    <cellStyle name="Pattern 3 4 2 52" xfId="25854" xr:uid="{BAD60452-C9F5-4F1B-A43D-A78A5F036B63}"/>
    <cellStyle name="Pattern 3 4 2 53" xfId="24473" xr:uid="{FD25CD6F-03FA-4211-B46E-0BC590A99BD4}"/>
    <cellStyle name="Pattern 3 4 2 54" xfId="26519" xr:uid="{4EA807D1-2636-4A06-9E27-E3820F7FDAF4}"/>
    <cellStyle name="Pattern 3 4 2 55" xfId="27142" xr:uid="{20D1D9A8-9473-4D2C-8E41-1685A1880D95}"/>
    <cellStyle name="Pattern 3 4 2 56" xfId="27561" xr:uid="{D787B3E9-711C-4E55-BDBE-B88EF0282010}"/>
    <cellStyle name="Pattern 3 4 2 57" xfId="26644" xr:uid="{98B7F960-19D0-42D9-9383-9137C4399594}"/>
    <cellStyle name="Pattern 3 4 2 58" xfId="28688" xr:uid="{FFCD4A6E-97EC-46B5-A730-601F71679162}"/>
    <cellStyle name="Pattern 3 4 2 59" xfId="29155" xr:uid="{AF7AF105-EB7C-4ADB-B817-C8C4B977031A}"/>
    <cellStyle name="Pattern 3 4 2 6" xfId="3337" xr:uid="{1681B2CA-31B3-4369-8558-E92621778FCB}"/>
    <cellStyle name="Pattern 3 4 2 60" xfId="28082" xr:uid="{AC3DE506-B7A5-4E4D-B849-81C6FF2BCF0D}"/>
    <cellStyle name="Pattern 3 4 2 61" xfId="29944" xr:uid="{569BE16F-CD0F-4EEE-8A20-38188AD8B236}"/>
    <cellStyle name="Pattern 3 4 2 62" xfId="30350" xr:uid="{30852E33-38BC-440B-8268-64F13B69C8E8}"/>
    <cellStyle name="Pattern 3 4 2 63" xfId="30767" xr:uid="{CDD4F08D-419E-4978-9F3A-15C9F70EDC37}"/>
    <cellStyle name="Pattern 3 4 2 64" xfId="28044" xr:uid="{DC5997B2-5992-46AF-888A-B25819E33C69}"/>
    <cellStyle name="Pattern 3 4 2 65" xfId="31383" xr:uid="{A05601EF-1695-4E20-852F-7F69639DA5F0}"/>
    <cellStyle name="Pattern 3 4 2 7" xfId="4166" xr:uid="{55EB7A40-F9A5-44BF-BBA4-C4E6579645ED}"/>
    <cellStyle name="Pattern 3 4 2 8" xfId="4603" xr:uid="{C1395CDD-3BD2-4482-9B34-27D12215CDC0}"/>
    <cellStyle name="Pattern 3 4 2 9" xfId="3207" xr:uid="{5CB8F5E4-513C-4E00-AE2C-91279D119CB8}"/>
    <cellStyle name="Pattern 3 4 20" xfId="10195" xr:uid="{1DDEF20A-DE1D-4728-894F-AEA564BB56A9}"/>
    <cellStyle name="Pattern 3 4 21" xfId="10599" xr:uid="{2A73608D-5927-4A2C-8318-F87E01820466}"/>
    <cellStyle name="Pattern 3 4 22" xfId="9155" xr:uid="{AEDD5EEA-18CA-4623-8C7B-E1F4609EAD41}"/>
    <cellStyle name="Pattern 3 4 23" xfId="11222" xr:uid="{3B3140A3-E7FE-4697-9A89-3E107011D16F}"/>
    <cellStyle name="Pattern 3 4 24" xfId="11986" xr:uid="{55CFD4DC-D989-4F08-BD9B-B0F82ADAB88B}"/>
    <cellStyle name="Pattern 3 4 25" xfId="12459" xr:uid="{ED5A1B94-A68B-46F7-A2EB-3FC5F0F46BC6}"/>
    <cellStyle name="Pattern 3 4 26" xfId="12893" xr:uid="{CA41FA77-DDBE-44FC-A57B-970BDF6E9AD3}"/>
    <cellStyle name="Pattern 3 4 27" xfId="13330" xr:uid="{FEADCD2B-5666-477E-BEF8-C6EF05B86BA4}"/>
    <cellStyle name="Pattern 3 4 28" xfId="11576" xr:uid="{AEB044A4-AFC8-4865-BF67-03F9488E1867}"/>
    <cellStyle name="Pattern 3 4 29" xfId="11683" xr:uid="{45DA09FB-AF89-4B79-B1EB-9C85B4B04A0B}"/>
    <cellStyle name="Pattern 3 4 3" xfId="1116" xr:uid="{DEA36F18-F908-4B6D-BBF9-61263C26B28B}"/>
    <cellStyle name="Pattern 3 4 30" xfId="14082" xr:uid="{3E4526D6-CCB5-418D-9389-BF31BA83E943}"/>
    <cellStyle name="Pattern 3 4 31" xfId="15002" xr:uid="{E741E855-D4D0-414B-AFFA-4FDF94158C3A}"/>
    <cellStyle name="Pattern 3 4 32" xfId="13893" xr:uid="{2E534EE7-693E-4D90-9070-46EC1F6F041C}"/>
    <cellStyle name="Pattern 3 4 33" xfId="15958" xr:uid="{1F961009-DA86-46A7-AA7F-9051AD2C097C}"/>
    <cellStyle name="Pattern 3 4 34" xfId="16678" xr:uid="{86954631-2ACD-478E-A316-ACBCCCC1A49A}"/>
    <cellStyle name="Pattern 3 4 35" xfId="17316" xr:uid="{92F11274-DD01-4832-82E1-C7C49D3C8FE7}"/>
    <cellStyle name="Pattern 3 4 36" xfId="17759" xr:uid="{A8D570E3-0988-4F26-B436-1A3A8FEB5306}"/>
    <cellStyle name="Pattern 3 4 37" xfId="17190" xr:uid="{25F4AFB9-33D8-47DA-81EB-BF5F5B7961DB}"/>
    <cellStyle name="Pattern 3 4 38" xfId="18496" xr:uid="{E57E5597-B4C5-4924-8FD5-0174CEE7565D}"/>
    <cellStyle name="Pattern 3 4 39" xfId="17955" xr:uid="{1DCCC027-DBB8-429F-A59F-529315DE52D6}"/>
    <cellStyle name="Pattern 3 4 4" xfId="1520" xr:uid="{F2710DF2-74E6-4E2E-BA08-B1DFB53BF273}"/>
    <cellStyle name="Pattern 3 4 40" xfId="19141" xr:uid="{BADBED18-CCDE-49AE-8215-2ADE87C01535}"/>
    <cellStyle name="Pattern 3 4 41" xfId="20015" xr:uid="{86EC2053-B7B5-43F9-9957-96B5C4D99979}"/>
    <cellStyle name="Pattern 3 4 42" xfId="20667" xr:uid="{B8F73E80-48F1-44C9-AD77-3FB2A2B9B7EF}"/>
    <cellStyle name="Pattern 3 4 43" xfId="21123" xr:uid="{1D8ABD1B-B99F-4A66-AE64-9ADF1095BC5D}"/>
    <cellStyle name="Pattern 3 4 44" xfId="21380" xr:uid="{1A550A66-6CF8-4171-8BB4-4675FCC1BE2D}"/>
    <cellStyle name="Pattern 3 4 45" xfId="22055" xr:uid="{172D6DEF-DC2A-4DCF-A09C-C5E9544063AE}"/>
    <cellStyle name="Pattern 3 4 46" xfId="22483" xr:uid="{792623BD-6556-4E3E-8B13-D1F64E469AAE}"/>
    <cellStyle name="Pattern 3 4 47" xfId="21563" xr:uid="{48564371-DB07-4085-9378-9BF8174F45FB}"/>
    <cellStyle name="Pattern 3 4 48" xfId="22629" xr:uid="{948182A7-72CE-4261-A403-739C9E51088E}"/>
    <cellStyle name="Pattern 3 4 49" xfId="22794" xr:uid="{9B7212A3-6414-4170-9594-3D0AB9BC7136}"/>
    <cellStyle name="Pattern 3 4 5" xfId="2455" xr:uid="{4010F75E-178F-4124-A258-71548F58A086}"/>
    <cellStyle name="Pattern 3 4 50" xfId="23824" xr:uid="{520BB48A-4A7C-40A9-9906-E5D01AE88167}"/>
    <cellStyle name="Pattern 3 4 51" xfId="24723" xr:uid="{4DAD604F-635F-4CB6-8C75-F58553F335E1}"/>
    <cellStyle name="Pattern 3 4 52" xfId="25370" xr:uid="{6D59FE67-0C30-4DA9-A3D1-E354E697219F}"/>
    <cellStyle name="Pattern 3 4 53" xfId="25641" xr:uid="{BADBA8DE-DE9C-4081-963F-CF0B0A0C3631}"/>
    <cellStyle name="Pattern 3 4 54" xfId="24540" xr:uid="{CD5FF0D5-6E2E-4E82-9C9D-144CA05CCDB9}"/>
    <cellStyle name="Pattern 3 4 55" xfId="26459" xr:uid="{DDFF0153-9061-4BC1-A0C0-47699172772C}"/>
    <cellStyle name="Pattern 3 4 56" xfId="26931" xr:uid="{FCA94D13-B56F-4BDF-B476-CB056B710D1F}"/>
    <cellStyle name="Pattern 3 4 57" xfId="27350" xr:uid="{169E7068-1B8F-429B-955B-DD15CACD7B7A}"/>
    <cellStyle name="Pattern 3 4 58" xfId="27775" xr:uid="{F8197381-6B36-4FD7-9E3C-977EE80D1422}"/>
    <cellStyle name="Pattern 3 4 59" xfId="28473" xr:uid="{68F949CA-6E94-418F-8815-21725D0DDA52}"/>
    <cellStyle name="Pattern 3 4 6" xfId="2292" xr:uid="{1A42E386-3B92-47E8-8DF9-1A51F6176E56}"/>
    <cellStyle name="Pattern 3 4 60" xfId="28941" xr:uid="{06A02E4B-84C7-4EC0-8200-73BF1E467CC4}"/>
    <cellStyle name="Pattern 3 4 61" xfId="29492" xr:uid="{56D74136-217C-4FEA-9194-BC1534B341F0}"/>
    <cellStyle name="Pattern 3 4 62" xfId="29731" xr:uid="{C396F9A3-7461-4514-AF7C-8878B4D2AD6C}"/>
    <cellStyle name="Pattern 3 4 63" xfId="30139" xr:uid="{96C77C5F-0157-4E03-8EF7-D96D710D2EAE}"/>
    <cellStyle name="Pattern 3 4 64" xfId="30553" xr:uid="{767A87D8-339E-4065-8CC9-6699C9ABF0E3}"/>
    <cellStyle name="Pattern 3 4 65" xfId="30871" xr:uid="{A66B4D3B-357A-45B2-9154-C7C4CC93CED2}"/>
    <cellStyle name="Pattern 3 4 66" xfId="31177" xr:uid="{2E1FF9DA-9540-4491-A3B0-B94D54F2E87A}"/>
    <cellStyle name="Pattern 3 4 7" xfId="2199" xr:uid="{50DD4EB1-F16C-4B1B-ABC7-6816C628F8A4}"/>
    <cellStyle name="Pattern 3 4 8" xfId="3951" xr:uid="{63000D21-CA7E-4B16-831D-28AE2E2EAED5}"/>
    <cellStyle name="Pattern 3 4 9" xfId="4389" xr:uid="{6CBD404A-D860-4C26-9156-2C7B1B27B52A}"/>
    <cellStyle name="Pattern 3 40" xfId="16272" xr:uid="{A52ABEBD-92EF-4D30-9727-9BA9AE32B42B}"/>
    <cellStyle name="Pattern 3 41" xfId="18365" xr:uid="{A9F1AB1D-D07D-4EF7-9169-AB6E83DABD5B}"/>
    <cellStyle name="Pattern 3 42" xfId="19274" xr:uid="{C904C6F0-FF53-4B9E-A74D-C81BDC54BF1D}"/>
    <cellStyle name="Pattern 3 43" xfId="19667" xr:uid="{29BA1FA3-E606-4283-B712-25B166735884}"/>
    <cellStyle name="Pattern 3 44" xfId="20310" xr:uid="{5EBA7DCC-E8B4-449B-8EC4-7645364A863C}"/>
    <cellStyle name="Pattern 3 45" xfId="19781" xr:uid="{C27BC85E-9954-43A8-A135-4C2A428770E4}"/>
    <cellStyle name="Pattern 3 46" xfId="20820" xr:uid="{AB5736FB-E968-4D11-B53D-D462AC0C18C4}"/>
    <cellStyle name="Pattern 3 47" xfId="21392" xr:uid="{A3DD8164-4B06-42F5-A3CD-13F3A4C295B3}"/>
    <cellStyle name="Pattern 3 48" xfId="21735" xr:uid="{89FEA0C1-AA32-4C1C-B4E5-FC66A5D9D4EA}"/>
    <cellStyle name="Pattern 3 49" xfId="22507" xr:uid="{5EE46BFC-31FA-44CC-9B52-B9B401ECF5DC}"/>
    <cellStyle name="Pattern 3 5" xfId="958" xr:uid="{5D613BE5-53BE-4354-B5F1-9465314F12CF}"/>
    <cellStyle name="Pattern 3 50" xfId="22839" xr:uid="{B2B1AEA2-4E99-4C71-96F4-EAB38577A34E}"/>
    <cellStyle name="Pattern 3 51" xfId="23616" xr:uid="{EECB5F89-82D3-44AA-8E0C-767A68EAB929}"/>
    <cellStyle name="Pattern 3 52" xfId="23242" xr:uid="{CF636219-CB5B-483F-9A0B-47306E9C3088}"/>
    <cellStyle name="Pattern 3 53" xfId="24387" xr:uid="{6131783F-AA13-44C6-8EA6-A584E13BF56F}"/>
    <cellStyle name="Pattern 3 54" xfId="24322" xr:uid="{E0C6B378-2CD7-4A4D-B2E7-8454587F921D}"/>
    <cellStyle name="Pattern 3 55" xfId="25025" xr:uid="{1E95968A-6C80-47A2-A902-13732E7A8B3C}"/>
    <cellStyle name="Pattern 3 56" xfId="25471" xr:uid="{9FAD77AE-97CC-4A34-A015-E5815A274CD4}"/>
    <cellStyle name="Pattern 3 57" xfId="26279" xr:uid="{9086FC0B-AE6F-4E6D-A821-F76C0F460F8D}"/>
    <cellStyle name="Pattern 3 58" xfId="26693" xr:uid="{7EF182DF-76C8-4149-A697-25E2AE30A488}"/>
    <cellStyle name="Pattern 3 59" xfId="26574" xr:uid="{E3B5FEA7-EA18-402D-8255-EEF9D2484D45}"/>
    <cellStyle name="Pattern 3 6" xfId="1384" xr:uid="{9D206C02-CF61-4E4A-8F8D-B1B90B358BAA}"/>
    <cellStyle name="Pattern 3 60" xfId="26796" xr:uid="{79E25753-2E61-4522-A119-C45D7A67AD85}"/>
    <cellStyle name="Pattern 3 61" xfId="28158" xr:uid="{4A15663F-96F2-4589-994C-FD22E3BA239B}"/>
    <cellStyle name="Pattern 3 62" xfId="27903" xr:uid="{FB494055-B460-42E3-88B3-937F264CFD56}"/>
    <cellStyle name="Pattern 3 63" xfId="27905" xr:uid="{5EA269A8-1A4E-4004-8950-A10958FA4FAA}"/>
    <cellStyle name="Pattern 3 64" xfId="29480" xr:uid="{81F8F131-AA37-40CB-92E8-DA78178C5DB3}"/>
    <cellStyle name="Pattern 3 65" xfId="29302" xr:uid="{0890E351-CB8E-452D-A279-CE6DC249CE91}"/>
    <cellStyle name="Pattern 3 66" xfId="28804" xr:uid="{2DB1F09D-C28D-43C9-904D-3333F6AAB906}"/>
    <cellStyle name="Pattern 3 67" xfId="29593" xr:uid="{0AC70B20-D5EF-4213-BBD8-66AEC163617B}"/>
    <cellStyle name="Pattern 3 68" xfId="28121" xr:uid="{CC03236F-A221-4FB3-8DF5-E4326D665A9E}"/>
    <cellStyle name="Pattern 3 7" xfId="2107" xr:uid="{9C26256E-4F82-49A0-A680-617A8A86BD21}"/>
    <cellStyle name="Pattern 3 8" xfId="1889" xr:uid="{9E0B53A7-67B0-438D-ADBA-27581B9AC043}"/>
    <cellStyle name="Pattern 3 9" xfId="2869" xr:uid="{B13DE4BB-F19C-4E19-9FF8-424469EA5078}"/>
    <cellStyle name="Percent 2" xfId="175" xr:uid="{5743DA0F-FD0A-4792-A1D8-702270D51E3A}"/>
    <cellStyle name="Percent 2 2" xfId="435" xr:uid="{9898A8BF-9052-4EE4-8718-F167827272E7}"/>
    <cellStyle name="Percent 2 2 2" xfId="2257" xr:uid="{7C01D562-FA6D-4D52-9E2C-90B262FA18B6}"/>
    <cellStyle name="Percent 2 3" xfId="2002" xr:uid="{D1147FC1-4E6A-45E5-8F4C-D9A2FDB19B21}"/>
    <cellStyle name="RowLevel_1 2" xfId="78" xr:uid="{32D02178-2ABF-40CB-8BFF-70A017243365}"/>
    <cellStyle name="Schlecht" xfId="176" xr:uid="{C538C48A-AC38-4EDB-BC2F-3D853080F0EE}"/>
    <cellStyle name="Shade" xfId="23" xr:uid="{E849B8D0-F8A7-44FE-ACC3-0642C34264C7}"/>
    <cellStyle name="Shade 2" xfId="177" xr:uid="{D0628454-8EAA-4B99-915A-B1E53E243572}"/>
    <cellStyle name="Shade 2 2" xfId="437" xr:uid="{70935452-8F65-48B8-AC4B-3A6DCB6B4AC6}"/>
    <cellStyle name="Shade 2 2 2" xfId="522" xr:uid="{0B819C83-97BE-49A0-AD1E-1A6C19D3D3CE}"/>
    <cellStyle name="Shade 2 2 2 10" xfId="4934" xr:uid="{45C01A22-DB36-415A-8D92-B22BCD40EE6F}"/>
    <cellStyle name="Shade 2 2 2 11" xfId="5170" xr:uid="{E69CFFAF-A6DE-4AE5-8088-95654525AA52}"/>
    <cellStyle name="Shade 2 2 2 12" xfId="5889" xr:uid="{673B81A9-705A-41E1-9AEF-794C63C28F14}"/>
    <cellStyle name="Shade 2 2 2 13" xfId="6171" xr:uid="{84ADB26C-935A-4076-90EF-6CC90648AA46}"/>
    <cellStyle name="Shade 2 2 2 14" xfId="6308" xr:uid="{D41C2D7F-4FBC-4616-8996-5135D670C91E}"/>
    <cellStyle name="Shade 2 2 2 15" xfId="7242" xr:uid="{19733E4A-FE26-4AA0-BBCA-BD11E35A178A}"/>
    <cellStyle name="Shade 2 2 2 16" xfId="7935" xr:uid="{92294D3B-89AD-4341-9054-96F004A0AD56}"/>
    <cellStyle name="Shade 2 2 2 17" xfId="7018" xr:uid="{E39CD652-F9ED-4F1A-9E92-A513B7885648}"/>
    <cellStyle name="Shade 2 2 2 18" xfId="8261" xr:uid="{D172AEA3-76D3-4D48-A1D8-3260766B0504}"/>
    <cellStyle name="Shade 2 2 2 19" xfId="9456" xr:uid="{24FE00FD-20EA-4D5F-9C06-76C01E919DAA}"/>
    <cellStyle name="Shade 2 2 2 2" xfId="737" xr:uid="{32C5B6C7-8F5C-4A75-82BD-F2AC474600CF}"/>
    <cellStyle name="Shade 2 2 2 2 10" xfId="5385" xr:uid="{53FF9DD0-D5CE-4820-B327-5F44608055CB}"/>
    <cellStyle name="Shade 2 2 2 2 11" xfId="4864" xr:uid="{9ED4A25F-8632-44CB-8DB5-49E67141BCBC}"/>
    <cellStyle name="Shade 2 2 2 2 12" xfId="5682" xr:uid="{90BBAC15-C338-47CD-9182-5ED72FFE1F15}"/>
    <cellStyle name="Shade 2 2 2 2 13" xfId="6299" xr:uid="{4C5EEB94-6824-4611-A156-BEC819AB2E22}"/>
    <cellStyle name="Shade 2 2 2 2 14" xfId="7457" xr:uid="{42E81123-AC29-426A-A543-6568F647037D}"/>
    <cellStyle name="Shade 2 2 2 2 15" xfId="6777" xr:uid="{B9C26ECE-79AC-4842-8468-BAE2BF5814B6}"/>
    <cellStyle name="Shade 2 2 2 2 16" xfId="8291" xr:uid="{E47E8C0F-C847-4317-9AF3-75BCDF69F5B2}"/>
    <cellStyle name="Shade 2 2 2 2 17" xfId="8749" xr:uid="{9EDE4590-96D5-43F5-88B5-6F52DC882B74}"/>
    <cellStyle name="Shade 2 2 2 2 18" xfId="9671" xr:uid="{A8091E99-1A55-4A42-A902-DA50420352D3}"/>
    <cellStyle name="Shade 2 2 2 2 19" xfId="8989" xr:uid="{803352BB-F7E5-402A-9219-F338604A5D59}"/>
    <cellStyle name="Shade 2 2 2 2 2" xfId="1211" xr:uid="{823AD568-E753-4F70-AB34-0D283B4979B4}"/>
    <cellStyle name="Shade 2 2 2 2 20" xfId="9970" xr:uid="{1B0AC6EC-68A1-460A-98D3-14FB479D1698}"/>
    <cellStyle name="Shade 2 2 2 2 21" xfId="9341" xr:uid="{AF448713-9443-4CF0-8F86-3C56F454213C}"/>
    <cellStyle name="Shade 2 2 2 2 22" xfId="10893" xr:uid="{55C259B7-4933-41CE-98F5-C818CB1065F8}"/>
    <cellStyle name="Shade 2 2 2 2 23" xfId="12090" xr:uid="{1E63E739-6BAE-4469-8B29-B560780A111B}"/>
    <cellStyle name="Shade 2 2 2 2 24" xfId="12563" xr:uid="{2F4878CD-E363-4A9C-A35E-1EB2767B3A02}"/>
    <cellStyle name="Shade 2 2 2 2 25" xfId="12997" xr:uid="{A24B469B-2C42-47CF-9AC0-1DF09519266B}"/>
    <cellStyle name="Shade 2 2 2 2 26" xfId="13434" xr:uid="{0D168154-0056-448C-A114-73CADA52EA15}"/>
    <cellStyle name="Shade 2 2 2 2 27" xfId="11768" xr:uid="{00111D1E-EC19-4D98-80A7-7B56DC21FBBE}"/>
    <cellStyle name="Shade 2 2 2 2 28" xfId="11838" xr:uid="{DAA87F2F-A5BA-46D3-A05A-9D489C4A97D1}"/>
    <cellStyle name="Shade 2 2 2 2 29" xfId="13975" xr:uid="{E106FD70-77E2-4D8B-8B83-5E2C5B6677E6}"/>
    <cellStyle name="Shade 2 2 2 2 3" xfId="1438" xr:uid="{735706EC-6C0D-4F7C-9FC7-5402C0799FAF}"/>
    <cellStyle name="Shade 2 2 2 2 30" xfId="14685" xr:uid="{38CED65A-6280-45A3-866C-5A53E4F10DF6}"/>
    <cellStyle name="Shade 2 2 2 2 31" xfId="15077" xr:uid="{973EF699-E936-4D50-8C52-D598F1DD1CD0}"/>
    <cellStyle name="Shade 2 2 2 2 32" xfId="15040" xr:uid="{D215B7F5-FF9A-4DD1-B217-573567237BC8}"/>
    <cellStyle name="Shade 2 2 2 2 33" xfId="16782" xr:uid="{67DB1B99-FE85-45D1-AC48-A6C8E45E7713}"/>
    <cellStyle name="Shade 2 2 2 2 34" xfId="16086" xr:uid="{DB9D39F1-40B2-48EF-B29A-A14849694AB3}"/>
    <cellStyle name="Shade 2 2 2 2 35" xfId="17086" xr:uid="{59FFFDE8-70C8-417A-A726-F5ACD816BEEF}"/>
    <cellStyle name="Shade 2 2 2 2 36" xfId="17705" xr:uid="{8C351C5C-4366-4E57-A075-038C4335B255}"/>
    <cellStyle name="Shade 2 2 2 2 37" xfId="18600" xr:uid="{1ECF0031-41F9-41BA-BA66-50E20FD4A081}"/>
    <cellStyle name="Shade 2 2 2 2 38" xfId="18847" xr:uid="{2E882217-CB84-4DFE-AC71-FF0A344E3247}"/>
    <cellStyle name="Shade 2 2 2 2 39" xfId="17749" xr:uid="{BB15FE80-B3F1-4A08-B245-9FC98FF2480F}"/>
    <cellStyle name="Shade 2 2 2 2 4" xfId="2559" xr:uid="{997DC743-2B4D-4DD9-A562-4504ED241546}"/>
    <cellStyle name="Shade 2 2 2 2 40" xfId="20119" xr:uid="{ABE40BF6-86AB-4050-87FE-3A03A1BE6394}"/>
    <cellStyle name="Shade 2 2 2 2 41" xfId="19419" xr:uid="{8E7C8C79-7995-4AD7-9D0C-A3EB4A6046F3}"/>
    <cellStyle name="Shade 2 2 2 2 42" xfId="19788" xr:uid="{85563389-ED4B-4AAF-A8E2-1F9799C7CBDF}"/>
    <cellStyle name="Shade 2 2 2 2 43" xfId="21109" xr:uid="{224720E3-F066-490F-9A2E-463D9FE0540F}"/>
    <cellStyle name="Shade 2 2 2 2 44" xfId="20940" xr:uid="{CD3699DF-5E0E-4EC5-BF03-1A7B6A69063B}"/>
    <cellStyle name="Shade 2 2 2 2 45" xfId="21823" xr:uid="{6C903667-78C2-4D15-B07A-0F37F516BB29}"/>
    <cellStyle name="Shade 2 2 2 2 46" xfId="21769" xr:uid="{9325D3B8-18E2-4B0E-BA8A-FA6895ECA5F0}"/>
    <cellStyle name="Shade 2 2 2 2 47" xfId="23123" xr:uid="{AE70593D-8169-4C89-897B-4293C061DEAE}"/>
    <cellStyle name="Shade 2 2 2 2 48" xfId="20904" xr:uid="{8DB1D398-9F3A-45AB-B46A-A1861AE6AB3F}"/>
    <cellStyle name="Shade 2 2 2 2 49" xfId="23919" xr:uid="{FE903D9A-5F47-4C57-A937-A39061DF934F}"/>
    <cellStyle name="Shade 2 2 2 2 5" xfId="2165" xr:uid="{FB24C879-0317-4767-800D-5B6E34C309B9}"/>
    <cellStyle name="Shade 2 2 2 2 50" xfId="24827" xr:uid="{8EA0B86E-985B-45CD-B8A8-506A9811CBC6}"/>
    <cellStyle name="Shade 2 2 2 2 51" xfId="24143" xr:uid="{1144A1F2-0616-41CB-918E-4E50DB2EADB7}"/>
    <cellStyle name="Shade 2 2 2 2 52" xfId="25743" xr:uid="{30E2FE8A-14CA-47EE-BF0F-E8C1168981B2}"/>
    <cellStyle name="Shade 2 2 2 2 53" xfId="24450" xr:uid="{1DEE39DD-9D6F-4AD4-BB14-2DC2EBF04808}"/>
    <cellStyle name="Shade 2 2 2 2 54" xfId="24525" xr:uid="{EFDECE70-273B-4A8A-8BF2-606DB3440AE2}"/>
    <cellStyle name="Shade 2 2 2 2 55" xfId="27031" xr:uid="{05D1A550-45D0-4359-8430-37B499503A4A}"/>
    <cellStyle name="Shade 2 2 2 2 56" xfId="27450" xr:uid="{F18C433D-0297-4AC0-A3F7-0C5B0A930EFE}"/>
    <cellStyle name="Shade 2 2 2 2 57" xfId="27647" xr:uid="{0F0BF782-EB21-48AF-9E8F-1B326A0DDA0B}"/>
    <cellStyle name="Shade 2 2 2 2 58" xfId="28577" xr:uid="{459AF642-0DAF-4C15-8215-C0EF32FBA67B}"/>
    <cellStyle name="Shade 2 2 2 2 59" xfId="29044" xr:uid="{2B7A86C7-6AD0-432C-A57F-492E76382F52}"/>
    <cellStyle name="Shade 2 2 2 2 6" xfId="3424" xr:uid="{51517E79-92C8-4999-A55C-022CC6FC4A95}"/>
    <cellStyle name="Shade 2 2 2 2 60" xfId="28207" xr:uid="{5F6D5984-BE03-435B-BA75-3701A662B67D}"/>
    <cellStyle name="Shade 2 2 2 2 61" xfId="29833" xr:uid="{351C86C5-2CBE-4053-B213-30798BFF81FE}"/>
    <cellStyle name="Shade 2 2 2 2 62" xfId="30239" xr:uid="{3972FC75-BA4D-465E-A346-D9584356AE90}"/>
    <cellStyle name="Shade 2 2 2 2 63" xfId="30656" xr:uid="{403A5CFE-D619-4E43-B7DB-F0F07843096D}"/>
    <cellStyle name="Shade 2 2 2 2 64" xfId="28763" xr:uid="{9A2F796C-32BB-457D-8656-9C2FD018A90D}"/>
    <cellStyle name="Shade 2 2 2 2 65" xfId="31272" xr:uid="{FDA7755E-5B2E-484B-B352-BCCACE42E7FD}"/>
    <cellStyle name="Shade 2 2 2 2 7" xfId="4055" xr:uid="{20C350F3-A6E9-4545-B013-3ED4D6036660}"/>
    <cellStyle name="Shade 2 2 2 2 8" xfId="4492" xr:uid="{EF5DFFF5-7905-4308-B46A-6468E72C064E}"/>
    <cellStyle name="Shade 2 2 2 2 9" xfId="3603" xr:uid="{9B681C4C-E351-438F-8F1C-E1A627A12A52}"/>
    <cellStyle name="Shade 2 2 2 20" xfId="10148" xr:uid="{D5685A5A-7D28-45FD-9635-8164B2953711}"/>
    <cellStyle name="Shade 2 2 2 21" xfId="10558" xr:uid="{6BC328FD-BFF8-436B-8F03-EEEDEAA1127C}"/>
    <cellStyle name="Shade 2 2 2 22" xfId="10363" xr:uid="{62F2E97F-E545-450C-8C45-2CAED9DE55EA}"/>
    <cellStyle name="Shade 2 2 2 23" xfId="11258" xr:uid="{1E469C33-CC17-45F9-B1F8-0A6BC4AB2DB8}"/>
    <cellStyle name="Shade 2 2 2 24" xfId="11875" xr:uid="{21BEC675-B8EA-4EAD-8541-6B12A67923E7}"/>
    <cellStyle name="Shade 2 2 2 25" xfId="12348" xr:uid="{B7540CB0-FFC4-42AD-BA67-CDCC030D87BB}"/>
    <cellStyle name="Shade 2 2 2 26" xfId="12782" xr:uid="{CB1DA998-32BA-49D2-8E0B-A856C283489D}"/>
    <cellStyle name="Shade 2 2 2 27" xfId="13219" xr:uid="{013273A7-1DB6-425A-A0BF-D704F3399BCB}"/>
    <cellStyle name="Shade 2 2 2 28" xfId="12736" xr:uid="{6044157B-046E-4587-8209-CC09BCF5A4D4}"/>
    <cellStyle name="Shade 2 2 2 29" xfId="14149" xr:uid="{5AF15689-6B52-4D5D-924B-6083AF11782E}"/>
    <cellStyle name="Shade 2 2 2 3" xfId="1005" xr:uid="{3F94DDC7-9DBE-4922-ABC3-000480373E63}"/>
    <cellStyle name="Shade 2 2 2 30" xfId="13971" xr:uid="{5255E5DC-DDF0-4126-B1B8-8113F44AA09D}"/>
    <cellStyle name="Shade 2 2 2 31" xfId="14619" xr:uid="{56A01D62-4E89-40ED-A3DD-422FF1FF8374}"/>
    <cellStyle name="Shade 2 2 2 32" xfId="14842" xr:uid="{10C32813-34BC-4B90-A966-6421ECF2EBAD}"/>
    <cellStyle name="Shade 2 2 2 33" xfId="15937" xr:uid="{85088D96-2E0D-40A3-A438-86B88199E93D}"/>
    <cellStyle name="Shade 2 2 2 34" xfId="16567" xr:uid="{A9E53572-B394-421F-85AE-F0D1B75EFD6C}"/>
    <cellStyle name="Shade 2 2 2 35" xfId="17268" xr:uid="{1A53C6FC-7792-4CF7-81B2-E98F8A6D9C08}"/>
    <cellStyle name="Shade 2 2 2 36" xfId="17712" xr:uid="{2237C856-3207-484C-B028-D3E720EF3C70}"/>
    <cellStyle name="Shade 2 2 2 37" xfId="18118" xr:uid="{AD034AF0-8213-421A-88F8-352B59F4149F}"/>
    <cellStyle name="Shade 2 2 2 38" xfId="18385" xr:uid="{5EC8F5C2-D27E-4C41-BAF1-4E516D98E483}"/>
    <cellStyle name="Shade 2 2 2 39" xfId="18182" xr:uid="{8B9E61C1-5C97-4DC1-9142-0527F0927ABB}"/>
    <cellStyle name="Shade 2 2 2 4" xfId="1747" xr:uid="{F52CBB5B-9513-4964-B6D3-10CA62DEDD63}"/>
    <cellStyle name="Shade 2 2 2 40" xfId="16947" xr:uid="{51B936C7-4758-4A4C-B792-39A111927327}"/>
    <cellStyle name="Shade 2 2 2 41" xfId="19904" xr:uid="{2A8A072C-E796-4EC3-B35C-7701E781C70A}"/>
    <cellStyle name="Shade 2 2 2 42" xfId="20618" xr:uid="{32E80FC3-F528-4155-80D9-B6E1476EFF67}"/>
    <cellStyle name="Shade 2 2 2 43" xfId="21073" xr:uid="{D24B17B0-0838-480A-B832-8FC7931A220C}"/>
    <cellStyle name="Shade 2 2 2 44" xfId="20643" xr:uid="{539F2F7E-C811-495D-81D6-A25BED1BA064}"/>
    <cellStyle name="Shade 2 2 2 45" xfId="22004" xr:uid="{A2896130-D99B-4177-8366-57A66F10D36D}"/>
    <cellStyle name="Shade 2 2 2 46" xfId="22435" xr:uid="{2B33AC72-1C2A-4E91-A2AA-812D2BE662A4}"/>
    <cellStyle name="Shade 2 2 2 47" xfId="21733" xr:uid="{C55FDA42-D1A7-40BB-B7B6-5240A13B3C24}"/>
    <cellStyle name="Shade 2 2 2 48" xfId="22875" xr:uid="{7B590065-4845-4AD1-9928-760B58DA52A9}"/>
    <cellStyle name="Shade 2 2 2 49" xfId="23045" xr:uid="{1EB018C5-A324-4E3E-BB20-3116BCD06F60}"/>
    <cellStyle name="Shade 2 2 2 5" xfId="2344" xr:uid="{33AAF958-78E1-4365-B354-719BA38A913D}"/>
    <cellStyle name="Shade 2 2 2 50" xfId="23713" xr:uid="{A7B0B4C6-F28A-499D-9E5D-7CC8E057F501}"/>
    <cellStyle name="Shade 2 2 2 51" xfId="24612" xr:uid="{DCB14B7A-187B-4420-ACE1-C303C47DE974}"/>
    <cellStyle name="Shade 2 2 2 52" xfId="25324" xr:uid="{69032EFD-56C7-476F-B75D-27F2E7D24D96}"/>
    <cellStyle name="Shade 2 2 2 53" xfId="25530" xr:uid="{385D4AAD-43FC-4C86-87F9-CB83DE703979}"/>
    <cellStyle name="Shade 2 2 2 54" xfId="25017" xr:uid="{00039FF4-6DE4-484E-9906-885A629EBF3A}"/>
    <cellStyle name="Shade 2 2 2 55" xfId="25258" xr:uid="{A06579C6-DA0B-49A8-B8AB-230D5539B28E}"/>
    <cellStyle name="Shade 2 2 2 56" xfId="26820" xr:uid="{FA633365-3A76-4C3E-A88B-50EF9A9D0B3F}"/>
    <cellStyle name="Shade 2 2 2 57" xfId="27239" xr:uid="{40F5E43F-DA0E-4097-A7A4-E9EE8EC98E59}"/>
    <cellStyle name="Shade 2 2 2 58" xfId="27771" xr:uid="{C307AA65-B366-4951-B566-293EEF5C6F26}"/>
    <cellStyle name="Shade 2 2 2 59" xfId="28362" xr:uid="{4665B3E7-145E-4D31-B407-43274C8B2823}"/>
    <cellStyle name="Shade 2 2 2 6" xfId="2223" xr:uid="{F53AA942-2334-4F38-9151-632227041AF0}"/>
    <cellStyle name="Shade 2 2 2 60" xfId="28830" xr:uid="{E756AAC8-536B-4178-BCD0-0C4C0D46EC02}"/>
    <cellStyle name="Shade 2 2 2 61" xfId="29447" xr:uid="{DA33DD1A-F523-4ECC-BE5A-929B0EE5CD79}"/>
    <cellStyle name="Shade 2 2 2 62" xfId="29620" xr:uid="{19B9292A-071F-4871-9654-7F9713290969}"/>
    <cellStyle name="Shade 2 2 2 63" xfId="30028" xr:uid="{B25D9F72-7B28-43EC-9127-0C1BA6D2D92F}"/>
    <cellStyle name="Shade 2 2 2 64" xfId="30442" xr:uid="{543462B5-2355-447A-9C79-912CD86F10C9}"/>
    <cellStyle name="Shade 2 2 2 65" xfId="30899" xr:uid="{D714DCDC-C0A5-4B21-B96D-496A71FF97C3}"/>
    <cellStyle name="Shade 2 2 2 66" xfId="31066" xr:uid="{AF9F7F26-4D08-422D-9FE1-A3C13BB30465}"/>
    <cellStyle name="Shade 2 2 2 7" xfId="3205" xr:uid="{4AE1AEA1-9A1C-4FA9-958A-3216E15FFB0C}"/>
    <cellStyle name="Shade 2 2 2 8" xfId="3840" xr:uid="{8512E6A8-98EB-4D38-ACDF-860A412738FD}"/>
    <cellStyle name="Shade 2 2 2 9" xfId="4278" xr:uid="{05ABBA2A-8A53-49B8-ADC2-EBE4DB07F956}"/>
    <cellStyle name="Shade 2 2 3" xfId="725" xr:uid="{E5236990-8CE1-465B-92BB-6236E274B5D3}"/>
    <cellStyle name="Shade 2 2 3 10" xfId="5373" xr:uid="{017193EC-DE31-429D-B332-03A3A37CE1B8}"/>
    <cellStyle name="Shade 2 2 3 11" xfId="5669" xr:uid="{E9C2E64C-B5BD-4CF6-8B5D-CCA6A7772F82}"/>
    <cellStyle name="Shade 2 2 3 12" xfId="5991" xr:uid="{D008472F-492F-434F-A02B-5EAF66AE28E0}"/>
    <cellStyle name="Shade 2 2 3 13" xfId="5895" xr:uid="{3E298C1F-A17E-4B99-B3AC-3988788AE605}"/>
    <cellStyle name="Shade 2 2 3 14" xfId="7445" xr:uid="{D1772CB6-B5F7-43E8-8C28-B4F24685A76B}"/>
    <cellStyle name="Shade 2 2 3 15" xfId="7780" xr:uid="{1C550313-2165-4D70-A97B-E7A544479166}"/>
    <cellStyle name="Shade 2 2 3 16" xfId="8583" xr:uid="{6763E3D8-32BE-4559-B457-E7B48534D2EE}"/>
    <cellStyle name="Shade 2 2 3 17" xfId="8731" xr:uid="{9D774F12-60B6-435F-A04E-B5A7777907DD}"/>
    <cellStyle name="Shade 2 2 3 18" xfId="9659" xr:uid="{90780A45-6A0B-4006-B01C-E91318B1256A}"/>
    <cellStyle name="Shade 2 2 3 19" xfId="9993" xr:uid="{CC14B75D-C686-44D0-A8AA-2922F1C99B97}"/>
    <cellStyle name="Shade 2 2 3 2" xfId="1199" xr:uid="{39404AB0-5B6B-4E18-AB7E-26ACAC84A92B}"/>
    <cellStyle name="Shade 2 2 3 20" xfId="10418" xr:uid="{1F01FB29-7B64-4EA7-B80A-0FA1CFAEF77A}"/>
    <cellStyle name="Shade 2 2 3 21" xfId="10919" xr:uid="{286AB448-2F2A-436F-8E15-CC557CB8AB61}"/>
    <cellStyle name="Shade 2 2 3 22" xfId="10774" xr:uid="{04738168-4E4F-4393-9BE1-4A789303A7AF}"/>
    <cellStyle name="Shade 2 2 3 23" xfId="12078" xr:uid="{DA101CD3-9D33-4277-BD52-80B08BF620F7}"/>
    <cellStyle name="Shade 2 2 3 24" xfId="12551" xr:uid="{BA8D399E-2B38-4A67-A790-E32BE367D141}"/>
    <cellStyle name="Shade 2 2 3 25" xfId="12985" xr:uid="{BD22AA7D-EFBC-439E-AE6D-C9E8ECC7719F}"/>
    <cellStyle name="Shade 2 2 3 26" xfId="13422" xr:uid="{17867912-C7A8-4257-BCFB-CD2594D3D9DE}"/>
    <cellStyle name="Shade 2 2 3 27" xfId="11698" xr:uid="{301DBC5D-65C8-49BF-8D50-8426DABC00C3}"/>
    <cellStyle name="Shade 2 2 3 28" xfId="13922" xr:uid="{ED27E95D-0863-4381-91F5-B328FDD4ABD8}"/>
    <cellStyle name="Shade 2 2 3 29" xfId="14647" xr:uid="{B0E90201-208F-4897-AB8A-C0E800A34A98}"/>
    <cellStyle name="Shade 2 2 3 3" xfId="1544" xr:uid="{F2036736-214C-479F-82EB-4400E1486042}"/>
    <cellStyle name="Shade 2 2 3 30" xfId="14611" xr:uid="{D614449F-374F-44FF-8430-CB89995FC2E7}"/>
    <cellStyle name="Shade 2 2 3 31" xfId="15660" xr:uid="{3F30E9A2-6B2F-4428-8026-072DA44FB5FB}"/>
    <cellStyle name="Shade 2 2 3 32" xfId="15849" xr:uid="{5137A40C-2608-48CE-86B1-EA6247579FD9}"/>
    <cellStyle name="Shade 2 2 3 33" xfId="16770" xr:uid="{250A0DEF-93E4-4341-9119-028D13AE0F2F}"/>
    <cellStyle name="Shade 2 2 3 34" xfId="17109" xr:uid="{8F0BBE45-D687-48C7-B42F-885EAE29AECE}"/>
    <cellStyle name="Shade 2 2 3 35" xfId="17556" xr:uid="{7EBC9F68-796B-400B-A752-FCCE5C7CF9E5}"/>
    <cellStyle name="Shade 2 2 3 36" xfId="17994" xr:uid="{46353925-6CE3-47A1-9407-C185A54B689E}"/>
    <cellStyle name="Shade 2 2 3 37" xfId="18588" xr:uid="{6D3AF8D6-09F7-48BB-9C26-0F907952703A}"/>
    <cellStyle name="Shade 2 2 3 38" xfId="18822" xr:uid="{649B586E-CD12-4C1F-94DA-E1446852CEE5}"/>
    <cellStyle name="Shade 2 2 3 39" xfId="19297" xr:uid="{D31303C8-E79E-4DAB-AA06-EC1125C3F63F}"/>
    <cellStyle name="Shade 2 2 3 4" xfId="2547" xr:uid="{78C4A236-7A9E-48B5-8B26-25C87343BBB4}"/>
    <cellStyle name="Shade 2 2 3 40" xfId="20107" xr:uid="{32C9ADDE-B0F3-4859-BAF8-837021FB25B1}"/>
    <cellStyle name="Shade 2 2 3 41" xfId="20462" xr:uid="{95D1D113-EBD4-47BC-AB77-E1E8E42BF98B}"/>
    <cellStyle name="Shade 2 2 3 42" xfId="20915" xr:uid="{8094E6C8-E354-4016-9081-31655BCD780E}"/>
    <cellStyle name="Shade 2 2 3 43" xfId="21548" xr:uid="{1A2A0FAF-A359-4E19-8499-5958A7FD1038}"/>
    <cellStyle name="Shade 2 2 3 44" xfId="21844" xr:uid="{16BE582F-6B26-486F-BDC6-E39A976FD135}"/>
    <cellStyle name="Shade 2 2 3 45" xfId="22281" xr:uid="{AF7724D4-7840-46C0-B8F4-3C52710D74A7}"/>
    <cellStyle name="Shade 2 2 3 46" xfId="22448" xr:uid="{D098945C-3BE9-41BF-A35D-45DC4FB0B525}"/>
    <cellStyle name="Shade 2 2 3 47" xfId="23093" xr:uid="{605F8A0A-30B9-446B-ABFC-774E3F481B25}"/>
    <cellStyle name="Shade 2 2 3 48" xfId="23487" xr:uid="{6EBB08D3-84F7-4665-A932-777E0EB70472}"/>
    <cellStyle name="Shade 2 2 3 49" xfId="23907" xr:uid="{50325F4F-F76F-4888-8BCE-B60F027D4E2A}"/>
    <cellStyle name="Shade 2 2 3 5" xfId="2286" xr:uid="{CD41FF8C-D585-4915-9BF5-D3656B5F2C7B}"/>
    <cellStyle name="Shade 2 2 3 50" xfId="24815" xr:uid="{0A8611BF-BAF4-4B31-A723-E349DFEB69F5}"/>
    <cellStyle name="Shade 2 2 3 51" xfId="25170" xr:uid="{6BCE4908-45BB-4430-B9D9-F803BFAA2FBC}"/>
    <cellStyle name="Shade 2 2 3 52" xfId="25731" xr:uid="{E37471FD-4AFB-4855-B103-2055CBA0087F}"/>
    <cellStyle name="Shade 2 2 3 53" xfId="24279" xr:uid="{3CB21167-B38D-445E-B3B2-D4A27CD36F44}"/>
    <cellStyle name="Shade 2 2 3 54" xfId="26380" xr:uid="{81801E8D-C699-4670-85D6-198080647A26}"/>
    <cellStyle name="Shade 2 2 3 55" xfId="27019" xr:uid="{E1307520-72C0-4398-B752-B8EFEB258EE3}"/>
    <cellStyle name="Shade 2 2 3 56" xfId="27438" xr:uid="{B9F25FA2-1DA0-4BCB-97B0-195B58A68698}"/>
    <cellStyle name="Shade 2 2 3 57" xfId="27744" xr:uid="{314A288C-ED02-4A9E-82EA-725564F506B9}"/>
    <cellStyle name="Shade 2 2 3 58" xfId="28565" xr:uid="{71F18B47-1788-49BA-8B6B-25BACF4C5003}"/>
    <cellStyle name="Shade 2 2 3 59" xfId="29032" xr:uid="{6BC3477F-4734-401B-B2EA-5A34A9FD4028}"/>
    <cellStyle name="Shade 2 2 3 6" xfId="3478" xr:uid="{CCFD3A29-9B65-4863-8D47-667516C9F206}"/>
    <cellStyle name="Shade 2 2 3 60" xfId="29317" xr:uid="{09EE45B2-5A4F-495E-9DD6-CF8658DB30F9}"/>
    <cellStyle name="Shade 2 2 3 61" xfId="29821" xr:uid="{723CD109-DD53-4B14-BF1E-6CFFEA56C9C6}"/>
    <cellStyle name="Shade 2 2 3 62" xfId="30227" xr:uid="{8961245D-6BCC-4C1B-914B-5A2E01048653}"/>
    <cellStyle name="Shade 2 2 3 63" xfId="30644" xr:uid="{8C6636DE-D6EB-42D3-8BBD-9371395920A6}"/>
    <cellStyle name="Shade 2 2 3 64" xfId="29285" xr:uid="{5C6256A0-C2F4-4EDD-A093-13E79A8F1EA5}"/>
    <cellStyle name="Shade 2 2 3 65" xfId="31260" xr:uid="{68BF8960-403C-4790-BCB0-8BD69ADA2A13}"/>
    <cellStyle name="Shade 2 2 3 7" xfId="4043" xr:uid="{1E410E40-D679-4EA5-BF34-09B494304832}"/>
    <cellStyle name="Shade 2 2 3 8" xfId="4480" xr:uid="{2477F1A1-3D8D-4836-8077-2AF35DBD7985}"/>
    <cellStyle name="Shade 2 2 3 9" xfId="3284" xr:uid="{D4B34946-6C6C-4E00-8E38-D4E7D5FB1E8E}"/>
    <cellStyle name="Shade 2 3" xfId="285" xr:uid="{E4062FAF-8378-44C3-B78C-03F0AFE5A677}"/>
    <cellStyle name="Shade 2 3 10" xfId="3739" xr:uid="{23986F67-F369-43EC-AE63-4BABC46BE305}"/>
    <cellStyle name="Shade 2 3 11" xfId="3762" xr:uid="{E06705AF-FCCF-4BAC-8FF8-8647271A909C}"/>
    <cellStyle name="Shade 2 3 12" xfId="3434" xr:uid="{CBFD3317-595D-4B21-BA37-F27DA7B0140D}"/>
    <cellStyle name="Shade 2 3 13" xfId="4247" xr:uid="{586A4D05-5360-44BB-8EA1-A0AD009E158E}"/>
    <cellStyle name="Shade 2 3 14" xfId="5963" xr:uid="{094C67DB-AFD6-4F84-92E4-5132F92FC268}"/>
    <cellStyle name="Shade 2 3 15" xfId="4996" xr:uid="{F3FA7159-6695-4EDE-8C24-92D2649F41C5}"/>
    <cellStyle name="Shade 2 3 16" xfId="6196" xr:uid="{A30A2372-34DD-4714-8B05-AB1E84142B2E}"/>
    <cellStyle name="Shade 2 3 17" xfId="7015" xr:uid="{70F1DA26-A30C-423F-8562-30F02E43B9EA}"/>
    <cellStyle name="Shade 2 3 18" xfId="7635" xr:uid="{17E84D31-AF38-49A6-A502-B24932B8DB15}"/>
    <cellStyle name="Shade 2 3 19" xfId="7962" xr:uid="{739C091C-FEE7-43A6-AB0F-A4250A832A52}"/>
    <cellStyle name="Shade 2 3 2" xfId="622" xr:uid="{EF1E13FE-E389-47EA-9494-E6C9757FFF12}"/>
    <cellStyle name="Shade 2 3 2 10" xfId="5045" xr:uid="{F50E2DBF-83E9-4A0F-A100-A158F3D1047B}"/>
    <cellStyle name="Shade 2 3 2 11" xfId="5270" xr:uid="{29BF830D-2E2C-4457-B207-7685DFC2236D}"/>
    <cellStyle name="Shade 2 3 2 12" xfId="4703" xr:uid="{7124BE0C-AC74-4CF6-9EF9-A52A86644565}"/>
    <cellStyle name="Shade 2 3 2 13" xfId="6107" xr:uid="{618592A0-A6FF-4F10-A18F-E8A484EA6F97}"/>
    <cellStyle name="Shade 2 3 2 14" xfId="6403" xr:uid="{86E8B37A-CDF9-4834-B249-9D8DD6B9DAA1}"/>
    <cellStyle name="Shade 2 3 2 15" xfId="7342" xr:uid="{71FF9588-01F5-442C-BF13-A2CCF5081DFA}"/>
    <cellStyle name="Shade 2 3 2 16" xfId="7161" xr:uid="{34955ABE-4904-467A-8EBE-DC35B61D5BB8}"/>
    <cellStyle name="Shade 2 3 2 17" xfId="8488" xr:uid="{E98A6324-03F3-4406-AAF6-8A4EE7829185}"/>
    <cellStyle name="Shade 2 3 2 18" xfId="8734" xr:uid="{4636F438-943A-4832-9AAA-D86E0321710F}"/>
    <cellStyle name="Shade 2 3 2 19" xfId="9556" xr:uid="{9D5E75A3-293C-4D3C-B767-1B9CF74C0FDB}"/>
    <cellStyle name="Shade 2 3 2 2" xfId="837" xr:uid="{28646B67-6634-4A8B-A55C-A7760EA577E6}"/>
    <cellStyle name="Shade 2 3 2 2 10" xfId="5485" xr:uid="{3537BF07-AA32-4E7E-BA4C-B72D8713653D}"/>
    <cellStyle name="Shade 2 3 2 2 11" xfId="4961" xr:uid="{E3F3978A-E865-49FB-AA5B-762D0CCEB26A}"/>
    <cellStyle name="Shade 2 3 2 2 12" xfId="2030" xr:uid="{23C55846-E657-4A60-84DD-042092A56204}"/>
    <cellStyle name="Shade 2 3 2 2 13" xfId="6338" xr:uid="{A6EEE4E5-7DE1-457E-866A-95B1553AF5FF}"/>
    <cellStyle name="Shade 2 3 2 2 14" xfId="7557" xr:uid="{1A14B601-80E8-41D8-BCE6-43E3E9F967FA}"/>
    <cellStyle name="Shade 2 3 2 2 15" xfId="7919" xr:uid="{34D0AB4A-E55D-48AE-B2F9-3A737EC40E0D}"/>
    <cellStyle name="Shade 2 3 2 2 16" xfId="7852" xr:uid="{DB4A1877-20A7-4430-8B56-58C75FDA42E2}"/>
    <cellStyle name="Shade 2 3 2 2 17" xfId="6910" xr:uid="{395C020E-69DB-476A-8931-FDB2A5D99523}"/>
    <cellStyle name="Shade 2 3 2 2 18" xfId="9771" xr:uid="{C0521A90-2F27-46B4-B63F-63B4A02E0599}"/>
    <cellStyle name="Shade 2 3 2 2 19" xfId="10133" xr:uid="{CCF52CC8-F920-41C5-8767-6F55AE416937}"/>
    <cellStyle name="Shade 2 3 2 2 2" xfId="1311" xr:uid="{6A6C3661-8D77-454E-A425-09DE937FC7CE}"/>
    <cellStyle name="Shade 2 3 2 2 20" xfId="10543" xr:uid="{F730244D-2030-4CB2-BA6E-CBA0B7D26ED2}"/>
    <cellStyle name="Shade 2 3 2 2 21" xfId="10326" xr:uid="{30FD75CF-2D0F-40E0-9AC1-E6143FE717A2}"/>
    <cellStyle name="Shade 2 3 2 2 22" xfId="11271" xr:uid="{23DF7B5F-AF5E-4AB4-BD5B-D43B50CC54E0}"/>
    <cellStyle name="Shade 2 3 2 2 23" xfId="12190" xr:uid="{509A2132-DCAF-46E6-8E1E-BAA7D68775C9}"/>
    <cellStyle name="Shade 2 3 2 2 24" xfId="12663" xr:uid="{71A86105-DE42-4BE3-9C35-045D4253758B}"/>
    <cellStyle name="Shade 2 3 2 2 25" xfId="13097" xr:uid="{167E9FF3-587A-4809-91C0-D0CF1FA7F022}"/>
    <cellStyle name="Shade 2 3 2 2 26" xfId="13534" xr:uid="{1F149B54-806B-4362-9675-A7D5767067C0}"/>
    <cellStyle name="Shade 2 3 2 2 27" xfId="13175" xr:uid="{595B5FD5-2FF8-40A8-BA6B-4273E1E76EE8}"/>
    <cellStyle name="Shade 2 3 2 2 28" xfId="13729" xr:uid="{A02FE319-C514-45A9-BDC3-7282290DE9D4}"/>
    <cellStyle name="Shade 2 3 2 2 29" xfId="14782" xr:uid="{198EAE70-64D4-4744-83AD-02E7C66F0F89}"/>
    <cellStyle name="Shade 2 3 2 2 3" xfId="1760" xr:uid="{AF7D528D-2843-458F-83A9-D7027448F74D}"/>
    <cellStyle name="Shade 2 3 2 2 30" xfId="15021" xr:uid="{E911ED63-7D91-4DE3-9472-ECD906440001}"/>
    <cellStyle name="Shade 2 3 2 2 31" xfId="14625" xr:uid="{D34BF55B-F651-460D-811F-685D28D56EB1}"/>
    <cellStyle name="Shade 2 3 2 2 32" xfId="15927" xr:uid="{B2CA03AC-3DEC-4D1C-9F50-3BD28FF93E6B}"/>
    <cellStyle name="Shade 2 3 2 2 33" xfId="16882" xr:uid="{1AFDB904-C806-478B-A802-B46FADD4001D}"/>
    <cellStyle name="Shade 2 3 2 2 34" xfId="17252" xr:uid="{AD44AFE2-3EDE-49CD-BF30-DE1D6CC1FDBC}"/>
    <cellStyle name="Shade 2 3 2 2 35" xfId="17696" xr:uid="{177EA29C-1E8A-4FE0-80AE-8E897CF9AB5F}"/>
    <cellStyle name="Shade 2 3 2 2 36" xfId="17893" xr:uid="{F3EB4DEC-C8CA-4A64-820E-CAD8798A7A60}"/>
    <cellStyle name="Shade 2 3 2 2 37" xfId="18700" xr:uid="{C9362E3A-6847-48D3-8B7A-8C4C830A8F58}"/>
    <cellStyle name="Shade 2 3 2 2 38" xfId="16478" xr:uid="{75CAD61D-7B23-4C79-8850-C9A17BC3AA84}"/>
    <cellStyle name="Shade 2 3 2 2 39" xfId="18230" xr:uid="{175F579E-3C0C-4D48-B48A-2227B0E1ED7C}"/>
    <cellStyle name="Shade 2 3 2 2 4" xfId="2659" xr:uid="{7F6A767B-0ED3-47EA-A53F-50DA3509190C}"/>
    <cellStyle name="Shade 2 3 2 2 40" xfId="20219" xr:uid="{4C1E7CF0-D56B-4803-A105-B2F1F342BAEE}"/>
    <cellStyle name="Shade 2 3 2 2 41" xfId="20602" xr:uid="{3C823705-E92D-427B-9236-D90727CEE92E}"/>
    <cellStyle name="Shade 2 3 2 2 42" xfId="21057" xr:uid="{7D2229C8-4B2B-4688-9236-DB154CE831D3}"/>
    <cellStyle name="Shade 2 3 2 2 43" xfId="21596" xr:uid="{265F2854-CAB1-4D8D-B4C6-E5A9A2B0A97E}"/>
    <cellStyle name="Shade 2 3 2 2 44" xfId="21988" xr:uid="{3ABBA959-DC13-42BD-9AC6-C450561890D6}"/>
    <cellStyle name="Shade 2 3 2 2 45" xfId="22419" xr:uid="{BBCD1F80-C6AD-4C07-BE3F-320B85375DAC}"/>
    <cellStyle name="Shade 2 3 2 2 46" xfId="22558" xr:uid="{553C5F6B-EE29-4247-A9D3-CD55304C8DBB}"/>
    <cellStyle name="Shade 2 3 2 2 47" xfId="22559" xr:uid="{4863DF1E-F67D-48F0-9D48-84F99BD3C978}"/>
    <cellStyle name="Shade 2 3 2 2 48" xfId="22640" xr:uid="{8224B6E6-19A8-433A-9D71-0BE745BC361C}"/>
    <cellStyle name="Shade 2 3 2 2 49" xfId="24019" xr:uid="{6D0BA4DC-1ACD-4176-80C2-352422F89C11}"/>
    <cellStyle name="Shade 2 3 2 2 5" xfId="2288" xr:uid="{9B79973E-F6E3-4825-8E60-9FB03A44AFE3}"/>
    <cellStyle name="Shade 2 3 2 2 50" xfId="24927" xr:uid="{15244D0E-329A-4471-9370-6D3C18F80DA4}"/>
    <cellStyle name="Shade 2 3 2 2 51" xfId="25311" xr:uid="{589E7453-358B-4C90-A153-A2C7733EA839}"/>
    <cellStyle name="Shade 2 3 2 2 52" xfId="25843" xr:uid="{0F455744-30D6-4259-B614-EF80D73288EF}"/>
    <cellStyle name="Shade 2 3 2 2 53" xfId="25165" xr:uid="{247DB421-0A9C-4536-B0C8-1B600B6F3B13}"/>
    <cellStyle name="Shade 2 3 2 2 54" xfId="26666" xr:uid="{59BDC81C-748E-4B1C-9C61-9A3EA32A70FA}"/>
    <cellStyle name="Shade 2 3 2 2 55" xfId="27131" xr:uid="{609DE480-3B77-44EE-A5A2-F944EF0E4C29}"/>
    <cellStyle name="Shade 2 3 2 2 56" xfId="27550" xr:uid="{943E7C21-3772-4B3E-ADA1-EB4AE4BABD86}"/>
    <cellStyle name="Shade 2 3 2 2 57" xfId="27748" xr:uid="{CBC64449-1E42-4D82-AB37-5CA2A434FFA4}"/>
    <cellStyle name="Shade 2 3 2 2 58" xfId="28677" xr:uid="{1F12F5D2-B7CB-4235-8F22-DAB78186A3AA}"/>
    <cellStyle name="Shade 2 3 2 2 59" xfId="29144" xr:uid="{D0FC9B40-DBEE-4F54-B30E-5735B708185D}"/>
    <cellStyle name="Shade 2 3 2 2 6" xfId="3445" xr:uid="{8B4C38D8-4C92-4A0F-8FF8-313D090798FF}"/>
    <cellStyle name="Shade 2 3 2 2 60" xfId="29433" xr:uid="{6F66BDE1-FB7E-43B7-BA6C-3E0B24447874}"/>
    <cellStyle name="Shade 2 3 2 2 61" xfId="29933" xr:uid="{29268408-35E3-408C-B148-B3E9102E87FE}"/>
    <cellStyle name="Shade 2 3 2 2 62" xfId="30339" xr:uid="{E7E30221-4B98-402E-AE00-612865C73245}"/>
    <cellStyle name="Shade 2 3 2 2 63" xfId="30756" xr:uid="{B4374C03-53A7-41F5-A05C-F3707ACA8335}"/>
    <cellStyle name="Shade 2 3 2 2 64" xfId="28042" xr:uid="{9B3FEA4A-91D3-456A-8FA9-1E0BA32FFE82}"/>
    <cellStyle name="Shade 2 3 2 2 65" xfId="31372" xr:uid="{A8E6E9B2-751B-4DE1-A289-D4753C0E9EC8}"/>
    <cellStyle name="Shade 2 3 2 2 7" xfId="4155" xr:uid="{6FF3E70A-6A4F-44D9-A236-95CDD5BB0D68}"/>
    <cellStyle name="Shade 2 3 2 2 8" xfId="4592" xr:uid="{15FD348E-CA85-4E53-85FB-25DD06A71DF1}"/>
    <cellStyle name="Shade 2 3 2 2 9" xfId="3076" xr:uid="{709D92AA-DA7F-4DCC-A0D2-9212CC9D8FC2}"/>
    <cellStyle name="Shade 2 3 2 20" xfId="9376" xr:uid="{6E7C4C51-652E-4800-8AAB-A85947FBBDE2}"/>
    <cellStyle name="Shade 2 3 2 21" xfId="10072" xr:uid="{F36199CC-D04B-4BBF-9C3D-A521148C7AC4}"/>
    <cellStyle name="Shade 2 3 2 22" xfId="10852" xr:uid="{71D6D19C-46DC-4F9A-AE32-57BAE252F7CA}"/>
    <cellStyle name="Shade 2 3 2 23" xfId="10952" xr:uid="{CC64666B-08F2-4485-B3C7-F37AFEADF8B1}"/>
    <cellStyle name="Shade 2 3 2 24" xfId="11975" xr:uid="{886A1286-7E8B-4CB2-B2BA-FD74F8E04CBA}"/>
    <cellStyle name="Shade 2 3 2 25" xfId="12448" xr:uid="{177AEE3D-256A-45E9-B8B5-EC6D5FB67EBF}"/>
    <cellStyle name="Shade 2 3 2 26" xfId="12882" xr:uid="{5910BDF9-245C-4BE2-B9D6-7C8EC1DCE376}"/>
    <cellStyle name="Shade 2 3 2 27" xfId="13319" xr:uid="{42C74A4D-FC63-454B-8998-B516C0E78491}"/>
    <cellStyle name="Shade 2 3 2 28" xfId="13686" xr:uid="{EC513BBC-4A41-401A-8858-FE605568D1D8}"/>
    <cellStyle name="Shade 2 3 2 29" xfId="14258" xr:uid="{84341C01-1242-4463-BA74-D56903DDC54E}"/>
    <cellStyle name="Shade 2 3 2 3" xfId="1105" xr:uid="{05507614-A412-4B9C-8D74-80EF66FE76B0}"/>
    <cellStyle name="Shade 2 3 2 30" xfId="13673" xr:uid="{F32030F5-1E9D-4996-8AFB-88719C23FCA3}"/>
    <cellStyle name="Shade 2 3 2 31" xfId="15227" xr:uid="{A5B554CB-119A-4F83-B770-FC2BD25352BF}"/>
    <cellStyle name="Shade 2 3 2 32" xfId="15445" xr:uid="{B7490865-84FB-48A1-95A1-E9089ED852C9}"/>
    <cellStyle name="Shade 2 3 2 33" xfId="13744" xr:uid="{A063AB38-5A7A-4AE2-9642-F1740A2F550D}"/>
    <cellStyle name="Shade 2 3 2 34" xfId="16667" xr:uid="{853219A4-FDF6-4447-8CD2-817E50F28357}"/>
    <cellStyle name="Shade 2 3 2 35" xfId="16482" xr:uid="{90CCDF43-0BE4-4B13-A9C2-AFD799713DF7}"/>
    <cellStyle name="Shade 2 3 2 36" xfId="17189" xr:uid="{AFA65B5B-3329-46FE-ADBE-6C1F6770DB86}"/>
    <cellStyle name="Shade 2 3 2 37" xfId="17987" xr:uid="{6F0D6EA6-B2E8-4A60-A5A8-88FC471DEC97}"/>
    <cellStyle name="Shade 2 3 2 38" xfId="18485" xr:uid="{5E94D871-EFEE-4E21-8EEF-8100AE5AD208}"/>
    <cellStyle name="Shade 2 3 2 39" xfId="18911" xr:uid="{D6ED6D11-E192-4D97-84E8-B07181EEB20E}"/>
    <cellStyle name="Shade 2 3 2 4" xfId="1579" xr:uid="{4C65000B-ED8F-488E-AD7D-F135B3D1DD4C}"/>
    <cellStyle name="Shade 2 3 2 40" xfId="19198" xr:uid="{E723E5E1-9849-4B23-BF4E-229F1F9826EC}"/>
    <cellStyle name="Shade 2 3 2 41" xfId="20004" xr:uid="{A40F446D-AC8D-4C02-96C2-7F3C7A139578}"/>
    <cellStyle name="Shade 2 3 2 42" xfId="19818" xr:uid="{73F8848B-A163-4FA0-A208-0605A3CFE549}"/>
    <cellStyle name="Shade 2 3 2 43" xfId="20273" xr:uid="{9ABEFE18-6C25-4C0D-88A7-0F9285F09077}"/>
    <cellStyle name="Shade 2 3 2 44" xfId="21295" xr:uid="{4A3C88DD-53D2-4BE2-BE48-4EF732610E68}"/>
    <cellStyle name="Shade 2 3 2 45" xfId="21497" xr:uid="{09619F65-0058-4519-9EC8-00ADC1F6FD9B}"/>
    <cellStyle name="Shade 2 3 2 46" xfId="20293" xr:uid="{42827B55-8BD8-4B85-BF85-5E9B25BD2162}"/>
    <cellStyle name="Shade 2 3 2 47" xfId="22685" xr:uid="{EF287DFF-FC17-442B-880E-7BCFA4871C8B}"/>
    <cellStyle name="Shade 2 3 2 48" xfId="23190" xr:uid="{18F189C2-7CD2-40C9-BCB1-78FA29F1277C}"/>
    <cellStyle name="Shade 2 3 2 49" xfId="23570" xr:uid="{5C74620F-2560-42C1-A979-38ED70E64F48}"/>
    <cellStyle name="Shade 2 3 2 5" xfId="2444" xr:uid="{8956678E-71A6-4EEE-88A9-AB301689A628}"/>
    <cellStyle name="Shade 2 3 2 50" xfId="23813" xr:uid="{97602776-9011-4028-8A4C-DDCEC4B7DBAF}"/>
    <cellStyle name="Shade 2 3 2 51" xfId="24712" xr:uid="{1A42A8D7-06CE-4A07-B6B9-FC288F03F185}"/>
    <cellStyle name="Shade 2 3 2 52" xfId="24529" xr:uid="{8769D418-14FE-4512-96EB-4D08390F6264}"/>
    <cellStyle name="Shade 2 3 2 53" xfId="25630" xr:uid="{A0A5E435-8B59-4B32-89C0-10914D9A3CE0}"/>
    <cellStyle name="Shade 2 3 2 54" xfId="25989" xr:uid="{C22BA31C-94AE-4581-BB51-44FEBEE5CE15}"/>
    <cellStyle name="Shade 2 3 2 55" xfId="26720" xr:uid="{322F32F4-3DF6-47AC-BE68-40B746CA304F}"/>
    <cellStyle name="Shade 2 3 2 56" xfId="26920" xr:uid="{50D0C3CD-624B-487F-9F72-25CDFB9F3951}"/>
    <cellStyle name="Shade 2 3 2 57" xfId="27339" xr:uid="{733EA8D5-959D-4BE7-875F-9E60BA1D9D08}"/>
    <cellStyle name="Shade 2 3 2 58" xfId="27644" xr:uid="{D3FBB0A1-B016-4426-879E-6D102B2CBDEB}"/>
    <cellStyle name="Shade 2 3 2 59" xfId="28462" xr:uid="{03671EF8-E95F-4621-909D-1B0AAB9A630D}"/>
    <cellStyle name="Shade 2 3 2 6" xfId="2851" xr:uid="{39ADFE2C-F747-4A4E-9E26-E2464B0E0D7D}"/>
    <cellStyle name="Shade 2 3 2 60" xfId="28930" xr:uid="{BA455F23-7ED4-4B2F-8D02-065FA55D98BE}"/>
    <cellStyle name="Shade 2 3 2 61" xfId="28083" xr:uid="{DC625661-B59A-4DE9-B22A-7C3A89917EBE}"/>
    <cellStyle name="Shade 2 3 2 62" xfId="29720" xr:uid="{B4C557BE-2E9D-4FD5-A1B6-7ABDAF4A4277}"/>
    <cellStyle name="Shade 2 3 2 63" xfId="30128" xr:uid="{D2D65601-BD01-4A27-B9B0-AFDF72E57517}"/>
    <cellStyle name="Shade 2 3 2 64" xfId="30542" xr:uid="{BC3317C0-6221-43B1-B11D-96B9693DF1D0}"/>
    <cellStyle name="Shade 2 3 2 65" xfId="30870" xr:uid="{8F6FA02F-D4BC-40AC-A460-2739D530A7DC}"/>
    <cellStyle name="Shade 2 3 2 66" xfId="31166" xr:uid="{0BC9D78B-83D0-4C90-B959-05B37240EF54}"/>
    <cellStyle name="Shade 2 3 2 7" xfId="2917" xr:uid="{C6BA2DCF-A9B6-4A2F-9E0D-59E88D4C9AFD}"/>
    <cellStyle name="Shade 2 3 2 8" xfId="3940" xr:uid="{9F40FB5A-B69D-4A1E-9C47-D3EBF95AD019}"/>
    <cellStyle name="Shade 2 3 2 9" xfId="4378" xr:uid="{9523FA40-7E03-4151-86D0-F72ACCB8BA97}"/>
    <cellStyle name="Shade 2 3 20" xfId="7734" xr:uid="{D8A4CFEB-B2D6-47A7-AB95-B0BCB6E04046}"/>
    <cellStyle name="Shade 2 3 21" xfId="9228" xr:uid="{6880A94A-9590-4B1A-8730-7AC6AF900C6D}"/>
    <cellStyle name="Shade 2 3 22" xfId="9845" xr:uid="{A965F54F-FC98-43C8-8C18-98202F7C439C}"/>
    <cellStyle name="Shade 2 3 23" xfId="9865" xr:uid="{5E32F40C-BB2E-40BA-BFDB-EE63E18437CA}"/>
    <cellStyle name="Shade 2 3 24" xfId="10863" xr:uid="{37646244-9B27-494B-BCD6-318E3E83693D}"/>
    <cellStyle name="Shade 2 3 25" xfId="11228" xr:uid="{676B99D0-F0C2-4453-B8EA-B4D83FEF6697}"/>
    <cellStyle name="Shade 2 3 26" xfId="11641" xr:uid="{C9C820D3-F88D-4524-A290-9EBBD568D91A}"/>
    <cellStyle name="Shade 2 3 27" xfId="11762" xr:uid="{94AD3DFA-E8D6-453E-B8B9-F937E0AEBFAD}"/>
    <cellStyle name="Shade 2 3 28" xfId="11661" xr:uid="{B4067898-F0FC-43A3-903A-F0403BBBE18B}"/>
    <cellStyle name="Shade 2 3 29" xfId="11549" xr:uid="{258E2C99-E87B-42DF-B67E-BC9AC951F04F}"/>
    <cellStyle name="Shade 2 3 3" xfId="651" xr:uid="{982CB720-0FA0-41A8-B92A-1551991AFA19}"/>
    <cellStyle name="Shade 2 3 3 10" xfId="5026" xr:uid="{9DDA6819-AFC5-4639-A921-80248E6FDC43}"/>
    <cellStyle name="Shade 2 3 3 11" xfId="5299" xr:uid="{7C2506F4-8DD9-43B8-98A3-DC20B912CDC4}"/>
    <cellStyle name="Shade 2 3 3 12" xfId="5771" xr:uid="{B3A801AC-811F-4F13-9EC9-F321D97B9727}"/>
    <cellStyle name="Shade 2 3 3 13" xfId="6207" xr:uid="{4EE068DD-61D6-466D-AB1A-F53938CDB62E}"/>
    <cellStyle name="Shade 2 3 3 14" xfId="6655" xr:uid="{084C2F2B-C83A-4DB3-A4D8-6E23CB6CBBE1}"/>
    <cellStyle name="Shade 2 3 3 15" xfId="7371" xr:uid="{93DB6B90-9F30-4724-A41D-82CBC5FE86A0}"/>
    <cellStyle name="Shade 2 3 3 16" xfId="6751" xr:uid="{FE3F43B6-14F1-4D58-879B-FC421BFFB737}"/>
    <cellStyle name="Shade 2 3 3 17" xfId="8350" xr:uid="{A989AF69-6BA3-4677-9CD8-82546972B28D}"/>
    <cellStyle name="Shade 2 3 3 18" xfId="8692" xr:uid="{1361AC0E-6CC3-4E81-9A75-F1A765F4B8BC}"/>
    <cellStyle name="Shade 2 3 3 19" xfId="9585" xr:uid="{D0BC01A7-5DCC-45C4-8CA1-C260AE36557F}"/>
    <cellStyle name="Shade 2 3 3 2" xfId="866" xr:uid="{F3644CB4-BCA6-4575-B09D-DEF74D7C7D9C}"/>
    <cellStyle name="Shade 2 3 3 2 10" xfId="5514" xr:uid="{09311B18-8FB7-46F9-AD60-C7348A632FBB}"/>
    <cellStyle name="Shade 2 3 3 2 11" xfId="5835" xr:uid="{CC90B0B3-3EA2-4C00-9CFE-E3B93A42CDE4}"/>
    <cellStyle name="Shade 2 3 3 2 12" xfId="5692" xr:uid="{370011C8-270F-40D6-B7E1-057F546297D0}"/>
    <cellStyle name="Shade 2 3 3 2 13" xfId="6442" xr:uid="{0FD60850-F009-48F8-A7FE-35B3E2B2FEF3}"/>
    <cellStyle name="Shade 2 3 3 2 14" xfId="7586" xr:uid="{0A848DFB-325F-458C-9CC4-7171CDB20ABC}"/>
    <cellStyle name="Shade 2 3 3 2 15" xfId="7229" xr:uid="{E4C34EBF-7A82-40AD-ACAF-2F604900E999}"/>
    <cellStyle name="Shade 2 3 3 2 16" xfId="8542" xr:uid="{70ABF9C9-4CB9-47AD-B9F6-D7A03818F0F3}"/>
    <cellStyle name="Shade 2 3 3 2 17" xfId="6870" xr:uid="{4B7760DF-84CD-4BE3-9215-960B2B9F9D1B}"/>
    <cellStyle name="Shade 2 3 3 2 18" xfId="9800" xr:uid="{96F4A5E5-445C-43AE-B43C-139690B5359B}"/>
    <cellStyle name="Shade 2 3 3 2 19" xfId="9825" xr:uid="{EAD28E43-7925-4922-AC0A-991C9A6D6B82}"/>
    <cellStyle name="Shade 2 3 3 2 2" xfId="1340" xr:uid="{1958CF68-551C-4600-8F83-B08071B275C6}"/>
    <cellStyle name="Shade 2 3 3 2 20" xfId="9260" xr:uid="{6BA843BA-662F-4150-B312-E84896AFA5CE}"/>
    <cellStyle name="Shade 2 3 3 2 21" xfId="10303" xr:uid="{7C02DF72-20BE-4C6D-9239-283EA24A3968}"/>
    <cellStyle name="Shade 2 3 3 2 22" xfId="11238" xr:uid="{EB3B67CB-F978-496F-ACA2-1C419BC5060F}"/>
    <cellStyle name="Shade 2 3 3 2 23" xfId="12219" xr:uid="{CA9D40F8-72F7-4A3E-90D3-D7BFCD88DE7C}"/>
    <cellStyle name="Shade 2 3 3 2 24" xfId="12692" xr:uid="{064C7A35-7ACF-4ECF-ACA1-523B30DC0808}"/>
    <cellStyle name="Shade 2 3 3 2 25" xfId="13126" xr:uid="{B521349B-F7F0-47A5-B6D0-A4313774981F}"/>
    <cellStyle name="Shade 2 3 3 2 26" xfId="13563" xr:uid="{17116129-9DA2-40DA-91B0-140A445A0A4E}"/>
    <cellStyle name="Shade 2 3 3 2 27" xfId="11556" xr:uid="{26213D1D-7519-42EB-9142-80787B6CF39B}"/>
    <cellStyle name="Shade 2 3 3 2 28" xfId="14482" xr:uid="{0643D310-C6D6-4286-8A50-C47F8BF0DB99}"/>
    <cellStyle name="Shade 2 3 3 2 29" xfId="14139" xr:uid="{573A44EC-19DB-496A-BCCA-BBC9CBFED29A}"/>
    <cellStyle name="Shade 2 3 3 2 3" xfId="1789" xr:uid="{657FE14C-CA52-4217-8971-CB19630D9734}"/>
    <cellStyle name="Shade 2 3 3 2 30" xfId="14370" xr:uid="{E993C955-1DAF-4DD2-B01F-34A0DD37778F}"/>
    <cellStyle name="Shade 2 3 3 2 31" xfId="15576" xr:uid="{C6CE989B-A37C-491B-BF88-82AEA8B9B895}"/>
    <cellStyle name="Shade 2 3 3 2 32" xfId="15130" xr:uid="{630F235B-13A8-42A9-96B4-958F0BF22BBB}"/>
    <cellStyle name="Shade 2 3 3 2 33" xfId="16911" xr:uid="{78BCBABB-5D7E-40A6-9E83-20FD2A7A38B6}"/>
    <cellStyle name="Shade 2 3 3 2 34" xfId="16554" xr:uid="{10FCC35A-D509-469D-B9DC-05CAFE3C64A4}"/>
    <cellStyle name="Shade 2 3 3 2 35" xfId="16369" xr:uid="{105A9D8D-9215-4FF4-A327-A5F25F8E300B}"/>
    <cellStyle name="Shade 2 3 3 2 36" xfId="16349" xr:uid="{0D31FBD1-406D-41A7-8809-003E83197E06}"/>
    <cellStyle name="Shade 2 3 3 2 37" xfId="18729" xr:uid="{72A4C2BE-3067-42DC-91AA-FDD1594CDFCA}"/>
    <cellStyle name="Shade 2 3 3 2 38" xfId="17583" xr:uid="{C9428899-8B4B-4012-BFE1-BDF047A30B36}"/>
    <cellStyle name="Shade 2 3 3 2 39" xfId="19005" xr:uid="{86AAAA5B-537E-4B65-9FAB-30ED1A9C152D}"/>
    <cellStyle name="Shade 2 3 3 2 4" xfId="2688" xr:uid="{18DF15BB-7C7B-4BDC-9AF8-CB31C3F91A41}"/>
    <cellStyle name="Shade 2 3 3 2 40" xfId="20248" xr:uid="{0E8415C2-9A56-4905-9FAE-16895BE15CA0}"/>
    <cellStyle name="Shade 2 3 3 2 41" xfId="19799" xr:uid="{3367554A-7F3B-4BCC-8A78-C041F06394CF}"/>
    <cellStyle name="Shade 2 3 3 2 42" xfId="19840" xr:uid="{A5B34CDB-04CC-41A7-945E-E0CBE2E0ED0C}"/>
    <cellStyle name="Shade 2 3 3 2 43" xfId="21267" xr:uid="{D2EB8056-9FC2-4180-9006-5740359970D7}"/>
    <cellStyle name="Shade 2 3 3 2 44" xfId="20697" xr:uid="{37AD8E58-C6E1-478F-A655-30EC6FB7ADC8}"/>
    <cellStyle name="Shade 2 3 3 2 45" xfId="21723" xr:uid="{6E246E66-B096-4452-B2C3-939B6C76E6FC}"/>
    <cellStyle name="Shade 2 3 3 2 46" xfId="20997" xr:uid="{535AC995-0505-40A1-AECF-19357C11E7F6}"/>
    <cellStyle name="Shade 2 3 3 2 47" xfId="22303" xr:uid="{E5514E2B-3777-4ADB-A786-418EF483C5F3}"/>
    <cellStyle name="Shade 2 3 3 2 48" xfId="20834" xr:uid="{89819D7F-8F7D-4B0B-9873-8A591905F072}"/>
    <cellStyle name="Shade 2 3 3 2 49" xfId="24048" xr:uid="{36587724-C03D-49A2-B2AD-151A4F682CF1}"/>
    <cellStyle name="Shade 2 3 3 2 5" xfId="1937" xr:uid="{FD4A21FB-7458-4BFB-AAE5-5D67EA9354B3}"/>
    <cellStyle name="Shade 2 3 3 2 50" xfId="24956" xr:uid="{51584260-0A6F-40AD-9584-6319891D691F}"/>
    <cellStyle name="Shade 2 3 3 2 51" xfId="24236" xr:uid="{5E288F09-0C6C-4396-AE67-CB867CD26CCE}"/>
    <cellStyle name="Shade 2 3 3 2 52" xfId="25872" xr:uid="{5DAD4F57-6488-4141-8892-71380538406F}"/>
    <cellStyle name="Shade 2 3 3 2 53" xfId="25908" xr:uid="{151940D0-B1C9-42CC-9F97-8A6DA591A435}"/>
    <cellStyle name="Shade 2 3 3 2 54" xfId="26739" xr:uid="{7FBA8101-441B-4541-AF7D-9171DF222C2D}"/>
    <cellStyle name="Shade 2 3 3 2 55" xfId="27160" xr:uid="{D8D030E0-61D8-487B-A8AE-A80D7AF06AE0}"/>
    <cellStyle name="Shade 2 3 3 2 56" xfId="27579" xr:uid="{6430B6A3-8209-4F37-947D-B0597F6D5DFA}"/>
    <cellStyle name="Shade 2 3 3 2 57" xfId="26018" xr:uid="{37F632B3-A72B-407F-B1CB-E6D0DDC28F35}"/>
    <cellStyle name="Shade 2 3 3 2 58" xfId="28706" xr:uid="{DE7EF70E-57E0-4DB4-801B-6C8C85CD93D7}"/>
    <cellStyle name="Shade 2 3 3 2 59" xfId="29173" xr:uid="{75D13378-7C51-4AAC-B09D-96346D555D78}"/>
    <cellStyle name="Shade 2 3 3 2 6" xfId="3173" xr:uid="{0AB03DE1-6D95-4FB1-B503-F861BB872610}"/>
    <cellStyle name="Shade 2 3 3 2 60" xfId="28306" xr:uid="{FD1BC1BD-2FBA-47B2-A0E1-89E9AD82B244}"/>
    <cellStyle name="Shade 2 3 3 2 61" xfId="29962" xr:uid="{D8676FD4-DE10-46B7-8E23-946F204378EB}"/>
    <cellStyle name="Shade 2 3 3 2 62" xfId="30368" xr:uid="{1446439C-0B2B-4310-B323-65F95DF6CE65}"/>
    <cellStyle name="Shade 2 3 3 2 63" xfId="30785" xr:uid="{88219DC6-4922-4923-8D72-34752AD7A57E}"/>
    <cellStyle name="Shade 2 3 3 2 64" xfId="31030" xr:uid="{C28C8153-BD6C-4194-9341-2D39DAE79AA7}"/>
    <cellStyle name="Shade 2 3 3 2 65" xfId="31401" xr:uid="{1CD70EED-ED62-418C-BB96-D7846ED16C31}"/>
    <cellStyle name="Shade 2 3 3 2 7" xfId="4184" xr:uid="{C4961D40-BB0C-4392-985D-2F963A32018A}"/>
    <cellStyle name="Shade 2 3 3 2 8" xfId="4621" xr:uid="{7E55FE11-1109-4E3E-A3F8-943E67CB3B8D}"/>
    <cellStyle name="Shade 2 3 3 2 9" xfId="5067" xr:uid="{7D027CA6-3D79-44CA-B7BA-9FF198A4BAC6}"/>
    <cellStyle name="Shade 2 3 3 20" xfId="8963" xr:uid="{52CEEB9D-830C-4D08-9276-2BE663B1A630}"/>
    <cellStyle name="Shade 2 3 3 21" xfId="10075" xr:uid="{5E7EFB77-5C97-467B-8089-2C3D020979DC}"/>
    <cellStyle name="Shade 2 3 3 22" xfId="10962" xr:uid="{43963713-BC59-4B14-925F-46C8D8FBCF66}"/>
    <cellStyle name="Shade 2 3 3 23" xfId="11100" xr:uid="{EF688F23-409C-4CB9-869C-CFF837E7311D}"/>
    <cellStyle name="Shade 2 3 3 24" xfId="12004" xr:uid="{F2812323-7D78-44DB-A96E-8C999CA8D217}"/>
    <cellStyle name="Shade 2 3 3 25" xfId="12477" xr:uid="{01B7F197-F377-4C74-A24C-7C65F4C91840}"/>
    <cellStyle name="Shade 2 3 3 26" xfId="12911" xr:uid="{9ADF66E4-A29C-45C7-B7E0-FC6553015064}"/>
    <cellStyle name="Shade 2 3 3 27" xfId="13348" xr:uid="{E4AAEACB-4902-4A68-B569-57CD66392971}"/>
    <cellStyle name="Shade 2 3 3 28" xfId="11786" xr:uid="{AD756CB6-B15E-437A-9602-D49225C38357}"/>
    <cellStyle name="Shade 2 3 3 29" xfId="14240" xr:uid="{1E06C265-7114-4BCB-9C4D-71FDB8D8D456}"/>
    <cellStyle name="Shade 2 3 3 3" xfId="1134" xr:uid="{3C606E92-9A0D-4161-92C2-3B9DA0F90AC8}"/>
    <cellStyle name="Shade 2 3 3 30" xfId="13708" xr:uid="{E9BB4291-526E-4B08-87E8-EE87C348375C}"/>
    <cellStyle name="Shade 2 3 3 31" xfId="14602" xr:uid="{25F986E6-779E-4682-8165-22C9B7F7B787}"/>
    <cellStyle name="Shade 2 3 3 32" xfId="14537" xr:uid="{B79EC5F5-4A8F-4A40-AC4E-E2DDE176DAD4}"/>
    <cellStyle name="Shade 2 3 3 33" xfId="15598" xr:uid="{28C1A6CB-4724-44D7-94F4-31C7175AEEB7}"/>
    <cellStyle name="Shade 2 3 3 34" xfId="16696" xr:uid="{B5ED0C12-589C-4C8A-9FCF-AEE493BD245E}"/>
    <cellStyle name="Shade 2 3 3 35" xfId="16060" xr:uid="{040608E4-81FE-4AA1-BC30-5811832E1B06}"/>
    <cellStyle name="Shade 2 3 3 36" xfId="17192" xr:uid="{FB6AFE08-6572-492C-85B7-AC873538560C}"/>
    <cellStyle name="Shade 2 3 3 37" xfId="17996" xr:uid="{9A7064F2-7A6F-4A93-A219-FFBB6AC36CDD}"/>
    <cellStyle name="Shade 2 3 3 38" xfId="18514" xr:uid="{E95F482A-0FDD-43A0-B589-1445DCCC729C}"/>
    <cellStyle name="Shade 2 3 3 39" xfId="18766" xr:uid="{21311E7F-B760-4452-BC53-300074D955BE}"/>
    <cellStyle name="Shade 2 3 3 4" xfId="1412" xr:uid="{5E5FA7AF-4B2E-469B-86D0-09DD5D5BBB7F}"/>
    <cellStyle name="Shade 2 3 3 40" xfId="18838" xr:uid="{A94159D8-62B2-48A5-B126-95202E5C41A3}"/>
    <cellStyle name="Shade 2 3 3 41" xfId="20033" xr:uid="{D50EA19A-A501-4B2A-B0E9-103284C5EEC2}"/>
    <cellStyle name="Shade 2 3 3 42" xfId="19393" xr:uid="{97C1025C-7BC9-4FBD-A647-B82FBAE76BEC}"/>
    <cellStyle name="Shade 2 3 3 43" xfId="20685" xr:uid="{3C6B10B9-4A50-4190-B15A-62D30CF8F1D4}"/>
    <cellStyle name="Shade 2 3 3 44" xfId="20379" xr:uid="{F943CDF3-8B69-4B71-8672-DAF17B30CC4F}"/>
    <cellStyle name="Shade 2 3 3 45" xfId="19473" xr:uid="{F9C44BA3-C017-4559-8E1A-247CA84BCAF2}"/>
    <cellStyle name="Shade 2 3 3 46" xfId="22107" xr:uid="{83BF6F2D-9743-42B2-8EE6-355265A7E8AA}"/>
    <cellStyle name="Shade 2 3 3 47" xfId="22163" xr:uid="{91823C1C-2EEA-4AB7-9077-E02156F58132}"/>
    <cellStyle name="Shade 2 3 3 48" xfId="23034" xr:uid="{E46FFA5A-4ADF-4D69-9D44-302E2263349F}"/>
    <cellStyle name="Shade 2 3 3 49" xfId="23520" xr:uid="{7C9A2BA8-A61D-445F-AC0B-97985490F067}"/>
    <cellStyle name="Shade 2 3 3 5" xfId="2473" xr:uid="{42EE0231-1914-4427-9573-00FDEF462906}"/>
    <cellStyle name="Shade 2 3 3 50" xfId="23842" xr:uid="{2C2D513A-0395-4C07-9A6F-5421C7CCDD88}"/>
    <cellStyle name="Shade 2 3 3 51" xfId="24741" xr:uid="{7089846B-D441-4C1E-84E3-A53A8E007729}"/>
    <cellStyle name="Shade 2 3 3 52" xfId="24118" xr:uid="{454461D5-64FF-4208-B651-0FFBF6EDEA25}"/>
    <cellStyle name="Shade 2 3 3 53" xfId="25659" xr:uid="{4D0B2E17-0848-4E71-86A4-EC3D76ACED12}"/>
    <cellStyle name="Shade 2 3 3 54" xfId="25112" xr:uid="{B98796A1-0518-4A75-B250-E82CE82BBB08}"/>
    <cellStyle name="Shade 2 3 3 55" xfId="24316" xr:uid="{53F928A4-2605-4737-A95B-D8AA746D2F6E}"/>
    <cellStyle name="Shade 2 3 3 56" xfId="26949" xr:uid="{48DB9754-D86C-44BD-A603-58852AFE438F}"/>
    <cellStyle name="Shade 2 3 3 57" xfId="27368" xr:uid="{F6D1E083-8F1A-4B72-A1D1-35926073D723}"/>
    <cellStyle name="Shade 2 3 3 58" xfId="27730" xr:uid="{424424DF-491D-41E3-8D22-AF7DDCCE12AC}"/>
    <cellStyle name="Shade 2 3 3 59" xfId="28491" xr:uid="{A424CEC8-8F95-452F-A038-0ABB7E9BCCC0}"/>
    <cellStyle name="Shade 2 3 3 6" xfId="1832" xr:uid="{2ECE47D1-A697-4D4B-A589-EBF991B984E8}"/>
    <cellStyle name="Shade 2 3 3 60" xfId="28959" xr:uid="{06E7B6D5-D50B-479C-9564-3BBDFE3DEA7A}"/>
    <cellStyle name="Shade 2 3 3 61" xfId="28255" xr:uid="{C9D4A643-6342-4A10-88B9-A9FFA02854CD}"/>
    <cellStyle name="Shade 2 3 3 62" xfId="29749" xr:uid="{29C689EA-3C94-4E3D-85B5-C28990C45115}"/>
    <cellStyle name="Shade 2 3 3 63" xfId="30157" xr:uid="{0C279E9A-9072-406A-BF78-6A3BDD4E08E0}"/>
    <cellStyle name="Shade 2 3 3 64" xfId="30571" xr:uid="{9E8F3D5B-3423-4BA6-ABFB-70EC83FA62A5}"/>
    <cellStyle name="Shade 2 3 3 65" xfId="30974" xr:uid="{522EB48A-17DB-4655-9A25-19AA898F7A18}"/>
    <cellStyle name="Shade 2 3 3 66" xfId="31195" xr:uid="{E96206DC-7235-43B4-83BE-07B4D5E4B256}"/>
    <cellStyle name="Shade 2 3 3 7" xfId="3539" xr:uid="{3DC69D64-DA24-4A57-88A1-64DF841A1E8B}"/>
    <cellStyle name="Shade 2 3 3 8" xfId="3969" xr:uid="{B783866C-31D9-4586-AABD-CA088796147D}"/>
    <cellStyle name="Shade 2 3 3 9" xfId="4407" xr:uid="{6AB338F7-57C2-4D0B-B0E6-BA6EDE855FBD}"/>
    <cellStyle name="Shade 2 3 30" xfId="11489" xr:uid="{49859C4A-1C89-4FCD-BB3F-FFB7A4C52019}"/>
    <cellStyle name="Shade 2 3 31" xfId="12299" xr:uid="{44C7A5B5-9027-44DF-A36F-59024FF8E335}"/>
    <cellStyle name="Shade 2 3 32" xfId="13883" xr:uid="{F90CF10F-F486-4F41-9D35-E5BBBE77BB5F}"/>
    <cellStyle name="Shade 2 3 33" xfId="15263" xr:uid="{A43D79A8-308D-4F0A-AD07-B9B9A4D79FA5}"/>
    <cellStyle name="Shade 2 3 34" xfId="15193" xr:uid="{DC8C038B-D51D-4344-9FE0-4FDAA084CB0A}"/>
    <cellStyle name="Shade 2 3 35" xfId="15459" xr:uid="{9DE85D12-9017-4791-A978-D450F5D6D719}"/>
    <cellStyle name="Shade 2 3 36" xfId="16336" xr:uid="{7E970F9A-845D-4558-AB34-6705C7E1165C}"/>
    <cellStyle name="Shade 2 3 37" xfId="16961" xr:uid="{5CD75274-8FEA-48EE-BB31-E2B5FE50375D}"/>
    <cellStyle name="Shade 2 3 38" xfId="16477" xr:uid="{EB7287FF-7D8B-4686-B7E8-A835E6D58BFA}"/>
    <cellStyle name="Shade 2 3 39" xfId="17783" xr:uid="{27B81730-F940-4380-BB00-F1719F444167}"/>
    <cellStyle name="Shade 2 3 4" xfId="565" xr:uid="{5A8B2FB8-2F84-46F7-BD32-24F7C26E37F8}"/>
    <cellStyle name="Shade 2 3 4 10" xfId="4840" xr:uid="{4277A89B-FCA9-4819-92C2-0A932EE84278}"/>
    <cellStyle name="Shade 2 3 4 11" xfId="5213" xr:uid="{7128DB0D-2A12-4D79-BFF6-EE92305DA5ED}"/>
    <cellStyle name="Shade 2 3 4 12" xfId="5696" xr:uid="{9208023C-9A54-444E-8014-7709CEB30F98}"/>
    <cellStyle name="Shade 2 3 4 13" xfId="5693" xr:uid="{AB5F36A1-36A5-40C5-8F81-ED6AA8F9F0FD}"/>
    <cellStyle name="Shade 2 3 4 14" xfId="6642" xr:uid="{1A827535-5717-4139-A2F3-A69798DC000F}"/>
    <cellStyle name="Shade 2 3 4 15" xfId="7285" xr:uid="{4D482FDC-DD5D-4044-BC00-712403B8EA48}"/>
    <cellStyle name="Shade 2 3 4 16" xfId="7715" xr:uid="{146C442B-A04D-4FD8-B5D5-21442986ECF3}"/>
    <cellStyle name="Shade 2 3 4 17" xfId="8318" xr:uid="{421AF245-8BA5-421F-9F0C-7EF2509B37EA}"/>
    <cellStyle name="Shade 2 3 4 18" xfId="8888" xr:uid="{6002307F-2FB4-4DDE-BDB6-79A9757C496E}"/>
    <cellStyle name="Shade 2 3 4 19" xfId="9499" xr:uid="{8602BF91-1803-441F-B0C4-678F85F8111E}"/>
    <cellStyle name="Shade 2 3 4 2" xfId="780" xr:uid="{870FAF4E-36B6-4876-BE56-6A7EAC43A0E2}"/>
    <cellStyle name="Shade 2 3 4 2 10" xfId="5428" xr:uid="{1DB39061-99C8-40DC-B9F6-0B2071F310D0}"/>
    <cellStyle name="Shade 2 3 4 2 11" xfId="4929" xr:uid="{DFD8AEF8-A137-4074-A5A3-BC5B00E95F6D}"/>
    <cellStyle name="Shade 2 3 4 2 12" xfId="5969" xr:uid="{A7D4623C-370D-4B27-8169-CF75807E6101}"/>
    <cellStyle name="Shade 2 3 4 2 13" xfId="6498" xr:uid="{0B9117DB-FCD6-47EE-9A25-7CB9DB2BE092}"/>
    <cellStyle name="Shade 2 3 4 2 14" xfId="7500" xr:uid="{84636A19-53AC-40BE-B8E4-E26CEAB23C87}"/>
    <cellStyle name="Shade 2 3 4 2 15" xfId="6824" xr:uid="{672578F5-00C1-494C-914B-B104183F9A9E}"/>
    <cellStyle name="Shade 2 3 4 2 16" xfId="7625" xr:uid="{39A80E1D-0201-4A96-8CB4-AC11654A355C}"/>
    <cellStyle name="Shade 2 3 4 2 17" xfId="7690" xr:uid="{3B425D0B-95CE-419F-A719-1F1261279D20}"/>
    <cellStyle name="Shade 2 3 4 2 18" xfId="9714" xr:uid="{CC98B172-1B3B-4A22-ADD8-A661F3166D4F}"/>
    <cellStyle name="Shade 2 3 4 2 19" xfId="9041" xr:uid="{8FD0B812-1DED-44CF-AE41-13D8715E4506}"/>
    <cellStyle name="Shade 2 3 4 2 2" xfId="1254" xr:uid="{6C1CDF9E-4352-45E2-8AA2-EF138E2C2D75}"/>
    <cellStyle name="Shade 2 3 4 2 20" xfId="9262" xr:uid="{8DE856E8-0A73-4344-83C0-DA3EC7BC8EA2}"/>
    <cellStyle name="Shade 2 3 4 2 21" xfId="10384" xr:uid="{26F802ED-5EC5-42AC-B24F-4F32E20F60D1}"/>
    <cellStyle name="Shade 2 3 4 2 22" xfId="10516" xr:uid="{8DB1C291-E1FE-4CAA-8D1B-601AC2729952}"/>
    <cellStyle name="Shade 2 3 4 2 23" xfId="12133" xr:uid="{73094645-30EB-4FC1-B675-137FB45D1B5F}"/>
    <cellStyle name="Shade 2 3 4 2 24" xfId="12606" xr:uid="{D70D4723-6838-4B4D-91DD-A4C738C17E89}"/>
    <cellStyle name="Shade 2 3 4 2 25" xfId="13040" xr:uid="{D6E0504C-D83D-4A5B-98FA-61D56BBC77C3}"/>
    <cellStyle name="Shade 2 3 4 2 26" xfId="13477" xr:uid="{57C27D53-A597-4D0A-86FE-102072355B3D}"/>
    <cellStyle name="Shade 2 3 4 2 27" xfId="12252" xr:uid="{EB6CD522-4872-4733-B008-68BA159CA924}"/>
    <cellStyle name="Shade 2 3 4 2 28" xfId="14380" xr:uid="{83D7EB52-9CB5-4E53-B3F1-2B6A73FF91E7}"/>
    <cellStyle name="Shade 2 3 4 2 29" xfId="14223" xr:uid="{D8F953BB-80A4-46AD-889D-4CDB93355FAC}"/>
    <cellStyle name="Shade 2 3 4 2 3" xfId="1480" xr:uid="{CF3EE04B-6E20-48A2-B5D3-B8B604738BD4}"/>
    <cellStyle name="Shade 2 3 4 2 30" xfId="14981" xr:uid="{218555A2-167D-4B83-B5FD-5D4EF2FE9AF8}"/>
    <cellStyle name="Shade 2 3 4 2 31" xfId="15411" xr:uid="{87D5491F-8F1A-4E0F-8E48-D3F5CF6CBE2D}"/>
    <cellStyle name="Shade 2 3 4 2 32" xfId="15591" xr:uid="{30ACC83B-82C6-4EFE-A431-39B11594F50A}"/>
    <cellStyle name="Shade 2 3 4 2 33" xfId="16825" xr:uid="{6B545623-0B95-4287-A12D-844E9E8CBEA5}"/>
    <cellStyle name="Shade 2 3 4 2 34" xfId="16137" xr:uid="{DCCE0CE2-C41F-4334-A66B-D10DB52152E8}"/>
    <cellStyle name="Shade 2 3 4 2 35" xfId="17005" xr:uid="{70A2640A-EA7B-4A48-A9A1-56E992686F14}"/>
    <cellStyle name="Shade 2 3 4 2 36" xfId="18241" xr:uid="{0D5DBF8F-8ED0-4190-99FE-3385574778E7}"/>
    <cellStyle name="Shade 2 3 4 2 37" xfId="18643" xr:uid="{EB26B2FA-A5C6-412D-991C-20D55FB0C29A}"/>
    <cellStyle name="Shade 2 3 4 2 38" xfId="17233" xr:uid="{AAF02BA2-B9D9-4E76-919A-24F850198873}"/>
    <cellStyle name="Shade 2 3 4 2 39" xfId="18285" xr:uid="{C3659044-B03D-4C02-A7F4-D5910A5423D9}"/>
    <cellStyle name="Shade 2 3 4 2 4" xfId="2602" xr:uid="{3043096F-EC7F-427D-AAA3-8B474074CF27}"/>
    <cellStyle name="Shade 2 3 4 2 40" xfId="20162" xr:uid="{8B3CE92A-F548-4698-BDBB-81DE35B9A5C2}"/>
    <cellStyle name="Shade 2 3 4 2 41" xfId="19586" xr:uid="{90BFB515-A2C7-429D-8417-CC898AEF3964}"/>
    <cellStyle name="Shade 2 3 4 2 42" xfId="20633" xr:uid="{EBDAF8E5-444E-4178-8228-5EFA6B8E17C5}"/>
    <cellStyle name="Shade 2 3 4 2 43" xfId="21288" xr:uid="{2E304140-EC67-4D52-B254-1076F719547A}"/>
    <cellStyle name="Shade 2 3 4 2 44" xfId="20850" xr:uid="{D7F9B010-798B-444C-AC1C-2656297BABD4}"/>
    <cellStyle name="Shade 2 3 4 2 45" xfId="21622" xr:uid="{DF3E522C-53AE-41E8-81BE-1DFE07D06708}"/>
    <cellStyle name="Shade 2 3 4 2 46" xfId="22116" xr:uid="{92ED4101-4F5E-4D6A-BC0B-36BA283DA5D9}"/>
    <cellStyle name="Shade 2 3 4 2 47" xfId="21767" xr:uid="{926F3B22-CD7F-4D27-8C33-5169ABFBD5AA}"/>
    <cellStyle name="Shade 2 3 4 2 48" xfId="23148" xr:uid="{21BD6ABF-4391-44CA-AD00-D32F7836318D}"/>
    <cellStyle name="Shade 2 3 4 2 49" xfId="23962" xr:uid="{526EC1C8-4575-41A6-BE4C-18721862D712}"/>
    <cellStyle name="Shade 2 3 4 2 5" xfId="2036" xr:uid="{9242CB2C-DF5A-4EE3-8FB2-68257B53D4A2}"/>
    <cellStyle name="Shade 2 3 4 2 50" xfId="24870" xr:uid="{35F77D16-5C36-4F11-B956-B5528D977F4A}"/>
    <cellStyle name="Shade 2 3 4 2 51" xfId="24351" xr:uid="{65FB7C5A-23E0-4419-AD06-8C356FA5F163}"/>
    <cellStyle name="Shade 2 3 4 2 52" xfId="25786" xr:uid="{6D7433A1-8EA8-4018-BB8B-2D22B8D71BE3}"/>
    <cellStyle name="Shade 2 3 4 2 53" xfId="24140" xr:uid="{958E7682-AFBF-4308-AF05-3E9B0555F943}"/>
    <cellStyle name="Shade 2 3 4 2 54" xfId="26477" xr:uid="{DC4E8A8C-D54B-43BB-A341-928BDF536014}"/>
    <cellStyle name="Shade 2 3 4 2 55" xfId="27074" xr:uid="{100A65AD-9F80-4496-A29D-851A9EBCB33C}"/>
    <cellStyle name="Shade 2 3 4 2 56" xfId="27493" xr:uid="{669A91F4-9B15-4821-88EE-F9B6BFB03933}"/>
    <cellStyle name="Shade 2 3 4 2 57" xfId="24319" xr:uid="{CB938337-B0A9-4B8E-A6A3-53DF57FED098}"/>
    <cellStyle name="Shade 2 3 4 2 58" xfId="28620" xr:uid="{7DFFB996-29D7-4646-B50C-E8FEFA87782F}"/>
    <cellStyle name="Shade 2 3 4 2 59" xfId="29087" xr:uid="{B4FD5AE6-472D-4B67-9F94-A75A99F917E8}"/>
    <cellStyle name="Shade 2 3 4 2 6" xfId="2175" xr:uid="{2A361E28-EF2A-4025-99DA-5F1E578681F9}"/>
    <cellStyle name="Shade 2 3 4 2 60" xfId="27983" xr:uid="{FEF3A10F-E82F-444F-ABD0-F3A8C6FF42A0}"/>
    <cellStyle name="Shade 2 3 4 2 61" xfId="29876" xr:uid="{16515823-FED4-4B2F-9A8B-90E77B70F4D2}"/>
    <cellStyle name="Shade 2 3 4 2 62" xfId="30282" xr:uid="{2AD73F55-D0E2-4D5D-A584-41CE419D1632}"/>
    <cellStyle name="Shade 2 3 4 2 63" xfId="30699" xr:uid="{239FDF23-8661-4C0F-93F6-4C71D9762EBC}"/>
    <cellStyle name="Shade 2 3 4 2 64" xfId="29231" xr:uid="{C2358405-5D2A-42FA-9478-DAB79987083D}"/>
    <cellStyle name="Shade 2 3 4 2 65" xfId="31315" xr:uid="{2961C81B-0C47-48FB-A4E6-DE3209466852}"/>
    <cellStyle name="Shade 2 3 4 2 7" xfId="4098" xr:uid="{F8E1A905-F531-4597-8378-1B68EFF02B70}"/>
    <cellStyle name="Shade 2 3 4 2 8" xfId="4535" xr:uid="{84D749A0-F3B9-4CD0-A99A-DD3C46C164E2}"/>
    <cellStyle name="Shade 2 3 4 2 9" xfId="4844" xr:uid="{02637EF9-DB56-49BE-8192-5D3EB9FCD422}"/>
    <cellStyle name="Shade 2 3 4 20" xfId="9929" xr:uid="{59F7DA1F-220F-4326-8BDE-9856F93CE820}"/>
    <cellStyle name="Shade 2 3 4 21" xfId="10360" xr:uid="{07B7BBCB-7375-4ED0-B447-97F3EAA6F71E}"/>
    <cellStyle name="Shade 2 3 4 22" xfId="10902" xr:uid="{DEF84164-7858-4246-BBBF-0697DEB48589}"/>
    <cellStyle name="Shade 2 3 4 23" xfId="10692" xr:uid="{897AE345-2BB9-475A-ABF3-975434DC46C3}"/>
    <cellStyle name="Shade 2 3 4 24" xfId="11918" xr:uid="{D739BC11-AC32-472D-B350-7259176E028B}"/>
    <cellStyle name="Shade 2 3 4 25" xfId="12391" xr:uid="{1A85A9D8-616C-427E-8397-B16B2B4442DF}"/>
    <cellStyle name="Shade 2 3 4 26" xfId="12825" xr:uid="{DD1A1357-B092-42D1-8E3B-9D2572C46D30}"/>
    <cellStyle name="Shade 2 3 4 27" xfId="13262" xr:uid="{0B4392F4-BDDC-4B36-9000-263E25501CF2}"/>
    <cellStyle name="Shade 2 3 4 28" xfId="13676" xr:uid="{8855D66D-F99A-4844-82F0-F7BC99E8CE44}"/>
    <cellStyle name="Shade 2 3 4 29" xfId="14437" xr:uid="{1F51FB7C-2A23-487E-ABB0-90B7BEC7E1F6}"/>
    <cellStyle name="Shade 2 3 4 3" xfId="1048" xr:uid="{F4CE9589-D9D7-48FC-9F36-8C8A2E1AC04F}"/>
    <cellStyle name="Shade 2 3 4 30" xfId="14692" xr:uid="{0E6C511A-3A15-4207-A545-27F79A4045FB}"/>
    <cellStyle name="Shade 2 3 4 31" xfId="14510" xr:uid="{7B665F45-9F45-468F-ACA2-70CD7AE0B5BF}"/>
    <cellStyle name="Shade 2 3 4 32" xfId="15633" xr:uid="{F5B98895-3D31-4D21-8382-CD072E5F652D}"/>
    <cellStyle name="Shade 2 3 4 33" xfId="15817" xr:uid="{B77290B3-9EBD-4C76-9232-12EEF864E459}"/>
    <cellStyle name="Shade 2 3 4 34" xfId="16610" xr:uid="{9F9D6A8B-C2AE-4834-BCA8-484EC6D2BC42}"/>
    <cellStyle name="Shade 2 3 4 35" xfId="17043" xr:uid="{316D808B-C411-46B7-A32C-675B58F8D84B}"/>
    <cellStyle name="Shade 2 3 4 36" xfId="17491" xr:uid="{CDCE776E-3157-45EF-A7CE-72DFB5B1AB76}"/>
    <cellStyle name="Shade 2 3 4 37" xfId="18161" xr:uid="{75348A59-6BEE-49DF-841F-F99322C9D2D2}"/>
    <cellStyle name="Shade 2 3 4 38" xfId="18428" xr:uid="{780B5F11-9F26-43A3-96DA-9953C3460028}"/>
    <cellStyle name="Shade 2 3 4 39" xfId="18954" xr:uid="{7988C0C5-D870-4139-9D6E-37F14F948DAA}"/>
    <cellStyle name="Shade 2 3 4 4" xfId="1675" xr:uid="{42AF38EB-045A-44A4-829C-D5C3ADDA29C7}"/>
    <cellStyle name="Shade 2 3 4 40" xfId="19200" xr:uid="{2288A35A-D107-4C83-861A-10B2FDB1EB42}"/>
    <cellStyle name="Shade 2 3 4 41" xfId="19947" xr:uid="{68445B78-78C7-4B0F-A771-B5FE5D880E58}"/>
    <cellStyle name="Shade 2 3 4 42" xfId="20395" xr:uid="{2B015ADA-AFA0-4833-9E3B-9860CEB4ACBD}"/>
    <cellStyle name="Shade 2 3 4 43" xfId="20848" xr:uid="{3A26D685-2515-4883-9F84-8B44414DCA58}"/>
    <cellStyle name="Shade 2 3 4 44" xfId="19887" xr:uid="{78EFFC85-2E5D-4A06-AEE7-794FA0430522}"/>
    <cellStyle name="Shade 2 3 4 45" xfId="21781" xr:uid="{45EDAF64-BF93-4C9D-905D-BA45A40F5298}"/>
    <cellStyle name="Shade 2 3 4 46" xfId="22218" xr:uid="{8CBD42F3-B5C1-4868-AE23-FE51B21A2786}"/>
    <cellStyle name="Shade 2 3 4 47" xfId="22677" xr:uid="{6527A9BC-02EB-482E-8E1A-2B6897F7699D}"/>
    <cellStyle name="Shade 2 3 4 48" xfId="23241" xr:uid="{D8AFB7D8-547A-4522-AA31-7511FA06CCC9}"/>
    <cellStyle name="Shade 2 3 4 49" xfId="23470" xr:uid="{F4D22A40-77BF-4F86-9EA8-A82788CA7820}"/>
    <cellStyle name="Shade 2 3 4 5" xfId="2387" xr:uid="{20FD4BD6-D2F5-427C-BFB1-F11F41F21C3E}"/>
    <cellStyle name="Shade 2 3 4 50" xfId="23756" xr:uid="{F2FCF3DB-441F-4D81-9FD0-3DFB0472C162}"/>
    <cellStyle name="Shade 2 3 4 51" xfId="24655" xr:uid="{4B0DB60C-3760-4309-8EE1-1E312B1F852C}"/>
    <cellStyle name="Shade 2 3 4 52" xfId="25105" xr:uid="{3553BD47-C34E-43EF-87D6-E43C26783F23}"/>
    <cellStyle name="Shade 2 3 4 53" xfId="25573" xr:uid="{8ECD0321-D6FD-46DD-9F85-2EB980E5485E}"/>
    <cellStyle name="Shade 2 3 4 54" xfId="25981" xr:uid="{CA0B0AD7-A110-4657-9672-3D8FA3E853BD}"/>
    <cellStyle name="Shade 2 3 4 55" xfId="25980" xr:uid="{88212B34-AE0F-4637-8A8C-3425293188E4}"/>
    <cellStyle name="Shade 2 3 4 56" xfId="26863" xr:uid="{2A78A5D8-0B95-4971-A6D8-33F81CB48776}"/>
    <cellStyle name="Shade 2 3 4 57" xfId="27282" xr:uid="{345D2BDA-E021-4897-B7E1-6BBD85FE4049}"/>
    <cellStyle name="Shade 2 3 4 58" xfId="27718" xr:uid="{BCB123E5-C7CF-468F-B2AD-77838991C4A0}"/>
    <cellStyle name="Shade 2 3 4 59" xfId="28405" xr:uid="{0BBA6D5A-7BCC-476A-962E-CE557AD57312}"/>
    <cellStyle name="Shade 2 3 4 6" xfId="2842" xr:uid="{7E6452D3-8B53-408C-883D-365A48471880}"/>
    <cellStyle name="Shade 2 3 4 60" xfId="28873" xr:uid="{590865C0-D953-41DA-90A4-E774B9094E47}"/>
    <cellStyle name="Shade 2 3 4 61" xfId="29259" xr:uid="{37A8715A-AC24-4049-872A-79F2370E3F23}"/>
    <cellStyle name="Shade 2 3 4 62" xfId="29663" xr:uid="{C5FEB0EA-324D-4629-8CA3-0972CF736C90}"/>
    <cellStyle name="Shade 2 3 4 63" xfId="30071" xr:uid="{72B67996-4EA5-491A-8FFF-A6B207F36AE7}"/>
    <cellStyle name="Shade 2 3 4 64" xfId="30485" xr:uid="{ECD3373C-042B-481A-87BF-8E4188A8AE07}"/>
    <cellStyle name="Shade 2 3 4 65" xfId="28231" xr:uid="{00E58418-9616-4C90-86F8-20A9A82520AE}"/>
    <cellStyle name="Shade 2 3 4 66" xfId="31109" xr:uid="{D1F8D95D-BC29-4BE8-9456-CD192B70EDC2}"/>
    <cellStyle name="Shade 2 3 4 7" xfId="3665" xr:uid="{6D6270EC-74AA-4576-AD44-AC76826385AC}"/>
    <cellStyle name="Shade 2 3 4 8" xfId="3883" xr:uid="{ADD5416F-45D3-4FB6-A9F0-B8F9B58E58FC}"/>
    <cellStyle name="Shade 2 3 4 9" xfId="4321" xr:uid="{039CBABE-A42A-4846-B447-9D9A8FEE251B}"/>
    <cellStyle name="Shade 2 3 40" xfId="18279" xr:uid="{BC3E1BDA-0B03-431B-B8B9-B8FE3EC3E4ED}"/>
    <cellStyle name="Shade 2 3 41" xfId="18903" xr:uid="{1039C000-7C16-4C75-A51A-2E7EDA9F548C}"/>
    <cellStyle name="Shade 2 3 42" xfId="18225" xr:uid="{3A8D21ED-0E05-4C49-8585-6C5A60DF8C6A}"/>
    <cellStyle name="Shade 2 3 43" xfId="19669" xr:uid="{7F790987-205A-4D66-BBCC-3CC7E822F2FC}"/>
    <cellStyle name="Shade 2 3 44" xfId="20308" xr:uid="{E15BE6F5-CC9C-4054-A41A-7696DFDF04FC}"/>
    <cellStyle name="Shade 2 3 45" xfId="19402" xr:uid="{41B5B9AA-9848-4444-8A67-4EA0B07FF883}"/>
    <cellStyle name="Shade 2 3 46" xfId="21436" xr:uid="{FC1FAA29-2DD0-4D71-8822-E10893C14D66}"/>
    <cellStyle name="Shade 2 3 47" xfId="21386" xr:uid="{EEB72B02-57A0-4B18-9BD9-8CD07869AC45}"/>
    <cellStyle name="Shade 2 3 48" xfId="21641" xr:uid="{6EF6AC49-56F9-4089-920F-24E3FC3386AB}"/>
    <cellStyle name="Shade 2 3 49" xfId="22174" xr:uid="{83775FA3-D260-4C17-8D73-9766D39E6641}"/>
    <cellStyle name="Shade 2 3 5" xfId="960" xr:uid="{5D5C02C2-1E4E-4CAE-9F41-DE8FA474D230}"/>
    <cellStyle name="Shade 2 3 50" xfId="23179" xr:uid="{088BCD10-5EC3-4211-BF86-5B9FBD5769E2}"/>
    <cellStyle name="Shade 2 3 51" xfId="23571" xr:uid="{3703EC1C-4C58-4490-8F89-FD30EDA1DB2B}"/>
    <cellStyle name="Shade 2 3 52" xfId="23455" xr:uid="{8B1C69DE-ABAE-4C78-B756-B6DA6808B22F}"/>
    <cellStyle name="Shade 2 3 53" xfId="24389" xr:uid="{C818301F-83AE-4C8A-AE56-267A0F211B52}"/>
    <cellStyle name="Shade 2 3 54" xfId="25024" xr:uid="{383FB266-C9B7-4993-B9A1-4AE5C2C41EC3}"/>
    <cellStyle name="Shade 2 3 55" xfId="25010" xr:uid="{A60F5284-E438-42A3-BBCF-A178B82BA75B}"/>
    <cellStyle name="Shade 2 3 56" xfId="25333" xr:uid="{7067AF0D-4F26-4601-AA16-129353D9A189}"/>
    <cellStyle name="Shade 2 3 57" xfId="25163" xr:uid="{3649B2D7-71CD-496C-BD98-ACE612EC2AF5}"/>
    <cellStyle name="Shade 2 3 58" xfId="26725" xr:uid="{163922B7-1163-424F-8B20-BF70DF9147C7}"/>
    <cellStyle name="Shade 2 3 59" xfId="26664" xr:uid="{97F85446-8D6E-46FD-A4EB-50D5602E0CC2}"/>
    <cellStyle name="Shade 2 3 6" xfId="1382" xr:uid="{5B00B547-BEBE-4FB1-B8C3-26C45BCA7292}"/>
    <cellStyle name="Shade 2 3 60" xfId="26294" xr:uid="{280C824B-8BCD-46A3-86F6-AC1116625423}"/>
    <cellStyle name="Shade 2 3 61" xfId="28160" xr:uid="{372E44F3-B84D-4AD2-87DA-11BEF928203E}"/>
    <cellStyle name="Shade 2 3 62" xfId="28261" xr:uid="{DA3B1FAE-43CC-47AB-8D1E-FA8F8EA45254}"/>
    <cellStyle name="Shade 2 3 63" xfId="28538" xr:uid="{106FEAFE-A7F3-4DE0-8335-4697718C744D}"/>
    <cellStyle name="Shade 2 3 64" xfId="29211" xr:uid="{1E40A4D7-2910-4F21-890D-EC1A35D0EFB5}"/>
    <cellStyle name="Shade 2 3 65" xfId="28124" xr:uid="{105A97A9-C230-4360-A478-95BC81CB8DAF}"/>
    <cellStyle name="Shade 2 3 66" xfId="28061" xr:uid="{DBD72813-3C73-472E-8BC8-86905B3F8E4E}"/>
    <cellStyle name="Shade 2 3 67" xfId="29457" xr:uid="{379C2EEA-7FD7-4684-8485-D4B4C3B014E0}"/>
    <cellStyle name="Shade 2 3 68" xfId="29278" xr:uid="{40BB14CD-EAEC-4508-BED0-159E8600E419}"/>
    <cellStyle name="Shade 2 3 7" xfId="2109" xr:uid="{4F567EF6-C0EC-48D9-B32E-3C2DEF83FE80}"/>
    <cellStyle name="Shade 2 3 8" xfId="2720" xr:uid="{5A72BC90-F2CE-4C56-AE83-88A19B079522}"/>
    <cellStyle name="Shade 2 3 9" xfId="2817" xr:uid="{348284EE-934C-4AC0-AF2C-C8EC4530300A}"/>
    <cellStyle name="Shade 3" xfId="436" xr:uid="{87BE24B7-0321-4A02-AB38-CA18B087514C}"/>
    <cellStyle name="Shade 3 2" xfId="576" xr:uid="{DDB14559-3E82-49BF-891C-72DBB00BC8B7}"/>
    <cellStyle name="Shade 3 2 10" xfId="4952" xr:uid="{95EF7102-843B-4393-9B79-181EAC0A02E6}"/>
    <cellStyle name="Shade 3 2 11" xfId="5224" xr:uid="{F48DDC2B-7466-4684-8E14-EE1A32D0F7C2}"/>
    <cellStyle name="Shade 3 2 12" xfId="5998" xr:uid="{D4A3A9A2-9233-4DBB-8670-73683B5AD70E}"/>
    <cellStyle name="Shade 3 2 13" xfId="6360" xr:uid="{9EDAD72B-D79F-4153-88FC-1A028043111A}"/>
    <cellStyle name="Shade 3 2 14" xfId="6508" xr:uid="{CC279528-95D9-41AF-A21F-C205540ECAD8}"/>
    <cellStyle name="Shade 3 2 15" xfId="7296" xr:uid="{7DE3EAE1-09AB-469D-BC3D-37AAAACC8364}"/>
    <cellStyle name="Shade 3 2 16" xfId="7020" xr:uid="{21DEAD37-1A0F-4AD2-911E-0FB3FFE5EBAF}"/>
    <cellStyle name="Shade 3 2 17" xfId="6942" xr:uid="{4AC4A7FF-13DF-4996-A017-D2D34FEFB645}"/>
    <cellStyle name="Shade 3 2 18" xfId="8642" xr:uid="{DE037509-A117-4E97-BF21-AC66725C5E0E}"/>
    <cellStyle name="Shade 3 2 19" xfId="9510" xr:uid="{E1E345BC-4376-45EE-81A1-6B3321F6145C}"/>
    <cellStyle name="Shade 3 2 2" xfId="791" xr:uid="{55347467-3273-4DBC-83C9-6C60A62C7A11}"/>
    <cellStyle name="Shade 3 2 2 10" xfId="5439" xr:uid="{4B93ABF1-72A7-4FA6-BB31-CFD6E0C2F2B7}"/>
    <cellStyle name="Shade 3 2 2 11" xfId="2984" xr:uid="{5DEFC5B8-E759-45EE-BA1B-1BE6C8B7CF02}"/>
    <cellStyle name="Shade 3 2 2 12" xfId="5987" xr:uid="{1414B203-5D90-4520-8F24-52AD4237E2F3}"/>
    <cellStyle name="Shade 3 2 2 13" xfId="6680" xr:uid="{79264452-37A5-4910-8154-9B6A0A62D0AC}"/>
    <cellStyle name="Shade 3 2 2 14" xfId="7511" xr:uid="{AFB63B15-72A0-46FB-927C-8447447E1F5E}"/>
    <cellStyle name="Shade 3 2 2 15" xfId="6730" xr:uid="{96D0C4AF-AC70-4079-8F15-176CFD50686D}"/>
    <cellStyle name="Shade 3 2 2 16" xfId="8570" xr:uid="{536FAE66-D75D-4343-AAF7-24DEF7F49063}"/>
    <cellStyle name="Shade 3 2 2 17" xfId="8784" xr:uid="{40E2E19D-658D-4AFD-A857-72BD7079588E}"/>
    <cellStyle name="Shade 3 2 2 18" xfId="9725" xr:uid="{E222934B-5BC5-4597-99FB-E0E62A48F198}"/>
    <cellStyle name="Shade 3 2 2 19" xfId="8943" xr:uid="{6E479F2A-046C-4414-BE20-455500EEB39C}"/>
    <cellStyle name="Shade 3 2 2 2" xfId="1265" xr:uid="{9AFF9EDB-6737-48EC-92AA-0B461191F339}"/>
    <cellStyle name="Shade 3 2 2 20" xfId="10115" xr:uid="{185E0D2D-021A-49B0-AD5F-5B4E7579669C}"/>
    <cellStyle name="Shade 3 2 2 21" xfId="10584" xr:uid="{9EE96438-94A5-4837-8E55-A78480AF1880}"/>
    <cellStyle name="Shade 3 2 2 22" xfId="11297" xr:uid="{23779ACF-97F7-430D-95A6-56CFE3ECDBBE}"/>
    <cellStyle name="Shade 3 2 2 23" xfId="12144" xr:uid="{7643536F-4B8F-49F8-80C1-9D286D1F93D1}"/>
    <cellStyle name="Shade 3 2 2 24" xfId="12617" xr:uid="{8065D4D8-C782-4DD3-B141-A5419962C325}"/>
    <cellStyle name="Shade 3 2 2 25" xfId="13051" xr:uid="{C3C06BD1-16A6-4D5E-B1BD-F59158D967AA}"/>
    <cellStyle name="Shade 3 2 2 26" xfId="13488" xr:uid="{FE48C984-808D-4477-964A-AFCF0DC7EEC7}"/>
    <cellStyle name="Shade 3 2 2 27" xfId="13624" xr:uid="{726BFB7D-E01F-4EF8-9760-5DBE962624B0}"/>
    <cellStyle name="Shade 3 2 2 28" xfId="13979" xr:uid="{8B4217C5-0559-4264-A1A8-8098247ADCBE}"/>
    <cellStyle name="Shade 3 2 2 29" xfId="14212" xr:uid="{1CB13259-03DA-4902-A0B4-B208A2516C69}"/>
    <cellStyle name="Shade 3 2 2 3" xfId="1559" xr:uid="{844C4E62-5B04-45F0-88C1-E2C50043CB2F}"/>
    <cellStyle name="Shade 3 2 2 30" xfId="14608" xr:uid="{614C4E2E-48FF-4934-96F5-9558F6FF6412}"/>
    <cellStyle name="Shade 3 2 2 31" xfId="15732" xr:uid="{F279B000-27FA-4C89-AEEE-FE1A3AE24392}"/>
    <cellStyle name="Shade 3 2 2 32" xfId="15739" xr:uid="{3637B170-3D50-416D-84F0-8530D76F75AD}"/>
    <cellStyle name="Shade 3 2 2 33" xfId="16836" xr:uid="{9D7D4D93-8B65-4548-BF7A-024444A3BB4B}"/>
    <cellStyle name="Shade 3 2 2 34" xfId="16038" xr:uid="{99E8A92F-167C-43EA-94E7-C3FE5251DE7E}"/>
    <cellStyle name="Shade 3 2 2 35" xfId="17234" xr:uid="{4ED229B9-0E29-48F3-B315-031E131B60E4}"/>
    <cellStyle name="Shade 3 2 2 36" xfId="17096" xr:uid="{44A3CAA1-9031-4AF5-AD65-0A8857C1E87B}"/>
    <cellStyle name="Shade 3 2 2 37" xfId="18654" xr:uid="{9C87BAC9-8DCC-4291-8FFA-0689FFE8E48A}"/>
    <cellStyle name="Shade 3 2 2 38" xfId="18846" xr:uid="{0D003BA0-9985-4FD4-AE17-4F8F5E6BE7CE}"/>
    <cellStyle name="Shade 3 2 2 39" xfId="19176" xr:uid="{33F7AE12-E25D-439C-860D-1252748B0C08}"/>
    <cellStyle name="Shade 3 2 2 4" xfId="2613" xr:uid="{F5C20AD6-FC16-4238-8CAB-D2B06082EDC8}"/>
    <cellStyle name="Shade 3 2 2 40" xfId="20173" xr:uid="{80FE053F-3DF7-4222-8334-DC4C2F0654BF}"/>
    <cellStyle name="Shade 3 2 2 41" xfId="19371" xr:uid="{DD2C53A8-F6E1-448E-83DE-43F764B245FD}"/>
    <cellStyle name="Shade 3 2 2 42" xfId="20584" xr:uid="{890CFC77-83A8-4935-9544-A543B39FCFFC}"/>
    <cellStyle name="Shade 3 2 2 43" xfId="21265" xr:uid="{D7892A76-4A54-40AF-A996-69261AF6B11B}"/>
    <cellStyle name="Shade 3 2 2 44" xfId="21557" xr:uid="{B1EA4E82-2C42-47E4-9BBC-A3DD73CCEF9D}"/>
    <cellStyle name="Shade 3 2 2 45" xfId="21663" xr:uid="{0C432727-302D-44E5-B338-0C5C654EC44E}"/>
    <cellStyle name="Shade 3 2 2 46" xfId="22632" xr:uid="{F483DD3E-B668-4A3D-9476-B9D1C28E471F}"/>
    <cellStyle name="Shade 3 2 2 47" xfId="23122" xr:uid="{E11544FD-902D-4C68-802F-620A41E08BD6}"/>
    <cellStyle name="Shade 3 2 2 48" xfId="20801" xr:uid="{367B13AE-9CC6-4532-80DB-7B6437F39BA2}"/>
    <cellStyle name="Shade 3 2 2 49" xfId="23973" xr:uid="{56465FFF-0826-4D00-8825-15A25BB9B89E}"/>
    <cellStyle name="Shade 3 2 2 5" xfId="2791" xr:uid="{25D69121-6AD9-4588-AFE6-3DD4294D67C2}"/>
    <cellStyle name="Shade 3 2 2 50" xfId="24881" xr:uid="{8CB772D4-5422-4B2B-A213-D7D43C409E5A}"/>
    <cellStyle name="Shade 3 2 2 51" xfId="24251" xr:uid="{076A2F43-5FD7-44B1-9D50-8911EA20CFB2}"/>
    <cellStyle name="Shade 3 2 2 52" xfId="25797" xr:uid="{A7FC71CC-BE61-425E-B710-095A3CBF3104}"/>
    <cellStyle name="Shade 3 2 2 53" xfId="25935" xr:uid="{132FE540-B330-4A70-9392-BC528EEC90C7}"/>
    <cellStyle name="Shade 3 2 2 54" xfId="26421" xr:uid="{3FE738FD-31B4-4395-8BC8-B1511B15E29D}"/>
    <cellStyle name="Shade 3 2 2 55" xfId="27085" xr:uid="{FE9A3487-13E6-4819-B86B-2A3AE0699944}"/>
    <cellStyle name="Shade 3 2 2 56" xfId="27504" xr:uid="{F2E107C6-C236-47C3-A2CF-3FCFB0DF4D0C}"/>
    <cellStyle name="Shade 3 2 2 57" xfId="26034" xr:uid="{EE4F1876-45A7-4C54-9BBC-B04B91D42C93}"/>
    <cellStyle name="Shade 3 2 2 58" xfId="28631" xr:uid="{A10AE747-813A-41CF-977C-FAA20A94685F}"/>
    <cellStyle name="Shade 3 2 2 59" xfId="29098" xr:uid="{B548B2FB-EDA8-4A4A-B6D5-C59C4EED4C75}"/>
    <cellStyle name="Shade 3 2 2 6" xfId="3666" xr:uid="{5F0B1F21-0373-4E0E-AE75-E2EA123113A2}"/>
    <cellStyle name="Shade 3 2 2 60" xfId="28299" xr:uid="{02F853EF-98A6-405F-AA30-0ACDB5DD4AEC}"/>
    <cellStyle name="Shade 3 2 2 61" xfId="29887" xr:uid="{FFFD09DB-FE15-4B17-889B-CEEE0A4B44DD}"/>
    <cellStyle name="Shade 3 2 2 62" xfId="30293" xr:uid="{EBFAB79C-4BAA-40F3-945F-2DF8675340F5}"/>
    <cellStyle name="Shade 3 2 2 63" xfId="30710" xr:uid="{60AFBA38-928F-4B97-9DB6-76F61BE2FB5A}"/>
    <cellStyle name="Shade 3 2 2 64" xfId="29208" xr:uid="{8016DBFF-67B1-444E-A4C3-B3D34BA16957}"/>
    <cellStyle name="Shade 3 2 2 65" xfId="31326" xr:uid="{537CAE0C-3250-4DF2-9630-41F77045E38A}"/>
    <cellStyle name="Shade 3 2 2 7" xfId="4109" xr:uid="{F4489A3E-DFE3-4232-8F14-3C6CEBFD8BD1}"/>
    <cellStyle name="Shade 3 2 2 8" xfId="4546" xr:uid="{1E1531EC-9B99-4FEC-9A4E-91CFFFCF8B8A}"/>
    <cellStyle name="Shade 3 2 2 9" xfId="3502" xr:uid="{94354236-1602-4687-A08E-5FA416967F1E}"/>
    <cellStyle name="Shade 3 2 20" xfId="9234" xr:uid="{234696F3-2BA2-4635-8FE8-B7DFA0C98835}"/>
    <cellStyle name="Shade 3 2 21" xfId="10268" xr:uid="{7F5F8AFB-1108-44F1-BFEF-69F5E8B97670}"/>
    <cellStyle name="Shade 3 2 22" xfId="10940" xr:uid="{AA90C19C-B03B-4C26-A87D-68ABB206FE97}"/>
    <cellStyle name="Shade 3 2 23" xfId="11192" xr:uid="{303EE91C-CE27-47DE-BC25-8B2FEDCA8263}"/>
    <cellStyle name="Shade 3 2 24" xfId="11929" xr:uid="{440698FB-8743-4C3E-93D4-5336D6D2E266}"/>
    <cellStyle name="Shade 3 2 25" xfId="12402" xr:uid="{404181B0-DFAD-4D4A-A9A8-271395C2BB4A}"/>
    <cellStyle name="Shade 3 2 26" xfId="12836" xr:uid="{85E44956-D6BA-4660-90A9-9F943D38C1E3}"/>
    <cellStyle name="Shade 3 2 27" xfId="13273" xr:uid="{72721C17-1522-4CD3-9550-B78211D09C6C}"/>
    <cellStyle name="Shade 3 2 28" xfId="13906" xr:uid="{C6CD7B38-8487-4002-9A89-9E732725A1B2}"/>
    <cellStyle name="Shade 3 2 29" xfId="14167" xr:uid="{D5AF5217-D968-49F4-A6D1-62E4BC00A593}"/>
    <cellStyle name="Shade 3 2 3" xfId="1059" xr:uid="{C1B64970-6266-4011-B6AB-F95BE057A5B0}"/>
    <cellStyle name="Shade 3 2 30" xfId="14905" xr:uid="{7223E762-F12E-4C11-B765-D7E82C50293D}"/>
    <cellStyle name="Shade 3 2 31" xfId="15376" xr:uid="{E4E0BC75-9F48-4F59-B46D-A10681E2FECA}"/>
    <cellStyle name="Shade 3 2 32" xfId="15637" xr:uid="{FB1F4DB4-9DC6-4C6B-AA42-4C8A9475DB11}"/>
    <cellStyle name="Shade 3 2 33" xfId="14531" xr:uid="{1954CCC5-D9DF-428E-9F1B-E1FF921E3711}"/>
    <cellStyle name="Shade 3 2 34" xfId="16621" xr:uid="{B7B46CAB-BE74-47D0-AF0B-4DDDBCD48E92}"/>
    <cellStyle name="Shade 3 2 35" xfId="16342" xr:uid="{2CEC43F1-9C15-4921-B147-AB07E2A8B1D2}"/>
    <cellStyle name="Shade 3 2 36" xfId="17391" xr:uid="{7337903E-F2FF-4DDE-8EE4-2E42F42E5B8B}"/>
    <cellStyle name="Shade 3 2 37" xfId="17949" xr:uid="{02788026-21B6-4A25-BC0D-57D510EDE746}"/>
    <cellStyle name="Shade 3 2 38" xfId="18439" xr:uid="{AA4C213A-C2E6-4FAC-8499-6513552C2CC6}"/>
    <cellStyle name="Shade 3 2 39" xfId="18138" xr:uid="{0B9FCB26-5D4F-4EC1-8EA0-E551F71C3BE5}"/>
    <cellStyle name="Shade 3 2 4" xfId="1455" xr:uid="{9B147769-AE27-4652-8E4B-ED218AB81C69}"/>
    <cellStyle name="Shade 3 2 40" xfId="19293" xr:uid="{295BA6F0-24F3-4215-8FC8-B0E215A62BD5}"/>
    <cellStyle name="Shade 3 2 41" xfId="19958" xr:uid="{908AB942-A340-4697-AF41-505BD0A10242}"/>
    <cellStyle name="Shade 3 2 42" xfId="19675" xr:uid="{75BB6A3E-E5C1-4768-8FE6-C74C6B366460}"/>
    <cellStyle name="Shade 3 2 43" xfId="20578" xr:uid="{C96D187C-1EF4-44AD-8D40-8B5932319366}"/>
    <cellStyle name="Shade 3 2 44" xfId="19685" xr:uid="{01F302EF-0E9E-4CA8-BF9A-E3E7BA94B07C}"/>
    <cellStyle name="Shade 3 2 45" xfId="21637" xr:uid="{842E74B8-6282-49C2-B2BF-975A0AA67E89}"/>
    <cellStyle name="Shade 3 2 46" xfId="19583" xr:uid="{53836D90-6AC2-49DF-8DF1-DF85D5F67278}"/>
    <cellStyle name="Shade 3 2 47" xfId="22886" xr:uid="{5261DC8E-4298-4F66-A22D-D0BAA0DE2CA4}"/>
    <cellStyle name="Shade 3 2 48" xfId="21439" xr:uid="{CDC3A184-C807-46E9-96D1-312191C2360A}"/>
    <cellStyle name="Shade 3 2 49" xfId="23501" xr:uid="{CED3906F-09D7-4BBC-961A-8AFA2309B1C3}"/>
    <cellStyle name="Shade 3 2 5" xfId="2398" xr:uid="{870B2590-F09D-473B-B6F8-7C9CDA5EB4ED}"/>
    <cellStyle name="Shade 3 2 50" xfId="23767" xr:uid="{F4D497E1-863C-4217-92A1-063EE9328E12}"/>
    <cellStyle name="Shade 3 2 51" xfId="24666" xr:uid="{90A6390D-24BD-45DB-BCAA-A0AD1EF303A1}"/>
    <cellStyle name="Shade 3 2 52" xfId="24574" xr:uid="{9F1902CF-6413-46F7-B76F-A011631D2C74}"/>
    <cellStyle name="Shade 3 2 53" xfId="25584" xr:uid="{01519D4B-680F-495C-8031-FF8EAC3A85F2}"/>
    <cellStyle name="Shade 3 2 54" xfId="26190" xr:uid="{0120E99C-9E59-4A55-B14A-24D113B3A58B}"/>
    <cellStyle name="Shade 3 2 55" xfId="26337" xr:uid="{34D80C28-03A5-4E70-A89F-C002D758E371}"/>
    <cellStyle name="Shade 3 2 56" xfId="26874" xr:uid="{03651FDB-AB55-4021-B06D-A1E6780070D8}"/>
    <cellStyle name="Shade 3 2 57" xfId="27293" xr:uid="{0A62F280-B6F1-4762-9B63-6AC65C73BEF7}"/>
    <cellStyle name="Shade 3 2 58" xfId="26655" xr:uid="{3F24F53A-8B8D-4007-B400-D93E097F343B}"/>
    <cellStyle name="Shade 3 2 59" xfId="28416" xr:uid="{98F6F324-2CCE-45BA-8A25-C5BFC9E0E4CC}"/>
    <cellStyle name="Shade 3 2 6" xfId="3074" xr:uid="{ECA2879A-D8BE-4660-B206-37E99E155F57}"/>
    <cellStyle name="Shade 3 2 60" xfId="28884" xr:uid="{CD50CD84-21E4-4F6B-8048-4368B33C73D7}"/>
    <cellStyle name="Shade 3 2 61" xfId="28805" xr:uid="{FF01A8EA-51D8-43D6-8319-2E74602C82B6}"/>
    <cellStyle name="Shade 3 2 62" xfId="29674" xr:uid="{E5AA6545-3CD2-4218-998A-A2ACAF9EB1D7}"/>
    <cellStyle name="Shade 3 2 63" xfId="30082" xr:uid="{B5A59FCB-42BC-43D7-ABF8-59E5018FFD25}"/>
    <cellStyle name="Shade 3 2 64" xfId="30496" xr:uid="{2794BBB1-0B46-46B6-BD23-3F28798D9D2B}"/>
    <cellStyle name="Shade 3 2 65" xfId="29994" xr:uid="{0A8DCD1B-1A73-41E9-A194-E2BC22733512}"/>
    <cellStyle name="Shade 3 2 66" xfId="31120" xr:uid="{D96B4C82-D33F-4E0E-A0EC-CE89A1E6AC1F}"/>
    <cellStyle name="Shade 3 2 7" xfId="3532" xr:uid="{99D09C22-9BD1-4EC9-AD7C-DB9CC8F881DA}"/>
    <cellStyle name="Shade 3 2 8" xfId="3894" xr:uid="{561BE044-2457-4D4C-8A8D-90D92A1A3916}"/>
    <cellStyle name="Shade 3 2 9" xfId="4332" xr:uid="{1A5024F0-4E8A-4FD6-A441-2152C5A5D9EC}"/>
    <cellStyle name="Shade 3 3" xfId="724" xr:uid="{483FA3A6-9F4C-4201-9FF7-CAAA5C5BF2AF}"/>
    <cellStyle name="Shade 3 3 10" xfId="5372" xr:uid="{442AB807-D00F-4E67-966C-0A9B84F1764B}"/>
    <cellStyle name="Shade 3 3 11" xfId="5775" xr:uid="{AB6DFB7B-80A0-4F09-8987-A3A4C1CAD4FC}"/>
    <cellStyle name="Shade 3 3 12" xfId="5989" xr:uid="{9EC26ECC-2763-46F5-96E3-86F96B7C7F9D}"/>
    <cellStyle name="Shade 3 3 13" xfId="6419" xr:uid="{48BE044A-DF1C-4AE0-A38A-7050267DD597}"/>
    <cellStyle name="Shade 3 3 14" xfId="7444" xr:uid="{CEB665DC-2736-4DDE-8675-5175E53313BE}"/>
    <cellStyle name="Shade 3 3 15" xfId="7982" xr:uid="{088AD41D-A0E3-4890-A4A3-73F82C55A45C}"/>
    <cellStyle name="Shade 3 3 16" xfId="7744" xr:uid="{7F149B40-0823-43AE-AA37-9D8AB20DCC1F}"/>
    <cellStyle name="Shade 3 3 17" xfId="8324" xr:uid="{58B43B77-3A30-415F-BC02-6E444C7ED632}"/>
    <cellStyle name="Shade 3 3 18" xfId="9658" xr:uid="{D6FC20AB-397C-44DA-8B68-A513E5912556}"/>
    <cellStyle name="Shade 3 3 19" xfId="10198" xr:uid="{972BB261-8447-44C1-81DE-69434999AF39}"/>
    <cellStyle name="Shade 3 3 2" xfId="1198" xr:uid="{254138AC-5EB2-4B1A-A4B2-66E018A05AC2}"/>
    <cellStyle name="Shade 3 3 20" xfId="10602" xr:uid="{CC9A3EBD-95B7-4185-9554-FEBAAE241892}"/>
    <cellStyle name="Shade 3 3 21" xfId="10524" xr:uid="{CF8F2F11-9DDB-4737-8901-55BF76AD7F9D}"/>
    <cellStyle name="Shade 3 3 22" xfId="11267" xr:uid="{494648AB-0710-4FCD-A38F-A7825CF32470}"/>
    <cellStyle name="Shade 3 3 23" xfId="12077" xr:uid="{E0D1B83B-73A2-45ED-A013-B2D26D25A9FE}"/>
    <cellStyle name="Shade 3 3 24" xfId="12550" xr:uid="{884F6518-C552-4DD3-898B-435D0A99603E}"/>
    <cellStyle name="Shade 3 3 25" xfId="12984" xr:uid="{7D5F9FCD-B368-4115-897D-4D5F87373EA1}"/>
    <cellStyle name="Shade 3 3 26" xfId="13421" xr:uid="{86D8C395-1FD6-414C-80FB-61097B8BCF63}"/>
    <cellStyle name="Shade 3 3 27" xfId="12719" xr:uid="{0D8A80C5-4E24-446B-A53F-98139BEDF4CF}"/>
    <cellStyle name="Shade 3 3 28" xfId="11861" xr:uid="{02398953-F06E-4557-B8BD-C9CF25A3A8E0}"/>
    <cellStyle name="Shade 3 3 29" xfId="14848" xr:uid="{8D97E815-BB3A-4021-8339-9BC307F26395}"/>
    <cellStyle name="Shade 3 3 3" xfId="1443" xr:uid="{F4EA68AF-55E7-47B5-95E2-110DCEF2758B}"/>
    <cellStyle name="Shade 3 3 30" xfId="15215" xr:uid="{68F3FFD1-16D4-43BF-929E-879AC1771D13}"/>
    <cellStyle name="Shade 3 3 31" xfId="15641" xr:uid="{6E359799-0B68-40AC-9997-E66E0370DE33}"/>
    <cellStyle name="Shade 3 3 32" xfId="15961" xr:uid="{51D81CA2-0056-41D8-93CE-DBB0F3B16AA6}"/>
    <cellStyle name="Shade 3 3 33" xfId="16769" xr:uid="{2BA48DBE-2B02-4E25-BB79-07098B2F70E0}"/>
    <cellStyle name="Shade 3 3 34" xfId="17319" xr:uid="{169235DC-62EC-4854-944F-C9BA0F7ED43F}"/>
    <cellStyle name="Shade 3 3 35" xfId="17762" xr:uid="{EAF9E010-6607-456C-8DC7-682BC57367F8}"/>
    <cellStyle name="Shade 3 3 36" xfId="16148" xr:uid="{0342A333-D3B5-4A5A-A3D2-57BA667D2524}"/>
    <cellStyle name="Shade 3 3 37" xfId="18587" xr:uid="{24604E26-CE27-4997-AC72-10821BADC3B4}"/>
    <cellStyle name="Shade 3 3 38" xfId="17286" xr:uid="{3D74F74C-DC5E-44BD-B606-95923D130C2B}"/>
    <cellStyle name="Shade 3 3 39" xfId="19054" xr:uid="{8FE809BA-4917-49EA-9001-E01B9F988E2F}"/>
    <cellStyle name="Shade 3 3 4" xfId="2546" xr:uid="{51CD38D4-AF88-48FE-BAB0-B6862D456047}"/>
    <cellStyle name="Shade 3 3 40" xfId="20106" xr:uid="{12207733-E8F1-4F82-8610-4A6AA95E9322}"/>
    <cellStyle name="Shade 3 3 41" xfId="20670" xr:uid="{4705AFD4-F1AA-4936-A210-D6A7A5BE4F9E}"/>
    <cellStyle name="Shade 3 3 42" xfId="21126" xr:uid="{EF5C7976-804F-4A3F-956E-73EAD6235825}"/>
    <cellStyle name="Shade 3 3 43" xfId="21236" xr:uid="{5B0DF5DF-0214-427A-927C-E40A9A13CE7C}"/>
    <cellStyle name="Shade 3 3 44" xfId="22058" xr:uid="{8D136212-069C-4291-985B-BF2EE8608032}"/>
    <cellStyle name="Shade 3 3 45" xfId="22486" xr:uid="{8B9ECD32-9C05-4548-9243-AACC1D6E0144}"/>
    <cellStyle name="Shade 3 3 46" xfId="22554" xr:uid="{74B70688-0B6F-4000-8FBB-8DC78A8D431F}"/>
    <cellStyle name="Shade 3 3 47" xfId="22030" xr:uid="{96188231-925D-4257-826B-D9D204254D67}"/>
    <cellStyle name="Shade 3 3 48" xfId="23239" xr:uid="{9142D996-AD1C-4FD4-9418-9D2F3C1B96D9}"/>
    <cellStyle name="Shade 3 3 49" xfId="23906" xr:uid="{DE9B82A7-C7E6-4F82-887E-5A62FDE5BC83}"/>
    <cellStyle name="Shade 3 3 5" xfId="1854" xr:uid="{3B24FB9E-B652-49D6-8C70-30144B34BB85}"/>
    <cellStyle name="Shade 3 3 50" xfId="24814" xr:uid="{14DBB53B-C54D-4ED7-BB06-FC2D4102F8A4}"/>
    <cellStyle name="Shade 3 3 51" xfId="25373" xr:uid="{D4C0F232-CF0C-4989-ADFA-34F9784A6D63}"/>
    <cellStyle name="Shade 3 3 52" xfId="25730" xr:uid="{AED6969C-F419-44FB-BCBA-7F4C08104135}"/>
    <cellStyle name="Shade 3 3 53" xfId="24981" xr:uid="{AA61FFFB-76FF-481E-AC42-43B6A85DD58F}"/>
    <cellStyle name="Shade 3 3 54" xfId="26544" xr:uid="{80FA0646-F4A5-47CA-9BDE-DCF40DDDCFB5}"/>
    <cellStyle name="Shade 3 3 55" xfId="27018" xr:uid="{9D96CCCA-024F-4159-BAA2-77542E60BEBD}"/>
    <cellStyle name="Shade 3 3 56" xfId="27437" xr:uid="{89272FD3-9D51-45CE-8151-938D8C1B7784}"/>
    <cellStyle name="Shade 3 3 57" xfId="27723" xr:uid="{15894A74-11AC-4039-936E-2F930550F93A}"/>
    <cellStyle name="Shade 3 3 58" xfId="28564" xr:uid="{698F09B8-5B1A-4B79-AF57-F06D8E84CB6A}"/>
    <cellStyle name="Shade 3 3 59" xfId="29031" xr:uid="{0CD73C02-7618-449B-8AF1-416EEB1C97A5}"/>
    <cellStyle name="Shade 3 3 6" xfId="3052" xr:uid="{8D9CB19B-12F9-4264-B1E3-6803E0E89AFB}"/>
    <cellStyle name="Shade 3 3 60" xfId="29495" xr:uid="{85EA004D-FE14-42AE-9980-C5475F2BD3CB}"/>
    <cellStyle name="Shade 3 3 61" xfId="29820" xr:uid="{FF18E9B8-707C-4619-BDD5-6AB7B51BE940}"/>
    <cellStyle name="Shade 3 3 62" xfId="30226" xr:uid="{DA304FED-9A2C-4987-A31B-BC0859B7DBEF}"/>
    <cellStyle name="Shade 3 3 63" xfId="30643" xr:uid="{1AC9D9FA-ADB2-4744-A7C4-CCCE25822BA4}"/>
    <cellStyle name="Shade 3 3 64" xfId="28229" xr:uid="{CFE71886-70AD-4E2D-ADF0-3CEF2DAB65F2}"/>
    <cellStyle name="Shade 3 3 65" xfId="31259" xr:uid="{CBC011C1-7BB9-46EA-A972-354F7BE4717F}"/>
    <cellStyle name="Shade 3 3 7" xfId="4042" xr:uid="{68701958-9394-4732-B18A-60653CD4B152}"/>
    <cellStyle name="Shade 3 3 8" xfId="4479" xr:uid="{78BEC5FA-DBF5-4ECA-89DB-657BB02F3084}"/>
    <cellStyle name="Shade 3 3 9" xfId="3506" xr:uid="{3850C191-0D26-46DF-A264-33B01CE9E7DD}"/>
    <cellStyle name="Shade 4" xfId="284" xr:uid="{EB953D36-BF66-46E0-9596-5EF1795598C9}"/>
    <cellStyle name="Shade 4 10" xfId="3748" xr:uid="{312F175C-A1AE-42ED-B22A-3DCE65822502}"/>
    <cellStyle name="Shade 4 11" xfId="3687" xr:uid="{225AD2B5-1BC7-49FB-A3CA-3DBBF5374F9D}"/>
    <cellStyle name="Shade 4 12" xfId="3791" xr:uid="{EE6F9DEC-B717-495A-923B-C18905A9B6FB}"/>
    <cellStyle name="Shade 4 13" xfId="5050" xr:uid="{FD4BCEAB-C887-43CE-AC34-9D075227C93E}"/>
    <cellStyle name="Shade 4 14" xfId="5778" xr:uid="{9262E16C-6317-4B62-895E-C2DB0D8FA4C4}"/>
    <cellStyle name="Shade 4 15" xfId="3259" xr:uid="{5BBF55B9-E284-44A1-BA24-90C145D38032}"/>
    <cellStyle name="Shade 4 16" xfId="6424" xr:uid="{70F21858-5849-49D1-BDA3-92B43C460C0D}"/>
    <cellStyle name="Shade 4 17" xfId="7014" xr:uid="{5CEAB489-2D97-4081-B60D-E51B66A1398C}"/>
    <cellStyle name="Shade 4 18" xfId="6845" xr:uid="{F9292197-4B13-4670-9679-B1F59EB605FA}"/>
    <cellStyle name="Shade 4 19" xfId="8145" xr:uid="{2E636E04-5F20-480D-A7A5-6B5ED1AF932F}"/>
    <cellStyle name="Shade 4 2" xfId="43" xr:uid="{9BA786C0-DCF8-4424-A8B5-A1224CE3CE50}"/>
    <cellStyle name="Shade 4 2 2" xfId="621" xr:uid="{41EE2806-4D0E-4391-925A-DFD5DC735976}"/>
    <cellStyle name="Shade 4 2 2 10" xfId="5269" xr:uid="{3F82ED4D-A415-4089-9100-BA0FC3D3B58C}"/>
    <cellStyle name="Shade 4 2 2 11" xfId="4216" xr:uid="{0B0299CC-59BD-478A-BEFB-F90A3DBFFAAE}"/>
    <cellStyle name="Shade 4 2 2 12" xfId="6260" xr:uid="{57A272EA-A205-48D5-B704-DBE9917CEFD2}"/>
    <cellStyle name="Shade 4 2 2 13" xfId="6475" xr:uid="{9481C88E-10B4-47BA-B7C9-38F41E7A346B}"/>
    <cellStyle name="Shade 4 2 2 14" xfId="7341" xr:uid="{02D85AF5-412E-4AD0-929F-CA825F536E3C}"/>
    <cellStyle name="Shade 4 2 2 15" xfId="7033" xr:uid="{03091A81-884F-4D8B-98CA-0169609C0ADB}"/>
    <cellStyle name="Shade 4 2 2 16" xfId="7079" xr:uid="{06AA3DE8-85BB-4E85-83FB-9D93692BC688}"/>
    <cellStyle name="Shade 4 2 2 17" xfId="8010" xr:uid="{2B4C47D5-046A-4446-BBA8-DF057C549F72}"/>
    <cellStyle name="Shade 4 2 2 18" xfId="9555" xr:uid="{C430BD75-FE9F-4D47-ACCE-8BC50F89BF04}"/>
    <cellStyle name="Shade 4 2 2 19" xfId="9246" xr:uid="{899A50A5-DF98-4498-9DFA-A1AC91D85C9A}"/>
    <cellStyle name="Shade 4 2 2 2" xfId="1104" xr:uid="{9828058A-9925-475C-A18E-4B3245466EBD}"/>
    <cellStyle name="Shade 4 2 2 20" xfId="10118" xr:uid="{5DBE881A-4F3E-42B7-919A-5B0BBCA1E876}"/>
    <cellStyle name="Shade 4 2 2 21" xfId="10395" xr:uid="{176CE437-79B6-4E16-B5A5-CCE24CBBD451}"/>
    <cellStyle name="Shade 4 2 2 22" xfId="11091" xr:uid="{7F05505D-787B-4476-910E-778BBE002975}"/>
    <cellStyle name="Shade 4 2 2 23" xfId="11974" xr:uid="{F3B7BBFB-62EF-48E3-BBED-8623D32FEEE1}"/>
    <cellStyle name="Shade 4 2 2 24" xfId="12447" xr:uid="{BF88DDBD-8803-44F4-8820-12BAA80BD540}"/>
    <cellStyle name="Shade 4 2 2 25" xfId="12881" xr:uid="{F55D34BB-F045-4530-8297-70E18C80D9E7}"/>
    <cellStyle name="Shade 4 2 2 26" xfId="13318" xr:uid="{97E60C9E-570B-4CDD-AEA0-61527E96E3A5}"/>
    <cellStyle name="Shade 4 2 2 27" xfId="13882" xr:uid="{C17C2990-C536-47CC-9D82-05EAD180F00B}"/>
    <cellStyle name="Shade 4 2 2 28" xfId="14459" xr:uid="{5B8ABEE3-C572-4BE3-BBD5-BCE0192E5BAC}"/>
    <cellStyle name="Shade 4 2 2 29" xfId="11533" xr:uid="{8DD9BA85-D0E1-4531-B254-F500560BD433}"/>
    <cellStyle name="Shade 4 2 2 3" xfId="1653" xr:uid="{D92F6C7F-6807-4032-8662-180CC9CDE512}"/>
    <cellStyle name="Shade 4 2 2 30" xfId="14320" xr:uid="{5C81BF3A-8A51-4811-A6A2-09F4502BCA73}"/>
    <cellStyle name="Shade 4 2 2 31" xfId="15574" xr:uid="{61CA88CC-777C-49C5-8A10-6979F46F3D8C}"/>
    <cellStyle name="Shade 4 2 2 32" xfId="15455" xr:uid="{BC045BA0-54F3-45F3-B045-DC9956EF4583}"/>
    <cellStyle name="Shade 4 2 2 33" xfId="16666" xr:uid="{DF578482-85CC-491F-889E-599C47C7CDD5}"/>
    <cellStyle name="Shade 4 2 2 34" xfId="16356" xr:uid="{71CE64B0-D578-4C38-89A2-B96A04E0A48A}"/>
    <cellStyle name="Shade 4 2 2 35" xfId="17237" xr:uid="{4E2D0750-4611-4191-8D3E-7BE7F07D1A47}"/>
    <cellStyle name="Shade 4 2 2 36" xfId="17359" xr:uid="{BAB238FE-49F5-46C0-A357-209DD6C043E9}"/>
    <cellStyle name="Shade 4 2 2 37" xfId="18484" xr:uid="{4F6F1073-7280-40AD-BF55-C262A2AFE196}"/>
    <cellStyle name="Shade 4 2 2 38" xfId="18347" xr:uid="{531BFB3F-9E83-4385-A9E1-7EF20E1A53FC}"/>
    <cellStyle name="Shade 4 2 2 39" xfId="19282" xr:uid="{9F39ECBF-7749-4AC9-A64A-24EBB2F7A8A2}"/>
    <cellStyle name="Shade 4 2 2 4" xfId="2443" xr:uid="{1A919CD3-0C3F-44F2-8D82-A1C3124C77BA}"/>
    <cellStyle name="Shade 4 2 2 40" xfId="20003" xr:uid="{909553FE-7284-4674-8D63-BEB43F2F7845}"/>
    <cellStyle name="Shade 4 2 2 41" xfId="19689" xr:uid="{DE4F9310-F71E-48F3-BFE9-2F8A8F3FD131}"/>
    <cellStyle name="Shade 4 2 2 42" xfId="20698" xr:uid="{AAC14C46-8DB6-409B-8AF6-C3B759EF9855}"/>
    <cellStyle name="Shade 4 2 2 43" xfId="19550" xr:uid="{E1179BB8-AD6F-4DF6-8E74-632BC284F5DB}"/>
    <cellStyle name="Shade 4 2 2 44" xfId="21692" xr:uid="{96093811-335C-4661-84BE-33C306D1D69E}"/>
    <cellStyle name="Shade 4 2 2 45" xfId="22131" xr:uid="{DE30E4FC-5AA3-422A-B345-6209AD674CDB}"/>
    <cellStyle name="Shade 4 2 2 46" xfId="22864" xr:uid="{47570C76-94E3-4685-B50E-5EAC9E2B5335}"/>
    <cellStyle name="Shade 4 2 2 47" xfId="22182" xr:uid="{063E9135-530C-4D23-B6EA-8006184FD8DF}"/>
    <cellStyle name="Shade 4 2 2 48" xfId="23564" xr:uid="{0558A08E-060B-4604-B538-40905ED63648}"/>
    <cellStyle name="Shade 4 2 2 49" xfId="23812" xr:uid="{835001D6-D588-486A-8AF5-85BF0107F016}"/>
    <cellStyle name="Shade 4 2 2 5" xfId="3050" xr:uid="{A504AF00-9A01-423C-B568-18B2403BEB14}"/>
    <cellStyle name="Shade 4 2 2 50" xfId="24711" xr:uid="{CE127A83-5D92-4DC6-BB2E-E0841C91FA4F}"/>
    <cellStyle name="Shade 4 2 2 51" xfId="24400" xr:uid="{3A5F7BC6-2A35-49D6-8E82-83D604E1DC08}"/>
    <cellStyle name="Shade 4 2 2 52" xfId="25629" xr:uid="{91A198D1-0358-4744-BF74-2150CEF98B3C}"/>
    <cellStyle name="Shade 4 2 2 53" xfId="25976" xr:uid="{0DA7CEA2-3C1F-4716-8C15-C664DF664358}"/>
    <cellStyle name="Shade 4 2 2 54" xfId="26542" xr:uid="{237A8B9A-8B06-430A-9392-8A3ECB5B474F}"/>
    <cellStyle name="Shade 4 2 2 55" xfId="26919" xr:uid="{B9F9A494-E041-4D31-AF60-D0CEAE46C56C}"/>
    <cellStyle name="Shade 4 2 2 56" xfId="27338" xr:uid="{BE704801-DD62-4AC6-8B9B-433AA53006DD}"/>
    <cellStyle name="Shade 4 2 2 57" xfId="27766" xr:uid="{5AFF664A-3BF5-4A29-A82C-2BA8B1ADDF59}"/>
    <cellStyle name="Shade 4 2 2 58" xfId="28461" xr:uid="{C9185BE6-9E7C-4B97-BBB1-6037C9940BE1}"/>
    <cellStyle name="Shade 4 2 2 59" xfId="28929" xr:uid="{B6507EDD-887E-4829-A976-04F27BB6DB70}"/>
    <cellStyle name="Shade 4 2 2 6" xfId="2054" xr:uid="{38E19F98-8D61-4845-BAEC-DF04EC3735E4}"/>
    <cellStyle name="Shade 4 2 2 60" xfId="28781" xr:uid="{6E076EED-6505-45D0-A844-DE3A7D56BAA2}"/>
    <cellStyle name="Shade 4 2 2 61" xfId="29719" xr:uid="{41BFBF90-2699-402A-A50D-F741DFE3F6B5}"/>
    <cellStyle name="Shade 4 2 2 62" xfId="30127" xr:uid="{6091AA6E-CF25-453F-95BF-83BA2B7D063A}"/>
    <cellStyle name="Shade 4 2 2 63" xfId="30541" xr:uid="{CCF0AE29-51F1-4637-B2FF-4181D8D416E2}"/>
    <cellStyle name="Shade 4 2 2 64" xfId="30983" xr:uid="{FBCB2179-B2DD-4BAA-BE70-F5AB15AB5973}"/>
    <cellStyle name="Shade 4 2 2 65" xfId="31165" xr:uid="{B76C81D5-5511-4B80-9FFA-74C42DF6473A}"/>
    <cellStyle name="Shade 4 2 2 7" xfId="3939" xr:uid="{B31F0BE6-6656-41A6-B884-8C4496335560}"/>
    <cellStyle name="Shade 4 2 2 8" xfId="4377" xr:uid="{6AD95B14-B584-4341-A83C-A8233D05988D}"/>
    <cellStyle name="Shade 4 2 2 9" xfId="3742" xr:uid="{99AFA4CD-138D-4B57-838C-D57CE62CCDA1}"/>
    <cellStyle name="Shade 4 2 3" xfId="836" xr:uid="{65945B8D-A9C1-4D21-B472-DE84DF17E87D}"/>
    <cellStyle name="Shade 4 2 3 10" xfId="5484" xr:uid="{21A473AE-A5A5-4BD0-8E75-A0EEA752428E}"/>
    <cellStyle name="Shade 4 2 3 11" xfId="1819" xr:uid="{F2BE3ED5-26C1-4439-B6FD-21A4334905EF}"/>
    <cellStyle name="Shade 4 2 3 12" xfId="2218" xr:uid="{A39E7B14-72B8-4163-8F2B-6D68DE952A70}"/>
    <cellStyle name="Shade 4 2 3 13" xfId="6086" xr:uid="{9AD359E6-06AC-4D52-914E-9116193310EA}"/>
    <cellStyle name="Shade 4 2 3 14" xfId="7556" xr:uid="{8672F3C8-EF8E-4FF9-998B-742DDFFBF641}"/>
    <cellStyle name="Shade 4 2 3 15" xfId="7883" xr:uid="{49416BBE-E98A-4A24-B806-33D6D745CDEF}"/>
    <cellStyle name="Shade 4 2 3 16" xfId="8392" xr:uid="{A1434F88-AE97-4D71-8B61-5AE078076F90}"/>
    <cellStyle name="Shade 4 2 3 17" xfId="8859" xr:uid="{E3D846E8-870D-4BA1-9E6D-52223C679D76}"/>
    <cellStyle name="Shade 4 2 3 18" xfId="9770" xr:uid="{7D43F04F-530E-4E7D-BCFF-7FDD74A100E7}"/>
    <cellStyle name="Shade 4 2 3 19" xfId="10096" xr:uid="{E302C894-59A1-4C01-84D7-B36C45E2AB15}"/>
    <cellStyle name="Shade 4 2 3 2" xfId="1310" xr:uid="{69023C51-454B-44C5-BEE8-7962C8489024}"/>
    <cellStyle name="Shade 4 2 3 20" xfId="10512" xr:uid="{F1E688E3-375A-4CF6-A44A-7C4B4CAAF7F9}"/>
    <cellStyle name="Shade 4 2 3 21" xfId="10724" xr:uid="{51A21413-CEA0-4170-B6F7-0103B47482D6}"/>
    <cellStyle name="Shade 4 2 3 22" xfId="11140" xr:uid="{541A1B6F-0153-404B-B827-79D470074FBD}"/>
    <cellStyle name="Shade 4 2 3 23" xfId="12189" xr:uid="{9A52D54F-CBB4-4822-B764-505DAE21F5B3}"/>
    <cellStyle name="Shade 4 2 3 24" xfId="12662" xr:uid="{8238C481-72B1-460B-A673-417890EA3D8D}"/>
    <cellStyle name="Shade 4 2 3 25" xfId="13096" xr:uid="{E33F4CDC-6328-4334-97A3-6A581B7E13C0}"/>
    <cellStyle name="Shade 4 2 3 26" xfId="13533" xr:uid="{0CDFF2D0-3944-4500-986E-E5611DABAAE4}"/>
    <cellStyle name="Shade 4 2 3 27" xfId="11752" xr:uid="{BE522FA4-447C-43D1-8475-8F8BA332DB4E}"/>
    <cellStyle name="Shade 4 2 3 28" xfId="11522" xr:uid="{8D4EF0F0-3E80-4811-98F4-93DFEC021C55}"/>
    <cellStyle name="Shade 4 2 3 29" xfId="14746" xr:uid="{3CC802DD-F038-4FA4-B66D-9F6597C2758A}"/>
    <cellStyle name="Shade 4 2 3 3" xfId="1759" xr:uid="{8A129390-7252-4008-9D10-A20074FCE125}"/>
    <cellStyle name="Shade 4 2 3 30" xfId="15037" xr:uid="{9B8C0F5A-E6BA-41EF-A299-D5176BEC7719}"/>
    <cellStyle name="Shade 4 2 3 31" xfId="15655" xr:uid="{D699197C-6867-443B-8A34-FEB851A79C1B}"/>
    <cellStyle name="Shade 4 2 3 32" xfId="15907" xr:uid="{C33D8317-3F76-4195-8EA3-A25C5136D304}"/>
    <cellStyle name="Shade 4 2 3 33" xfId="16881" xr:uid="{9B519569-46B5-46FA-8C39-A606C13D9114}"/>
    <cellStyle name="Shade 4 2 3 34" xfId="17215" xr:uid="{4761E350-91B5-4468-BECD-68FC42F5EBD7}"/>
    <cellStyle name="Shade 4 2 3 35" xfId="17661" xr:uid="{DCF739D6-5987-4B0F-8A14-787A447DEFF1}"/>
    <cellStyle name="Shade 4 2 3 36" xfId="17568" xr:uid="{B3FCECC4-E0EC-4879-91DD-9304CF25C368}"/>
    <cellStyle name="Shade 4 2 3 37" xfId="18699" xr:uid="{3153EF37-B519-483E-995C-FEDAFA702266}"/>
    <cellStyle name="Shade 4 2 3 38" xfId="19022" xr:uid="{DF76A3C3-D965-4505-A4A4-EBCF37362DD2}"/>
    <cellStyle name="Shade 4 2 3 39" xfId="19222" xr:uid="{C57B4137-A6B1-47AD-AECE-E0364ECC2B19}"/>
    <cellStyle name="Shade 4 2 3 4" xfId="2658" xr:uid="{E958EB94-CA50-4D95-8D73-8C7A6194CBC2}"/>
    <cellStyle name="Shade 4 2 3 40" xfId="20218" xr:uid="{EB0EEAC6-132B-457B-9A7B-32AE97D4A5AE}"/>
    <cellStyle name="Shade 4 2 3 41" xfId="20568" xr:uid="{5894F2D7-2CCE-4D86-A99C-626B3555BD80}"/>
    <cellStyle name="Shade 4 2 3 42" xfId="21021" xr:uid="{EC49CBB0-92D7-470E-89D3-5ADAB4C5678C}"/>
    <cellStyle name="Shade 4 2 3 43" xfId="21319" xr:uid="{A8AACF7D-20DD-4B60-951F-8B75A8D084E3}"/>
    <cellStyle name="Shade 4 2 3 44" xfId="21952" xr:uid="{22ECDE7B-7C71-4C10-8C23-94F3243AE7E1}"/>
    <cellStyle name="Shade 4 2 3 45" xfId="22383" xr:uid="{50D5D662-0B39-4923-8A16-70B416047563}"/>
    <cellStyle name="Shade 4 2 3 46" xfId="22256" xr:uid="{69B91090-A8E3-4185-A603-7DB2D30410BA}"/>
    <cellStyle name="Shade 4 2 3 47" xfId="23301" xr:uid="{7CFF0582-CF09-428C-A12E-4D036025962D}"/>
    <cellStyle name="Shade 4 2 3 48" xfId="23621" xr:uid="{475D9355-6B9C-489D-A014-68F3585629D7}"/>
    <cellStyle name="Shade 4 2 3 49" xfId="24018" xr:uid="{21890C2B-2691-4FF3-8C7E-036BA54EA916}"/>
    <cellStyle name="Shade 4 2 3 5" xfId="2306" xr:uid="{42F78456-7D98-49AE-AD30-718B4833F9A5}"/>
    <cellStyle name="Shade 4 2 3 50" xfId="24926" xr:uid="{E1CCC6D0-7395-402C-B34F-045B8A95289C}"/>
    <cellStyle name="Shade 4 2 3 51" xfId="25276" xr:uid="{269B10A4-7631-4558-B6D9-E485B417DAA5}"/>
    <cellStyle name="Shade 4 2 3 52" xfId="25842" xr:uid="{46BFC6EC-10C5-4112-B791-6A5053A5CD7E}"/>
    <cellStyle name="Shade 4 2 3 53" xfId="25505" xr:uid="{0A445475-34B2-48A9-A2E5-EEA5A899A980}"/>
    <cellStyle name="Shade 4 2 3 54" xfId="26487" xr:uid="{FAE94F2F-F674-45BC-8618-72A3734954F1}"/>
    <cellStyle name="Shade 4 2 3 55" xfId="27130" xr:uid="{49985267-A2D8-422F-B514-FFD9E20A8103}"/>
    <cellStyle name="Shade 4 2 3 56" xfId="27549" xr:uid="{4B5FF456-BA02-46D9-94D0-9F778A7F9E63}"/>
    <cellStyle name="Shade 4 2 3 57" xfId="26724" xr:uid="{5A1E5652-8A77-411E-AED9-ECC93F8150B6}"/>
    <cellStyle name="Shade 4 2 3 58" xfId="28676" xr:uid="{BCC13533-A0CC-4A37-ADA2-F514A49E6701}"/>
    <cellStyle name="Shade 4 2 3 59" xfId="29143" xr:uid="{3CE9677F-A669-4E83-8D07-ADA671E8CED9}"/>
    <cellStyle name="Shade 4 2 3 6" xfId="1985" xr:uid="{3061383A-3A59-4B02-82B0-4468DF49165E}"/>
    <cellStyle name="Shade 4 2 3 60" xfId="29404" xr:uid="{58F2A357-57CB-468C-B91E-F4BED52AD81F}"/>
    <cellStyle name="Shade 4 2 3 61" xfId="29932" xr:uid="{78196A9A-BCE9-43FC-98AF-F1B639170E8E}"/>
    <cellStyle name="Shade 4 2 3 62" xfId="30338" xr:uid="{8C8BC864-DEDD-4FF1-B8BA-A3FE9E52CAFA}"/>
    <cellStyle name="Shade 4 2 3 63" xfId="30755" xr:uid="{F4100725-10B7-445E-ACBA-94DFDF89834F}"/>
    <cellStyle name="Shade 4 2 3 64" xfId="29267" xr:uid="{E398181D-0845-4D95-B818-850D074BD694}"/>
    <cellStyle name="Shade 4 2 3 65" xfId="31371" xr:uid="{24E75A5C-4A4E-4DF7-886F-6A63419DA2E7}"/>
    <cellStyle name="Shade 4 2 3 7" xfId="4154" xr:uid="{EF83B197-AEAA-4795-A0A6-717F5270C8F4}"/>
    <cellStyle name="Shade 4 2 3 8" xfId="4591" xr:uid="{BF55BE41-B281-4AD6-9425-2BC6B9BAED5B}"/>
    <cellStyle name="Shade 4 2 3 9" xfId="3004" xr:uid="{AE7E9AAC-E148-4B7F-A4AA-C637C7DD83C6}"/>
    <cellStyle name="Shade 4 20" xfId="8814" xr:uid="{71E54DBA-1B3B-41FB-B876-E921F2DCEE79}"/>
    <cellStyle name="Shade 4 21" xfId="9227" xr:uid="{A63D6033-D487-40EB-888D-1453D4CBC455}"/>
    <cellStyle name="Shade 4 22" xfId="9167" xr:uid="{0753E33B-0BC6-485B-AAB8-6DAC30C382B0}"/>
    <cellStyle name="Shade 4 23" xfId="10255" xr:uid="{F47DFD76-9061-4329-9853-4E9A4F689A99}"/>
    <cellStyle name="Shade 4 24" xfId="9361" xr:uid="{7434759A-7659-4DBD-80C8-AFB1B61B512A}"/>
    <cellStyle name="Shade 4 25" xfId="10338" xr:uid="{A73C0262-8963-47CD-A45D-338A1E06B4BF}"/>
    <cellStyle name="Shade 4 26" xfId="11640" xr:uid="{C33882CF-F6E9-4EA1-BBD9-6F924063CA5C}"/>
    <cellStyle name="Shade 4 27" xfId="11761" xr:uid="{CB7AADF3-96A7-4FA7-8A43-301789FE1462}"/>
    <cellStyle name="Shade 4 28" xfId="11445" xr:uid="{FC605319-2860-47B0-B6B8-B310A03FFC10}"/>
    <cellStyle name="Shade 4 29" xfId="11756" xr:uid="{0CE155C9-714E-4C22-A8B1-E1DBE4524129}"/>
    <cellStyle name="Shade 4 3" xfId="650" xr:uid="{35E3DA42-9FA6-4C5F-9EC9-125225FA13A3}"/>
    <cellStyle name="Shade 4 3 10" xfId="4890" xr:uid="{67918929-C6B3-4C30-AA68-EE648D014BF9}"/>
    <cellStyle name="Shade 4 3 11" xfId="5298" xr:uid="{92FC0653-41D5-4280-851B-D88008E175DD}"/>
    <cellStyle name="Shade 4 3 12" xfId="3812" xr:uid="{646654FF-8654-463B-A3AC-E0D7DFFBC624}"/>
    <cellStyle name="Shade 4 3 13" xfId="5881" xr:uid="{8214913F-57A2-4C18-BF2D-D1D69461113F}"/>
    <cellStyle name="Shade 4 3 14" xfId="6636" xr:uid="{C9EC1CCD-370A-490D-8A46-6AA2CD7E7A26}"/>
    <cellStyle name="Shade 4 3 15" xfId="7370" xr:uid="{2EE3C698-CAF7-4108-9725-D5248CC9335C}"/>
    <cellStyle name="Shade 4 3 16" xfId="6911" xr:uid="{F4F63CB1-9AB2-4625-B349-AA97994AB472}"/>
    <cellStyle name="Shade 4 3 17" xfId="7616" xr:uid="{D2823FE7-979D-4B1A-B3AC-5A1AF43D22F4}"/>
    <cellStyle name="Shade 4 3 18" xfId="8752" xr:uid="{42BA480F-A170-484F-B9DB-8ED99763EB14}"/>
    <cellStyle name="Shade 4 3 19" xfId="9584" xr:uid="{94C32DE1-4CC4-4811-9252-DF4C8BCE7E9A}"/>
    <cellStyle name="Shade 4 3 2" xfId="865" xr:uid="{0CCCCB93-CAF1-4478-8FD7-485BB4FB1CB6}"/>
    <cellStyle name="Shade 4 3 2 10" xfId="5513" xr:uid="{C11BFA03-EBBA-4ED2-A09F-86A831331E2E}"/>
    <cellStyle name="Shade 4 3 2 11" xfId="5876" xr:uid="{3DA02EBB-0B5B-462D-8959-CE75199CEA5B}"/>
    <cellStyle name="Shade 4 3 2 12" xfId="5927" xr:uid="{C16C5B1F-641F-44C5-AEEF-D0D2E14F9E6D}"/>
    <cellStyle name="Shade 4 3 2 13" xfId="6687" xr:uid="{6A6E33FE-9EFD-483B-8CA5-0F9D5F4D3E72}"/>
    <cellStyle name="Shade 4 3 2 14" xfId="7585" xr:uid="{6CE79E90-16F9-4EB3-91A1-2BE8377F53D1}"/>
    <cellStyle name="Shade 4 3 2 15" xfId="6827" xr:uid="{0DAE1268-2B4D-4DA4-8AD6-9FC2A898B944}"/>
    <cellStyle name="Shade 4 3 2 16" xfId="8257" xr:uid="{11897CFB-FAA0-4C00-B399-3293B51B3906}"/>
    <cellStyle name="Shade 4 3 2 17" xfId="8614" xr:uid="{E4BBDC10-FA20-435D-86FB-37FC426D9F10}"/>
    <cellStyle name="Shade 4 3 2 18" xfId="9799" xr:uid="{A6C75011-CA08-4F2F-A3C8-C17137C26018}"/>
    <cellStyle name="Shade 4 3 2 19" xfId="9152" xr:uid="{5B30D071-5261-4A77-A1C3-0D3C1ABD886E}"/>
    <cellStyle name="Shade 4 3 2 2" xfId="1339" xr:uid="{DC736DF1-8C8E-4C44-9BCF-B9F9B52BA830}"/>
    <cellStyle name="Shade 4 3 2 20" xfId="8979" xr:uid="{07E73D7E-DA66-4A75-9083-D991BAB828A3}"/>
    <cellStyle name="Shade 4 3 2 21" xfId="10022" xr:uid="{E3440E3C-41A7-4C82-8472-5DC6EC6060D2}"/>
    <cellStyle name="Shade 4 3 2 22" xfId="11304" xr:uid="{BD35E1DD-B97E-43E5-A571-AD8D89C118B3}"/>
    <cellStyle name="Shade 4 3 2 23" xfId="12218" xr:uid="{59741CCA-EF39-440F-9C7A-88B266AA1D10}"/>
    <cellStyle name="Shade 4 3 2 24" xfId="12691" xr:uid="{255EFEB3-ABE3-4009-9B93-63FFDF415779}"/>
    <cellStyle name="Shade 4 3 2 25" xfId="13125" xr:uid="{49B7F14E-28DF-46DD-9FB8-D848EDCB6D28}"/>
    <cellStyle name="Shade 4 3 2 26" xfId="13562" xr:uid="{13A8F020-2233-413C-9DC4-847F989A1090}"/>
    <cellStyle name="Shade 4 3 2 27" xfId="13160" xr:uid="{0CAAED36-0614-46AF-ACA0-2636984E7942}"/>
    <cellStyle name="Shade 4 3 2 28" xfId="14481" xr:uid="{A960272B-EB26-427F-B6ED-9BC6D3153422}"/>
    <cellStyle name="Shade 4 3 2 29" xfId="13847" xr:uid="{6DF4AB7F-284C-488E-A529-6079C2C29D67}"/>
    <cellStyle name="Shade 4 3 2 3" xfId="1788" xr:uid="{995E9389-935C-426B-A07A-07C93A2B55EA}"/>
    <cellStyle name="Shade 4 3 2 30" xfId="15231" xr:uid="{DD11C862-5FD3-49E1-960A-94502C1F6143}"/>
    <cellStyle name="Shade 4 3 2 31" xfId="15752" xr:uid="{C635BE33-EABF-4344-ABE0-02DE23F4E4D9}"/>
    <cellStyle name="Shade 4 3 2 32" xfId="15460" xr:uid="{235C3762-5BF0-4675-AC4B-B2DBE385CBEC}"/>
    <cellStyle name="Shade 4 3 2 33" xfId="16910" xr:uid="{69F0025D-342F-490A-8579-8AFD050E3511}"/>
    <cellStyle name="Shade 4 3 2 34" xfId="16140" xr:uid="{E7A32548-CD25-4C77-B2A0-45BB006F7E0C}"/>
    <cellStyle name="Shade 4 3 2 35" xfId="16155" xr:uid="{2E68A3EE-B8D5-4677-92B8-AE2600D28637}"/>
    <cellStyle name="Shade 4 3 2 36" xfId="16215" xr:uid="{55D92701-1407-4030-AD49-6A4120ED545C}"/>
    <cellStyle name="Shade 4 3 2 37" xfId="18728" xr:uid="{67229941-1439-45DB-AF2D-0AFF7F087E32}"/>
    <cellStyle name="Shade 4 3 2 38" xfId="18014" xr:uid="{C9CA2B2E-3582-4195-9A58-FB106C79A100}"/>
    <cellStyle name="Shade 4 3 2 39" xfId="18351" xr:uid="{06569F2F-FC39-4CA1-AE54-FCCA42126623}"/>
    <cellStyle name="Shade 4 3 2 4" xfId="2687" xr:uid="{85CAE270-E899-461D-9AA7-6AAB8A9F50F9}"/>
    <cellStyle name="Shade 4 3 2 40" xfId="20247" xr:uid="{700006B8-E98D-410C-A488-2A1236693488}"/>
    <cellStyle name="Shade 4 3 2 41" xfId="19766" xr:uid="{754CD314-9660-45FE-9B95-7F62D53EC2F1}"/>
    <cellStyle name="Shade 4 3 2 42" xfId="20424" xr:uid="{F800B22E-0D4F-4B02-9F5A-D1E056D8EFB4}"/>
    <cellStyle name="Shade 4 3 2 43" xfId="21607" xr:uid="{5C66B3C6-C845-484F-A29A-194D98855797}"/>
    <cellStyle name="Shade 4 3 2 44" xfId="19827" xr:uid="{14CCAB55-ACB4-4C29-9C8D-E86A2FE89F76}"/>
    <cellStyle name="Shade 4 3 2 45" xfId="19729" xr:uid="{555CEAE1-B3E7-4ADA-9DFC-079F35858469}"/>
    <cellStyle name="Shade 4 3 2 46" xfId="22323" xr:uid="{D0A6C1ED-EC50-4F9E-A8A1-285F9FA9CB59}"/>
    <cellStyle name="Shade 4 3 2 47" xfId="22516" xr:uid="{316DF946-BD29-4412-9440-9EE6784DD690}"/>
    <cellStyle name="Shade 4 3 2 48" xfId="23191" xr:uid="{06543071-696F-4203-9F6B-F0CA04822AB0}"/>
    <cellStyle name="Shade 4 3 2 49" xfId="24047" xr:uid="{4A152B3A-CA5B-4987-967B-34F5D32E1B2D}"/>
    <cellStyle name="Shade 4 3 2 5" xfId="2144" xr:uid="{D2843F59-0E48-4EDA-92D7-0B22AB3026FC}"/>
    <cellStyle name="Shade 4 3 2 50" xfId="24955" xr:uid="{AE9A5F56-AEFC-4DD3-AA86-B06068A69E08}"/>
    <cellStyle name="Shade 4 3 2 51" xfId="24193" xr:uid="{39358BC1-41D5-4456-BAA4-1F25887DB8E4}"/>
    <cellStyle name="Shade 4 3 2 52" xfId="25871" xr:uid="{AD23FDF6-C2E2-4DAC-B0DE-D292BC690D44}"/>
    <cellStyle name="Shade 4 3 2 53" xfId="24599" xr:uid="{FA9091DC-E900-45C0-A5CF-F4CC57D4E3BE}"/>
    <cellStyle name="Shade 4 3 2 54" xfId="26738" xr:uid="{C7A3DC1B-85CE-4B7B-8058-DA07F6EC9294}"/>
    <cellStyle name="Shade 4 3 2 55" xfId="27159" xr:uid="{0C613AF9-4E20-4627-965B-86B55EA264F8}"/>
    <cellStyle name="Shade 4 3 2 56" xfId="27578" xr:uid="{8C29E558-6A3E-45CF-8295-BE9AFDFD28ED}"/>
    <cellStyle name="Shade 4 3 2 57" xfId="26670" xr:uid="{FB66BBC8-52C2-41B3-837F-10B761439B53}"/>
    <cellStyle name="Shade 4 3 2 58" xfId="28705" xr:uid="{3B8F439E-6C73-4086-B99E-9731E988A3AE}"/>
    <cellStyle name="Shade 4 3 2 59" xfId="29172" xr:uid="{BBB24D93-181F-4BE1-A4B8-461D10936A8C}"/>
    <cellStyle name="Shade 4 3 2 6" xfId="2731" xr:uid="{78C30A9F-50A6-4685-A177-CE568C6BC5D9}"/>
    <cellStyle name="Shade 4 3 2 60" xfId="28315" xr:uid="{B952AB14-D466-479E-BE55-8EB6C82C211F}"/>
    <cellStyle name="Shade 4 3 2 61" xfId="29961" xr:uid="{8E694370-79DF-4EEF-A513-A053E0827365}"/>
    <cellStyle name="Shade 4 3 2 62" xfId="30367" xr:uid="{A20FB3EF-A1D9-412A-969B-CAA3ACF038C7}"/>
    <cellStyle name="Shade 4 3 2 63" xfId="30784" xr:uid="{D868B9E9-F37C-4A19-B684-7B192210E0BE}"/>
    <cellStyle name="Shade 4 3 2 64" xfId="31029" xr:uid="{4D9CD63E-4E0A-461F-81EE-A125E5EEC50D}"/>
    <cellStyle name="Shade 4 3 2 65" xfId="31400" xr:uid="{1F6B8697-4622-4329-84BE-A5EDE57AAD84}"/>
    <cellStyle name="Shade 4 3 2 7" xfId="4183" xr:uid="{8666076A-1369-4382-BA0D-478000E4F185}"/>
    <cellStyle name="Shade 4 3 2 8" xfId="4620" xr:uid="{42F24AC0-D4B2-492A-9DB1-1EE83E6765D3}"/>
    <cellStyle name="Shade 4 3 2 9" xfId="5066" xr:uid="{9F979730-AB62-45B5-8D79-94F9FD00F7FC}"/>
    <cellStyle name="Shade 4 3 20" xfId="9124" xr:uid="{FB7B25C5-62E0-435C-A83B-63E272B34B6B}"/>
    <cellStyle name="Shade 4 3 21" xfId="9066" xr:uid="{63C92A61-A338-4D1C-A5C1-16F7575B4019}"/>
    <cellStyle name="Shade 4 3 22" xfId="10726" xr:uid="{B142516E-360C-42EA-875E-F62141DDEADC}"/>
    <cellStyle name="Shade 4 3 23" xfId="11167" xr:uid="{812F3514-64B3-4A80-BAD1-5EAD1C890E69}"/>
    <cellStyle name="Shade 4 3 24" xfId="12003" xr:uid="{2C1C25B5-F469-4C10-9F14-3D0C22CD8458}"/>
    <cellStyle name="Shade 4 3 25" xfId="12476" xr:uid="{F6450C63-DA9C-4EE6-B878-9B932FF289A1}"/>
    <cellStyle name="Shade 4 3 26" xfId="12910" xr:uid="{7D10BC6B-4DBE-4027-8C07-B60CEE97F34F}"/>
    <cellStyle name="Shade 4 3 27" xfId="13347" xr:uid="{D7EE9EE6-DD0F-4EE5-B6C2-F3A7AC6DCA62}"/>
    <cellStyle name="Shade 4 3 28" xfId="13723" xr:uid="{F0A159EF-2A6D-42B8-8D32-C89FA81C93F5}"/>
    <cellStyle name="Shade 4 3 29" xfId="14441" xr:uid="{378A2BF9-1A67-4E49-A975-1CABDDEBE2A6}"/>
    <cellStyle name="Shade 4 3 3" xfId="1133" xr:uid="{BE455EAF-34CB-43E7-AD45-AC2C8DD619EB}"/>
    <cellStyle name="Shade 4 3 30" xfId="14362" xr:uid="{74895EF0-FAD6-4B9D-8AC2-B577005A26B8}"/>
    <cellStyle name="Shade 4 3 31" xfId="14899" xr:uid="{690430FE-6410-4772-B9F1-B62DE1EAFAF7}"/>
    <cellStyle name="Shade 4 3 32" xfId="11505" xr:uid="{680D0AA0-6DB1-4154-888B-2EEBD137817F}"/>
    <cellStyle name="Shade 4 3 33" xfId="15195" xr:uid="{35C69254-AEA7-4F96-BAF5-11C6E3537B5F}"/>
    <cellStyle name="Shade 4 3 34" xfId="16695" xr:uid="{47C9BE36-924A-4D8C-9F5A-3CF59EF22E4F}"/>
    <cellStyle name="Shade 4 3 35" xfId="16228" xr:uid="{BE20945A-3144-4D18-AD07-993C2C88CDC5}"/>
    <cellStyle name="Shade 4 3 36" xfId="16059" xr:uid="{09B62851-0681-40B8-88BB-42C18E0B1998}"/>
    <cellStyle name="Shade 4 3 37" xfId="16112" xr:uid="{32E77284-1DD8-4BD1-9C8A-EDFFC306B6CE}"/>
    <cellStyle name="Shade 4 3 38" xfId="18513" xr:uid="{C51BA409-3049-488E-AA43-49526F5A15F0}"/>
    <cellStyle name="Shade 4 3 39" xfId="18842" xr:uid="{D20D8D34-C063-4596-A9A0-42FF1F4A0C29}"/>
    <cellStyle name="Shade 4 3 4" xfId="1371" xr:uid="{E04B1BE2-227E-45E6-9CEA-A7C43EA8FCBD}"/>
    <cellStyle name="Shade 4 3 40" xfId="19216" xr:uid="{47E7C19F-E645-4823-B873-1D124664FF29}"/>
    <cellStyle name="Shade 4 3 41" xfId="20032" xr:uid="{7E89FB39-AA2E-4D75-B57F-1C1D891A98A4}"/>
    <cellStyle name="Shade 4 3 42" xfId="19561" xr:uid="{223F916E-E556-40C0-802B-9C718841A818}"/>
    <cellStyle name="Shade 4 3 43" xfId="20693" xr:uid="{64C46300-63DB-420B-A34E-7A9DE4E4838F}"/>
    <cellStyle name="Shade 4 3 44" xfId="21001" xr:uid="{8932C9D6-D641-4043-8A9C-3D98059CABC8}"/>
    <cellStyle name="Shade 4 3 45" xfId="21660" xr:uid="{53AF5D50-288F-40F6-8394-26A202D44BBC}"/>
    <cellStyle name="Shade 4 3 46" xfId="21926" xr:uid="{842F7485-93BC-4942-A0B8-FF7A4EC6D59F}"/>
    <cellStyle name="Shade 4 3 47" xfId="22719" xr:uid="{CD483033-2E71-4988-8A8D-787FD040950A}"/>
    <cellStyle name="Shade 4 3 48" xfId="23118" xr:uid="{4FC82E1D-A5BC-4934-A526-BDEC094E4D80}"/>
    <cellStyle name="Shade 4 3 49" xfId="23636" xr:uid="{FF8F9D38-0A7E-4F28-AD55-BCBAD79EC19E}"/>
    <cellStyle name="Shade 4 3 5" xfId="2472" xr:uid="{572D0112-B46D-4E2F-8681-0AE50E9D3108}"/>
    <cellStyle name="Shade 4 3 50" xfId="23841" xr:uid="{6135DB7A-971E-46DD-B5BA-1623CB2AE753}"/>
    <cellStyle name="Shade 4 3 51" xfId="24740" xr:uid="{474B054F-F635-4CEB-8852-B0C6BF65FD63}"/>
    <cellStyle name="Shade 4 3 52" xfId="24282" xr:uid="{2D61FC70-04EB-4E40-9AEF-023478A8EF20}"/>
    <cellStyle name="Shade 4 3 53" xfId="25658" xr:uid="{C8784F48-1F4C-432E-974E-7A73ED4EAC66}"/>
    <cellStyle name="Shade 4 3 54" xfId="26023" xr:uid="{8E7792FD-627A-4EA9-B842-A494E10AE46E}"/>
    <cellStyle name="Shade 4 3 55" xfId="25157" xr:uid="{D4D2F851-D2DA-4F31-A4BF-F0E4842236D4}"/>
    <cellStyle name="Shade 4 3 56" xfId="26948" xr:uid="{A3A60119-6605-4AAF-86C3-69434579632E}"/>
    <cellStyle name="Shade 4 3 57" xfId="27367" xr:uid="{02627232-5F19-4E12-BF18-12346A0AF70A}"/>
    <cellStyle name="Shade 4 3 58" xfId="26691" xr:uid="{361CF50E-B1C6-4BEA-8FD4-890C66AD9286}"/>
    <cellStyle name="Shade 4 3 59" xfId="28490" xr:uid="{D39FF9C5-2EF0-498D-9048-E24363BBE54E}"/>
    <cellStyle name="Shade 4 3 6" xfId="2888" xr:uid="{9C7CC9CA-FEFB-43B4-8E7F-1F3219CBE8DC}"/>
    <cellStyle name="Shade 4 3 60" xfId="28958" xr:uid="{0C89CF8D-EAFA-4511-887D-98EF317EE837}"/>
    <cellStyle name="Shade 4 3 61" xfId="27919" xr:uid="{6306B99E-3377-45FA-AC3D-0E254C60F765}"/>
    <cellStyle name="Shade 4 3 62" xfId="29748" xr:uid="{83586226-985C-4D63-80B5-736E798B74C2}"/>
    <cellStyle name="Shade 4 3 63" xfId="30156" xr:uid="{C5579C18-7542-4EC7-8E0F-4950C3251646}"/>
    <cellStyle name="Shade 4 3 64" xfId="30570" xr:uid="{449330D7-CD37-4325-9F43-7EEA8063C535}"/>
    <cellStyle name="Shade 4 3 65" xfId="30849" xr:uid="{BCA180F2-A488-4377-9B13-4247356C8641}"/>
    <cellStyle name="Shade 4 3 66" xfId="31194" xr:uid="{8289BB31-791B-455C-9B2A-4B274648F816}"/>
    <cellStyle name="Shade 4 3 7" xfId="3346" xr:uid="{7CF29484-94F4-452B-ACDA-924C162210CF}"/>
    <cellStyle name="Shade 4 3 8" xfId="3968" xr:uid="{B26C76F1-AD27-42BE-89AF-11B84EA5B6E3}"/>
    <cellStyle name="Shade 4 3 9" xfId="4406" xr:uid="{B6B717A6-4846-4808-8197-9C187E828FD9}"/>
    <cellStyle name="Shade 4 30" xfId="13156" xr:uid="{D5EBD92C-A5D4-4578-AF6D-CF0072922691}"/>
    <cellStyle name="Shade 4 31" xfId="13797" xr:uid="{2C2411D0-C438-47D8-BE70-E421599FCEEB}"/>
    <cellStyle name="Shade 4 32" xfId="13878" xr:uid="{F5884733-5A1D-4E23-ADC2-55E5A3E4B467}"/>
    <cellStyle name="Shade 4 33" xfId="15191" xr:uid="{8D050294-34C5-4EB9-97B5-E4C0B555BC11}"/>
    <cellStyle name="Shade 4 34" xfId="13644" xr:uid="{A3513CD6-6327-4D80-9CF0-5D3A7E3D2CA6}"/>
    <cellStyle name="Shade 4 35" xfId="15649" xr:uid="{E72CE880-D9AE-46D4-923B-70340C560BCB}"/>
    <cellStyle name="Shade 4 36" xfId="16335" xr:uid="{2875AD0D-DECD-4338-8BD6-3E35D011B6CF}"/>
    <cellStyle name="Shade 4 37" xfId="16160" xr:uid="{A910B2F7-147B-4BA1-A302-D3F68323943E}"/>
    <cellStyle name="Shade 4 38" xfId="17074" xr:uid="{249D451B-DE23-469D-92A6-0E9A2FB392A6}"/>
    <cellStyle name="Shade 4 39" xfId="18238" xr:uid="{AFAB4D21-6A8F-421F-A715-3B3300FEDD29}"/>
    <cellStyle name="Shade 4 4" xfId="512" xr:uid="{EACB4E6F-8335-4AEF-B50B-19AD6984E16F}"/>
    <cellStyle name="Shade 4 4 10" xfId="4856" xr:uid="{6F568B36-B8FE-4C5A-8CE6-33A2B7B9E68E}"/>
    <cellStyle name="Shade 4 4 11" xfId="5160" xr:uid="{C124A710-8195-4CAF-83D0-B4AD30C896FA}"/>
    <cellStyle name="Shade 4 4 12" xfId="5830" xr:uid="{CC1AE6C6-5CBD-41B1-9DDC-D4F2A5D57BCD}"/>
    <cellStyle name="Shade 4 4 13" xfId="4995" xr:uid="{27623A89-7562-40D8-9F4A-E9FE3EA11455}"/>
    <cellStyle name="Shade 4 4 14" xfId="6365" xr:uid="{53623837-D21E-49DC-BF38-957B07EEAD74}"/>
    <cellStyle name="Shade 4 4 15" xfId="7232" xr:uid="{53509CF4-3322-45FE-B99C-E8AA80E47B58}"/>
    <cellStyle name="Shade 4 4 16" xfId="7957" xr:uid="{EA371B5E-D1A7-4218-AA7D-210892321F8D}"/>
    <cellStyle name="Shade 4 4 17" xfId="8599" xr:uid="{06BA6FC3-8B2C-4195-B7DC-AE007A94E8F4}"/>
    <cellStyle name="Shade 4 4 18" xfId="8283" xr:uid="{7091AEC1-09CE-4ED1-8E0E-F1BE8DB5743B}"/>
    <cellStyle name="Shade 4 4 19" xfId="9446" xr:uid="{7A0E05FA-0395-4C95-AA45-7A387D351F7F}"/>
    <cellStyle name="Shade 4 4 2" xfId="727" xr:uid="{6FA1D84B-6641-48AB-8FC3-20AA1A7FCBE9}"/>
    <cellStyle name="Shade 4 4 2 10" xfId="5375" xr:uid="{0204DC99-2244-4C35-AA55-8C830965DD72}"/>
    <cellStyle name="Shade 4 4 2 11" xfId="5008" xr:uid="{3E43F943-576B-42E4-B03F-79623C79C5B4}"/>
    <cellStyle name="Shade 4 4 2 12" xfId="6165" xr:uid="{7080A055-9CAE-4ABD-99A2-C16A7DA0DF49}"/>
    <cellStyle name="Shade 4 4 2 13" xfId="6542" xr:uid="{69B5A0AD-215D-4056-BBEE-2D8AD4B76B45}"/>
    <cellStyle name="Shade 4 4 2 14" xfId="7447" xr:uid="{52EBFD5F-8E5B-4367-9422-18A615788219}"/>
    <cellStyle name="Shade 4 4 2 15" xfId="7885" xr:uid="{914CDCD9-6087-4BA8-895B-C768BAAD3100}"/>
    <cellStyle name="Shade 4 4 2 16" xfId="8596" xr:uid="{314F852B-DBDB-44F2-8CAC-22171629FB68}"/>
    <cellStyle name="Shade 4 4 2 17" xfId="8757" xr:uid="{851357B3-07DD-4E2E-97BE-5F8860041750}"/>
    <cellStyle name="Shade 4 4 2 18" xfId="9661" xr:uid="{00707515-C434-4E6F-80F3-044DDD358504}"/>
    <cellStyle name="Shade 4 4 2 19" xfId="10098" xr:uid="{D0A36FCF-024C-48C8-99BA-392A933CC9E2}"/>
    <cellStyle name="Shade 4 4 2 2" xfId="1201" xr:uid="{5978F244-2256-4389-9551-57BA091EAEFD}"/>
    <cellStyle name="Shade 4 4 2 20" xfId="10514" xr:uid="{76AA2C48-6FBF-431E-B1A1-DF6788EF7A2F}"/>
    <cellStyle name="Shade 4 4 2 21" xfId="10789" xr:uid="{B5A12FFB-B5EB-400E-8CAE-7CB3D1627356}"/>
    <cellStyle name="Shade 4 4 2 22" xfId="11087" xr:uid="{A2F0A546-4877-4A1F-811D-34A670A002E1}"/>
    <cellStyle name="Shade 4 4 2 23" xfId="12080" xr:uid="{59D826F3-0CAA-4AB9-A8F7-D89666368363}"/>
    <cellStyle name="Shade 4 4 2 24" xfId="12553" xr:uid="{EA3E7FB5-C638-4E3A-B20F-0107223FEDED}"/>
    <cellStyle name="Shade 4 4 2 25" xfId="12987" xr:uid="{A2DE66BC-1216-4160-B700-3AD2E0203338}"/>
    <cellStyle name="Shade 4 4 2 26" xfId="13424" xr:uid="{FBE0A126-2A72-4FE9-B281-09D1EFAADF02}"/>
    <cellStyle name="Shade 4 4 2 27" xfId="13762" xr:uid="{8497D0B7-6693-40B5-B456-0B471C523839}"/>
    <cellStyle name="Shade 4 4 2 28" xfId="13165" xr:uid="{2D66B497-921B-4B19-8AA4-327DBB9B2028}"/>
    <cellStyle name="Shade 4 4 2 29" xfId="14748" xr:uid="{EDACBB4D-68F0-4336-8177-26729A7139EB}"/>
    <cellStyle name="Shade 4 4 2 3" xfId="1442" xr:uid="{7D608337-71C9-4EFF-AEFD-D7BD58F2CA10}"/>
    <cellStyle name="Shade 4 4 2 30" xfId="15087" xr:uid="{89BF7108-F00E-4915-BC09-1196E60F9BA3}"/>
    <cellStyle name="Shade 4 4 2 31" xfId="15696" xr:uid="{B64A76E8-35E2-42D3-B336-F29EA21B8893}"/>
    <cellStyle name="Shade 4 4 2 32" xfId="15909" xr:uid="{76FA9F6F-D692-425B-8029-21C396A3A78B}"/>
    <cellStyle name="Shade 4 4 2 33" xfId="16772" xr:uid="{E26CC074-C1C8-4A15-AFF5-462983152345}"/>
    <cellStyle name="Shade 4 4 2 34" xfId="17217" xr:uid="{4BD0AD58-DF57-4F65-B55D-CB10E913F87E}"/>
    <cellStyle name="Shade 4 4 2 35" xfId="17663" xr:uid="{6AC5A65A-27CA-4501-A85A-6F38292FF372}"/>
    <cellStyle name="Shade 4 4 2 36" xfId="17377" xr:uid="{99444A67-E9D1-4886-ADB1-45965DED3A19}"/>
    <cellStyle name="Shade 4 4 2 37" xfId="18590" xr:uid="{E8363B37-78D3-4D88-8AAC-B309A86A3730}"/>
    <cellStyle name="Shade 4 4 2 38" xfId="18943" xr:uid="{44A0AEEB-D2E8-4F3E-AAAA-DDDCA8E47643}"/>
    <cellStyle name="Shade 4 4 2 39" xfId="19265" xr:uid="{496D1E11-E3B8-47DA-9E75-A11C0CCD58A8}"/>
    <cellStyle name="Shade 4 4 2 4" xfId="2549" xr:uid="{CA9A4DDE-6D3D-4FFB-A964-94945C05D861}"/>
    <cellStyle name="Shade 4 4 2 40" xfId="20109" xr:uid="{9FBFC84C-6454-43F2-B400-1AD355A05EE1}"/>
    <cellStyle name="Shade 4 4 2 41" xfId="20570" xr:uid="{5493E07F-633E-4917-BB74-154B7D7745B0}"/>
    <cellStyle name="Shade 4 4 2 42" xfId="21023" xr:uid="{40B83B6B-A78F-4159-A700-3233FBF02C10}"/>
    <cellStyle name="Shade 4 4 2 43" xfId="21421" xr:uid="{AF9708D3-B244-44B0-B983-8B27A758B73A}"/>
    <cellStyle name="Shade 4 4 2 44" xfId="21954" xr:uid="{8A7171AC-A921-4C7D-B33E-9DF6EF4CD2B0}"/>
    <cellStyle name="Shade 4 4 2 45" xfId="22385" xr:uid="{BDA9A071-F9A5-4D7A-BA30-A3F8EF51224C}"/>
    <cellStyle name="Shade 4 4 2 46" xfId="22757" xr:uid="{E004F09E-DEB5-4741-83BB-09B833EFEB4D}"/>
    <cellStyle name="Shade 4 4 2 47" xfId="23230" xr:uid="{C924DA92-3664-4C11-B8BF-5248C71CE1D6}"/>
    <cellStyle name="Shade 4 4 2 48" xfId="22966" xr:uid="{F664476E-142B-4603-A1BD-0B331086B83A}"/>
    <cellStyle name="Shade 4 4 2 49" xfId="23909" xr:uid="{08E47844-F584-4C77-A11C-DE9952B4C05D}"/>
    <cellStyle name="Shade 4 4 2 5" xfId="2929" xr:uid="{06FEC90E-830D-44A2-BAF1-0EC156AC2039}"/>
    <cellStyle name="Shade 4 4 2 50" xfId="24817" xr:uid="{4CDB3F84-1C20-4B6E-8850-4CDB7C7729A7}"/>
    <cellStyle name="Shade 4 4 2 51" xfId="25278" xr:uid="{3E8ACD48-3673-427C-B732-57834F3AE026}"/>
    <cellStyle name="Shade 4 4 2 52" xfId="25733" xr:uid="{0B7863DE-0CD7-4C2B-AD8F-E3EDEDA6D678}"/>
    <cellStyle name="Shade 4 4 2 53" xfId="26061" xr:uid="{094D6A29-4142-4089-9F41-CAAEC2887021}"/>
    <cellStyle name="Shade 4 4 2 54" xfId="26556" xr:uid="{49DCC8E3-127D-49AE-90ED-A69F4BDBFDB9}"/>
    <cellStyle name="Shade 4 4 2 55" xfId="27021" xr:uid="{EC3BC342-C8E6-4B4C-AD0E-CFEABED683A2}"/>
    <cellStyle name="Shade 4 4 2 56" xfId="27440" xr:uid="{490C02DB-8B09-47C3-841F-D58B3522A152}"/>
    <cellStyle name="Shade 4 4 2 57" xfId="26351" xr:uid="{8D2EA4A0-877F-45B4-9FE7-5D6DA4F521E2}"/>
    <cellStyle name="Shade 4 4 2 58" xfId="28567" xr:uid="{33EB7312-4E2E-45FF-AA38-521E3541A2C9}"/>
    <cellStyle name="Shade 4 4 2 59" xfId="29034" xr:uid="{731C9CA7-E7FD-48F0-B3AE-620A31E740FA}"/>
    <cellStyle name="Shade 4 4 2 6" xfId="3185" xr:uid="{DE49DD71-EFA2-4521-9A5A-375965798571}"/>
    <cellStyle name="Shade 4 4 2 60" xfId="29406" xr:uid="{4724AB9F-A99D-46F8-A0BB-78E4A26CD770}"/>
    <cellStyle name="Shade 4 4 2 61" xfId="29823" xr:uid="{1F458A5A-F697-4251-A2F6-BDF0654560FC}"/>
    <cellStyle name="Shade 4 4 2 62" xfId="30229" xr:uid="{46E2A1A6-6B65-4708-8860-C96AADC6486F}"/>
    <cellStyle name="Shade 4 4 2 63" xfId="30646" xr:uid="{B56094B6-4D19-4128-92BC-2AF451B3D2E6}"/>
    <cellStyle name="Shade 4 4 2 64" xfId="29988" xr:uid="{2044C727-06AB-4EEB-BD20-D2B7C21B6D99}"/>
    <cellStyle name="Shade 4 4 2 65" xfId="31262" xr:uid="{95C9D136-DFF8-4C80-9232-A8D85DB27D8A}"/>
    <cellStyle name="Shade 4 4 2 7" xfId="4045" xr:uid="{8353325F-E1A7-4FC5-A1E1-9DCA85B4D007}"/>
    <cellStyle name="Shade 4 4 2 8" xfId="4482" xr:uid="{DA70058F-DE84-4589-9491-CBA3D1AA7368}"/>
    <cellStyle name="Shade 4 4 2 9" xfId="3341" xr:uid="{7F241888-BDF8-4D34-8E5A-020DEB22B5B1}"/>
    <cellStyle name="Shade 4 4 20" xfId="10172" xr:uid="{E4A03427-68D8-4B98-B726-41B29DE944C1}"/>
    <cellStyle name="Shade 4 4 21" xfId="10579" xr:uid="{870DE78A-B4A0-4B10-9792-1F3EBE2D248E}"/>
    <cellStyle name="Shade 4 4 22" xfId="9604" xr:uid="{71C52B9F-CAD3-4352-B9A1-C89D34383F3B}"/>
    <cellStyle name="Shade 4 4 23" xfId="10901" xr:uid="{3B1E3C38-4A91-4BC0-8D72-8FDC155C517E}"/>
    <cellStyle name="Shade 4 4 24" xfId="11865" xr:uid="{5614564D-A157-4576-A319-67B5C020D974}"/>
    <cellStyle name="Shade 4 4 25" xfId="12338" xr:uid="{5D571594-B56E-449D-ADD1-6944CE4412C5}"/>
    <cellStyle name="Shade 4 4 26" xfId="12772" xr:uid="{C3585980-CBCC-454B-B99E-5954BE2748D7}"/>
    <cellStyle name="Shade 4 4 27" xfId="13209" xr:uid="{10F9A368-EC38-4564-BB04-F2059F9514F3}"/>
    <cellStyle name="Shade 4 4 28" xfId="11447" xr:uid="{8D35E297-C1B7-4F1D-850D-7B21CB2B7298}"/>
    <cellStyle name="Shade 4 4 29" xfId="14465" xr:uid="{925FA438-CB8B-48E2-9FC3-49FB6264E2D2}"/>
    <cellStyle name="Shade 4 4 3" xfId="995" xr:uid="{48F89D87-DBF7-4B90-A81A-D0A551A02E95}"/>
    <cellStyle name="Shade 4 4 30" xfId="14834" xr:uid="{E2192E05-AB41-4EC1-B537-69437846C244}"/>
    <cellStyle name="Shade 4 4 31" xfId="13998" xr:uid="{D26E2C93-8433-486F-A61D-CF31EE58F19D}"/>
    <cellStyle name="Shade 4 4 32" xfId="15118" xr:uid="{BB26888D-5D67-4FFB-81BD-FED39252873C}"/>
    <cellStyle name="Shade 4 4 33" xfId="15947" xr:uid="{37853763-FCCE-48C9-B5A0-DFD61EC6B3AF}"/>
    <cellStyle name="Shade 4 4 34" xfId="16557" xr:uid="{11694736-BD4E-459F-9725-4F969ADFB149}"/>
    <cellStyle name="Shade 4 4 35" xfId="17292" xr:uid="{50A7C753-9A8C-4CBE-9B13-6CD3FCADC267}"/>
    <cellStyle name="Shade 4 4 36" xfId="17735" xr:uid="{6F4EB638-F65C-4894-A438-023730000C3B}"/>
    <cellStyle name="Shade 4 4 37" xfId="17864" xr:uid="{9DCEB1C5-0BF1-4B53-A544-AE89E6EEA9ED}"/>
    <cellStyle name="Shade 4 4 38" xfId="18375" xr:uid="{113E85D2-1101-49C9-A21F-7AA1ECB2E67C}"/>
    <cellStyle name="Shade 4 4 39" xfId="18091" xr:uid="{39B3C5EB-3E79-49DB-97DF-CFDF6E87E1A3}"/>
    <cellStyle name="Shade 4 4 4" xfId="1702" xr:uid="{08D7F4D4-A0D3-47C5-B9C9-89ADFD6E45A6}"/>
    <cellStyle name="Shade 4 4 40" xfId="19333" xr:uid="{B4921B6F-526C-4C3B-9B61-7A2E61306250}"/>
    <cellStyle name="Shade 4 4 41" xfId="19894" xr:uid="{D14ABBFC-81B5-4E7F-8044-5E97252C8E84}"/>
    <cellStyle name="Shade 4 4 42" xfId="20642" xr:uid="{7AC3DE03-8577-4097-9DEB-D8A5FED466A8}"/>
    <cellStyle name="Shade 4 4 43" xfId="21098" xr:uid="{291D084B-F8C9-4C45-BA6D-CFC6C77F252F}"/>
    <cellStyle name="Shade 4 4 44" xfId="21139" xr:uid="{6D9602FA-D745-4204-A110-0BAC0705840E}"/>
    <cellStyle name="Shade 4 4 45" xfId="22029" xr:uid="{B9106203-9C93-4998-B305-56BF8C3E23BE}"/>
    <cellStyle name="Shade 4 4 46" xfId="22459" xr:uid="{5DEAFFA1-CFB2-4E7D-81A7-ACE2BCE70CB0}"/>
    <cellStyle name="Shade 4 4 47" xfId="22021" xr:uid="{00F13E63-3CCA-46FD-B5CA-E0D063008C97}"/>
    <cellStyle name="Shade 4 4 48" xfId="22268" xr:uid="{3ED2A451-4D45-404A-A60E-7A7884C90AC6}"/>
    <cellStyle name="Shade 4 4 49" xfId="22361" xr:uid="{FD3980F3-64D6-44E7-8225-D8A339DA3EAE}"/>
    <cellStyle name="Shade 4 4 5" xfId="2334" xr:uid="{286F625A-283A-4BF1-8E13-BF29915A3339}"/>
    <cellStyle name="Shade 4 4 50" xfId="23703" xr:uid="{E5FCD946-F069-4794-A080-2D318F3E62AA}"/>
    <cellStyle name="Shade 4 4 51" xfId="24602" xr:uid="{B965515A-F970-4464-A981-ABCED279B01B}"/>
    <cellStyle name="Shade 4 4 52" xfId="25346" xr:uid="{CE412CC2-A273-4616-ABE6-A53D9176103D}"/>
    <cellStyle name="Shade 4 4 53" xfId="25520" xr:uid="{EAA765A2-06EF-4A6C-9DFE-9E6827E661D4}"/>
    <cellStyle name="Shade 4 4 54" xfId="24592" xr:uid="{966DD009-CAD6-49EB-8A52-2790E8EBBB3A}"/>
    <cellStyle name="Shade 4 4 55" xfId="26472" xr:uid="{6AE877BA-6669-434B-B80E-927825C8007C}"/>
    <cellStyle name="Shade 4 4 56" xfId="26810" xr:uid="{328CE53D-C5E2-467F-A66A-A7E53417FDA2}"/>
    <cellStyle name="Shade 4 4 57" xfId="27229" xr:uid="{3A69DACB-B567-47F4-873E-FB12572DA8D8}"/>
    <cellStyle name="Shade 4 4 58" xfId="27190" xr:uid="{DF37CB0C-DD94-47B9-8224-3AE2C0BAE0EF}"/>
    <cellStyle name="Shade 4 4 59" xfId="28352" xr:uid="{38D8DA97-947D-471B-8FDF-6C223AD0AA6E}"/>
    <cellStyle name="Shade 4 4 6" xfId="2029" xr:uid="{BDA39B1E-B2EE-471E-A4CE-7E63CA5BF5FC}"/>
    <cellStyle name="Shade 4 4 60" xfId="28820" xr:uid="{3B496BE7-484C-48B6-83BB-C46951CB7FA6}"/>
    <cellStyle name="Shade 4 4 61" xfId="29470" xr:uid="{01D60ACE-E128-4FCA-9900-749DC61098C7}"/>
    <cellStyle name="Shade 4 4 62" xfId="29610" xr:uid="{734BB8B5-EB31-4C98-822D-3D6420153542}"/>
    <cellStyle name="Shade 4 4 63" xfId="30018" xr:uid="{5B9934DA-A2B2-4390-9B6A-B94FFDCF4312}"/>
    <cellStyle name="Shade 4 4 64" xfId="30432" xr:uid="{529A5EDD-8468-4215-8A0B-7F5A44D1634B}"/>
    <cellStyle name="Shade 4 4 65" xfId="30997" xr:uid="{D43C997E-65FF-4EEF-84EA-8D4B4F9A71E4}"/>
    <cellStyle name="Shade 4 4 66" xfId="31056" xr:uid="{96AE2DF3-276B-4BC8-A598-4399DC0EB1A9}"/>
    <cellStyle name="Shade 4 4 7" xfId="2873" xr:uid="{E4DEFE04-C305-4CD8-983E-34DFAAB24D6F}"/>
    <cellStyle name="Shade 4 4 8" xfId="3830" xr:uid="{3E0C832A-0335-4921-AAE6-FA065E2A294C}"/>
    <cellStyle name="Shade 4 4 9" xfId="4268" xr:uid="{9EF527C5-FBE1-4BA0-9CDE-01A586F3E6C0}"/>
    <cellStyle name="Shade 4 40" xfId="17951" xr:uid="{BCC5339F-7F70-4102-8259-04328A64B301}"/>
    <cellStyle name="Shade 4 41" xfId="18947" xr:uid="{B53DDF14-34BC-4A25-81E2-2EFAE1F47DBE}"/>
    <cellStyle name="Shade 4 42" xfId="18862" xr:uid="{F2076EEA-AA08-4709-B916-ADA4AE0F8A9A}"/>
    <cellStyle name="Shade 4 43" xfId="19668" xr:uid="{7F2BB7BA-6178-4CD2-97C6-978E9B482FB0}"/>
    <cellStyle name="Shade 4 44" xfId="19491" xr:uid="{29D4D271-DAC8-43EA-ADFC-40EA0F2FE716}"/>
    <cellStyle name="Shade 4 45" xfId="19569" xr:uid="{E9122F4C-8B57-4D4D-A301-27CD0B4DC2F2}"/>
    <cellStyle name="Shade 4 46" xfId="21140" xr:uid="{BA69E8D6-85F8-48A6-9443-C3C3590550AB}"/>
    <cellStyle name="Shade 4 47" xfId="21274" xr:uid="{9B81B9DE-D891-464A-AB85-9421077B3AB9}"/>
    <cellStyle name="Shade 4 48" xfId="20812" xr:uid="{F53B1A6D-8E5A-4363-B63D-E6A80B581D27}"/>
    <cellStyle name="Shade 4 49" xfId="22471" xr:uid="{0A96D936-2481-49FF-BA86-885BBC3113B9}"/>
    <cellStyle name="Shade 4 5" xfId="959" xr:uid="{67C6BB43-907F-4F4F-84E8-F76C1BCB441D}"/>
    <cellStyle name="Shade 4 50" xfId="23233" xr:uid="{95BA9A69-D51A-4A8D-B56F-B09E89B2CDFF}"/>
    <cellStyle name="Shade 4 51" xfId="23136" xr:uid="{65BCA11E-EB84-4C44-86AC-D58A33B72FFA}"/>
    <cellStyle name="Shade 4 52" xfId="23579" xr:uid="{90E2DEB9-C88E-48D4-A38E-809919AC5D5F}"/>
    <cellStyle name="Shade 4 53" xfId="24388" xr:uid="{3ADF4C04-46DD-4AD4-B9A4-279E69D6C3B4}"/>
    <cellStyle name="Shade 4 54" xfId="25023" xr:uid="{52943B52-4CEB-4B32-9A40-5E6590F38500}"/>
    <cellStyle name="Shade 4 55" xfId="24099" xr:uid="{EE0E3220-FE50-43AA-BAD5-4BA6168C5E85}"/>
    <cellStyle name="Shade 4 56" xfId="24449" xr:uid="{67C8BE7A-8E61-404C-92FF-43E1933CB020}"/>
    <cellStyle name="Shade 4 57" xfId="25517" xr:uid="{187E8340-C88B-47BE-8D56-EF666DC9C1EB}"/>
    <cellStyle name="Shade 4 58" xfId="26367" xr:uid="{B26F2802-9A85-459D-88D6-CDE3BB729639}"/>
    <cellStyle name="Shade 4 59" xfId="26523" xr:uid="{CC3FBA29-95F4-4274-8794-D4E5B23023BF}"/>
    <cellStyle name="Shade 4 6" xfId="1465" xr:uid="{8623A203-C212-4F8C-BDEB-AF0792FEC145}"/>
    <cellStyle name="Shade 4 60" xfId="27410" xr:uid="{F11EA8F7-9045-4A78-80DC-AD6CB8437603}"/>
    <cellStyle name="Shade 4 61" xfId="28159" xr:uid="{4CA55B9F-418A-4458-966D-A48F1106966B}"/>
    <cellStyle name="Shade 4 62" xfId="27914" xr:uid="{81E52ABD-8918-456D-83D1-12863B8135E6}"/>
    <cellStyle name="Shade 4 63" xfId="28068" xr:uid="{2FC33AD6-8870-4581-BBEF-BDA77D3B67A4}"/>
    <cellStyle name="Shade 4 64" xfId="29378" xr:uid="{5DFD26A2-D9BF-423B-B367-ADF5457339CF}"/>
    <cellStyle name="Shade 4 65" xfId="28116" xr:uid="{CC256D8A-FF23-4B6A-85D8-D619F2156B5E}"/>
    <cellStyle name="Shade 4 66" xfId="29262" xr:uid="{011CEB29-FC0C-4090-B74E-E2E9ABD56452}"/>
    <cellStyle name="Shade 4 67" xfId="28095" xr:uid="{CC37D0FD-6886-4C41-A2A2-F594B5609709}"/>
    <cellStyle name="Shade 4 68" xfId="28544" xr:uid="{21517C43-8519-4776-9465-01E7257B2BD4}"/>
    <cellStyle name="Shade 4 7" xfId="2108" xr:uid="{648ACE98-D545-421B-B6CC-8B6FD47EFEE3}"/>
    <cellStyle name="Shade 4 8" xfId="2270" xr:uid="{FA4DE2CA-C839-4F9D-BF86-DF5C3B18CC24}"/>
    <cellStyle name="Shade 4 9" xfId="2725" xr:uid="{213EA30E-4E13-48E3-9D4E-CA6F3F78CF31}"/>
    <cellStyle name="Shade 5" xfId="75" xr:uid="{C52D3909-D38A-4AC5-9ABF-A5762043ACEF}"/>
    <cellStyle name="Shade 5 10" xfId="16127" xr:uid="{512AAB64-0BBC-4E9D-94F2-CC5B63D4C5B0}"/>
    <cellStyle name="Shade 5 11" xfId="17477" xr:uid="{0DFF2709-993D-4F69-A384-BBDBD292AC1A}"/>
    <cellStyle name="Shade 5 12" xfId="19460" xr:uid="{51D6DABB-F737-4516-A8D1-5AE0B6C10EAE}"/>
    <cellStyle name="Shade 5 13" xfId="22362" xr:uid="{FF4CA43C-1056-48F0-A76C-2AB8760D7480}"/>
    <cellStyle name="Shade 5 14" xfId="24181" xr:uid="{BEF88033-4141-464E-910A-AF898A6B5740}"/>
    <cellStyle name="Shade 5 15" xfId="26546" xr:uid="{E01D2E96-1299-4431-9602-506E0EFEFB20}"/>
    <cellStyle name="Shade 5 16" xfId="27974" xr:uid="{72C96585-7C96-4487-84A9-0C58FCED6B70}"/>
    <cellStyle name="Shade 5 2" xfId="920" xr:uid="{AC4EF047-763D-4137-9A63-A0E766BC5E70}"/>
    <cellStyle name="Shade 5 3" xfId="1903" xr:uid="{B15993F0-BE38-47D5-8A29-294A04FEF190}"/>
    <cellStyle name="Shade 5 4" xfId="3464" xr:uid="{B371F18D-3665-460B-8800-709D285718B7}"/>
    <cellStyle name="Shade 5 5" xfId="5005" xr:uid="{0EFCAC07-166D-489F-89F2-057C564D38C9}"/>
    <cellStyle name="Shade 5 6" xfId="6816" xr:uid="{9678EF00-9229-4C59-9695-8BA88FEE181C}"/>
    <cellStyle name="Shade 5 7" xfId="8498" xr:uid="{988BF1E2-2141-440C-987D-83A433938AE1}"/>
    <cellStyle name="Shade 5 8" xfId="9030" xr:uid="{7A717FC0-0A9D-443C-9200-FF4ABBE9FADF}"/>
    <cellStyle name="Shade 5 9" xfId="11435" xr:uid="{128E3306-B921-4A5F-ADBE-7B884DA5D063}"/>
    <cellStyle name="Shade_B_border2" xfId="178" xr:uid="{EF05CCC1-C37D-45E0-B76A-2514A5638CB6}"/>
    <cellStyle name="Standard 2" xfId="42" xr:uid="{AAA81EEA-7402-4FB3-9841-08327FA56724}"/>
    <cellStyle name="Standard 2 2" xfId="397" xr:uid="{57A2CDA7-66B5-4255-9743-25F3E8FDE23A}"/>
    <cellStyle name="Standard 2 2 2" xfId="507" xr:uid="{B5F12935-D178-4B19-89F0-95A18F0836E7}"/>
    <cellStyle name="Standard 2 3" xfId="506" xr:uid="{4F5A343C-0B7E-4BDF-B8D2-7BFC7AC5DD37}"/>
    <cellStyle name="Title 2" xfId="179" xr:uid="{5704595B-7444-4753-9E1F-52A605873FB0}"/>
    <cellStyle name="Title 3" xfId="238" xr:uid="{4B8C7DB6-DF57-47DC-8973-45CF622E7EC6}"/>
    <cellStyle name="Total 2" xfId="180" xr:uid="{B5199D64-A1DE-4414-A32B-1FB1A2B43ECD}"/>
    <cellStyle name="Total 2 10" xfId="3245" xr:uid="{FD2C67C0-301F-4EBF-87AE-11FF25D308AC}"/>
    <cellStyle name="Total 2 11" xfId="3432" xr:uid="{8296275E-3D09-4963-9C21-575CCD88560D}"/>
    <cellStyle name="Total 2 12" xfId="3370" xr:uid="{72C613F0-5F0C-4808-AE84-F21CC78D000F}"/>
    <cellStyle name="Total 2 13" xfId="5611" xr:uid="{1F4FD7C1-D74A-49A2-B785-487EA42A8DF4}"/>
    <cellStyle name="Total 2 14" xfId="6526" xr:uid="{5D333CBE-0268-48F0-A026-76B95B75D5C1}"/>
    <cellStyle name="Total 2 15" xfId="6914" xr:uid="{B37C89B5-1B29-487B-A84B-46D99F81711B}"/>
    <cellStyle name="Total 2 16" xfId="7682" xr:uid="{49350BAA-DFD5-4F98-8197-7ABD644FC6C3}"/>
    <cellStyle name="Total 2 17" xfId="8453" xr:uid="{E664FBDD-26CC-4731-A5AE-2E1152FC96B0}"/>
    <cellStyle name="Total 2 18" xfId="8728" xr:uid="{087DE9E1-4366-44F0-B89F-8FADA341E81C}"/>
    <cellStyle name="Total 2 19" xfId="9127" xr:uid="{8A461FC3-BA37-4246-8910-836866F38C15}"/>
    <cellStyle name="Total 2 2" xfId="567" xr:uid="{11F850FE-A31C-4215-9B5C-041055D3C315}"/>
    <cellStyle name="Total 2 2 10" xfId="4820" xr:uid="{76335A08-DA6E-4085-B8DB-F60018761783}"/>
    <cellStyle name="Total 2 2 11" xfId="5215" xr:uid="{38464B9C-F10F-4B75-9FB8-F45020319A82}"/>
    <cellStyle name="Total 2 2 12" xfId="3810" xr:uid="{7C7DBD99-1DD1-4565-AE25-523F10D67B8E}"/>
    <cellStyle name="Total 2 2 13" xfId="6280" xr:uid="{C9D80D41-D76B-4D4E-AF29-7EA6C0FDB0F0}"/>
    <cellStyle name="Total 2 2 14" xfId="6188" xr:uid="{9E70635D-31CC-41DB-A03B-A415EA0FF394}"/>
    <cellStyle name="Total 2 2 15" xfId="7287" xr:uid="{53732305-BBE3-47E9-9C06-C614B6FDC23A}"/>
    <cellStyle name="Total 2 2 16" xfId="7825" xr:uid="{6DFB2610-DA1E-401E-ADD1-963AB83C554F}"/>
    <cellStyle name="Total 2 2 17" xfId="8104" xr:uid="{64DC6F36-BD14-4CD4-A470-B6D4F4B8482F}"/>
    <cellStyle name="Total 2 2 18" xfId="8770" xr:uid="{29F0374F-AD10-4CC8-8967-1A14B79ADBD1}"/>
    <cellStyle name="Total 2 2 19" xfId="9501" xr:uid="{EA1CEE5B-F563-43F3-AB48-E6BF0DDAD7D9}"/>
    <cellStyle name="Total 2 2 2" xfId="782" xr:uid="{7CF3FD12-B4A7-48C8-9BA7-F70F94097C4F}"/>
    <cellStyle name="Total 2 2 2 10" xfId="5430" xr:uid="{EDBA5DB6-818D-48D9-894A-5E0E73BB45D0}"/>
    <cellStyle name="Total 2 2 2 11" xfId="5544" xr:uid="{AD2FE41B-26DD-46CF-9DE3-A35207D9862B}"/>
    <cellStyle name="Total 2 2 2 12" xfId="4650" xr:uid="{6054D6D4-F9FE-430E-AC3C-6DFCE1203356}"/>
    <cellStyle name="Total 2 2 2 13" xfId="6328" xr:uid="{86890A97-F3D5-4C50-BB64-B0B4C26536A0}"/>
    <cellStyle name="Total 2 2 2 14" xfId="7502" xr:uid="{C0735E92-B54D-4896-98E0-9BED1540FA93}"/>
    <cellStyle name="Total 2 2 2 15" xfId="6825" xr:uid="{FA60F3EE-53FF-4FE1-BDD2-15CA3217FB75}"/>
    <cellStyle name="Total 2 2 2 16" xfId="6872" xr:uid="{44BCD0E5-0005-4AB3-A646-E60C4D22EEF0}"/>
    <cellStyle name="Total 2 2 2 17" xfId="8723" xr:uid="{9E2304C8-135C-4027-BF37-436EA61D88AC}"/>
    <cellStyle name="Total 2 2 2 18" xfId="9716" xr:uid="{22A03DD5-62FB-49B7-90A0-FE7CD5600C5E}"/>
    <cellStyle name="Total 2 2 2 19" xfId="9042" xr:uid="{AE3A7525-7F2B-40BE-98B7-71AAB2E51C1A}"/>
    <cellStyle name="Total 2 2 2 2" xfId="1256" xr:uid="{9A1E9790-373B-4B62-B6C7-321F5464400C}"/>
    <cellStyle name="Total 2 2 2 20" xfId="9832" xr:uid="{206C6AE4-6EE5-4F51-843D-1E5C74642675}"/>
    <cellStyle name="Total 2 2 2 21" xfId="9291" xr:uid="{22BFBD72-6BCD-42B4-969B-C5ED4B38CAE1}"/>
    <cellStyle name="Total 2 2 2 22" xfId="10665" xr:uid="{054D92DC-C0D3-4211-8C8B-9DD7870093DF}"/>
    <cellStyle name="Total 2 2 2 23" xfId="12135" xr:uid="{8F051DF7-2BA5-4FEB-B399-D20A00600A29}"/>
    <cellStyle name="Total 2 2 2 24" xfId="12608" xr:uid="{572F837E-2C78-4378-9D47-4A1DFEE4E688}"/>
    <cellStyle name="Total 2 2 2 25" xfId="13042" xr:uid="{2D636716-EFC7-47B3-B694-841DC7917D7C}"/>
    <cellStyle name="Total 2 2 2 26" xfId="13479" xr:uid="{2237D697-D7F1-46F4-B26F-A547FDB0047A}"/>
    <cellStyle name="Total 2 2 2 27" xfId="11753" xr:uid="{878882AC-F028-473D-801D-77BEB156FC1B}"/>
    <cellStyle name="Total 2 2 2 28" xfId="14431" xr:uid="{8A7CB6F4-77EE-4378-BDD3-02C741423BCB}"/>
    <cellStyle name="Total 2 2 2 29" xfId="11472" xr:uid="{8A6449D3-1F9B-4E7A-AA28-38F6F05092CA}"/>
    <cellStyle name="Total 2 2 2 3" xfId="1479" xr:uid="{750BE100-B453-4353-9432-522643BE59E2}"/>
    <cellStyle name="Total 2 2 2 30" xfId="14391" xr:uid="{DC250F13-60C2-4C5D-BA4F-9AD8D8709601}"/>
    <cellStyle name="Total 2 2 2 31" xfId="15615" xr:uid="{A7121EDC-2B13-4F0F-B9B3-3BFC5873959D}"/>
    <cellStyle name="Total 2 2 2 32" xfId="14714" xr:uid="{F7DB9C3D-8CE9-4B76-9658-E74CEE8A14D2}"/>
    <cellStyle name="Total 2 2 2 33" xfId="16827" xr:uid="{2674E469-310F-4F38-8D95-6571990BC192}"/>
    <cellStyle name="Total 2 2 2 34" xfId="16138" xr:uid="{3FEF62B4-C832-411A-B9C4-8C0AB4B69F69}"/>
    <cellStyle name="Total 2 2 2 35" xfId="16371" xr:uid="{ACC3F4C1-89D5-4AAF-B65D-0DC21DC26C19}"/>
    <cellStyle name="Total 2 2 2 36" xfId="17934" xr:uid="{B52D928A-6A5F-47B5-B554-35C56FBD48A0}"/>
    <cellStyle name="Total 2 2 2 37" xfId="18645" xr:uid="{FC6482D9-A40C-417E-9977-1F8C6F8884FB}"/>
    <cellStyle name="Total 2 2 2 38" xfId="18808" xr:uid="{1AA380C6-C1B5-46CA-82C0-DF3B61B6783A}"/>
    <cellStyle name="Total 2 2 2 39" xfId="18074" xr:uid="{76DA129F-A865-4CCA-933B-DD3B25D563FA}"/>
    <cellStyle name="Total 2 2 2 4" xfId="2604" xr:uid="{88488676-44D0-41CE-B607-475DA33ECA99}"/>
    <cellStyle name="Total 2 2 2 40" xfId="20164" xr:uid="{894A2C50-F0CA-4F49-AD47-14171C28270C}"/>
    <cellStyle name="Total 2 2 2 41" xfId="19468" xr:uid="{04705C3A-ECC4-483C-81A2-477DC673C0D6}"/>
    <cellStyle name="Total 2 2 2 42" xfId="20488" xr:uid="{4CF7E5FF-7A02-4203-9270-DBAC93E90828}"/>
    <cellStyle name="Total 2 2 2 43" xfId="19889" xr:uid="{BA371724-098B-4E9F-8FE5-48ADE8BEABB1}"/>
    <cellStyle name="Total 2 2 2 44" xfId="20560" xr:uid="{0552A86E-2851-459B-A042-51C82BC5DAF4}"/>
    <cellStyle name="Total 2 2 2 45" xfId="21729" xr:uid="{D4551ED8-7131-4226-ADDB-E5A736FC2998}"/>
    <cellStyle name="Total 2 2 2 46" xfId="21920" xr:uid="{212DF309-8245-4C76-9798-30EEED1D9D2A}"/>
    <cellStyle name="Total 2 2 2 47" xfId="23082" xr:uid="{BA24B601-2175-46BD-8D5D-1099E3B7DE93}"/>
    <cellStyle name="Total 2 2 2 48" xfId="23166" xr:uid="{6B883456-7407-4A9C-855C-D75EF102CD6C}"/>
    <cellStyle name="Total 2 2 2 49" xfId="23964" xr:uid="{C47036F8-CD78-4CEA-A5B0-EF95168DDA19}"/>
    <cellStyle name="Total 2 2 2 5" xfId="2274" xr:uid="{4D91D4A9-37F0-492A-9728-5AF74F3C0F9A}"/>
    <cellStyle name="Total 2 2 2 50" xfId="24872" xr:uid="{09E4293D-628B-42C9-8A26-E6C56706082E}"/>
    <cellStyle name="Total 2 2 2 51" xfId="24185" xr:uid="{8464FF0F-93F2-4620-B5B6-0ED5BB51E4D0}"/>
    <cellStyle name="Total 2 2 2 52" xfId="25788" xr:uid="{028B915E-E854-450D-AF86-09FD477D8148}"/>
    <cellStyle name="Total 2 2 2 53" xfId="25347" xr:uid="{CA3B764B-1D2B-4771-B4D0-63992AD8CDF8}"/>
    <cellStyle name="Total 2 2 2 54" xfId="26606" xr:uid="{A33D78DA-FF8E-431E-856E-DA32C8121225}"/>
    <cellStyle name="Total 2 2 2 55" xfId="27076" xr:uid="{A9FC1A1D-A7B7-471B-938F-DC6633A4C2A8}"/>
    <cellStyle name="Total 2 2 2 56" xfId="27495" xr:uid="{2B619788-130C-4021-8ADC-983360F00199}"/>
    <cellStyle name="Total 2 2 2 57" xfId="26501" xr:uid="{986C0BF0-08A3-45AF-A618-0533908C99FA}"/>
    <cellStyle name="Total 2 2 2 58" xfId="28622" xr:uid="{A2A06EA7-BC38-4A60-9F95-97C47E9D1249}"/>
    <cellStyle name="Total 2 2 2 59" xfId="29089" xr:uid="{5D8EC92D-EF1E-4F32-9F4D-822A6B462386}"/>
    <cellStyle name="Total 2 2 2 6" xfId="3169" xr:uid="{2A1FA3EE-2F8B-42B6-A183-F7912B0EF78E}"/>
    <cellStyle name="Total 2 2 2 60" xfId="28024" xr:uid="{D845B127-226A-4BFE-BACB-B7B24FBE1AA6}"/>
    <cellStyle name="Total 2 2 2 61" xfId="29878" xr:uid="{97DF1791-7797-4BC2-9A24-CBD65E22FEFC}"/>
    <cellStyle name="Total 2 2 2 62" xfId="30284" xr:uid="{3070092C-6D63-4E1C-A7FF-BE3AE350C969}"/>
    <cellStyle name="Total 2 2 2 63" xfId="30701" xr:uid="{11BF4765-20A2-4345-AF29-90ADDCF1B03D}"/>
    <cellStyle name="Total 2 2 2 64" xfId="28100" xr:uid="{36D8575C-EE2B-410A-9667-7F241E6D7228}"/>
    <cellStyle name="Total 2 2 2 65" xfId="31317" xr:uid="{4CD34FB0-0642-48A9-835E-2B1CD895780A}"/>
    <cellStyle name="Total 2 2 2 7" xfId="4100" xr:uid="{AF38203F-9906-4F88-AB48-23430BC1769D}"/>
    <cellStyle name="Total 2 2 2 8" xfId="4537" xr:uid="{7E0E7711-F551-434E-B0C7-060643BC5126}"/>
    <cellStyle name="Total 2 2 2 9" xfId="4764" xr:uid="{38355323-4EFF-44D2-84AA-1C9A90E482F6}"/>
    <cellStyle name="Total 2 2 20" xfId="10037" xr:uid="{20D6C965-4DFF-4367-A28B-52634DFE4C72}"/>
    <cellStyle name="Total 2 2 21" xfId="10458" xr:uid="{2FE28BD2-C710-45DF-A8B6-5056E100AA06}"/>
    <cellStyle name="Total 2 2 22" xfId="10641" xr:uid="{E3AF32D4-4394-4700-B02C-8C8782E620DF}"/>
    <cellStyle name="Total 2 2 23" xfId="11104" xr:uid="{CC5EFC3C-120A-42E5-8E4F-13E59E6A6C1F}"/>
    <cellStyle name="Total 2 2 24" xfId="11920" xr:uid="{229AB70C-B4D7-4558-B362-1A8A181CBDF0}"/>
    <cellStyle name="Total 2 2 25" xfId="12393" xr:uid="{4BCAE458-D051-4984-9A53-F0E819C263E4}"/>
    <cellStyle name="Total 2 2 26" xfId="12827" xr:uid="{8A562398-D478-49CF-8C7C-AAA0CCFB6F5C}"/>
    <cellStyle name="Total 2 2 27" xfId="13264" xr:uid="{0FAFCB5A-C808-4C6F-8CF9-91BD13305F3E}"/>
    <cellStyle name="Total 2 2 28" xfId="13171" xr:uid="{5F89C70E-5334-4B88-8D71-3147ECEF66F4}"/>
    <cellStyle name="Total 2 2 29" xfId="14405" xr:uid="{6C07731F-3674-471F-9F5E-63D98A42F078}"/>
    <cellStyle name="Total 2 2 3" xfId="1050" xr:uid="{CC0FA44A-027C-45E8-868C-F9B16EB3CE38}"/>
    <cellStyle name="Total 2 2 30" xfId="13191" xr:uid="{50BDE9D4-C573-40BC-866B-F4FAEEC8E89C}"/>
    <cellStyle name="Total 2 2 31" xfId="15307" xr:uid="{60844AE6-27B5-44FD-A83C-700648043CEC}"/>
    <cellStyle name="Total 2 2 32" xfId="15693" xr:uid="{3ED929CF-92B2-4654-856F-CA0061FC0275}"/>
    <cellStyle name="Total 2 2 33" xfId="15872" xr:uid="{0DD166C8-7905-40B2-BB49-05278F2B5500}"/>
    <cellStyle name="Total 2 2 34" xfId="16612" xr:uid="{C634EB7C-D115-42CB-BFD6-9082558301CC}"/>
    <cellStyle name="Total 2 2 35" xfId="17155" xr:uid="{553C7C2D-3D88-4FDB-A57B-E929FF894109}"/>
    <cellStyle name="Total 2 2 36" xfId="17600" xr:uid="{E599AF75-9133-4F0C-9381-4D7771614E68}"/>
    <cellStyle name="Total 2 2 37" xfId="17980" xr:uid="{D72BA07A-46E7-4F65-9E32-554C4F2D32DF}"/>
    <cellStyle name="Total 2 2 38" xfId="18430" xr:uid="{B8BCBC03-54FD-43EA-ADE1-8CDAF1F1F24C}"/>
    <cellStyle name="Total 2 2 39" xfId="18885" xr:uid="{81E4FB0A-3036-4D24-AB2A-F568F396D420}"/>
    <cellStyle name="Total 2 2 4" xfId="1618" xr:uid="{C961372A-9D7A-4058-BD62-F0883F872B5C}"/>
    <cellStyle name="Total 2 2 40" xfId="18358" xr:uid="{E3B09C36-14AA-4016-AD14-AE6972CEF94B}"/>
    <cellStyle name="Total 2 2 41" xfId="19949" xr:uid="{99E15CC0-6956-46E5-9B02-1FF8524B5ADA}"/>
    <cellStyle name="Total 2 2 42" xfId="20507" xr:uid="{C2BE7123-1AEC-4C74-9AEC-1A4A0CE8C111}"/>
    <cellStyle name="Total 2 2 43" xfId="20961" xr:uid="{970CD7CA-BDAA-41AB-B5CC-F9EFEC4AD195}"/>
    <cellStyle name="Total 2 2 44" xfId="20887" xr:uid="{6658435C-01D0-4500-BE05-9F56C70ADB7A}"/>
    <cellStyle name="Total 2 2 45" xfId="21891" xr:uid="{C8F76ED9-D53C-45E5-A8B6-47AC3527C337}"/>
    <cellStyle name="Total 2 2 46" xfId="22327" xr:uid="{D371EA5D-F160-441E-852B-D02F5932C8E4}"/>
    <cellStyle name="Total 2 2 47" xfId="21970" xr:uid="{D7BBB383-9DD6-4D4D-A5C0-49F125A0AFF8}"/>
    <cellStyle name="Total 2 2 48" xfId="23160" xr:uid="{B463004E-BD56-4570-A78E-DCC9CA62C782}"/>
    <cellStyle name="Total 2 2 49" xfId="23234" xr:uid="{2732A30B-A361-437A-9ACB-883E59A700B1}"/>
    <cellStyle name="Total 2 2 5" xfId="2389" xr:uid="{7043A4F4-1C20-49F4-B06E-6AA2866AE405}"/>
    <cellStyle name="Total 2 2 50" xfId="23758" xr:uid="{F89591D0-A934-465A-B63E-221BA5F6E239}"/>
    <cellStyle name="Total 2 2 51" xfId="24657" xr:uid="{762D90D8-ED94-434A-9973-5DAFAAD3309B}"/>
    <cellStyle name="Total 2 2 52" xfId="25216" xr:uid="{EF77A6BD-97D7-4744-8F5C-90B5641B4FDB}"/>
    <cellStyle name="Total 2 2 53" xfId="25575" xr:uid="{03E0C424-D2C6-492B-8CB1-073C52C357CA}"/>
    <cellStyle name="Total 2 2 54" xfId="24466" xr:uid="{BF02C62F-22F3-4BB1-992F-51E73C6A4B46}"/>
    <cellStyle name="Total 2 2 55" xfId="25109" xr:uid="{70A7A833-5E1D-4787-A00E-5652E3360D7D}"/>
    <cellStyle name="Total 2 2 56" xfId="26865" xr:uid="{744326D1-DAE1-43AF-A43F-C36E3B67312B}"/>
    <cellStyle name="Total 2 2 57" xfId="27284" xr:uid="{2E4A79FA-5477-4F60-97AA-23076ADD59AF}"/>
    <cellStyle name="Total 2 2 58" xfId="27627" xr:uid="{9E985EBA-4CA0-417F-9A20-1785F01F09F7}"/>
    <cellStyle name="Total 2 2 59" xfId="28407" xr:uid="{27915C52-E408-40E0-9F66-6D5EF8CA5019}"/>
    <cellStyle name="Total 2 2 6" xfId="2148" xr:uid="{66DF7DF1-4A43-4EE7-8F89-324F08320307}"/>
    <cellStyle name="Total 2 2 60" xfId="28875" xr:uid="{04B52A9C-D736-4F66-AAAA-B6A1F6F549DE}"/>
    <cellStyle name="Total 2 2 61" xfId="29357" xr:uid="{56ED2809-5A9C-434B-9A95-B23B28EE22D2}"/>
    <cellStyle name="Total 2 2 62" xfId="29665" xr:uid="{69697DC8-B90B-4B91-9EB7-6A7FE537EA5A}"/>
    <cellStyle name="Total 2 2 63" xfId="30073" xr:uid="{D944ECB5-0BC5-4E12-AA43-38CE8447EAD9}"/>
    <cellStyle name="Total 2 2 64" xfId="30487" xr:uid="{3A1E7A4E-CE52-4390-A950-DDCC3BD65DE1}"/>
    <cellStyle name="Total 2 2 65" xfId="28243" xr:uid="{B50775BA-E631-43A4-B1D2-8747662E362C}"/>
    <cellStyle name="Total 2 2 66" xfId="31111" xr:uid="{928E9A53-7108-46E6-8799-28EB76795711}"/>
    <cellStyle name="Total 2 2 7" xfId="2113" xr:uid="{975222BC-A909-46FF-9E4A-FF77E09BC036}"/>
    <cellStyle name="Total 2 2 8" xfId="3885" xr:uid="{28F4346D-E341-4F91-9A2E-D810D80871A9}"/>
    <cellStyle name="Total 2 2 9" xfId="4323" xr:uid="{F5B70E05-B3AD-45E7-B566-F80505F2C860}"/>
    <cellStyle name="Total 2 20" xfId="9897" xr:uid="{FD9AAC66-3814-47D5-91DE-F32312373C05}"/>
    <cellStyle name="Total 2 21" xfId="10816" xr:uid="{5061EA96-5B72-459C-934F-A51741F9CC99}"/>
    <cellStyle name="Total 2 22" xfId="11538" xr:uid="{1C26C276-A6BD-41C5-B56A-CF4043207D7F}"/>
    <cellStyle name="Total 2 23" xfId="11774" xr:uid="{C08685BB-1FC4-4B0A-8255-4D3339526B12}"/>
    <cellStyle name="Total 2 24" xfId="11759" xr:uid="{DF53615A-7F4B-4EAF-BE01-EFABC10B4981}"/>
    <cellStyle name="Total 2 25" xfId="11607" xr:uid="{CAB7016F-5137-4EDE-BCD9-57BD88F2F7CF}"/>
    <cellStyle name="Total 2 26" xfId="11830" xr:uid="{6294296E-35E1-45CC-AB2B-E339A9580BEE}"/>
    <cellStyle name="Total 2 27" xfId="14547" xr:uid="{10BC865C-D7B0-4AEA-BCA5-470E8175859B}"/>
    <cellStyle name="Total 2 28" xfId="15747" xr:uid="{9683F253-D075-4F93-B092-92A38BE56D7E}"/>
    <cellStyle name="Total 2 29" xfId="16231" xr:uid="{B0A058C2-E01B-40C8-9851-0AFD80AD900C}"/>
    <cellStyle name="Total 2 3" xfId="628" xr:uid="{55627257-95DF-4655-8818-32227CDA6267}"/>
    <cellStyle name="Total 2 3 10" xfId="3190" xr:uid="{997F4E36-0DAF-4A1F-AE97-9AE771C8132C}"/>
    <cellStyle name="Total 2 3 11" xfId="5276" xr:uid="{239D5D7D-99C9-4A88-B239-653F0BCF87F4}"/>
    <cellStyle name="Total 2 3 12" xfId="5680" xr:uid="{46B6B023-2B25-490D-8DCA-AFB161BCD1DA}"/>
    <cellStyle name="Total 2 3 13" xfId="6097" xr:uid="{3823DBF0-8004-4CAA-B6A1-66FB7D9892FE}"/>
    <cellStyle name="Total 2 3 14" xfId="6345" xr:uid="{97330C7B-F456-478D-AF45-3E7D0284061E}"/>
    <cellStyle name="Total 2 3 15" xfId="7348" xr:uid="{CF406EDC-D4E5-401C-9B0B-414176698FD6}"/>
    <cellStyle name="Total 2 3 16" xfId="7733" xr:uid="{0E05D693-F8A8-471C-9818-1721A92C10E3}"/>
    <cellStyle name="Total 2 3 17" xfId="8491" xr:uid="{236B47A8-678C-4017-8D7C-5EFE04BAA32B}"/>
    <cellStyle name="Total 2 3 18" xfId="8470" xr:uid="{7766D2C4-7521-4304-A492-25265843BD8F}"/>
    <cellStyle name="Total 2 3 19" xfId="9562" xr:uid="{7238C7A4-9A3C-47E4-B2D8-87552BC730C2}"/>
    <cellStyle name="Total 2 3 2" xfId="843" xr:uid="{3AEE1952-3493-4EAA-A8A1-5A85E5226B74}"/>
    <cellStyle name="Total 2 3 2 10" xfId="5491" xr:uid="{B88685AC-1E89-4579-BD7A-D25EFEEE410A}"/>
    <cellStyle name="Total 2 3 2 11" xfId="5000" xr:uid="{B665F21D-338D-4B05-AE5F-00B9DE85FE6D}"/>
    <cellStyle name="Total 2 3 2 12" xfId="5691" xr:uid="{26E1B275-30A9-489F-A4E0-08AA40179261}"/>
    <cellStyle name="Total 2 3 2 13" xfId="6323" xr:uid="{AB54177A-5B47-44C9-A31A-D9351F41E7E8}"/>
    <cellStyle name="Total 2 3 2 14" xfId="7563" xr:uid="{DD0265C6-02DD-426C-8EB5-A86352A28AA7}"/>
    <cellStyle name="Total 2 3 2 15" xfId="6778" xr:uid="{E0D33466-0292-4DB8-8827-1D85B469A23E}"/>
    <cellStyle name="Total 2 3 2 16" xfId="8528" xr:uid="{3EF71EBD-BC0C-4FD7-83FC-1744A6138560}"/>
    <cellStyle name="Total 2 3 2 17" xfId="8750" xr:uid="{AB4A8C81-6C2C-4650-997B-45B9ACAE337E}"/>
    <cellStyle name="Total 2 3 2 18" xfId="9777" xr:uid="{01638B97-9667-40D5-9F9D-AE0C2E53713E}"/>
    <cellStyle name="Total 2 3 2 19" xfId="8990" xr:uid="{5B5F6B16-3CBD-48D6-941C-005E8D63E73A}"/>
    <cellStyle name="Total 2 3 2 2" xfId="1317" xr:uid="{EE40DB1A-7A77-420D-B629-5DB19ABFE657}"/>
    <cellStyle name="Total 2 3 2 20" xfId="9971" xr:uid="{B920BE48-9608-4CF0-A9F9-DF189D91F555}"/>
    <cellStyle name="Total 2 3 2 21" xfId="9347" xr:uid="{44D4786E-D711-418B-B43A-D428B3835861}"/>
    <cellStyle name="Total 2 3 2 22" xfId="10964" xr:uid="{D224F06B-BEB7-4342-886B-80F5601610DD}"/>
    <cellStyle name="Total 2 3 2 23" xfId="12196" xr:uid="{3446FB54-D3A7-46A4-84DA-9BE6D751475D}"/>
    <cellStyle name="Total 2 3 2 24" xfId="12669" xr:uid="{9AF3D0A6-794C-4CD6-A745-31C2001F4EC0}"/>
    <cellStyle name="Total 2 3 2 25" xfId="13103" xr:uid="{A5FD8799-D2E4-4544-A738-E55C9DB35A71}"/>
    <cellStyle name="Total 2 3 2 26" xfId="13540" xr:uid="{ABE49C2B-5098-4749-9616-658F63253B43}"/>
    <cellStyle name="Total 2 3 2 27" xfId="11769" xr:uid="{FCB3D333-B620-408B-85C6-04733104FD17}"/>
    <cellStyle name="Total 2 3 2 28" xfId="13795" xr:uid="{60C8B148-AEFA-4BD4-B6D2-90ED34730B17}"/>
    <cellStyle name="Total 2 3 2 29" xfId="14122" xr:uid="{4DADF266-48A1-4DF6-A5E8-F03B16C10075}"/>
    <cellStyle name="Total 2 3 2 3" xfId="1766" xr:uid="{32A26998-C8EA-4E0C-9ED9-2C192C7F8564}"/>
    <cellStyle name="Total 2 3 2 30" xfId="14821" xr:uid="{C8D48920-8DAE-4039-BDE6-10A2A62D2ACA}"/>
    <cellStyle name="Total 2 3 2 31" xfId="15079" xr:uid="{647C3EB1-4A73-4F84-97E1-7DC2D1E3E909}"/>
    <cellStyle name="Total 2 3 2 32" xfId="15049" xr:uid="{ABE55917-6EDB-4838-A79C-05CC549DE9F8}"/>
    <cellStyle name="Total 2 3 2 33" xfId="16888" xr:uid="{E96E0A62-6A70-490B-8ABB-122760D11F6C}"/>
    <cellStyle name="Total 2 3 2 34" xfId="16087" xr:uid="{E6178DB3-F363-4063-8E7B-66328E5C3F11}"/>
    <cellStyle name="Total 2 3 2 35" xfId="17087" xr:uid="{6FEAC58C-410D-47A1-B78B-A32715B96DE0}"/>
    <cellStyle name="Total 2 3 2 36" xfId="17786" xr:uid="{D3953827-FEE0-4C97-B7D6-DA39EAAFE7DE}"/>
    <cellStyle name="Total 2 3 2 37" xfId="18706" xr:uid="{093F3224-F98B-4660-B89F-1423B6A36028}"/>
    <cellStyle name="Total 2 3 2 38" xfId="18848" xr:uid="{27806761-9FC3-4DEE-877D-305D9DFEC185}"/>
    <cellStyle name="Total 2 3 2 39" xfId="17819" xr:uid="{1C4D19F9-0C92-4C06-8DBB-FB35B795E881}"/>
    <cellStyle name="Total 2 3 2 4" xfId="2665" xr:uid="{7418554C-B518-493D-94FF-0CC517211439}"/>
    <cellStyle name="Total 2 3 2 40" xfId="20225" xr:uid="{DAA62B43-A5C7-4E3B-9516-AEB5750D10F2}"/>
    <cellStyle name="Total 2 3 2 41" xfId="19420" xr:uid="{3F005F7D-0C4D-4DA5-97D0-1ECD41A1B5AC}"/>
    <cellStyle name="Total 2 3 2 42" xfId="19800" xr:uid="{9FF45B4E-91A6-4F8F-A01D-757357D84005}"/>
    <cellStyle name="Total 2 3 2 43" xfId="21279" xr:uid="{ECC4C417-F304-4E9F-BF1B-7EAD403D0C0D}"/>
    <cellStyle name="Total 2 3 2 44" xfId="20949" xr:uid="{8E285A5A-E1D8-40BB-9B41-C635F8F5ECF1}"/>
    <cellStyle name="Total 2 3 2 45" xfId="21824" xr:uid="{C45B0F21-3D04-44C3-8A7C-CF7720E725D2}"/>
    <cellStyle name="Total 2 3 2 46" xfId="21833" xr:uid="{B087719A-851F-48CA-96FD-F23FC14EF853}"/>
    <cellStyle name="Total 2 3 2 47" xfId="23124" xr:uid="{E5206F78-1952-4F9A-9AB2-FF35FEB4DACA}"/>
    <cellStyle name="Total 2 3 2 48" xfId="21345" xr:uid="{9085E71C-BE26-4B21-87B7-364D228EE7B6}"/>
    <cellStyle name="Total 2 3 2 49" xfId="24025" xr:uid="{C1815D9B-ACB5-4416-B241-1B760DB91251}"/>
    <cellStyle name="Total 2 3 2 5" xfId="2250" xr:uid="{F6E3C130-6309-4B84-9683-CF6A57F2C82F}"/>
    <cellStyle name="Total 2 3 2 50" xfId="24933" xr:uid="{015DFE38-1AFF-4F71-BA45-5E640EDA276D}"/>
    <cellStyle name="Total 2 3 2 51" xfId="24144" xr:uid="{E60A10C5-618B-4198-AF86-E25D9BC9AA80}"/>
    <cellStyle name="Total 2 3 2 52" xfId="25849" xr:uid="{9DA5C114-7087-4FFB-95F8-FC1E791680A9}"/>
    <cellStyle name="Total 2 3 2 53" xfId="24537" xr:uid="{16A4E8F4-675D-4A14-ACC6-C2515CE23D6E}"/>
    <cellStyle name="Total 2 3 2 54" xfId="25499" xr:uid="{FF297930-43C9-4CE6-BE35-6FD083ACCB1E}"/>
    <cellStyle name="Total 2 3 2 55" xfId="27137" xr:uid="{79BC0FA9-8468-4041-B238-D398CDAF5CAC}"/>
    <cellStyle name="Total 2 3 2 56" xfId="27556" xr:uid="{9FF31FFE-58EA-40B1-908C-E49F473D2FE2}"/>
    <cellStyle name="Total 2 3 2 57" xfId="26566" xr:uid="{7D7DB265-B5E6-436F-A9ED-879B07D9376C}"/>
    <cellStyle name="Total 2 3 2 58" xfId="28683" xr:uid="{0F884C04-913D-4D98-82E1-9D36BDFBBAC4}"/>
    <cellStyle name="Total 2 3 2 59" xfId="29150" xr:uid="{6FCDDC42-5950-46B5-9C7C-C03658894908}"/>
    <cellStyle name="Total 2 3 2 6" xfId="2992" xr:uid="{B13B0D94-E8B6-4D7C-AD98-7971BE41A6FD}"/>
    <cellStyle name="Total 2 3 2 60" xfId="28283" xr:uid="{7B315E77-13A9-42D9-941A-2A8D3D0C6BFE}"/>
    <cellStyle name="Total 2 3 2 61" xfId="29939" xr:uid="{B0447862-0ED1-4558-917A-1DC1FEF5BFF5}"/>
    <cellStyle name="Total 2 3 2 62" xfId="30345" xr:uid="{645A06FA-1C66-4629-80E6-8C3AF55F037D}"/>
    <cellStyle name="Total 2 3 2 63" xfId="30762" xr:uid="{3F050B5A-E8DD-497E-AB68-2730D23FC4DB}"/>
    <cellStyle name="Total 2 3 2 64" xfId="29595" xr:uid="{C3F1688D-4B4A-457F-B749-6314FFD60A46}"/>
    <cellStyle name="Total 2 3 2 65" xfId="31378" xr:uid="{40A19C7E-C5C7-4BAB-B4D6-884655DA5235}"/>
    <cellStyle name="Total 2 3 2 7" xfId="4161" xr:uid="{50082725-FC73-4629-A377-0E94CA30CF6A}"/>
    <cellStyle name="Total 2 3 2 8" xfId="4598" xr:uid="{8BB561EC-819B-4C30-A670-55206F600853}"/>
    <cellStyle name="Total 2 3 2 9" xfId="3248" xr:uid="{1714291C-D96D-4108-AF73-C819ECEEE59E}"/>
    <cellStyle name="Total 2 3 20" xfId="9947" xr:uid="{350C608B-95AA-4D0D-B549-EB6E8278CF37}"/>
    <cellStyle name="Total 2 3 21" xfId="10377" xr:uid="{64994DBB-2B7D-4275-B806-AC38D090C899}"/>
    <cellStyle name="Total 2 3 22" xfId="10833" xr:uid="{21B9E8C1-31BB-4FE3-8F21-7CD0A65A9F72}"/>
    <cellStyle name="Total 2 3 23" xfId="11151" xr:uid="{D9BF8DC4-B725-4C55-9198-004145760562}"/>
    <cellStyle name="Total 2 3 24" xfId="11981" xr:uid="{9D522476-DC7E-4ED1-812C-55CA22EBC8A9}"/>
    <cellStyle name="Total 2 3 25" xfId="12454" xr:uid="{68A1373B-6A90-4601-B08F-D98B4E09AE10}"/>
    <cellStyle name="Total 2 3 26" xfId="12888" xr:uid="{7B8F6F84-7558-410E-A64D-4AAC22FE056D}"/>
    <cellStyle name="Total 2 3 27" xfId="13325" xr:uid="{4508A67C-B4BA-4FEB-9531-3A125EFE919F}"/>
    <cellStyle name="Total 2 3 28" xfId="12262" xr:uid="{0C89CE38-6EF0-486B-AD48-2C95E2DC7A61}"/>
    <cellStyle name="Total 2 3 29" xfId="14305" xr:uid="{9234F12A-987B-401E-B883-ACDD5172A86B}"/>
    <cellStyle name="Total 2 3 3" xfId="1111" xr:uid="{93326FA8-275C-41B1-85F0-DE055EE7D437}"/>
    <cellStyle name="Total 2 3 30" xfId="14652" xr:uid="{D646BF51-AF93-485E-877F-4F15EB774603}"/>
    <cellStyle name="Total 2 3 31" xfId="12954" xr:uid="{A3C43288-D3D3-4CCE-9546-946DB6A9127F}"/>
    <cellStyle name="Total 2 3 32" xfId="14833" xr:uid="{41309BE4-E694-4487-8FC7-EA484E5561D7}"/>
    <cellStyle name="Total 2 3 33" xfId="15827" xr:uid="{D902DA2E-A9E0-426E-93B8-81636973C953}"/>
    <cellStyle name="Total 2 3 34" xfId="16673" xr:uid="{797ADC24-F77E-4883-BD8F-E0CDED0EAF4A}"/>
    <cellStyle name="Total 2 3 35" xfId="17061" xr:uid="{15B08220-35BB-4144-80BF-7642908D118E}"/>
    <cellStyle name="Total 2 3 36" xfId="17507" xr:uid="{3BC9FDC4-E0A3-4938-A083-9C878EA84E4A}"/>
    <cellStyle name="Total 2 3 37" xfId="17904" xr:uid="{87134410-9ADD-4EB2-8E70-ED6546FE6F49}"/>
    <cellStyle name="Total 2 3 38" xfId="18491" xr:uid="{93CE482A-597A-40DF-8492-5E6BADE12B78}"/>
    <cellStyle name="Total 2 3 39" xfId="18154" xr:uid="{D3099B5B-72F6-4FAB-A772-03AED232C804}"/>
    <cellStyle name="Total 2 3 4" xfId="1617" xr:uid="{B36758A2-917A-4EFA-A755-765207A21401}"/>
    <cellStyle name="Total 2 3 40" xfId="19329" xr:uid="{B1AC1576-D68E-484D-BF7D-020D2DE30D49}"/>
    <cellStyle name="Total 2 3 41" xfId="20010" xr:uid="{71C6272C-36B2-4D80-9D34-0B189A02E32C}"/>
    <cellStyle name="Total 2 3 42" xfId="20413" xr:uid="{F09E8640-9359-4677-8FEC-F2FC5E2F0631}"/>
    <cellStyle name="Total 2 3 43" xfId="20866" xr:uid="{64F72567-D9DD-4793-B1A4-BD93A95C8CEA}"/>
    <cellStyle name="Total 2 3 44" xfId="21230" xr:uid="{635411C6-CBFB-465D-B77B-1152BE4F3C3E}"/>
    <cellStyle name="Total 2 3 45" xfId="21798" xr:uid="{228D894F-AAE9-40FA-A4C3-2DE955CFC3D4}"/>
    <cellStyle name="Total 2 3 46" xfId="22235" xr:uid="{254837CD-C5B0-4E25-BB72-CBC38502FA2D}"/>
    <cellStyle name="Total 2 3 47" xfId="22360" xr:uid="{F0876ADD-B368-4A60-86CD-F253C6BEA318}"/>
    <cellStyle name="Total 2 3 48" xfId="21975" xr:uid="{07CB207C-1F81-4BB1-8356-5278BD6E72FD}"/>
    <cellStyle name="Total 2 3 49" xfId="23592" xr:uid="{BF2B955B-B5AF-4BD3-9028-DEAE95C4E2BF}"/>
    <cellStyle name="Total 2 3 5" xfId="2450" xr:uid="{B773F1B0-882C-448D-8C22-858B5281543B}"/>
    <cellStyle name="Total 2 3 50" xfId="23819" xr:uid="{E2749DA7-32D4-4866-B33F-475A036D4B25}"/>
    <cellStyle name="Total 2 3 51" xfId="24718" xr:uid="{FA7F0FCA-5D47-42E8-A9E9-6B07DC897399}"/>
    <cellStyle name="Total 2 3 52" xfId="25121" xr:uid="{A1949B01-93C7-4990-9E95-8FB8091F250A}"/>
    <cellStyle name="Total 2 3 53" xfId="25636" xr:uid="{29ED1D4E-A37A-47DB-96F1-85FA7AE3B0A1}"/>
    <cellStyle name="Total 2 3 54" xfId="24271" xr:uid="{2A5E5FA1-4324-4A52-AE9A-57E61B1B35C0}"/>
    <cellStyle name="Total 2 3 55" xfId="26045" xr:uid="{8868BE09-3035-47F2-8212-C3A01C02998D}"/>
    <cellStyle name="Total 2 3 56" xfId="26926" xr:uid="{DBA08B9B-4E76-4CB2-B793-6899147F26DA}"/>
    <cellStyle name="Total 2 3 57" xfId="27345" xr:uid="{3893F948-80F3-46F9-9099-BEB4BE4EE209}"/>
    <cellStyle name="Total 2 3 58" xfId="26791" xr:uid="{AA6B3313-7907-4111-B083-C2F84ACCCF51}"/>
    <cellStyle name="Total 2 3 59" xfId="28468" xr:uid="{B1AAA858-68CD-48D3-9896-69E173A70188}"/>
    <cellStyle name="Total 2 3 6" xfId="2051" xr:uid="{0DB7C6B1-8702-4A2F-A505-CFE74D653553}"/>
    <cellStyle name="Total 2 3 60" xfId="28936" xr:uid="{BCE38E1C-3A57-42C4-8237-BF319163972C}"/>
    <cellStyle name="Total 2 3 61" xfId="29276" xr:uid="{A4C2033A-F860-4945-8150-DDFF417C40BE}"/>
    <cellStyle name="Total 2 3 62" xfId="29726" xr:uid="{B1C9800B-3842-4F29-AAD3-A7B21661F8AD}"/>
    <cellStyle name="Total 2 3 63" xfId="30134" xr:uid="{741D9F97-6E15-45C4-9237-4882BDDACAE0}"/>
    <cellStyle name="Total 2 3 64" xfId="30548" xr:uid="{E0C94733-D7BC-46BE-AAD9-25B5C2A8BE6B}"/>
    <cellStyle name="Total 2 3 65" xfId="31020" xr:uid="{AA25BBEB-17B9-4D90-B685-F166616CC9A3}"/>
    <cellStyle name="Total 2 3 66" xfId="31172" xr:uid="{9994986A-F937-4159-A1DB-F3BB47A4F14C}"/>
    <cellStyle name="Total 2 3 7" xfId="1924" xr:uid="{AF3F6FF6-E0FE-4DEB-A8C6-D3869FEE1534}"/>
    <cellStyle name="Total 2 3 8" xfId="3946" xr:uid="{6066546B-65C0-4A6D-BF44-ED5C2FCDE941}"/>
    <cellStyle name="Total 2 3 9" xfId="4384" xr:uid="{DE0927A6-332F-4A9C-B70F-04F204AA5B39}"/>
    <cellStyle name="Total 2 30" xfId="17011" xr:uid="{5DDBF5D2-6032-490B-9454-1D863513A304}"/>
    <cellStyle name="Total 2 31" xfId="18112" xr:uid="{DE7C974D-6655-41C8-9EED-BE35BA7207C7}"/>
    <cellStyle name="Total 2 32" xfId="17214" xr:uid="{950A4F02-AEA4-48C7-BA2D-2F8040A14832}"/>
    <cellStyle name="Total 2 33" xfId="18945" xr:uid="{481D06D3-DFFE-46C9-98E9-7E83B7338E01}"/>
    <cellStyle name="Total 2 34" xfId="19564" xr:uid="{6D95ECE3-ECBA-45F9-8B07-B84DE41967D4}"/>
    <cellStyle name="Total 2 35" xfId="20360" xr:uid="{CE97D4B9-5F28-4670-AE27-5E323D6485C6}"/>
    <cellStyle name="Total 2 36" xfId="22185" xr:uid="{E57667C5-BBFE-4678-AD40-7D8EEE36AF40}"/>
    <cellStyle name="Total 2 37" xfId="19518" xr:uid="{3E55C539-8F7B-4A9C-8D4F-CAAEABEE8291}"/>
    <cellStyle name="Total 2 38" xfId="23647" xr:uid="{C0B469DA-902C-497D-ABC0-76CA028ED299}"/>
    <cellStyle name="Total 2 39" xfId="24285" xr:uid="{6F3E0C53-E166-4817-A0DC-ED2D1FEF36A1}"/>
    <cellStyle name="Total 2 4" xfId="516" xr:uid="{0B73846E-22CE-476B-B20B-D050F8EAE4E3}"/>
    <cellStyle name="Total 2 4 10" xfId="4838" xr:uid="{A9950C48-E8A5-4270-AC3C-6353113DBC62}"/>
    <cellStyle name="Total 2 4 11" xfId="5164" xr:uid="{5356B8CE-D9C2-4E7A-956C-3EAD0F99B11A}"/>
    <cellStyle name="Total 2 4 12" xfId="3049" xr:uid="{D40BACDB-5175-4928-9EF7-11F86298C790}"/>
    <cellStyle name="Total 2 4 13" xfId="2068" xr:uid="{406EF8F3-49B9-4FBC-B006-8E878E8BFA68}"/>
    <cellStyle name="Total 2 4 14" xfId="6457" xr:uid="{9A60C5E7-BD2D-44C8-A039-FA87FE3438D4}"/>
    <cellStyle name="Total 2 4 15" xfId="7236" xr:uid="{7B1CD1BC-1C0B-4530-B689-464350A39F3E}"/>
    <cellStyle name="Total 2 4 16" xfId="6874" xr:uid="{C25A479C-BF77-4B3F-8EFB-9CD92E8E2C49}"/>
    <cellStyle name="Total 2 4 17" xfId="7816" xr:uid="{A1F91BCF-FA43-48AB-851C-D5D99931C626}"/>
    <cellStyle name="Total 2 4 18" xfId="8620" xr:uid="{BB0E4881-242B-496A-AA2E-6211E3894297}"/>
    <cellStyle name="Total 2 4 19" xfId="9450" xr:uid="{9EB7EBC4-700A-48A9-A614-034CFC3AC90D}"/>
    <cellStyle name="Total 2 4 2" xfId="731" xr:uid="{A45BEE70-BC05-4004-B43B-56651BC1E1F7}"/>
    <cellStyle name="Total 2 4 2 10" xfId="5379" xr:uid="{9F7648E5-C8DF-4B8F-987F-61C2090A0BFF}"/>
    <cellStyle name="Total 2 4 2 11" xfId="4795" xr:uid="{47B9436D-8195-4DA9-A208-D18D2B280F40}"/>
    <cellStyle name="Total 2 4 2 12" xfId="6091" xr:uid="{FECDEEDF-B894-4F2A-8D30-118D4821CD08}"/>
    <cellStyle name="Total 2 4 2 13" xfId="4780" xr:uid="{3D567DC5-EFEC-4AB7-8D8B-32D04DA17330}"/>
    <cellStyle name="Total 2 4 2 14" xfId="7451" xr:uid="{ED5E52D4-8B90-4CE8-890B-E78E8ED2D7FD}"/>
    <cellStyle name="Total 2 4 2 15" xfId="7051" xr:uid="{296BC25A-280B-40EE-91BE-317E5EE7F7B9}"/>
    <cellStyle name="Total 2 4 2 16" xfId="8341" xr:uid="{675210F7-721F-4DF5-BCD1-59A66A3FBE3C}"/>
    <cellStyle name="Total 2 4 2 17" xfId="7722" xr:uid="{2B6E0371-A061-47DD-9E9D-1C8A35179449}"/>
    <cellStyle name="Total 2 4 2 18" xfId="9665" xr:uid="{34532AC9-18D3-4DA2-8F05-31BDB0EFF6DC}"/>
    <cellStyle name="Total 2 4 2 19" xfId="9264" xr:uid="{749D78C6-21A3-40B2-87A0-9D743A677835}"/>
    <cellStyle name="Total 2 4 2 2" xfId="1205" xr:uid="{7A6F08FA-1C09-406B-8DB7-2E4EBC038769}"/>
    <cellStyle name="Total 2 4 2 20" xfId="10269" xr:uid="{4AE21664-BB9E-4BF0-8573-670A7F379A97}"/>
    <cellStyle name="Total 2 4 2 21" xfId="10897" xr:uid="{43A85F8E-6A64-4239-A369-84F3660942F0}"/>
    <cellStyle name="Total 2 4 2 22" xfId="11155" xr:uid="{8B8EE085-AC97-43B1-8C07-FA04BF660A07}"/>
    <cellStyle name="Total 2 4 2 23" xfId="12084" xr:uid="{8CA13CC9-A704-40AC-B686-65735C1D551E}"/>
    <cellStyle name="Total 2 4 2 24" xfId="12557" xr:uid="{51FBF49E-D2AD-4902-9531-CA22A22A6C45}"/>
    <cellStyle name="Total 2 4 2 25" xfId="12991" xr:uid="{061FDB44-8BCB-4937-B9F9-D2672E89D7AB}"/>
    <cellStyle name="Total 2 4 2 26" xfId="13428" xr:uid="{6122F0EB-DF4C-43E9-8A6F-54D847C459F9}"/>
    <cellStyle name="Total 2 4 2 27" xfId="11396" xr:uid="{8F08238E-CEC6-423F-8356-68D6E0A29165}"/>
    <cellStyle name="Total 2 4 2 28" xfId="13666" xr:uid="{894A67AB-A629-40B8-8F38-81607E2F946D}"/>
    <cellStyle name="Total 2 4 2 29" xfId="14438" xr:uid="{A6AEE1FD-F0F1-4F29-8155-BD5F74A27BF2}"/>
    <cellStyle name="Total 2 4 2 3" xfId="1542" xr:uid="{DD64292E-6E0D-4210-8CA5-5238B8BB988D}"/>
    <cellStyle name="Total 2 4 2 30" xfId="14003" xr:uid="{0DDB5DC5-1F21-450D-AD76-A3297D90827B}"/>
    <cellStyle name="Total 2 4 2 31" xfId="15309" xr:uid="{2B60B4FC-C446-4EF9-83CE-1B1E81B79A00}"/>
    <cellStyle name="Total 2 4 2 32" xfId="15480" xr:uid="{83184F20-0BEE-4636-B3A5-C3FA4343F60E}"/>
    <cellStyle name="Total 2 4 2 33" xfId="16776" xr:uid="{348A290F-7A3A-4FAF-8C51-72B1AC9272B4}"/>
    <cellStyle name="Total 2 4 2 34" xfId="16373" xr:uid="{31D51507-57B8-436A-9172-623607994AF3}"/>
    <cellStyle name="Total 2 4 2 35" xfId="17392" xr:uid="{5B46CE07-824C-479F-A980-26C80CB4F7A3}"/>
    <cellStyle name="Total 2 4 2 36" xfId="17483" xr:uid="{0C0963A9-D945-443D-9DE3-82FFAD5D88E5}"/>
    <cellStyle name="Total 2 4 2 37" xfId="18594" xr:uid="{22AEF992-5EA1-467D-A744-DEE05EE021F0}"/>
    <cellStyle name="Total 2 4 2 38" xfId="17181" xr:uid="{566CEBE1-4EE3-40F0-BEB9-FB14B02C9360}"/>
    <cellStyle name="Total 2 4 2 39" xfId="17944" xr:uid="{9E059BBB-503F-4158-8D34-A43F8E06E323}"/>
    <cellStyle name="Total 2 4 2 4" xfId="2553" xr:uid="{3B5D82AD-686D-4ACB-A31D-12625ED2C8A6}"/>
    <cellStyle name="Total 2 4 2 40" xfId="20113" xr:uid="{72F98347-38EF-45D1-8581-D22C199848BA}"/>
    <cellStyle name="Total 2 4 2 41" xfId="19707" xr:uid="{7E28A9BB-99C0-4FB4-870F-06143C728833}"/>
    <cellStyle name="Total 2 4 2 42" xfId="19532" xr:uid="{0DF5D359-EDE4-4E21-8B71-B6B724704D5E}"/>
    <cellStyle name="Total 2 4 2 43" xfId="20626" xr:uid="{A57DABDE-5963-4F98-853F-389573A43570}"/>
    <cellStyle name="Total 2 4 2 44" xfId="21600" xr:uid="{454E99ED-0D8E-4E3B-A9C7-07EBDF226B5E}"/>
    <cellStyle name="Total 2 4 2 45" xfId="21758" xr:uid="{15294920-CEEE-419F-B3F9-B09CFCD807A7}"/>
    <cellStyle name="Total 2 4 2 46" xfId="21773" xr:uid="{A76C7BC6-F39C-49B6-ADF5-C460EBF241E7}"/>
    <cellStyle name="Total 2 4 2 47" xfId="22173" xr:uid="{A29C55FF-2CCA-4C27-B68E-E317BBB4AB33}"/>
    <cellStyle name="Total 2 4 2 48" xfId="23468" xr:uid="{AFCF4B13-6066-485C-892E-4697844BD18C}"/>
    <cellStyle name="Total 2 4 2 49" xfId="23913" xr:uid="{0409F393-59EA-4CB5-8979-79E9E81617D2}"/>
    <cellStyle name="Total 2 4 2 5" xfId="1859" xr:uid="{F516D0AE-DE8D-422F-A259-BD845E43BCE1}"/>
    <cellStyle name="Total 2 4 2 50" xfId="24821" xr:uid="{D6FCB5AD-34BB-4D7E-9DCF-91524B1CA71A}"/>
    <cellStyle name="Total 2 4 2 51" xfId="24553" xr:uid="{394DFD58-7CEB-44E8-BDE4-C54B70C9FD7A}"/>
    <cellStyle name="Total 2 4 2 52" xfId="25737" xr:uid="{EE2CE38A-7BE8-4DF7-8304-31296F35CDB6}"/>
    <cellStyle name="Total 2 4 2 53" xfId="25194" xr:uid="{BB825221-49D9-4905-A52F-2B55034DE556}"/>
    <cellStyle name="Total 2 4 2 54" xfId="26375" xr:uid="{376BE330-1958-45AB-9C73-05B9427E3C9B}"/>
    <cellStyle name="Total 2 4 2 55" xfId="27025" xr:uid="{13E62442-1CDC-4A42-A585-5D38D197ACF3}"/>
    <cellStyle name="Total 2 4 2 56" xfId="27444" xr:uid="{088E4B57-C2FA-455B-A4BD-71D8F166ED6D}"/>
    <cellStyle name="Total 2 4 2 57" xfId="27699" xr:uid="{E07D2EF8-E597-43E2-A586-E58FF21FE095}"/>
    <cellStyle name="Total 2 4 2 58" xfId="28571" xr:uid="{E3D8DFAE-7DDE-4F9E-87EB-DC42FD671978}"/>
    <cellStyle name="Total 2 4 2 59" xfId="29038" xr:uid="{242EE5FF-59E1-4774-8314-EE61C063B957}"/>
    <cellStyle name="Total 2 4 2 6" xfId="3628" xr:uid="{E7D7402E-F327-443A-B143-A38BAB97EDEF}"/>
    <cellStyle name="Total 2 4 2 60" xfId="28006" xr:uid="{322DF31F-64D4-4DDE-920A-D309B64BC6B9}"/>
    <cellStyle name="Total 2 4 2 61" xfId="29827" xr:uid="{7E85B487-2150-4AB0-BB7D-C21856E55EA1}"/>
    <cellStyle name="Total 2 4 2 62" xfId="30233" xr:uid="{D9E0B000-6195-4410-AFFB-AC4CD4FC29E1}"/>
    <cellStyle name="Total 2 4 2 63" xfId="30650" xr:uid="{0822518F-8B53-4ED7-B234-C98B0053B81C}"/>
    <cellStyle name="Total 2 4 2 64" xfId="29590" xr:uid="{A27B5F36-5F88-417D-9A63-F0F01A769CA8}"/>
    <cellStyle name="Total 2 4 2 65" xfId="31266" xr:uid="{07B16E86-ED32-44D5-8BA5-B5F277B845D0}"/>
    <cellStyle name="Total 2 4 2 7" xfId="4049" xr:uid="{E6D3BC3B-CDA1-4DD9-8CE4-26686CEF1203}"/>
    <cellStyle name="Total 2 4 2 8" xfId="4486" xr:uid="{36713731-6E7C-40FD-B2AA-E1AC860DB988}"/>
    <cellStyle name="Total 2 4 2 9" xfId="2220" xr:uid="{CAAC032F-9397-40EC-BFD7-9D7B1ECF867F}"/>
    <cellStyle name="Total 2 4 20" xfId="9087" xr:uid="{7EFF3387-ABB3-467A-B85A-F67A12C74F7A}"/>
    <cellStyle name="Total 2 4 21" xfId="10264" xr:uid="{822C2AE6-2DA8-4697-8AAF-61F2B6D366D2}"/>
    <cellStyle name="Total 2 4 22" xfId="10691" xr:uid="{4100C793-B34F-4B2F-8947-EE38BF6985FC}"/>
    <cellStyle name="Total 2 4 23" xfId="11270" xr:uid="{7D1876CB-DD6D-4F4F-8431-2BD0B48B3869}"/>
    <cellStyle name="Total 2 4 24" xfId="11869" xr:uid="{4F640C4C-C80A-4DC7-853A-7FDDE68E8620}"/>
    <cellStyle name="Total 2 4 25" xfId="12342" xr:uid="{4307EF43-3B18-481D-AE1E-4D39B480C2B6}"/>
    <cellStyle name="Total 2 4 26" xfId="12776" xr:uid="{4364BC9E-7459-4C4B-A7B8-5FE93262B19C}"/>
    <cellStyle name="Total 2 4 27" xfId="13213" xr:uid="{05587FAC-A9A3-4801-BEAF-85DF1C681513}"/>
    <cellStyle name="Total 2 4 28" xfId="11834" xr:uid="{6BE9195D-E173-4D82-9C49-73B3ACFEE929}"/>
    <cellStyle name="Total 2 4 29" xfId="14343" xr:uid="{261672B8-00DC-4760-B156-D8CB5CA2E0C6}"/>
    <cellStyle name="Total 2 4 3" xfId="999" xr:uid="{5094BE0F-C131-4224-9A2A-203F58291804}"/>
    <cellStyle name="Total 2 4 30" xfId="14787" xr:uid="{5870CCE9-E2FD-41F5-A9E4-24C30F55518E}"/>
    <cellStyle name="Total 2 4 31" xfId="11835" xr:uid="{1F0EB60B-F48E-4275-AD4D-968FF4340F96}"/>
    <cellStyle name="Total 2 4 32" xfId="15522" xr:uid="{BCFF1897-0D83-4618-BB51-589C8863F742}"/>
    <cellStyle name="Total 2 4 33" xfId="14157" xr:uid="{D9164A24-5674-4787-BB42-404B76CE15CB}"/>
    <cellStyle name="Total 2 4 34" xfId="16561" xr:uid="{893C47FB-DA35-4F1B-AC88-35888CCB12FC}"/>
    <cellStyle name="Total 2 4 35" xfId="16190" xr:uid="{2BF8C71D-7010-4F15-AA6B-1F2BE745E1EB}"/>
    <cellStyle name="Total 2 4 36" xfId="17386" xr:uid="{BE15501B-F5BA-419A-BF3D-3A78D57E023F}"/>
    <cellStyle name="Total 2 4 37" xfId="18160" xr:uid="{1B10DCA6-5A4C-4B23-A4D1-147660A231E7}"/>
    <cellStyle name="Total 2 4 38" xfId="18379" xr:uid="{44613CAD-9972-4CB7-BC3C-47117837A580}"/>
    <cellStyle name="Total 2 4 39" xfId="17000" xr:uid="{D6AE22D2-22B0-4898-A963-950868349AAD}"/>
    <cellStyle name="Total 2 4 4" xfId="1528" xr:uid="{B1D24B1A-D937-425B-8087-48465D6E763B}"/>
    <cellStyle name="Total 2 4 40" xfId="19091" xr:uid="{6BD1C637-143B-477E-B103-22EB15E75E26}"/>
    <cellStyle name="Total 2 4 41" xfId="19898" xr:uid="{B0910309-6D31-4B63-AA9C-EF92ABEF4E04}"/>
    <cellStyle name="Total 2 4 42" xfId="19522" xr:uid="{2EF1CDFA-E828-4A24-BF3B-3102DC7A8E09}"/>
    <cellStyle name="Total 2 4 43" xfId="19739" xr:uid="{A202CC2B-7F06-45C6-8B2B-24AD58E75CA3}"/>
    <cellStyle name="Total 2 4 44" xfId="19813" xr:uid="{EC3B861D-37DB-40F0-B18A-2A3B7C07C1A4}"/>
    <cellStyle name="Total 2 4 45" xfId="21625" xr:uid="{F115D0B8-771D-4E6B-BCC9-342348AEA01E}"/>
    <cellStyle name="Total 2 4 46" xfId="21496" xr:uid="{5C67FDBC-5DCA-455D-8133-605CCBD0D9E5}"/>
    <cellStyle name="Total 2 4 47" xfId="22442" xr:uid="{16F68E93-FC9A-4863-9347-03810F022AF2}"/>
    <cellStyle name="Total 2 4 48" xfId="21523" xr:uid="{8A4B7B16-3C97-4A7A-A08B-9181A1907667}"/>
    <cellStyle name="Total 2 4 49" xfId="23433" xr:uid="{FC67957A-C07B-4A4A-BE36-C156EE4A46E9}"/>
    <cellStyle name="Total 2 4 5" xfId="2338" xr:uid="{CAFC3962-DE41-4CA1-932F-0DA4959612AE}"/>
    <cellStyle name="Total 2 4 50" xfId="23707" xr:uid="{F72DDFB2-B398-4977-AE45-38B3D245B091}"/>
    <cellStyle name="Total 2 4 51" xfId="24606" xr:uid="{BA6F6570-0029-4057-B3BF-9888F79E0BA4}"/>
    <cellStyle name="Total 2 4 52" xfId="24488" xr:uid="{82AA7D21-9573-46DD-9EB8-51BDEA27D608}"/>
    <cellStyle name="Total 2 4 53" xfId="25524" xr:uid="{A65A5FD9-F819-4299-83D6-14F04880961A}"/>
    <cellStyle name="Total 2 4 54" xfId="25916" xr:uid="{A5C6D55F-5B0E-4E82-988D-938A6E810376}"/>
    <cellStyle name="Total 2 4 55" xfId="26202" xr:uid="{03752D45-5F47-4DFC-99DA-161FFFC0E56B}"/>
    <cellStyle name="Total 2 4 56" xfId="26814" xr:uid="{9D794DA4-DE3D-4746-B338-03ECA87FF58D}"/>
    <cellStyle name="Total 2 4 57" xfId="27233" xr:uid="{482E7E4F-540A-4619-A145-9725C7782B9E}"/>
    <cellStyle name="Total 2 4 58" xfId="26402" xr:uid="{A0F2B635-919B-4969-9708-FAEF6AF63F8C}"/>
    <cellStyle name="Total 2 4 59" xfId="28356" xr:uid="{42AF2491-2A0E-477F-AD72-2BC43AA114AA}"/>
    <cellStyle name="Total 2 4 6" xfId="2178" xr:uid="{E2FF3403-F6F9-48BA-AF86-9E80D8A23CBE}"/>
    <cellStyle name="Total 2 4 60" xfId="28824" xr:uid="{310688A9-6DB5-413B-8F55-41A411C5CD42}"/>
    <cellStyle name="Total 2 4 61" xfId="28246" xr:uid="{04C4C9B4-014D-4760-95FD-78DEF192EC01}"/>
    <cellStyle name="Total 2 4 62" xfId="29614" xr:uid="{B94B53F4-E767-460C-95F5-24883A6EB492}"/>
    <cellStyle name="Total 2 4 63" xfId="30022" xr:uid="{46326CA2-1473-4389-8ABB-3B79399F2BFC}"/>
    <cellStyle name="Total 2 4 64" xfId="30436" xr:uid="{4C0EEC7A-6282-4559-A034-69DAA973523C}"/>
    <cellStyle name="Total 2 4 65" xfId="29228" xr:uid="{7F975753-2881-49AD-A976-6CCFFED541C2}"/>
    <cellStyle name="Total 2 4 66" xfId="31060" xr:uid="{332F391F-AEE1-40AE-AFCE-FFE1642181D8}"/>
    <cellStyle name="Total 2 4 7" xfId="3043" xr:uid="{033491EF-ECC0-4E9C-A4A4-18DEC801D910}"/>
    <cellStyle name="Total 2 4 8" xfId="3834" xr:uid="{2645B7A1-9E2C-4CC3-821C-6043087BC99C}"/>
    <cellStyle name="Total 2 4 9" xfId="4272" xr:uid="{A628DC69-DD94-456E-9C70-2814CFE88AF5}"/>
    <cellStyle name="Total 2 40" xfId="25005" xr:uid="{05753C5C-25BB-4A51-9226-00B8BA9FB336}"/>
    <cellStyle name="Total 2 41" xfId="25006" xr:uid="{BB584B4A-8083-400A-9036-E73FE361B852}"/>
    <cellStyle name="Total 2 42" xfId="26058" xr:uid="{872C5264-8A74-4FC3-9C92-37574A69D343}"/>
    <cellStyle name="Total 2 43" xfId="26417" xr:uid="{6BFBC712-CEC4-4B15-B812-6BDB2DAC2558}"/>
    <cellStyle name="Total 2 44" xfId="25478" xr:uid="{F26B4F4C-E2E8-42F3-8E0A-44BA1E4E3061}"/>
    <cellStyle name="Total 2 45" xfId="26440" xr:uid="{D7A90A73-9C29-4D30-BD49-BA8AFC1E3E10}"/>
    <cellStyle name="Total 2 46" xfId="28065" xr:uid="{F3471B69-0953-4D5D-955F-3EDEADAD9B0E}"/>
    <cellStyle name="Total 2 47" xfId="28276" xr:uid="{64DDBE84-0285-4F04-86CC-EEDE5C5D502A}"/>
    <cellStyle name="Total 2 48" xfId="27924" xr:uid="{66D915B3-CB46-4FA9-8BB8-D9CDABB5BA7D}"/>
    <cellStyle name="Total 2 49" xfId="29460" xr:uid="{144DB8DE-DDEE-4EC1-9E3A-5A774AAEA646}"/>
    <cellStyle name="Total 2 5" xfId="687" xr:uid="{0B1DB48D-FB38-4812-B642-6A272B45395A}"/>
    <cellStyle name="Total 2 5 10" xfId="5335" xr:uid="{65C6E20C-726F-4510-A1F4-09447C194FD9}"/>
    <cellStyle name="Total 2 5 11" xfId="3437" xr:uid="{3BAA2A7D-4A17-4454-9E17-4F7FAEF151CD}"/>
    <cellStyle name="Total 2 5 12" xfId="6211" xr:uid="{6652B0FA-0253-443B-AC77-2B6AEF366AB9}"/>
    <cellStyle name="Total 2 5 13" xfId="6543" xr:uid="{90A16031-EEC6-4C0A-8F36-615BF49FBCBA}"/>
    <cellStyle name="Total 2 5 14" xfId="7407" xr:uid="{BD7C49BB-2F6A-437D-B487-C273CA88C50E}"/>
    <cellStyle name="Total 2 5 15" xfId="7781" xr:uid="{A0BDCEAC-C9C9-4735-945A-35C3F80B6E65}"/>
    <cellStyle name="Total 2 5 16" xfId="7048" xr:uid="{5C610424-2B47-4C2F-8D21-6CDF71DEB47D}"/>
    <cellStyle name="Total 2 5 17" xfId="7420" xr:uid="{3D8CFE1A-B794-40F8-B8D6-EB597EFFFCC2}"/>
    <cellStyle name="Total 2 5 18" xfId="9621" xr:uid="{D0244560-AE5F-4EE7-80BE-997E6B85EEEE}"/>
    <cellStyle name="Total 2 5 19" xfId="9994" xr:uid="{74BA464C-556B-4119-AB76-1150B043387D}"/>
    <cellStyle name="Total 2 5 2" xfId="1169" xr:uid="{0104783A-720B-41CB-B5D5-B8D3BE293D6D}"/>
    <cellStyle name="Total 2 5 20" xfId="10419" xr:uid="{2D5FD17A-3A11-4726-83AD-D4413C482A2F}"/>
    <cellStyle name="Total 2 5 21" xfId="10765" xr:uid="{FEBA90E5-2A64-4558-A8A5-43A8864BAB6E}"/>
    <cellStyle name="Total 2 5 22" xfId="10890" xr:uid="{00A62048-2A11-4248-B1D8-F0BE52AB1E7F}"/>
    <cellStyle name="Total 2 5 23" xfId="12040" xr:uid="{681460C0-F891-4C21-956A-650093961AD3}"/>
    <cellStyle name="Total 2 5 24" xfId="12513" xr:uid="{F95DC00A-7122-4C0D-9B6F-86C6BD25AB72}"/>
    <cellStyle name="Total 2 5 25" xfId="12947" xr:uid="{04565E78-A030-403D-B262-F71B663F4C50}"/>
    <cellStyle name="Total 2 5 26" xfId="13384" xr:uid="{E7ED8B32-E477-438B-8F61-56F555FDF0C5}"/>
    <cellStyle name="Total 2 5 27" xfId="12307" xr:uid="{1949D1D5-2221-4A9A-8FAD-4AD5E32A92C6}"/>
    <cellStyle name="Total 2 5 28" xfId="14196" xr:uid="{CDBD4A3E-25D5-4BEE-AF94-B571A9CF55CA}"/>
    <cellStyle name="Total 2 5 29" xfId="14648" xr:uid="{3C2FA8EA-D76C-4B84-A5CE-65A680A4AF48}"/>
    <cellStyle name="Total 2 5 3" xfId="1604" xr:uid="{757C771F-3B8A-4BF3-8B44-3C12F448CD63}"/>
    <cellStyle name="Total 2 5 30" xfId="15258" xr:uid="{161F468C-D170-4E24-BECA-DA41239DD588}"/>
    <cellStyle name="Total 2 5 31" xfId="15537" xr:uid="{8C46B859-EFA8-4AD2-B713-C496BEF6B2D5}"/>
    <cellStyle name="Total 2 5 32" xfId="15850" xr:uid="{16EDA3D9-DA3A-48FA-9E52-99D9B4378E22}"/>
    <cellStyle name="Total 2 5 33" xfId="16732" xr:uid="{10746585-26E9-4843-8C67-D38CCA335479}"/>
    <cellStyle name="Total 2 5 34" xfId="17110" xr:uid="{028C85EA-9EBD-47DD-B3B3-7EA5B9025C02}"/>
    <cellStyle name="Total 2 5 35" xfId="17557" xr:uid="{C1508B29-C06F-4AB3-9DAC-31ED1A3413A3}"/>
    <cellStyle name="Total 2 5 36" xfId="18148" xr:uid="{0EFB2A4F-BC94-43D4-9AA6-2C8C3FDCD2B5}"/>
    <cellStyle name="Total 2 5 37" xfId="18550" xr:uid="{FAABD177-BBD0-42B8-A4F2-82512508D96E}"/>
    <cellStyle name="Total 2 5 38" xfId="17872" xr:uid="{0BA70812-BCB4-4E90-ACFE-D909FBB3123E}"/>
    <cellStyle name="Total 2 5 39" xfId="19206" xr:uid="{79AA0679-46B7-45A0-96AF-31B261AEF425}"/>
    <cellStyle name="Total 2 5 4" xfId="2509" xr:uid="{141A9DC0-A0E3-40B0-B112-B87D379BD019}"/>
    <cellStyle name="Total 2 5 40" xfId="20069" xr:uid="{1BDB0A59-E63D-4233-95A9-1978231B7C43}"/>
    <cellStyle name="Total 2 5 41" xfId="20463" xr:uid="{B89D17FA-2959-45CB-B322-8A9135E7535F}"/>
    <cellStyle name="Total 2 5 42" xfId="20916" xr:uid="{55F4A54E-2FD2-4898-97BE-A317B9352086}"/>
    <cellStyle name="Total 2 5 43" xfId="19401" xr:uid="{2F2AF4C9-858E-4A2C-AFA8-C9169CAFE67A}"/>
    <cellStyle name="Total 2 5 44" xfId="21845" xr:uid="{71326C3E-4DC0-49D4-BF71-819FC8053F65}"/>
    <cellStyle name="Total 2 5 45" xfId="22282" xr:uid="{199B4FAF-AC4C-461B-9343-C8D585A12A1F}"/>
    <cellStyle name="Total 2 5 46" xfId="22455" xr:uid="{57D424B6-6AA3-4DB5-BA74-50D0EB302456}"/>
    <cellStyle name="Total 2 5 47" xfId="22967" xr:uid="{99F3D466-8CF2-46E7-A4E4-948E4FA4491C}"/>
    <cellStyle name="Total 2 5 48" xfId="23596" xr:uid="{207CD69E-BC0B-4A98-8517-22E076F3CF83}"/>
    <cellStyle name="Total 2 5 49" xfId="23877" xr:uid="{5459DCC6-C743-4877-8253-B87304040C4F}"/>
    <cellStyle name="Total 2 5 5" xfId="2015" xr:uid="{A50EE938-2E26-4FFD-B2EF-2003AE5836D6}"/>
    <cellStyle name="Total 2 5 50" xfId="24777" xr:uid="{F87894E4-5A6D-49B9-8FEB-4100BC0276D3}"/>
    <cellStyle name="Total 2 5 51" xfId="25171" xr:uid="{414E5E5E-C265-49B9-94FC-4DFAF9A8E5BF}"/>
    <cellStyle name="Total 2 5 52" xfId="25695" xr:uid="{B2B35FC0-7395-43FF-9EA6-D7CA31E9F5DF}"/>
    <cellStyle name="Total 2 5 53" xfId="24323" xr:uid="{330FF1F0-1092-4042-B074-F0FFCDBECADC}"/>
    <cellStyle name="Total 2 5 54" xfId="26356" xr:uid="{1A179F4E-63DE-4C3B-92CB-B5E44CE5F9DC}"/>
    <cellStyle name="Total 2 5 55" xfId="26985" xr:uid="{C45A6938-DCF2-493D-8BFF-E0F094C9EC79}"/>
    <cellStyle name="Total 2 5 56" xfId="27404" xr:uid="{99607CDD-430F-402C-B7D2-25C0CF4B50FA}"/>
    <cellStyle name="Total 2 5 57" xfId="27194" xr:uid="{1AF3B359-DE8C-425C-AB45-EA174EEFA574}"/>
    <cellStyle name="Total 2 5 58" xfId="28527" xr:uid="{A6BD4F62-C87C-4CFC-8DCE-FC3B88134F43}"/>
    <cellStyle name="Total 2 5 59" xfId="28995" xr:uid="{BB0BD69E-6535-43BA-8BE6-75105954A7A3}"/>
    <cellStyle name="Total 2 5 6" xfId="3678" xr:uid="{3AC6BA99-2F7B-4EEE-93B1-F06E7F759131}"/>
    <cellStyle name="Total 2 5 60" xfId="29318" xr:uid="{F72B440B-20B2-453B-A3E2-5AF4AF0974EF}"/>
    <cellStyle name="Total 2 5 61" xfId="29785" xr:uid="{F79C866F-002C-4BD7-99CE-3C8A581BB509}"/>
    <cellStyle name="Total 2 5 62" xfId="30192" xr:uid="{3D5B50AB-171E-4E05-B1EA-50041FBCF75A}"/>
    <cellStyle name="Total 2 5 63" xfId="30607" xr:uid="{C7FF3AFB-FDBF-4DE8-81F0-92CD1D452D82}"/>
    <cellStyle name="Total 2 5 64" xfId="30960" xr:uid="{DE0FD36E-2D54-4A68-8708-90224582BE4F}"/>
    <cellStyle name="Total 2 5 65" xfId="31230" xr:uid="{C7B3EA42-7528-48CB-AE01-1D3354059DE7}"/>
    <cellStyle name="Total 2 5 7" xfId="4005" xr:uid="{1C816ECA-F0CC-478D-AC1D-08E0311CEC85}"/>
    <cellStyle name="Total 2 5 8" xfId="4443" xr:uid="{B5789140-E2FA-432B-9CB6-EC570E1C8C2E}"/>
    <cellStyle name="Total 2 5 9" xfId="4981" xr:uid="{15503655-B7AC-4186-92D8-BB4BBD67FCF7}"/>
    <cellStyle name="Total 2 50" xfId="30818" xr:uid="{7DD77FF1-3864-42D3-8514-34D29BFFCD7A}"/>
    <cellStyle name="Total 2 51" xfId="29214" xr:uid="{8D66BFF2-B2C1-444C-8E56-FB0F492F005F}"/>
    <cellStyle name="Total 2 6" xfId="930" xr:uid="{FEA7B1B0-8A3D-4CE7-9858-5C462516956F}"/>
    <cellStyle name="Total 2 7" xfId="2006" xr:uid="{1C78EB04-CA12-4A06-BB00-0DA23322F562}"/>
    <cellStyle name="Total 2 8" xfId="2739" xr:uid="{19B13732-3A55-4291-B861-FECA6B68A06B}"/>
    <cellStyle name="Total 2 9" xfId="3306" xr:uid="{3CF265B3-F305-41AC-AF00-205A3B8C693E}"/>
    <cellStyle name="Total 3" xfId="239" xr:uid="{6BC0AED2-07F3-4E40-9F94-744FF2FF4947}"/>
    <cellStyle name="Total 3 10" xfId="3401" xr:uid="{DAA2DB8A-C0AD-4E4B-8AC6-C1F00D07B838}"/>
    <cellStyle name="Total 3 11" xfId="4655" xr:uid="{559AF4F9-27C6-4EB2-9E1D-8FBC68C03CE5}"/>
    <cellStyle name="Total 3 12" xfId="4257" xr:uid="{B7CFDB75-F8D1-4C7D-896D-599D05DAD6B8}"/>
    <cellStyle name="Total 3 13" xfId="5806" xr:uid="{799D7600-1A87-4EA9-879C-3B2523A86212}"/>
    <cellStyle name="Total 3 14" xfId="6676" xr:uid="{A2291093-B8A8-4A1B-9AF3-2BC066D236DC}"/>
    <cellStyle name="Total 3 15" xfId="6970" xr:uid="{55FEE8EC-0FB7-419A-A593-BE47FD5AE885}"/>
    <cellStyle name="Total 3 16" xfId="7655" xr:uid="{370F216A-2C1A-47EE-8B1E-1946EC917313}"/>
    <cellStyle name="Total 3 17" xfId="8217" xr:uid="{93E0F0C8-2255-4719-80D2-063722F21913}"/>
    <cellStyle name="Total 3 18" xfId="8839" xr:uid="{65FE7F73-68AF-491F-9CAA-AC3127CDFFB4}"/>
    <cellStyle name="Total 3 19" xfId="9183" xr:uid="{50A2C434-0118-4E97-BC5A-962B355CC0A3}"/>
    <cellStyle name="Total 3 2" xfId="591" xr:uid="{64A6C80E-0A2F-4261-A8AD-E8E579DF4556}"/>
    <cellStyle name="Total 3 2 10" xfId="4753" xr:uid="{71B20635-3018-48FC-8EFB-B5EBFF382A14}"/>
    <cellStyle name="Total 3 2 11" xfId="5239" xr:uid="{3E46ADE6-1DE8-4507-B5D8-101E43ACF12A}"/>
    <cellStyle name="Total 3 2 12" xfId="4965" xr:uid="{F302148C-E955-447C-86C2-4717683CCF87}"/>
    <cellStyle name="Total 3 2 13" xfId="5103" xr:uid="{171E4D6B-9BF6-4698-8254-B06264F8B0B2}"/>
    <cellStyle name="Total 3 2 14" xfId="6659" xr:uid="{478B2135-8A83-4BB6-8867-7D73AEC5E8F1}"/>
    <cellStyle name="Total 3 2 15" xfId="7311" xr:uid="{9E854F80-E3E6-4F53-B733-AA4A45C971FB}"/>
    <cellStyle name="Total 3 2 16" xfId="7749" xr:uid="{A0B55884-FAD8-47C1-9EB3-67E756298A35}"/>
    <cellStyle name="Total 3 2 17" xfId="6773" xr:uid="{CC897D9F-6228-4A1A-A980-855271B5D6DE}"/>
    <cellStyle name="Total 3 2 18" xfId="7720" xr:uid="{94865785-AC0E-4497-B3C9-3E8D4DA0A0B5}"/>
    <cellStyle name="Total 3 2 19" xfId="9525" xr:uid="{6DB3F0CA-645B-4D1D-8333-3AD4C6544AA5}"/>
    <cellStyle name="Total 3 2 2" xfId="806" xr:uid="{C2536416-E382-410A-9BA5-D478EFE80796}"/>
    <cellStyle name="Total 3 2 2 10" xfId="5454" xr:uid="{B7A3638E-E63F-413E-9A6F-7E20C9305243}"/>
    <cellStyle name="Total 3 2 2 11" xfId="5793" xr:uid="{F5656D89-7FE6-4111-98C6-604FF7267544}"/>
    <cellStyle name="Total 3 2 2 12" xfId="5782" xr:uid="{F223F095-3AF0-4DBF-BFF9-AF0DEFA0C26B}"/>
    <cellStyle name="Total 3 2 2 13" xfId="5926" xr:uid="{F10EAAA4-15EF-409E-89CB-CCE3820E8390}"/>
    <cellStyle name="Total 3 2 2 14" xfId="7526" xr:uid="{D7A885F2-E7CD-4155-8712-0C6673B25774}"/>
    <cellStyle name="Total 3 2 2 15" xfId="7023" xr:uid="{391E37BB-8CDF-4A86-A284-E73D7913B7F3}"/>
    <cellStyle name="Total 3 2 2 16" xfId="8142" xr:uid="{5414B607-420E-4301-A317-FDC0C42D9548}"/>
    <cellStyle name="Total 3 2 2 17" xfId="8837" xr:uid="{F28729B6-59C3-4785-B7C3-161475EE91F1}"/>
    <cellStyle name="Total 3 2 2 18" xfId="9740" xr:uid="{BE5D597B-7797-4DEC-87A0-4A6CD42014BE}"/>
    <cellStyle name="Total 3 2 2 19" xfId="9236" xr:uid="{3836D482-32CA-4B7A-964D-7950E9695311}"/>
    <cellStyle name="Total 3 2 2 2" xfId="1280" xr:uid="{A774F0C9-CA06-4B98-829F-B42115081F85}"/>
    <cellStyle name="Total 3 2 2 20" xfId="9244" xr:uid="{6B1027CC-2BD3-4FEA-B8FD-173389F7F164}"/>
    <cellStyle name="Total 3 2 2 21" xfId="10758" xr:uid="{E9403012-301C-48B7-9716-FC4226E1B5F9}"/>
    <cellStyle name="Total 3 2 2 22" xfId="11106" xr:uid="{DE461F0B-B054-4957-855A-845151979A54}"/>
    <cellStyle name="Total 3 2 2 23" xfId="12159" xr:uid="{303BCF47-E75C-475A-A2C7-D3E7774F72D3}"/>
    <cellStyle name="Total 3 2 2 24" xfId="12632" xr:uid="{EE2E411E-4D4F-45A3-BA2F-7ABBB727D9DA}"/>
    <cellStyle name="Total 3 2 2 25" xfId="13066" xr:uid="{11621E5D-2202-4D07-98CD-EFDE2B209270}"/>
    <cellStyle name="Total 3 2 2 26" xfId="13503" xr:uid="{EE3A7FD4-52A1-4C7D-B9C6-A0B2D104AA15}"/>
    <cellStyle name="Total 3 2 2 27" xfId="13653" xr:uid="{4F048F07-8363-406F-B7E8-5213F6637CCB}"/>
    <cellStyle name="Total 3 2 2 28" xfId="13626" xr:uid="{F3975A27-DA69-4E45-902D-D1C82EFED7FA}"/>
    <cellStyle name="Total 3 2 2 29" xfId="14308" xr:uid="{D3BDB401-9877-4F47-BBCF-65AAEBBBE737}"/>
    <cellStyle name="Total 3 2 2 3" xfId="1571" xr:uid="{761A849E-05FB-4457-8577-07703DB0A09D}"/>
    <cellStyle name="Total 3 2 2 30" xfId="14250" xr:uid="{BA2CE7C2-8023-4539-9C4E-5C10A0A62294}"/>
    <cellStyle name="Total 3 2 2 31" xfId="15720" xr:uid="{E1D0AF8E-6F13-4703-9586-28B3D5AC0CFA}"/>
    <cellStyle name="Total 3 2 2 32" xfId="15090" xr:uid="{5858C131-69D4-4F5F-8E7C-C6E4BE4C7F1D}"/>
    <cellStyle name="Total 3 2 2 33" xfId="16851" xr:uid="{637670D1-9D43-41F6-9BE0-F19AB68B2E93}"/>
    <cellStyle name="Total 3 2 2 34" xfId="16345" xr:uid="{DAE0DB99-A1EC-4A9C-BE03-695374AC20A3}"/>
    <cellStyle name="Total 3 2 2 35" xfId="16354" xr:uid="{21C9EB06-9C71-4E4F-BE15-A7AA878FAB62}"/>
    <cellStyle name="Total 3 2 2 36" xfId="17817" xr:uid="{BD7AE072-94BE-4CA7-9F6D-700E1392A831}"/>
    <cellStyle name="Total 3 2 2 37" xfId="18669" xr:uid="{B3147DAC-78B6-49CA-BAF3-812779B99BE7}"/>
    <cellStyle name="Total 3 2 2 38" xfId="19055" xr:uid="{DF2E3E67-A230-4AA8-88EF-8304F904C9D1}"/>
    <cellStyle name="Total 3 2 2 39" xfId="19186" xr:uid="{A7AC848A-116E-4334-808F-96BDA72996C2}"/>
    <cellStyle name="Total 3 2 2 4" xfId="2628" xr:uid="{F4174B44-1772-4B12-80C7-EAF776D7C616}"/>
    <cellStyle name="Total 3 2 2 40" xfId="20188" xr:uid="{A4C05BB1-7458-4D85-BDC1-5218CAFFBBF2}"/>
    <cellStyle name="Total 3 2 2 41" xfId="19678" xr:uid="{36264A9E-C3E1-4558-A34C-7485B2E06C10}"/>
    <cellStyle name="Total 3 2 2 42" xfId="20630" xr:uid="{B90A6FB6-021A-4963-9212-17D349CAD998}"/>
    <cellStyle name="Total 3 2 2 43" xfId="20990" xr:uid="{577E6D62-A189-4256-BA4E-4D3B6FA372F7}"/>
    <cellStyle name="Total 3 2 2 44" xfId="21369" xr:uid="{83583B2E-067B-45AB-BB85-6609A1069B91}"/>
    <cellStyle name="Total 3 2 2 45" xfId="21151" xr:uid="{CD2FA147-8274-4AB1-9B12-72FD8523F171}"/>
    <cellStyle name="Total 3 2 2 46" xfId="22657" xr:uid="{E9AC4365-EC72-44E8-9A58-E266EC4E1C7E}"/>
    <cellStyle name="Total 3 2 2 47" xfId="23332" xr:uid="{18F25DD7-841E-4B9F-A2B8-371B9B7A4C58}"/>
    <cellStyle name="Total 3 2 2 48" xfId="23076" xr:uid="{BE7B7E01-E7E6-4B64-9C94-28E6D2FC1919}"/>
    <cellStyle name="Total 3 2 2 49" xfId="23988" xr:uid="{86FCAA82-8F6C-4A6C-807C-7398EB34D680}"/>
    <cellStyle name="Total 3 2 2 5" xfId="2819" xr:uid="{53545898-969A-4389-8868-5DD861C30088}"/>
    <cellStyle name="Total 3 2 2 50" xfId="24896" xr:uid="{4C608327-7173-4502-BDCF-5B52B2A3A3C2}"/>
    <cellStyle name="Total 3 2 2 51" xfId="24561" xr:uid="{AB5C6227-86B1-4E78-A81A-7C247131DFD1}"/>
    <cellStyle name="Total 3 2 2 52" xfId="25812" xr:uid="{70A234F1-3BC0-4996-81EB-695B8911EF11}"/>
    <cellStyle name="Total 3 2 2 53" xfId="24298" xr:uid="{EA9D4568-6AD9-48A2-AE19-65D9170704B2}"/>
    <cellStyle name="Total 3 2 2 54" xfId="26513" xr:uid="{0C9F6F8E-F000-4699-BDA1-01AFE2213FEF}"/>
    <cellStyle name="Total 3 2 2 55" xfId="27100" xr:uid="{469D39CF-A8AB-4C48-AA77-3A9A4582F3E3}"/>
    <cellStyle name="Total 3 2 2 56" xfId="27519" xr:uid="{D2B50DF4-C561-455A-B00B-9C276B179578}"/>
    <cellStyle name="Total 3 2 2 57" xfId="27678" xr:uid="{63CC021E-E9A9-4098-9ED6-19FB04B0E7EA}"/>
    <cellStyle name="Total 3 2 2 58" xfId="28646" xr:uid="{39BE47FA-6806-46AB-8423-4101CCEA6452}"/>
    <cellStyle name="Total 3 2 2 59" xfId="29113" xr:uid="{10D95E58-3A87-4CC0-A1EC-CCD41BD667E2}"/>
    <cellStyle name="Total 3 2 2 6" xfId="3001" xr:uid="{9452C334-95B8-4AF3-9921-F435203C8AC7}"/>
    <cellStyle name="Total 3 2 2 60" xfId="27900" xr:uid="{22D031F3-8684-4FE0-BE94-06E770970070}"/>
    <cellStyle name="Total 3 2 2 61" xfId="29902" xr:uid="{4D2192B3-9F9D-4394-8649-E358CB84D067}"/>
    <cellStyle name="Total 3 2 2 62" xfId="30308" xr:uid="{452B0211-FE14-456B-AF46-DBBA97C00255}"/>
    <cellStyle name="Total 3 2 2 63" xfId="30725" xr:uid="{A53C443F-62AE-4CA8-8F25-CC58DBBD59D5}"/>
    <cellStyle name="Total 3 2 2 64" xfId="28101" xr:uid="{EBB2A018-5A45-49A6-88E5-9405B7B83B92}"/>
    <cellStyle name="Total 3 2 2 65" xfId="31341" xr:uid="{BC028A79-C952-4BFB-BB6D-C4B159E6237F}"/>
    <cellStyle name="Total 3 2 2 7" xfId="4124" xr:uid="{85212B84-2629-4771-92A8-521C333FB5BD}"/>
    <cellStyle name="Total 3 2 2 8" xfId="4561" xr:uid="{38278366-6237-4797-AAE2-F3581556BB92}"/>
    <cellStyle name="Total 3 2 2 9" xfId="3559" xr:uid="{28255AFA-C756-46B3-B54E-A7BCA63FC2C4}"/>
    <cellStyle name="Total 3 2 20" xfId="9963" xr:uid="{BBCFF09D-BA10-4AA9-823A-E255A6479795}"/>
    <cellStyle name="Total 3 2 21" xfId="10391" xr:uid="{3913F46A-630E-4255-8F6A-F998DCC9BACA}"/>
    <cellStyle name="Total 3 2 22" xfId="10529" xr:uid="{E6B1B418-1004-4A82-9841-DF0181158F13}"/>
    <cellStyle name="Total 3 2 23" xfId="10348" xr:uid="{673A7D2C-83A1-4B8D-960D-13E7442D8550}"/>
    <cellStyle name="Total 3 2 24" xfId="11944" xr:uid="{65D6852D-D629-4940-B4B9-2BB1C73D800B}"/>
    <cellStyle name="Total 3 2 25" xfId="12417" xr:uid="{4B81866E-697A-4FAE-8BE5-1D6996899C2A}"/>
    <cellStyle name="Total 3 2 26" xfId="12851" xr:uid="{F5760094-0CCA-44CF-B2BE-8B12FAA9069E}"/>
    <cellStyle name="Total 3 2 27" xfId="13288" xr:uid="{ABDD382E-999E-4B15-9C99-B7D01D6ACCF9}"/>
    <cellStyle name="Total 3 2 28" xfId="11487" xr:uid="{9405EC78-B1D7-4DD4-9BF5-3DD277FDE15F}"/>
    <cellStyle name="Total 3 2 29" xfId="14348" xr:uid="{A2F70033-F7E5-4CAA-A487-1D46C8776F73}"/>
    <cellStyle name="Total 3 2 3" xfId="1074" xr:uid="{6129BA8D-8F01-46E1-8512-5F57C5574C90}"/>
    <cellStyle name="Total 3 2 30" xfId="14633" xr:uid="{37FACB6B-6BC7-4C6C-B780-77F4D43A19E5}"/>
    <cellStyle name="Total 3 2 31" xfId="15052" xr:uid="{9E6899B2-6DED-4BC4-B682-295AD97C7FFB}"/>
    <cellStyle name="Total 3 2 32" xfId="14279" xr:uid="{C015FB4F-1134-4539-810C-49C15CEF08DC}"/>
    <cellStyle name="Total 3 2 33" xfId="15833" xr:uid="{CC2BE090-442D-4E9E-828A-7EA2D62A8DFC}"/>
    <cellStyle name="Total 3 2 34" xfId="16636" xr:uid="{D2F07EB1-FF7B-45C2-8F0F-A310BE05C950}"/>
    <cellStyle name="Total 3 2 35" xfId="17078" xr:uid="{86DFB1D9-AC2F-4818-8A63-F6DCEB85A7B3}"/>
    <cellStyle name="Total 3 2 36" xfId="17525" xr:uid="{CFB8252A-BA59-4DFD-8A63-63DE92A29C8C}"/>
    <cellStyle name="Total 3 2 37" xfId="17682" xr:uid="{07AF0AF0-ED1B-4A09-8BBE-1ECD336923B5}"/>
    <cellStyle name="Total 3 2 38" xfId="18454" xr:uid="{03D3551B-2AD5-486F-B022-AAB9E2EDAD9A}"/>
    <cellStyle name="Total 3 2 39" xfId="16263" xr:uid="{2F242D60-7ACF-420C-90AA-10C854A074E0}"/>
    <cellStyle name="Total 3 2 4" xfId="1703" xr:uid="{F887EE7B-F249-4D80-B080-492C991A5D4D}"/>
    <cellStyle name="Total 3 2 40" xfId="16204" xr:uid="{BC7F5E67-ED59-47E6-9162-1A22CF0FB1E1}"/>
    <cellStyle name="Total 3 2 41" xfId="19973" xr:uid="{175B0318-EDD5-4A17-9157-5FF530BA7FBE}"/>
    <cellStyle name="Total 3 2 42" xfId="20431" xr:uid="{210A3DA6-D5CB-4DDD-8F26-9C76895BAB56}"/>
    <cellStyle name="Total 3 2 43" xfId="20883" xr:uid="{F3330F85-4F11-46A0-B8B2-EE5E885D4C1A}"/>
    <cellStyle name="Total 3 2 44" xfId="20876" xr:uid="{D0AD0322-F72A-467B-8A13-26244FA761D8}"/>
    <cellStyle name="Total 3 2 45" xfId="21815" xr:uid="{67D50A49-661F-4035-8B48-E59F51AF2580}"/>
    <cellStyle name="Total 3 2 46" xfId="22249" xr:uid="{9DA5F331-C840-4F9F-AB37-853136763944}"/>
    <cellStyle name="Total 3 2 47" xfId="22172" xr:uid="{BDDE62C5-E956-4088-AD8F-D006B65B3043}"/>
    <cellStyle name="Total 3 2 48" xfId="22694" xr:uid="{6D3B221A-C6DC-4F38-9225-51228154E26F}"/>
    <cellStyle name="Total 3 2 49" xfId="23345" xr:uid="{EA4688CD-A1B3-4B0A-A0ED-C6C769AF3B52}"/>
    <cellStyle name="Total 3 2 5" xfId="2413" xr:uid="{3CE45BE1-CF29-49B2-9026-B83657018FB3}"/>
    <cellStyle name="Total 3 2 50" xfId="23782" xr:uid="{DB01030F-E7AA-4C6F-AF4E-34BF48AA5715}"/>
    <cellStyle name="Total 3 2 51" xfId="24681" xr:uid="{A7218360-CF1F-4137-9F85-6848E74ED5F8}"/>
    <cellStyle name="Total 3 2 52" xfId="25138" xr:uid="{19D9025A-2E1D-4204-B3B2-AFECAF70D61A}"/>
    <cellStyle name="Total 3 2 53" xfId="25599" xr:uid="{50827E15-7F72-48E7-9FB9-9532912ACFDD}"/>
    <cellStyle name="Total 3 2 54" xfId="24523" xr:uid="{0682E136-BE72-43AF-8E69-A71E3011CDA6}"/>
    <cellStyle name="Total 3 2 55" xfId="26420" xr:uid="{E583E548-0394-42C0-B8D2-212255C3B3ED}"/>
    <cellStyle name="Total 3 2 56" xfId="26889" xr:uid="{D5F3661A-D7CC-434F-81EC-194FCAEF8AA0}"/>
    <cellStyle name="Total 3 2 57" xfId="27308" xr:uid="{DB6A2DFE-0CB0-4C87-83AE-1F44D54191BC}"/>
    <cellStyle name="Total 3 2 58" xfId="27666" xr:uid="{839BBC19-F8E9-49B3-972E-26F0D8C44064}"/>
    <cellStyle name="Total 3 2 59" xfId="28431" xr:uid="{7FAD004D-8EFC-4BAE-BEDE-05FCC3E7B524}"/>
    <cellStyle name="Total 3 2 6" xfId="2027" xr:uid="{30EB2E25-5D03-4058-8D74-9543F2114020}"/>
    <cellStyle name="Total 3 2 60" xfId="28899" xr:uid="{29697648-63B2-4D98-926B-814320181E75}"/>
    <cellStyle name="Total 3 2 61" xfId="29290" xr:uid="{72D3443E-C781-44C1-9556-EE17CAF30E32}"/>
    <cellStyle name="Total 3 2 62" xfId="29689" xr:uid="{29FFEBA7-1144-46DB-AB22-B4E02E9ACB9A}"/>
    <cellStyle name="Total 3 2 63" xfId="30097" xr:uid="{6D4E8169-5B91-4E06-A934-D2D5EF8ECDC3}"/>
    <cellStyle name="Total 3 2 64" xfId="30511" xr:uid="{78A2DA4B-E92D-4F62-A1C5-FC0A08C305D4}"/>
    <cellStyle name="Total 3 2 65" xfId="28066" xr:uid="{29B9F082-480A-49AF-A56D-2A7605769396}"/>
    <cellStyle name="Total 3 2 66" xfId="31135" xr:uid="{45EE6E58-7151-4E67-9C38-D9AFD892C059}"/>
    <cellStyle name="Total 3 2 7" xfId="2019" xr:uid="{DC8BCE0D-26E7-4E62-92A8-076FE22EC7FD}"/>
    <cellStyle name="Total 3 2 8" xfId="3909" xr:uid="{891CC114-8EE3-4938-A312-5C8BCDAC912C}"/>
    <cellStyle name="Total 3 2 9" xfId="4347" xr:uid="{3125498E-C693-4B00-94BD-D89735CBCEFE}"/>
    <cellStyle name="Total 3 20" xfId="9866" xr:uid="{C5082B45-2FBD-4C91-AA11-99EACC7A7EA8}"/>
    <cellStyle name="Total 3 21" xfId="11293" xr:uid="{3773F564-31AF-4E7F-9FC4-25A8606A7835}"/>
    <cellStyle name="Total 3 22" xfId="11595" xr:uid="{8790E60E-4E0E-4B9E-86BE-D8C4A616F036}"/>
    <cellStyle name="Total 3 23" xfId="11494" xr:uid="{C655D645-E4C2-4BB5-8A63-7ACC1035D619}"/>
    <cellStyle name="Total 3 24" xfId="11676" xr:uid="{BF9455A9-F51E-403F-825B-D5286A51F7CA}"/>
    <cellStyle name="Total 3 25" xfId="11567" xr:uid="{DD62EE18-79EE-4323-ADA3-6F4C6926EA4C}"/>
    <cellStyle name="Total 3 26" xfId="13745" xr:uid="{F5A66C51-1B60-44DA-AFDB-A9F980DD6F93}"/>
    <cellStyle name="Total 3 27" xfId="14519" xr:uid="{EC9312F2-46B5-4272-BB6C-E48C48F3823F}"/>
    <cellStyle name="Total 3 28" xfId="15347" xr:uid="{1D3E6541-C866-42B2-845F-CC4A5269544C}"/>
    <cellStyle name="Total 3 29" xfId="16290" xr:uid="{FF338407-050D-4ADE-959D-F1496F7A2B10}"/>
    <cellStyle name="Total 3 3" xfId="554" xr:uid="{49907836-BD15-40CC-BC43-94553BD3BC8D}"/>
    <cellStyle name="Total 3 3 10" xfId="3621" xr:uid="{74DF7AAA-8DAE-4C76-825A-0C5653469CCB}"/>
    <cellStyle name="Total 3 3 11" xfId="5202" xr:uid="{96D5C11D-228E-433C-857B-372F3356F395}"/>
    <cellStyle name="Total 3 3 12" xfId="3451" xr:uid="{AE321FDF-8EF9-4DE9-BC82-DCAF43B60909}"/>
    <cellStyle name="Total 3 3 13" xfId="6071" xr:uid="{64ACEFED-A990-40D8-960F-068EAFFC7B91}"/>
    <cellStyle name="Total 3 3 14" xfId="6421" xr:uid="{D8CA6522-1C81-4F55-9223-5FF33510DCE7}"/>
    <cellStyle name="Total 3 3 15" xfId="7274" xr:uid="{8299A56A-A8E5-4023-99A9-3FE48E3CE316}"/>
    <cellStyle name="Total 3 3 16" xfId="7840" xr:uid="{E291430C-FDD9-443F-A3EC-C6F897B4C631}"/>
    <cellStyle name="Total 3 3 17" xfId="8514" xr:uid="{7CC60C7C-7AD3-462A-9845-6ECEDC66B5AC}"/>
    <cellStyle name="Total 3 3 18" xfId="8748" xr:uid="{FCADF9D3-7022-440D-B5F5-D98C8E74DC37}"/>
    <cellStyle name="Total 3 3 19" xfId="9488" xr:uid="{23CA4B86-A570-4623-AFA1-657BFA7CAE88}"/>
    <cellStyle name="Total 3 3 2" xfId="769" xr:uid="{F8D360B9-369E-44C5-92D2-240D83ED0B97}"/>
    <cellStyle name="Total 3 3 2 10" xfId="5417" xr:uid="{ABA75E80-2DDB-4471-A13A-A335421D7382}"/>
    <cellStyle name="Total 3 3 2 11" xfId="4854" xr:uid="{E3236363-E4A5-4F98-97CF-B5620CAAF7C1}"/>
    <cellStyle name="Total 3 3 2 12" xfId="5911" xr:uid="{B09F04F5-4A89-4D7C-B5C8-7CD22A97EF7F}"/>
    <cellStyle name="Total 3 3 2 13" xfId="6667" xr:uid="{BC040E98-0C85-4946-B2F2-0D0E9C94F156}"/>
    <cellStyle name="Total 3 3 2 14" xfId="7489" xr:uid="{397299AE-E131-4F27-8B5D-5089C9557382}"/>
    <cellStyle name="Total 3 3 2 15" xfId="6877" xr:uid="{5675DE1E-D99F-4742-BE09-DBE7EA267C50}"/>
    <cellStyle name="Total 3 3 2 16" xfId="7970" xr:uid="{2C2DFE01-7ABB-4B15-822F-8491834556E7}"/>
    <cellStyle name="Total 3 3 2 17" xfId="8767" xr:uid="{AB0CC8F0-551E-48C0-B83B-A40AF4721442}"/>
    <cellStyle name="Total 3 3 2 18" xfId="9703" xr:uid="{F98195CD-132A-4BF8-8A69-AA6F578BD93F}"/>
    <cellStyle name="Total 3 3 2 19" xfId="9090" xr:uid="{964BCC4E-8346-463B-B475-7856C6A98E56}"/>
    <cellStyle name="Total 3 3 2 2" xfId="1243" xr:uid="{7BAE8E3C-9528-43BF-B556-D9791B77A9A3}"/>
    <cellStyle name="Total 3 3 2 20" xfId="9100" xr:uid="{873DBA5B-4259-4C0C-89BA-492C03E66FE6}"/>
    <cellStyle name="Total 3 3 2 21" xfId="10696" xr:uid="{C6C3A550-2BD4-497F-A009-4DEFE26CE096}"/>
    <cellStyle name="Total 3 3 2 22" xfId="11284" xr:uid="{DBFA2049-B4FB-45AA-90E2-F937BBEA51D7}"/>
    <cellStyle name="Total 3 3 2 23" xfId="12122" xr:uid="{CDBAB955-4CD1-40FC-96EC-DD574399F086}"/>
    <cellStyle name="Total 3 3 2 24" xfId="12595" xr:uid="{D0F94CF4-0F63-4FD8-AE78-582BA4D3AE28}"/>
    <cellStyle name="Total 3 3 2 25" xfId="13029" xr:uid="{EE23CE46-ABFF-4BF2-B7B6-7A78ACD64D6D}"/>
    <cellStyle name="Total 3 3 2 26" xfId="13466" xr:uid="{D13D505F-8996-4732-ABC4-65561FD3C301}"/>
    <cellStyle name="Total 3 3 2 27" xfId="11726" xr:uid="{831421F7-F64C-44C3-B80B-B82385A1EDB4}"/>
    <cellStyle name="Total 3 3 2 28" xfId="13931" xr:uid="{EE06633F-BF3F-4174-824E-4AC1062BAAE7}"/>
    <cellStyle name="Total 3 3 2 29" xfId="13162" xr:uid="{1BEDED38-613E-49A1-A640-CAFDD5F381BD}"/>
    <cellStyle name="Total 3 3 2 3" xfId="1432" xr:uid="{1B4E53DC-5CD5-4208-9C73-847F208D3902}"/>
    <cellStyle name="Total 3 3 2 30" xfId="15038" xr:uid="{B0F9FC10-37DD-4865-B231-549FAA40A3DF}"/>
    <cellStyle name="Total 3 3 2 31" xfId="15685" xr:uid="{FF8B9D5F-CAC5-4B29-B8DE-024EADA79DEA}"/>
    <cellStyle name="Total 3 3 2 32" xfId="14354" xr:uid="{E7E52CB7-4249-425B-908E-CF1036DFF564}"/>
    <cellStyle name="Total 3 3 2 33" xfId="16814" xr:uid="{01FA2FE6-25FC-466E-A146-3F8EA1A72A15}"/>
    <cellStyle name="Total 3 3 2 34" xfId="16193" xr:uid="{01F2C5A4-34C7-426A-AF66-8DCBB4D6FB75}"/>
    <cellStyle name="Total 3 3 2 35" xfId="16203" xr:uid="{E655723F-EEA7-4974-9B52-CED44CE5CC6C}"/>
    <cellStyle name="Total 3 3 2 36" xfId="18079" xr:uid="{82A71D45-890B-4BF1-84DE-3941A64B9D4B}"/>
    <cellStyle name="Total 3 3 2 37" xfId="18632" xr:uid="{CCB84E4F-6798-42D0-9D8C-4AC7EFDF0F0C}"/>
    <cellStyle name="Total 3 3 2 38" xfId="18823" xr:uid="{46DA3F1F-3D0B-4BE1-8362-37E8002819D7}"/>
    <cellStyle name="Total 3 3 2 39" xfId="18942" xr:uid="{24C7BA25-E66A-4AED-8E43-5F90F83DAD63}"/>
    <cellStyle name="Total 3 3 2 4" xfId="2591" xr:uid="{C14B90F7-5FD2-4240-B3C1-505074D9672E}"/>
    <cellStyle name="Total 3 3 2 40" xfId="20151" xr:uid="{38084CAD-EA1A-4B3B-9578-3F6D42F4910E}"/>
    <cellStyle name="Total 3 3 2 41" xfId="19525" xr:uid="{0DD6B691-71DF-4EB6-A9B2-030AA3BCD324}"/>
    <cellStyle name="Total 3 3 2 42" xfId="20528" xr:uid="{2BE6A417-083A-4E5D-A169-9518EE51C280}"/>
    <cellStyle name="Total 3 3 2 43" xfId="21494" xr:uid="{37B18F86-0875-47A8-B869-A93C81C6D36B}"/>
    <cellStyle name="Total 3 3 2 44" xfId="21593" xr:uid="{B4E8A084-B040-479E-9BBC-5338E2D5F9A9}"/>
    <cellStyle name="Total 3 3 2 45" xfId="21936" xr:uid="{846CEEA5-BE57-4465-A827-260ECAB19D61}"/>
    <cellStyle name="Total 3 3 2 46" xfId="22128" xr:uid="{0885EFD6-F51C-4D7D-BCF2-ABE9496BA1ED}"/>
    <cellStyle name="Total 3 3 2 47" xfId="23095" xr:uid="{17D53562-627C-41FF-9958-04D6B1EBA585}"/>
    <cellStyle name="Total 3 3 2 48" xfId="23152" xr:uid="{5BB00CE1-ECFC-45E7-ABCB-F1FFC6F71C8B}"/>
    <cellStyle name="Total 3 3 2 49" xfId="23951" xr:uid="{49B58383-D1A4-421B-9B56-DA54577BE9B9}"/>
    <cellStyle name="Total 3 3 2 5" xfId="1926" xr:uid="{16078CEE-7139-4044-A74B-784816CA2563}"/>
    <cellStyle name="Total 3 3 2 50" xfId="24859" xr:uid="{1862546E-1958-44C6-B82C-6D469FCEC4E6}"/>
    <cellStyle name="Total 3 3 2 51" xfId="24333" xr:uid="{EE3045FC-3B94-4705-9A2C-724AABAA2D52}"/>
    <cellStyle name="Total 3 3 2 52" xfId="25775" xr:uid="{9220B473-F12D-4508-BDAA-494C112E9635}"/>
    <cellStyle name="Total 3 3 2 53" xfId="24112" xr:uid="{3B8FE15C-EFF9-408A-970A-E084F9CAA2C5}"/>
    <cellStyle name="Total 3 3 2 54" xfId="26214" xr:uid="{612BB8B8-0915-4F0B-80B8-0D334ADB2F22}"/>
    <cellStyle name="Total 3 3 2 55" xfId="27063" xr:uid="{6B0D7380-90C0-4C20-A206-0B74E903CA46}"/>
    <cellStyle name="Total 3 3 2 56" xfId="27482" xr:uid="{9FFEBF3F-D1DF-4A8E-B969-0D60E27E38AE}"/>
    <cellStyle name="Total 3 3 2 57" xfId="24266" xr:uid="{A6FAFE49-19C0-47ED-BF3B-BFD4F839001C}"/>
    <cellStyle name="Total 3 3 2 58" xfId="28609" xr:uid="{362BB83D-77A3-435E-AD01-C658F23FB607}"/>
    <cellStyle name="Total 3 3 2 59" xfId="29076" xr:uid="{23417374-38BB-49CC-9928-E752A3481A06}"/>
    <cellStyle name="Total 3 3 2 6" xfId="3304" xr:uid="{01C6F55B-12F3-4052-821E-7A96B6C1051C}"/>
    <cellStyle name="Total 3 3 2 60" xfId="28191" xr:uid="{BFF0C85F-4F79-49F4-BBEE-F9C4D915E04D}"/>
    <cellStyle name="Total 3 3 2 61" xfId="29865" xr:uid="{FE92D7BC-0A3A-4A36-87CE-3163B6552B55}"/>
    <cellStyle name="Total 3 3 2 62" xfId="30271" xr:uid="{97CFD9A3-B829-40AA-BB9E-29F1409EA6C8}"/>
    <cellStyle name="Total 3 3 2 63" xfId="30688" xr:uid="{ED61E1EF-52D7-4734-ABCB-2510FACFC826}"/>
    <cellStyle name="Total 3 3 2 64" xfId="29350" xr:uid="{6D6AE777-342D-466C-BA66-78F44EA5D905}"/>
    <cellStyle name="Total 3 3 2 65" xfId="31304" xr:uid="{77936E7A-509F-4A58-BC12-FB1FE678D49A}"/>
    <cellStyle name="Total 3 3 2 7" xfId="4087" xr:uid="{1D5AB6E3-A3F7-40DB-89EC-CA3D6CF884D9}"/>
    <cellStyle name="Total 3 3 2 8" xfId="4524" xr:uid="{9E9A0672-9D8A-4180-BF44-43C7847962BB}"/>
    <cellStyle name="Total 3 3 2 9" xfId="3577" xr:uid="{4AE2801B-D678-4DD0-9EF4-9BD5F1EFB266}"/>
    <cellStyle name="Total 3 3 20" xfId="10052" xr:uid="{B83B83D9-544B-4315-805E-596F240DF833}"/>
    <cellStyle name="Total 3 3 21" xfId="10472" xr:uid="{ECD8803E-F6D5-4385-836C-56B88AAD72F6}"/>
    <cellStyle name="Total 3 3 22" xfId="10820" xr:uid="{17F0B149-7F74-421A-A094-6ACC303953FB}"/>
    <cellStyle name="Total 3 3 23" xfId="8985" xr:uid="{E38E9B5E-F2E5-4D87-ACE0-0EFAD6516FD4}"/>
    <cellStyle name="Total 3 3 24" xfId="11907" xr:uid="{FFF1F3DD-4D10-41F1-8D76-CA0317C6286D}"/>
    <cellStyle name="Total 3 3 25" xfId="12380" xr:uid="{22F297F8-E6BC-46D4-993A-B044B9B641BC}"/>
    <cellStyle name="Total 3 3 26" xfId="12814" xr:uid="{8769DAA2-06B6-4292-AF9C-FBCF7B829C46}"/>
    <cellStyle name="Total 3 3 27" xfId="13251" xr:uid="{37F51F96-DEF2-4B24-AE36-98EAFA23E7A6}"/>
    <cellStyle name="Total 3 3 28" xfId="13735" xr:uid="{0EB88E09-E031-4A8B-85A1-01B376A4397D}"/>
    <cellStyle name="Total 3 3 29" xfId="14037" xr:uid="{6DA03CBF-F73B-4343-86BC-482EAD31FC76}"/>
    <cellStyle name="Total 3 3 3" xfId="1037" xr:uid="{2564B4B0-C410-44F6-B3E3-D3565CD9E38A}"/>
    <cellStyle name="Total 3 3 30" xfId="14592" xr:uid="{AF6F8F10-B90E-4E7B-A090-F8AA851D73F8}"/>
    <cellStyle name="Total 3 3 31" xfId="14955" xr:uid="{12638C02-B474-43A9-86DD-C27148ECF9A2}"/>
    <cellStyle name="Total 3 3 32" xfId="14963" xr:uid="{FAD1FA97-E800-4EC8-96B2-768E4E00488F}"/>
    <cellStyle name="Total 3 3 33" xfId="15882" xr:uid="{4A9FBD8E-29B6-4580-A694-31D0C40ABA56}"/>
    <cellStyle name="Total 3 3 34" xfId="16599" xr:uid="{0656446A-ABFE-45B3-996F-94DDFB23D01D}"/>
    <cellStyle name="Total 3 3 35" xfId="17170" xr:uid="{F38B4194-9E23-456A-BA39-C5EC111110BD}"/>
    <cellStyle name="Total 3 3 36" xfId="17615" xr:uid="{39038DD8-62C9-49EF-8200-41E076C5EC3D}"/>
    <cellStyle name="Total 3 3 37" xfId="18210" xr:uid="{6A1D12C2-03A2-4C6A-B7E1-7EB3F51A9625}"/>
    <cellStyle name="Total 3 3 38" xfId="18417" xr:uid="{CFBD29D1-19B0-4100-8D59-7FE06066322C}"/>
    <cellStyle name="Total 3 3 39" xfId="18930" xr:uid="{88F7C004-1381-445E-9089-EDD64F15EC41}"/>
    <cellStyle name="Total 3 3 4" xfId="1752" xr:uid="{0FB403E2-A0A0-4E88-895A-81642D18668A}"/>
    <cellStyle name="Total 3 3 40" xfId="18940" xr:uid="{DB3AB799-D8AF-47DC-9CC6-CEFF7EACABDC}"/>
    <cellStyle name="Total 3 3 41" xfId="19936" xr:uid="{63C2E2C3-634E-4CA2-8205-4648CD6474D8}"/>
    <cellStyle name="Total 3 3 42" xfId="20522" xr:uid="{0B2CDF4D-DC42-477D-A088-6901BCFF7A52}"/>
    <cellStyle name="Total 3 3 43" xfId="20975" xr:uid="{F1E9F346-0BB7-4A92-B031-8587D5ADFD63}"/>
    <cellStyle name="Total 3 3 44" xfId="21577" xr:uid="{FD0BC806-25DD-4462-A81B-21DA1024499D}"/>
    <cellStyle name="Total 3 3 45" xfId="21906" xr:uid="{633E1C9C-8AE2-4DA0-A49D-020B23A760C9}"/>
    <cellStyle name="Total 3 3 46" xfId="22340" xr:uid="{25FB68B1-972E-4E93-9DF6-294541E05603}"/>
    <cellStyle name="Total 3 3 47" xfId="22730" xr:uid="{45EF00B8-2118-43C9-AA42-5F08F1B0142B}"/>
    <cellStyle name="Total 3 3 48" xfId="23216" xr:uid="{DBE8DE63-CBAF-46A6-8058-4608205AA62B}"/>
    <cellStyle name="Total 3 3 49" xfId="22630" xr:uid="{FB30F4F0-B36E-4244-BBAC-54064B665550}"/>
    <cellStyle name="Total 3 3 5" xfId="2376" xr:uid="{EB7D2621-B327-4602-9898-31CEC40F7A37}"/>
    <cellStyle name="Total 3 3 50" xfId="23745" xr:uid="{738D2C96-2FF0-41A4-92A2-3DF73310E0A6}"/>
    <cellStyle name="Total 3 3 51" xfId="24644" xr:uid="{993B39A8-A159-4320-A527-0AD5744147D9}"/>
    <cellStyle name="Total 3 3 52" xfId="25231" xr:uid="{C5B0F0CA-77A8-461D-9812-B3D0A6B72928}"/>
    <cellStyle name="Total 3 3 53" xfId="25562" xr:uid="{EEE3A0AF-3983-46DB-BB9F-66B650248339}"/>
    <cellStyle name="Total 3 3 54" xfId="26035" xr:uid="{71D19489-3CD3-43E8-874B-ADA2E04B5305}"/>
    <cellStyle name="Total 3 3 55" xfId="26193" xr:uid="{0C0090C8-A45D-4726-8AF7-3C91FA25C4AA}"/>
    <cellStyle name="Total 3 3 56" xfId="26852" xr:uid="{1E31BFB1-F9E4-44C9-8763-7A909BF1B823}"/>
    <cellStyle name="Total 3 3 57" xfId="27271" xr:uid="{D4DE1A00-1B38-4EA7-BD63-323DAFEE09E9}"/>
    <cellStyle name="Total 3 3 58" xfId="27809" xr:uid="{B5E56068-CFF3-4EA2-AA3D-8E7490542C32}"/>
    <cellStyle name="Total 3 3 59" xfId="28394" xr:uid="{4FDB9AEF-95F9-4844-AD6F-30954001987E}"/>
    <cellStyle name="Total 3 3 6" xfId="2900" xr:uid="{1D359762-238D-4DCE-99D5-73F5FFCA2347}"/>
    <cellStyle name="Total 3 3 60" xfId="28862" xr:uid="{48209389-69AE-4DC9-B5D6-DA4B7926C586}"/>
    <cellStyle name="Total 3 3 61" xfId="29370" xr:uid="{F3852C7B-ED3B-4416-B2F6-A35CCC1A9CEC}"/>
    <cellStyle name="Total 3 3 62" xfId="29652" xr:uid="{34B94268-2785-4EF0-9C81-078C4AFA9974}"/>
    <cellStyle name="Total 3 3 63" xfId="30060" xr:uid="{75C52259-DB85-4667-9C6B-688EA4050B3D}"/>
    <cellStyle name="Total 3 3 64" xfId="30474" xr:uid="{11968070-6660-4367-8314-18C43A35386B}"/>
    <cellStyle name="Total 3 3 65" xfId="29466" xr:uid="{607B4D78-A25B-460C-86C9-7191CBE003C6}"/>
    <cellStyle name="Total 3 3 66" xfId="31098" xr:uid="{8C72C9A9-57A3-4588-84DA-CF3337C2CB43}"/>
    <cellStyle name="Total 3 3 7" xfId="2804" xr:uid="{EF8F4A6F-2473-4FE5-B9F9-89BD8B630ED3}"/>
    <cellStyle name="Total 3 3 8" xfId="3872" xr:uid="{22B78D9D-8597-40B4-A0A8-859C87E92180}"/>
    <cellStyle name="Total 3 3 9" xfId="4310" xr:uid="{4D28DC39-F593-4F94-B7AB-5116EE7DBF5B}"/>
    <cellStyle name="Total 3 30" xfId="16981" xr:uid="{F99E1EEB-74DF-412B-BF4E-ABD18EC4134C}"/>
    <cellStyle name="Total 3 31" xfId="17148" xr:uid="{09B32B74-F827-4039-9F8B-0921803AB719}"/>
    <cellStyle name="Total 3 32" xfId="16049" xr:uid="{7F9BD3B7-D36F-4C58-9A96-296C71652702}"/>
    <cellStyle name="Total 3 33" xfId="19004" xr:uid="{48D2D47A-46ED-4730-9979-C5C6B4B03F9E}"/>
    <cellStyle name="Total 3 34" xfId="19623" xr:uid="{9F0E300A-4F9E-46F1-BB0E-FA85F4D9D183}"/>
    <cellStyle name="Total 3 35" xfId="20329" xr:uid="{4D2D23D2-382E-4A1F-9065-22D1332C05BA}"/>
    <cellStyle name="Total 3 36" xfId="21804" xr:uid="{C56F4C3A-5299-425A-B7E8-6903E6150109}"/>
    <cellStyle name="Total 3 37" xfId="22740" xr:uid="{729872DC-1D7E-4971-B5B3-152B179CC640}"/>
    <cellStyle name="Total 3 38" xfId="23512" xr:uid="{F14CA4AB-70FA-4D09-B934-468D5187B3F0}"/>
    <cellStyle name="Total 3 39" xfId="24344" xr:uid="{C2C59F3A-D617-472E-8658-EDAA9EEAF2CF}"/>
    <cellStyle name="Total 3 4" xfId="595" xr:uid="{0DF4BCBD-F652-4701-949A-FE21EF72BDFF}"/>
    <cellStyle name="Total 3 4 10" xfId="4788" xr:uid="{5F56E587-44D0-450F-965C-630DD3E1F555}"/>
    <cellStyle name="Total 3 4 11" xfId="5243" xr:uid="{53B36C27-6AC7-4BF7-A2A0-968617B62967}"/>
    <cellStyle name="Total 3 4 12" xfId="5654" xr:uid="{AB1C05B9-DE9B-4860-A169-CE14F2FEA869}"/>
    <cellStyle name="Total 3 4 13" xfId="2969" xr:uid="{A909B135-290A-4AE1-949D-C21A9121459B}"/>
    <cellStyle name="Total 3 4 14" xfId="6405" xr:uid="{2A2547AF-C241-4A78-A4C5-C9D415234330}"/>
    <cellStyle name="Total 3 4 15" xfId="7315" xr:uid="{EC4B0AF2-75B0-47DB-A6BD-A3E2F9FA677C}"/>
    <cellStyle name="Total 3 4 16" xfId="7790" xr:uid="{59AA0221-71D7-402A-84BF-450AB22FA3CF}"/>
    <cellStyle name="Total 3 4 17" xfId="8221" xr:uid="{6224CAF0-D507-482E-8846-DA832FCBBC4B}"/>
    <cellStyle name="Total 3 4 18" xfId="8687" xr:uid="{51C15B46-71E4-41C9-8AC8-F344F9B880C7}"/>
    <cellStyle name="Total 3 4 19" xfId="9529" xr:uid="{3A0F05B3-D671-4BE4-A4B3-42D780104F70}"/>
    <cellStyle name="Total 3 4 2" xfId="810" xr:uid="{75492EF6-AB39-4B97-92C6-8CA3B6D9D3BF}"/>
    <cellStyle name="Total 3 4 2 10" xfId="5458" xr:uid="{52CF374A-3286-4729-BFD9-9C47E3F0285C}"/>
    <cellStyle name="Total 3 4 2 11" xfId="4731" xr:uid="{61375506-E8AE-4A9E-AEEB-60D685EFFE68}"/>
    <cellStyle name="Total 3 4 2 12" xfId="5625" xr:uid="{30D9B420-A5B3-4E91-94EA-DF4B709A93A1}"/>
    <cellStyle name="Total 3 4 2 13" xfId="6554" xr:uid="{CEAA48F4-BA7D-4370-9B12-DE3C98E369EA}"/>
    <cellStyle name="Total 3 4 2 14" xfId="7530" xr:uid="{0A08918E-213D-43FC-9F19-D884A8DC73EB}"/>
    <cellStyle name="Total 3 4 2 15" xfId="7060" xr:uid="{B75E1715-E5F1-4DE3-9A19-699B7EF2AD58}"/>
    <cellStyle name="Total 3 4 2 16" xfId="8457" xr:uid="{9A98689C-9043-4405-8983-458808755AC0}"/>
    <cellStyle name="Total 3 4 2 17" xfId="8758" xr:uid="{4B83DADF-43D9-47B2-B18F-53C2C58B68BE}"/>
    <cellStyle name="Total 3 4 2 18" xfId="9744" xr:uid="{500311DD-1CD6-48D8-8F82-B7F9A61CC081}"/>
    <cellStyle name="Total 3 4 2 19" xfId="9273" xr:uid="{A966A9CA-C329-4814-9785-8544A3EA0BFA}"/>
    <cellStyle name="Total 3 4 2 2" xfId="1284" xr:uid="{ADF4FC2F-C2FE-4639-91D6-A23D1F8CA7F4}"/>
    <cellStyle name="Total 3 4 2 20" xfId="10078" xr:uid="{8F6F4D22-B776-4D77-9EBE-6CDEC9C63DC8}"/>
    <cellStyle name="Total 3 4 2 21" xfId="10806" xr:uid="{FE1F5038-ACC4-411D-83A5-FC181B7AF058}"/>
    <cellStyle name="Total 3 4 2 22" xfId="10831" xr:uid="{C2CE38B0-1E64-4665-9C9D-778A4D10B282}"/>
    <cellStyle name="Total 3 4 2 23" xfId="12163" xr:uid="{98A22172-11AF-4FD2-8475-F64829E7FB2E}"/>
    <cellStyle name="Total 3 4 2 24" xfId="12636" xr:uid="{02E32A44-BF03-4B98-95CB-96392457CCE5}"/>
    <cellStyle name="Total 3 4 2 25" xfId="13070" xr:uid="{F59F9816-AF81-4E94-8FC4-C468C61EA77B}"/>
    <cellStyle name="Total 3 4 2 26" xfId="13507" xr:uid="{10D1AA8F-8B68-4486-824B-9AED9722FEB3}"/>
    <cellStyle name="Total 3 4 2 27" xfId="13814" xr:uid="{3CE60722-85BD-401E-939B-99CAC73A3BF3}"/>
    <cellStyle name="Total 3 4 2 28" xfId="12729" xr:uid="{F9C38852-FC5C-4994-8BFD-A781BB93894B}"/>
    <cellStyle name="Total 3 4 2 29" xfId="14466" xr:uid="{6DB2658A-6A01-4421-9A4E-EB9AB3F679DE}"/>
    <cellStyle name="Total 3 4 2 3" xfId="1367" xr:uid="{188E5983-B001-4DBB-B87F-6166693384D6}"/>
    <cellStyle name="Total 3 4 2 30" xfId="14594" xr:uid="{5C38F5E3-3EEF-4A9F-B8CB-97EB0E23F98D}"/>
    <cellStyle name="Total 3 4 2 31" xfId="13178" xr:uid="{F971EF7F-ADE1-40D5-98AC-D176294571C3}"/>
    <cellStyle name="Total 3 4 2 32" xfId="14267" xr:uid="{0DC1CDA6-1AFB-421B-8774-8489DFE229F7}"/>
    <cellStyle name="Total 3 4 2 33" xfId="16855" xr:uid="{CE2F3266-0AF1-4F0A-96C4-64BECFE5F82D}"/>
    <cellStyle name="Total 3 4 2 34" xfId="16382" xr:uid="{7D1384FE-5EFD-4E7D-B5DD-0D284C2AD4E3}"/>
    <cellStyle name="Total 3 4 2 35" xfId="17196" xr:uid="{8CD3F2AC-3B2A-4D50-9890-E3F5616F4E4A}"/>
    <cellStyle name="Total 3 4 2 36" xfId="17757" xr:uid="{40322879-704C-4524-9614-577E752318E4}"/>
    <cellStyle name="Total 3 4 2 37" xfId="18673" xr:uid="{712F1F4C-716F-416A-83C5-2EB85557FB8C}"/>
    <cellStyle name="Total 3 4 2 38" xfId="19073" xr:uid="{3B65B494-2234-4CF2-8692-4159CE29648C}"/>
    <cellStyle name="Total 3 4 2 39" xfId="19252" xr:uid="{26032490-053F-4466-9F4F-68B740F5BC20}"/>
    <cellStyle name="Total 3 4 2 4" xfId="2632" xr:uid="{FB9F8A2B-8A47-4B8D-92D7-68404B1C55B3}"/>
    <cellStyle name="Total 3 4 2 40" xfId="20192" xr:uid="{C6A6DB43-3271-4B62-BA7B-661131A1B318}"/>
    <cellStyle name="Total 3 4 2 41" xfId="19716" xr:uid="{6C4931F2-DCE7-4D0D-9777-07A4CEB5A493}"/>
    <cellStyle name="Total 3 4 2 42" xfId="20284" xr:uid="{08AA6C82-FC81-495E-B6F3-7D67B80D6F69}"/>
    <cellStyle name="Total 3 4 2 43" xfId="21466" xr:uid="{BABC1EF1-D53E-4FC9-BF6B-9C7CA39A1084}"/>
    <cellStyle name="Total 3 4 2 44" xfId="21312" xr:uid="{541269FE-91AA-45F5-A28D-939D8ECB1857}"/>
    <cellStyle name="Total 3 4 2 45" xfId="22091" xr:uid="{A4945258-0CE0-48C7-8571-853B142C5180}"/>
    <cellStyle name="Total 3 4 2 46" xfId="22803" xr:uid="{43CC4C46-3C70-4A91-83FE-44FCA03B5367}"/>
    <cellStyle name="Total 3 4 2 47" xfId="23351" xr:uid="{A40C2F8D-C87C-4173-9012-8C485F14352D}"/>
    <cellStyle name="Total 3 4 2 48" xfId="23602" xr:uid="{046312D8-2BDC-48B3-ACBE-50F92D691914}"/>
    <cellStyle name="Total 3 4 2 49" xfId="23992" xr:uid="{D3B85F45-0344-4D9E-BFEE-BF3E22CD5208}"/>
    <cellStyle name="Total 3 4 2 5" xfId="2980" xr:uid="{162298BC-7B88-4E76-A6E0-E18688708514}"/>
    <cellStyle name="Total 3 4 2 50" xfId="24900" xr:uid="{C4CF6B95-8AED-401D-9A06-74047728FF1E}"/>
    <cellStyle name="Total 3 4 2 51" xfId="24429" xr:uid="{B8296563-03B6-4CDE-83FE-1B1B7879404C}"/>
    <cellStyle name="Total 3 4 2 52" xfId="25816" xr:uid="{EDFB707E-2E0A-452D-B826-F99BA962D7D6}"/>
    <cellStyle name="Total 3 4 2 53" xfId="25061" xr:uid="{11713D77-8570-46F9-80D7-35B0E24AFCD1}"/>
    <cellStyle name="Total 3 4 2 54" xfId="26347" xr:uid="{B2FCBF45-44AF-4B61-9AB9-1C32A9749BBF}"/>
    <cellStyle name="Total 3 4 2 55" xfId="27104" xr:uid="{25874F69-978D-49CF-984A-70787FD6DB88}"/>
    <cellStyle name="Total 3 4 2 56" xfId="27523" xr:uid="{A2C9DC3C-E398-496C-9D15-8A5E39A4CB56}"/>
    <cellStyle name="Total 3 4 2 57" xfId="27207" xr:uid="{1ACC3508-C3BE-482F-BD10-5BAFF59522EB}"/>
    <cellStyle name="Total 3 4 2 58" xfId="28650" xr:uid="{99422FF2-97EB-423B-A259-833F420BB35A}"/>
    <cellStyle name="Total 3 4 2 59" xfId="29117" xr:uid="{0E48483D-0B4F-4C86-93E5-63929CC974EE}"/>
    <cellStyle name="Total 3 4 2 6" xfId="2972" xr:uid="{50A12730-C91F-4F22-8FB8-6B64902B83B0}"/>
    <cellStyle name="Total 3 4 2 60" xfId="28084" xr:uid="{71BF8212-DE6C-4901-9850-C10201668165}"/>
    <cellStyle name="Total 3 4 2 61" xfId="29906" xr:uid="{25016AE7-CB14-4098-8176-675C97CF23AC}"/>
    <cellStyle name="Total 3 4 2 62" xfId="30312" xr:uid="{1740B2AF-B658-4DE2-9239-D89FCB0EE958}"/>
    <cellStyle name="Total 3 4 2 63" xfId="30729" xr:uid="{27AFE6EB-BCB0-46F2-A210-907EF042D3CF}"/>
    <cellStyle name="Total 3 4 2 64" xfId="29586" xr:uid="{97703E26-28F2-456F-A422-B44BAD8C8EC8}"/>
    <cellStyle name="Total 3 4 2 65" xfId="31345" xr:uid="{9BE3CBF8-FE84-48B3-8FEA-AE0529A95615}"/>
    <cellStyle name="Total 3 4 2 7" xfId="4128" xr:uid="{0767E142-E762-4967-8FE8-66F6B857399F}"/>
    <cellStyle name="Total 3 4 2 8" xfId="4565" xr:uid="{0C996097-EDE3-4F9B-BFAE-173DE01399F0}"/>
    <cellStyle name="Total 3 4 2 9" xfId="3675" xr:uid="{930C8977-4F7F-4D57-B0A6-57682AB644AD}"/>
    <cellStyle name="Total 3 4 20" xfId="10003" xr:uid="{8D42803C-59E9-4A86-8DBD-DEDE88C0F3A2}"/>
    <cellStyle name="Total 3 4 21" xfId="10428" xr:uid="{B4D7BEE2-83F4-41C3-B1D6-19FB5BD807B0}"/>
    <cellStyle name="Total 3 4 22" xfId="10769" xr:uid="{E5798ED5-A1ED-49AA-9F25-7D8A02779E4D}"/>
    <cellStyle name="Total 3 4 23" xfId="10723" xr:uid="{50F9FA6F-A743-41E6-B28E-6849323B5656}"/>
    <cellStyle name="Total 3 4 24" xfId="11948" xr:uid="{7432044E-E8C5-4D33-931E-C82DC23E457C}"/>
    <cellStyle name="Total 3 4 25" xfId="12421" xr:uid="{375F1FEE-E2E9-44E9-9492-8317A9FD4D34}"/>
    <cellStyle name="Total 3 4 26" xfId="12855" xr:uid="{C75CFB15-6982-4B67-AF22-52CF6C347127}"/>
    <cellStyle name="Total 3 4 27" xfId="13292" xr:uid="{159D2843-DDF4-443B-8BF0-D0427849D14E}"/>
    <cellStyle name="Total 3 4 28" xfId="11554" xr:uid="{71F40CE6-DDF8-4CD4-9873-E6FB49EF0022}"/>
    <cellStyle name="Total 3 4 29" xfId="11474" xr:uid="{29CF14E7-8DD1-4082-A895-C6229B52724E}"/>
    <cellStyle name="Total 3 4 3" xfId="1078" xr:uid="{10C4B5E9-7A5B-4D0B-9C88-13F70F810C83}"/>
    <cellStyle name="Total 3 4 30" xfId="14777" xr:uid="{430CAEFB-49C2-4CC8-95AE-C37B2DFF4020}"/>
    <cellStyle name="Total 3 4 31" xfId="14064" xr:uid="{C1677668-36FF-47E1-86D3-D46B6F834644}"/>
    <cellStyle name="Total 3 4 32" xfId="15177" xr:uid="{51CA0DD8-F223-48AD-9762-21D7D5BB3FC8}"/>
    <cellStyle name="Total 3 4 33" xfId="15858" xr:uid="{52C6605B-BF7B-412F-84C5-481B956AA4FE}"/>
    <cellStyle name="Total 3 4 34" xfId="16640" xr:uid="{18179C91-F267-46AF-ABE6-A5B52456190B}"/>
    <cellStyle name="Total 3 4 35" xfId="17119" xr:uid="{53C12CF1-040B-4191-BE30-665E74F081FA}"/>
    <cellStyle name="Total 3 4 36" xfId="17566" xr:uid="{ED5FEA9A-0258-4412-8E82-BA0337EAFA69}"/>
    <cellStyle name="Total 3 4 37" xfId="17968" xr:uid="{7E3B751A-6E71-4AF8-B703-089B9610FA1D}"/>
    <cellStyle name="Total 3 4 38" xfId="18458" xr:uid="{0B306E81-D167-4DEE-9A1D-C798253508D6}"/>
    <cellStyle name="Total 3 4 39" xfId="18756" xr:uid="{C3020B32-96D6-4EBD-ADBC-B235AF37BE71}"/>
    <cellStyle name="Total 3 4 4" xfId="1525" xr:uid="{35242302-D984-4F1D-B665-5A2B2C345DB6}"/>
    <cellStyle name="Total 3 4 40" xfId="19209" xr:uid="{B6D82CC9-2085-48D2-A3D3-E1182FA1C352}"/>
    <cellStyle name="Total 3 4 41" xfId="19977" xr:uid="{D15C3F25-4392-4596-BE21-11B8FC8F0A9B}"/>
    <cellStyle name="Total 3 4 42" xfId="20472" xr:uid="{9EFAB4B5-463C-4882-85CA-D8D704EF62AF}"/>
    <cellStyle name="Total 3 4 43" xfId="20925" xr:uid="{387CA6B3-4D41-4866-8C2D-C2394ED7BCA7}"/>
    <cellStyle name="Total 3 4 44" xfId="20803" xr:uid="{CDAA0A85-0062-4A68-9874-87509CE2C921}"/>
    <cellStyle name="Total 3 4 45" xfId="21854" xr:uid="{DBDE12D4-90EB-4241-8D20-2B3A6C5D8F48}"/>
    <cellStyle name="Total 3 4 46" xfId="22291" xr:uid="{2C84E512-8419-425F-A126-4D060DFC9BF7}"/>
    <cellStyle name="Total 3 4 47" xfId="22349" xr:uid="{8F462F84-5FE9-463C-A665-9DC61964D5C5}"/>
    <cellStyle name="Total 3 4 48" xfId="22265" xr:uid="{4C2B8537-BB99-4A31-A4C8-39E177A12D6F}"/>
    <cellStyle name="Total 3 4 49" xfId="23595" xr:uid="{1750207D-A7EC-40B0-8FDA-A227C8160068}"/>
    <cellStyle name="Total 3 4 5" xfId="2417" xr:uid="{7C835338-2726-4853-BCF5-86A639EA702C}"/>
    <cellStyle name="Total 3 4 50" xfId="23786" xr:uid="{EA40E7F6-D58B-456A-925B-67B529563C77}"/>
    <cellStyle name="Total 3 4 51" xfId="24685" xr:uid="{4E62E9C6-6DC3-465E-B020-FD92C347F808}"/>
    <cellStyle name="Total 3 4 52" xfId="25180" xr:uid="{DF0622ED-6F54-4493-90CF-0D339068BD17}"/>
    <cellStyle name="Total 3 4 53" xfId="25603" xr:uid="{F014AB7B-A220-4642-A64D-C73271958D18}"/>
    <cellStyle name="Total 3 4 54" xfId="25051" xr:uid="{86A51BDA-39FB-46AE-99E2-1038255BFB93}"/>
    <cellStyle name="Total 3 4 55" xfId="26678" xr:uid="{1F821448-E619-4606-B2A8-73731E8710B8}"/>
    <cellStyle name="Total 3 4 56" xfId="26893" xr:uid="{0D0D6435-68C6-414B-8C5F-AC343111C05A}"/>
    <cellStyle name="Total 3 4 57" xfId="27312" xr:uid="{A7532D76-E38E-48A4-8699-D59AFCA2A008}"/>
    <cellStyle name="Total 3 4 58" xfId="25957" xr:uid="{C12A0540-960E-4E71-BD2B-45B384F47C98}"/>
    <cellStyle name="Total 3 4 59" xfId="28435" xr:uid="{630499A9-A0DF-41B8-932D-AD801DD3E3AB}"/>
    <cellStyle name="Total 3 4 6" xfId="1905" xr:uid="{D0B27EF9-4267-4545-88EF-F789AF8881CE}"/>
    <cellStyle name="Total 3 4 60" xfId="28903" xr:uid="{F5C5DA3B-B81A-4F92-BFA2-7DAD1F6430A6}"/>
    <cellStyle name="Total 3 4 61" xfId="29327" xr:uid="{65877DB9-A8D0-443B-9B20-9CD4D216FE86}"/>
    <cellStyle name="Total 3 4 62" xfId="29693" xr:uid="{F583897F-9BCA-4CBA-B760-2CD86E892AED}"/>
    <cellStyle name="Total 3 4 63" xfId="30101" xr:uid="{CE7B7E3B-2CA9-4BCB-A7A3-47503F38E312}"/>
    <cellStyle name="Total 3 4 64" xfId="30515" xr:uid="{E2502AC6-1C23-4E83-9FA9-8F32A1931B10}"/>
    <cellStyle name="Total 3 4 65" xfId="30915" xr:uid="{256D1C1A-7E18-4F7C-B6BA-85AA2893DABF}"/>
    <cellStyle name="Total 3 4 66" xfId="31139" xr:uid="{5A71E450-C5B2-43D2-B9FD-79FDCD0CC113}"/>
    <cellStyle name="Total 3 4 7" xfId="3106" xr:uid="{577FBA8C-1ADA-4524-92BE-48E55AE55714}"/>
    <cellStyle name="Total 3 4 8" xfId="3913" xr:uid="{92C732D0-EF9B-4FFE-AB7D-D2B66958C398}"/>
    <cellStyle name="Total 3 4 9" xfId="4351" xr:uid="{3451D482-F4C6-40B8-8B0E-C09DAE03FFBF}"/>
    <cellStyle name="Total 3 40" xfId="25045" xr:uid="{C12C405A-B065-4883-A8B3-72C83DEBB67D}"/>
    <cellStyle name="Total 3 41" xfId="24262" xr:uid="{0F135E93-36FC-41D0-96A0-08D691501CF6}"/>
    <cellStyle name="Total 3 42" xfId="25048" xr:uid="{2C7AD12E-2935-441A-90C9-F5E78FB5B2EF}"/>
    <cellStyle name="Total 3 43" xfId="26268" xr:uid="{2A77F331-59FC-403F-8C13-FD34A1718C48}"/>
    <cellStyle name="Total 3 44" xfId="26308" xr:uid="{EC684C2B-065F-4752-9387-AAB3CD227C06}"/>
    <cellStyle name="Total 3 45" xfId="26778" xr:uid="{54703EE4-9E35-4F1C-8B27-365EACC846B4}"/>
    <cellStyle name="Total 3 46" xfId="28117" xr:uid="{2B45D190-7ACE-46E1-95D5-86F24463FB4C}"/>
    <cellStyle name="Total 3 47" xfId="28029" xr:uid="{F118E933-E284-4C95-8830-E1B0C2993C77}"/>
    <cellStyle name="Total 3 48" xfId="28253" xr:uid="{BC3D2B64-8D83-4616-A3B8-3A82830922CD}"/>
    <cellStyle name="Total 3 49" xfId="29475" xr:uid="{A8F93DA4-FD21-4F30-B405-0230DB7966B0}"/>
    <cellStyle name="Total 3 5" xfId="692" xr:uid="{5E0F5073-DE8A-4974-9553-A91654703284}"/>
    <cellStyle name="Total 3 5 10" xfId="5340" xr:uid="{48C90B5D-01AB-4623-BB12-09719B3369D9}"/>
    <cellStyle name="Total 3 5 11" xfId="4746" xr:uid="{3E4479CD-FC50-4841-A5AA-B02CFD64ABED}"/>
    <cellStyle name="Total 3 5 12" xfId="6109" xr:uid="{FD001C79-A047-4816-9568-E3A4F4CDD4D5}"/>
    <cellStyle name="Total 3 5 13" xfId="6293" xr:uid="{265DD231-C3B1-42AD-ADDB-DB99FE77DC3F}"/>
    <cellStyle name="Total 3 5 14" xfId="7412" xr:uid="{58C7F2ED-597A-44DB-8BAF-D164F45FF2F4}"/>
    <cellStyle name="Total 3 5 15" xfId="6978" xr:uid="{620D9765-B8E3-44DA-A8C2-534A4EE8CB4F}"/>
    <cellStyle name="Total 3 5 16" xfId="8285" xr:uid="{6232689E-1056-4B9F-880B-0AFB9150F7F2}"/>
    <cellStyle name="Total 3 5 17" xfId="7648" xr:uid="{104FCC23-5C00-45B9-BAC2-07FA04E62107}"/>
    <cellStyle name="Total 3 5 18" xfId="9626" xr:uid="{0034FD9E-BC37-4437-838D-708975E89233}"/>
    <cellStyle name="Total 3 5 19" xfId="9034" xr:uid="{9872BE27-9800-4789-87D5-533CDAD237BD}"/>
    <cellStyle name="Total 3 5 2" xfId="1174" xr:uid="{AB56498C-9622-4C24-A190-77E12AF74D61}"/>
    <cellStyle name="Total 3 5 20" xfId="9883" xr:uid="{6917172D-AA2F-46B3-8947-CBB142365A22}"/>
    <cellStyle name="Total 3 5 21" xfId="10742" xr:uid="{39801428-3388-4170-B20A-FF081D4DBEAD}"/>
    <cellStyle name="Total 3 5 22" xfId="9877" xr:uid="{BDA26144-E4E9-4F0A-B94C-4C91237F59E7}"/>
    <cellStyle name="Total 3 5 23" xfId="12045" xr:uid="{EC357FFF-3E26-47A5-A13F-B446B406C2A7}"/>
    <cellStyle name="Total 3 5 24" xfId="12518" xr:uid="{0108A863-D79A-4C4F-97DA-AC18B7C40E11}"/>
    <cellStyle name="Total 3 5 25" xfId="12952" xr:uid="{BA1138F1-6E6B-48E2-AF73-D3E740931483}"/>
    <cellStyle name="Total 3 5 26" xfId="13389" xr:uid="{20CF8FB9-BCFE-4C15-9F0C-91B207DC5AFD}"/>
    <cellStyle name="Total 3 5 27" xfId="13833" xr:uid="{7BE6E820-B037-47EC-AACF-E79671939634}"/>
    <cellStyle name="Total 3 5 28" xfId="14012" xr:uid="{4823B729-C1B2-4C13-A963-9D5C879A221F}"/>
    <cellStyle name="Total 3 5 29" xfId="14002" xr:uid="{237A3693-7A8F-4CC8-A069-92D63043289B}"/>
    <cellStyle name="Total 3 5 3" xfId="1666" xr:uid="{75DCA2CD-9805-4D87-86BF-13A479049850}"/>
    <cellStyle name="Total 3 5 30" xfId="14785" xr:uid="{699BD817-39E2-4E19-A25E-7EF6F4661CD8}"/>
    <cellStyle name="Total 3 5 31" xfId="15486" xr:uid="{76FBB095-6501-4334-84E7-DC4094CF4997}"/>
    <cellStyle name="Total 3 5 32" xfId="15439" xr:uid="{E06F88DA-E945-46B5-81F4-7DADB53D8DC7}"/>
    <cellStyle name="Total 3 5 33" xfId="16737" xr:uid="{F9BEEC1F-8881-4EA1-96D5-2005D4673585}"/>
    <cellStyle name="Total 3 5 34" xfId="16298" xr:uid="{8C58496B-B797-4966-9121-339E0CED1FC3}"/>
    <cellStyle name="Total 3 5 35" xfId="16052" xr:uid="{E26299C7-40A4-4382-A88C-F08C50C5BD2E}"/>
    <cellStyle name="Total 3 5 36" xfId="18145" xr:uid="{626AFAC0-7036-45E5-A8F7-B7790A51C173}"/>
    <cellStyle name="Total 3 5 37" xfId="18555" xr:uid="{44B43D43-C732-4D33-803B-975E14707F53}"/>
    <cellStyle name="Total 3 5 38" xfId="17809" xr:uid="{DD83F0C5-31BA-431C-AE43-CFFA2D4E9066}"/>
    <cellStyle name="Total 3 5 39" xfId="19281" xr:uid="{A4E67D9B-8F17-469B-8E3A-A2DF4103B6C4}"/>
    <cellStyle name="Total 3 5 4" xfId="2514" xr:uid="{6C264DCB-AF92-4CD5-8628-211DD1DC4313}"/>
    <cellStyle name="Total 3 5 40" xfId="20074" xr:uid="{98E65111-EE60-4042-BC0A-DC96CA488855}"/>
    <cellStyle name="Total 3 5 41" xfId="19628" xr:uid="{24FC7F2B-CC89-4D97-8BB6-48C4E2FE63D5}"/>
    <cellStyle name="Total 3 5 42" xfId="19489" xr:uid="{E0CB1D0A-5A34-4648-AFC0-EAB6289C1A6F}"/>
    <cellStyle name="Total 3 5 43" xfId="21199" xr:uid="{B841963A-1775-4EB4-A6E7-CF30F487F784}"/>
    <cellStyle name="Total 3 5 44" xfId="20927" xr:uid="{F0CE59E8-5DF9-4A41-ADC6-609557C234C4}"/>
    <cellStyle name="Total 3 5 45" xfId="20283" xr:uid="{ABF67CD0-70BF-4A32-84AB-44ACF90BEA3B}"/>
    <cellStyle name="Total 3 5 46" xfId="22819" xr:uid="{DF84A508-E225-4A48-B79E-1B881D939461}"/>
    <cellStyle name="Total 3 5 47" xfId="21753" xr:uid="{1BBD4F3E-0FE5-42C1-B78A-9A0B5D6BBD43}"/>
    <cellStyle name="Total 3 5 48" xfId="23633" xr:uid="{DB474B87-A64F-4D60-9AEA-E8E558400D74}"/>
    <cellStyle name="Total 3 5 49" xfId="23882" xr:uid="{A8C95AD5-8D0B-45D3-B965-F04B4998B835}"/>
    <cellStyle name="Total 3 5 5" xfId="2999" xr:uid="{C111AAB8-8454-48A7-9AA1-09FDB40E8C32}"/>
    <cellStyle name="Total 3 5 50" xfId="24782" xr:uid="{FE5F0117-3033-49EA-9FF2-262AF9EC3B14}"/>
    <cellStyle name="Total 3 5 51" xfId="24983" xr:uid="{17F0424E-9010-49CD-8950-0C603466A992}"/>
    <cellStyle name="Total 3 5 52" xfId="25700" xr:uid="{9A0F125F-3D28-4575-A02E-435685D3C854}"/>
    <cellStyle name="Total 3 5 53" xfId="26123" xr:uid="{C2CA58D0-C509-426D-8B7B-86976FC98D43}"/>
    <cellStyle name="Total 3 5 54" xfId="26365" xr:uid="{945DB27A-4964-43CC-88E1-AAA87C1145B4}"/>
    <cellStyle name="Total 3 5 55" xfId="26990" xr:uid="{58E87627-7666-4265-B9D7-077086C97F58}"/>
    <cellStyle name="Total 3 5 56" xfId="27409" xr:uid="{81453592-5D49-486E-8645-E337F692D1F9}"/>
    <cellStyle name="Total 3 5 57" xfId="27812" xr:uid="{4259AC7E-5F56-4508-A916-D1FFA650726C}"/>
    <cellStyle name="Total 3 5 58" xfId="28532" xr:uid="{8BEA5C34-B91B-4FAE-96DD-A13EC48FAC7D}"/>
    <cellStyle name="Total 3 5 59" xfId="29000" xr:uid="{8449E8E7-2043-449A-A305-FDB91EC6C001}"/>
    <cellStyle name="Total 3 5 6" xfId="1946" xr:uid="{3495C0F1-4F75-4390-8A71-440894535FBC}"/>
    <cellStyle name="Total 3 5 60" xfId="27898" xr:uid="{4A2443E7-47D4-40C1-9C91-7917281296B1}"/>
    <cellStyle name="Total 3 5 61" xfId="29790" xr:uid="{23F76B9B-53A7-4A2E-9B9B-F3427E4320E6}"/>
    <cellStyle name="Total 3 5 62" xfId="30197" xr:uid="{02F8BE30-C788-43E6-8BDD-1078C3633DC6}"/>
    <cellStyle name="Total 3 5 63" xfId="30612" xr:uid="{E5E9ED5F-B40D-49D7-9D5D-FC0BF944683C}"/>
    <cellStyle name="Total 3 5 64" xfId="30928" xr:uid="{2BB29605-5222-4CA9-90BC-8A2D92CCE12A}"/>
    <cellStyle name="Total 3 5 65" xfId="31235" xr:uid="{180D1940-A150-48ED-B448-C8060F97F0D2}"/>
    <cellStyle name="Total 3 5 7" xfId="4010" xr:uid="{F00FEDC8-3034-4172-8AFD-4413841911C7}"/>
    <cellStyle name="Total 3 5 8" xfId="4448" xr:uid="{43075FE2-9580-4743-B2FD-DE3350CE4FA7}"/>
    <cellStyle name="Total 3 5 9" xfId="3107" xr:uid="{549B6B82-ECB2-4366-8CBB-3C18EC1244D8}"/>
    <cellStyle name="Total 3 50" xfId="30813" xr:uid="{85245E27-E07D-4CEF-9A08-79AAA1D1F32D}"/>
    <cellStyle name="Total 3 51" xfId="29514" xr:uid="{1FD144F5-CF86-49C8-BE1A-DF396312876F}"/>
    <cellStyle name="Total 3 6" xfId="936" xr:uid="{8B7E52C9-90D4-429E-BD93-41A38D00FE93}"/>
    <cellStyle name="Total 3 7" xfId="2064" xr:uid="{95387551-C7DE-470D-85F7-0ADFED9DCCD6}"/>
    <cellStyle name="Total 3 8" xfId="2910" xr:uid="{A0325D3E-2D18-44F6-8290-A2D37AEC9E54}"/>
    <cellStyle name="Total 3 9" xfId="3379" xr:uid="{98761ACC-F702-4187-A85F-28E85F22DF05}"/>
    <cellStyle name="Verknüpfte Zelle" xfId="186" xr:uid="{21BE2FF3-DB14-4EF5-B866-C68A46DD96A9}"/>
    <cellStyle name="Warnender Text" xfId="47" hidden="1" xr:uid="{240431E1-FC66-4E27-A958-E094DD83CAD1}"/>
    <cellStyle name="Warnender Text" xfId="894" hidden="1" xr:uid="{9601C7A0-C599-4C78-99C8-C2B69CF576F6}"/>
    <cellStyle name="Warnender Text" xfId="972" hidden="1" xr:uid="{FE70B20F-068F-4171-B2E3-1EF1A7134421}"/>
    <cellStyle name="Warnender Text" xfId="1388" hidden="1" xr:uid="{C7CC398E-5527-45DA-BE66-01FDAB01D7ED}"/>
    <cellStyle name="Warnender Text" xfId="1646" hidden="1" xr:uid="{8C3574A6-AC4D-4AA3-B97F-B7EBC02D84E2}"/>
    <cellStyle name="Warnender Text" xfId="1869" hidden="1" xr:uid="{42A16D90-49C5-48B3-99EF-605BBCFA103D}"/>
    <cellStyle name="Warnender Text" xfId="2325" hidden="1" xr:uid="{AE8D6DFC-EC45-432A-A40C-D2BF93EF5547}"/>
    <cellStyle name="Warnender Text" xfId="2226" hidden="1" xr:uid="{C4D843B3-5056-4E2E-AF2C-AD7693685819}"/>
    <cellStyle name="Warnender Text" xfId="2746" hidden="1" xr:uid="{492D8E6A-DC29-45FF-B171-E37E860E1FEE}"/>
    <cellStyle name="Warnender Text" xfId="1821" hidden="1" xr:uid="{ED2A5082-62FB-4686-A6DE-CB86A063C98B}"/>
    <cellStyle name="Warnender Text" xfId="2905" hidden="1" xr:uid="{DD3C3B2C-1FB9-4E44-BED1-7925FBE30F66}"/>
    <cellStyle name="Warnender Text" xfId="2308" hidden="1" xr:uid="{8A1CC1C9-7ED4-420B-A409-CE9F9B10C1D6}"/>
    <cellStyle name="Warnender Text" xfId="2232" hidden="1" xr:uid="{F9DAE6FC-E814-4ED0-A280-BEAB6E1B8090}"/>
    <cellStyle name="Warnender Text" xfId="1934" hidden="1" xr:uid="{092AFDFD-4D2A-49FA-842C-BD92BEEEFF0F}"/>
    <cellStyle name="Warnender Text" xfId="2291" hidden="1" xr:uid="{A647FA87-6E1F-4AEB-AB89-1A8DC87A7F19}"/>
    <cellStyle name="Warnender Text" xfId="2299" hidden="1" xr:uid="{67638C64-FE77-4832-8E7E-29B22E8C812B}"/>
    <cellStyle name="Warnender Text" xfId="3587" hidden="1" xr:uid="{9D701C6C-D0C4-4D65-A882-119D1DE789CE}"/>
    <cellStyle name="Warnender Text" xfId="3636" hidden="1" xr:uid="{5BD46685-C622-4055-8EEC-4E798DFE53C2}"/>
    <cellStyle name="Warnender Text" xfId="4706" hidden="1" xr:uid="{F931984B-CC39-43E7-A0AB-CD5875EE449C}"/>
    <cellStyle name="Warnender Text" xfId="4977" hidden="1" xr:uid="{DA04ECDA-5EC0-42EC-8BB4-AC1AC1854B44}"/>
    <cellStyle name="Warnender Text" xfId="4974" hidden="1" xr:uid="{F694F763-69B9-49F4-8F3E-56D14C6E6CE1}"/>
    <cellStyle name="Warnender Text" xfId="5722" hidden="1" xr:uid="{C6365FB3-6AC5-4D36-A882-106582813969}"/>
    <cellStyle name="Warnender Text" xfId="4982" hidden="1" xr:uid="{94FB0D7B-7A3D-4993-BB3D-AC9174A5F3EC}"/>
    <cellStyle name="Warnender Text" xfId="5712" hidden="1" xr:uid="{44D872D2-3A2E-443F-9C0A-42FC40461323}"/>
    <cellStyle name="Warnender Text" xfId="5879" hidden="1" xr:uid="{C5A1068C-98A9-442C-BDF5-0CA3F9A39781}"/>
    <cellStyle name="Warnender Text" xfId="5846" hidden="1" xr:uid="{122EBA76-236F-4DA2-85B1-DF4BF3406F3D}"/>
    <cellStyle name="Warnender Text" xfId="6166" hidden="1" xr:uid="{92CD098E-CA49-4443-AADB-A87BCB6A0BAB}"/>
    <cellStyle name="Warnender Text" xfId="1945" hidden="1" xr:uid="{EF772481-C05E-4A4F-8CD7-D36E952BCC97}"/>
    <cellStyle name="Warnender Text" xfId="6240" hidden="1" xr:uid="{F10335D9-A99D-4185-BFD3-F7AC9A43827D}"/>
    <cellStyle name="Warnender Text" xfId="3418" hidden="1" xr:uid="{95293450-2303-4936-8C4F-5A3E1970031F}"/>
    <cellStyle name="Warnender Text" xfId="6564" hidden="1" xr:uid="{918169B2-6180-4E16-BF88-B200BCC293B2}"/>
    <cellStyle name="Warnender Text" xfId="5580" hidden="1" xr:uid="{E4437EF5-DDEC-4641-B328-D348C0171751}"/>
    <cellStyle name="Warnender Text" xfId="5817" hidden="1" xr:uid="{81072814-10C0-4A0D-B7EE-D2DD1C9E86B9}"/>
    <cellStyle name="Warnender Text" xfId="6609" hidden="1" xr:uid="{B161EB8C-52EB-4DD0-8470-C566D03E0F70}"/>
    <cellStyle name="Warnender Text" xfId="4691" hidden="1" xr:uid="{B6B67D4F-559F-42B3-BB4D-CF2074F9F07F}"/>
    <cellStyle name="Warnender Text" xfId="5831" hidden="1" xr:uid="{A2E071A4-6B6C-4A97-8EB5-D4E87C67267D}"/>
    <cellStyle name="Warnender Text" xfId="6480" hidden="1" xr:uid="{66A4E915-2518-428B-8BF6-10F8841650D0}"/>
    <cellStyle name="Warnender Text" xfId="6783" hidden="1" xr:uid="{BC8B629A-26F1-4B4D-8237-DA6EE72A53E9}"/>
    <cellStyle name="Warnender Text" xfId="7075" hidden="1" xr:uid="{169BEC10-D263-4D6C-9EBB-9D6920F1C4E2}"/>
    <cellStyle name="Warnender Text" xfId="6853" hidden="1" xr:uid="{2DB021B8-0861-4E8C-8961-2F150AFCE3F2}"/>
    <cellStyle name="Warnender Text" xfId="7132" hidden="1" xr:uid="{F0119FF5-A04F-4319-85FC-41D570A669A3}"/>
    <cellStyle name="Warnender Text" xfId="7998" hidden="1" xr:uid="{5BA4154D-5FCB-431C-A299-BBB4C926C689}"/>
    <cellStyle name="Warnender Text" xfId="8182" hidden="1" xr:uid="{6091AEF9-2D7E-4CF7-AFD6-5F6ABB9CD046}"/>
    <cellStyle name="Warnender Text" xfId="7667" hidden="1" xr:uid="{01DB16AE-08CC-4D89-AB25-ED7EAFB9ADED}"/>
    <cellStyle name="Warnender Text" xfId="8322" hidden="1" xr:uid="{2A438C0E-42FC-44AD-8624-07D48E6ABE3C}"/>
    <cellStyle name="Warnender Text" xfId="7723" hidden="1" xr:uid="{4951DF7F-A951-44B8-AF88-B95D19490260}"/>
    <cellStyle name="Warnender Text" xfId="8177" hidden="1" xr:uid="{8289388B-90E2-4E86-98CB-46B3456CBFBD}"/>
    <cellStyle name="Warnender Text" xfId="7758" hidden="1" xr:uid="{8E18AC48-17F9-41ED-A0EA-386B97ED4850}"/>
    <cellStyle name="Warnender Text" xfId="7166" hidden="1" xr:uid="{2CCF581B-B09D-405C-BFF8-B7AC9951207B}"/>
    <cellStyle name="Warnender Text" xfId="8127" hidden="1" xr:uid="{5864E34B-7728-4CF2-8DAB-A3280F5A69E3}"/>
    <cellStyle name="Warnender Text" xfId="7702" hidden="1" xr:uid="{4AC370AC-53F8-4D8C-B8FA-4B644F05EC7E}"/>
    <cellStyle name="Warnender Text" xfId="8237" hidden="1" xr:uid="{7D92A8F7-A495-4AEA-8047-C213931573A9}"/>
    <cellStyle name="Warnender Text" xfId="8213" hidden="1" xr:uid="{F8146407-4814-45F6-9FCD-4570C46B3CF4}"/>
    <cellStyle name="Warnender Text" xfId="7811" hidden="1" xr:uid="{0A6B765E-7C6B-4F34-9366-B510300FD71E}"/>
    <cellStyle name="Warnender Text" xfId="8303" hidden="1" xr:uid="{F32D68C6-9DAF-4C6C-BCC5-B6D893965847}"/>
    <cellStyle name="Warnender Text" xfId="6750" hidden="1" xr:uid="{3B7C5698-19CF-42C0-B4A7-39439A4A5592}"/>
    <cellStyle name="Warnender Text" xfId="8230" hidden="1" xr:uid="{E1BDA181-1D57-4363-A5FD-ECD59677AC14}"/>
    <cellStyle name="Warnender Text" xfId="8684" hidden="1" xr:uid="{D01B3047-62BB-409F-9723-7C7B665D5771}"/>
    <cellStyle name="Warnender Text" xfId="8579" hidden="1" xr:uid="{9567FCC0-83CD-482E-B9D6-EEBAA2E66E57}"/>
    <cellStyle name="Warnender Text" xfId="8909" hidden="1" xr:uid="{7A31BED5-465A-43C5-ADE5-7C12A04EE671}"/>
    <cellStyle name="Warnender Text" xfId="8995" hidden="1" xr:uid="{A403F8DD-A4FC-42AB-86D8-82D64639BA9D}"/>
    <cellStyle name="Warnender Text" xfId="9288" hidden="1" xr:uid="{CA42B251-6D72-43B2-9735-1872C6A2EFA0}"/>
    <cellStyle name="Warnender Text" xfId="9349" hidden="1" xr:uid="{6C8F71E6-A6F0-4D5C-8360-7324EB7185D1}"/>
    <cellStyle name="Warnender Text" xfId="8969" hidden="1" xr:uid="{C7F6DC77-7A8B-4E48-B264-303394944E49}"/>
    <cellStyle name="Warnender Text" xfId="10011" hidden="1" xr:uid="{B1455396-482A-46F8-A65F-793BE46862A5}"/>
    <cellStyle name="Warnender Text" xfId="10532" hidden="1" xr:uid="{47E015DB-18DE-4476-809D-4C2AA1227F04}"/>
    <cellStyle name="Warnender Text" xfId="10088" hidden="1" xr:uid="{0B55389A-D0B6-4574-BF4D-5285DF392108}"/>
    <cellStyle name="Warnender Text" xfId="10040" hidden="1" xr:uid="{606EA65F-B279-4812-BC71-99B5FD0A4E6B}"/>
    <cellStyle name="Warnender Text" xfId="10399" hidden="1" xr:uid="{21FD4646-66FF-489F-AFF5-65B498348318}"/>
    <cellStyle name="Warnender Text" xfId="10983" hidden="1" xr:uid="{5A5E490C-5E91-4484-978E-8E209F98823A}"/>
    <cellStyle name="Warnender Text" xfId="11084" hidden="1" xr:uid="{BF6103F7-5F63-4B94-A507-B5630F39961A}"/>
    <cellStyle name="Warnender Text" xfId="9826" hidden="1" xr:uid="{2E037509-351F-4440-9E15-AC2B57F43B42}"/>
    <cellStyle name="Warnender Text" xfId="10119" hidden="1" xr:uid="{A8D7D381-83E2-477C-8F44-FFD6F8761298}"/>
    <cellStyle name="Warnender Text" xfId="11136" hidden="1" xr:uid="{A0542B8F-4621-4659-A0F3-2F7D07C91DE3}"/>
    <cellStyle name="Warnender Text" xfId="10884" hidden="1" xr:uid="{4426545C-0E0C-4FE7-AAA3-1C1DA8573513}"/>
    <cellStyle name="Warnender Text" xfId="11401" hidden="1" xr:uid="{B20320FD-2D26-4F5C-AC21-643BB82E1333}"/>
    <cellStyle name="Warnender Text" xfId="11702" hidden="1" xr:uid="{DF72016D-7447-4CBA-BAA7-600EDA5DBBE8}"/>
    <cellStyle name="Warnender Text" xfId="11672" hidden="1" xr:uid="{ECF543DD-7840-4761-B7D6-3805F5044625}"/>
    <cellStyle name="Warnender Text" xfId="11757" hidden="1" xr:uid="{BA10AF5C-D0F4-4A71-B195-5B0B8ACC2F51}"/>
    <cellStyle name="Warnender Text" xfId="11651" hidden="1" xr:uid="{90AFA614-558D-43D4-A4A0-569555D62194}"/>
    <cellStyle name="Warnender Text" xfId="11441" hidden="1" xr:uid="{BDF4A9A5-319E-4669-8D9F-6425244094B8}"/>
    <cellStyle name="Warnender Text" xfId="11366" hidden="1" xr:uid="{D7D1C03A-0A63-4560-B964-CD37C55DB938}"/>
    <cellStyle name="Warnender Text" xfId="13391" hidden="1" xr:uid="{896E604F-DCDB-4E66-B05E-008BB8B074C1}"/>
    <cellStyle name="Warnender Text" xfId="14416" hidden="1" xr:uid="{2A272AD0-EA99-41E1-A787-51250A9DB3A4}"/>
    <cellStyle name="Warnender Text" xfId="13733" hidden="1" xr:uid="{0F55675F-74F4-4EB9-93CF-9981E40518BC}"/>
    <cellStyle name="Warnender Text" xfId="14679" hidden="1" xr:uid="{9C5F8990-221B-48FD-AB75-F94E702F6A0D}"/>
    <cellStyle name="Warnender Text" xfId="11863" hidden="1" xr:uid="{ABCBE356-DBD6-4006-8961-4CB19ECAF436}"/>
    <cellStyle name="Warnender Text" xfId="15096" hidden="1" xr:uid="{D8DF2B4F-D6D0-46A1-B483-D1A7DCBD6D7C}"/>
    <cellStyle name="Warnender Text" xfId="14113" hidden="1" xr:uid="{F35CD8A2-2FF4-4652-A093-5F7786699E5C}"/>
    <cellStyle name="Warnender Text" xfId="15340" hidden="1" xr:uid="{91EB55F9-78A3-4C0C-B2D1-00F7125D4ECF}"/>
    <cellStyle name="Warnender Text" xfId="14061" hidden="1" xr:uid="{6482EDC6-B093-4E56-9497-0188AB24521F}"/>
    <cellStyle name="Warnender Text" xfId="14742" hidden="1" xr:uid="{1794BA3E-0241-4EB9-A503-9441A20A8D40}"/>
    <cellStyle name="Warnender Text" xfId="15542" hidden="1" xr:uid="{27A58DD7-3C31-41F6-9F46-0DFD4F9450C6}"/>
    <cellStyle name="Warnender Text" xfId="15126" hidden="1" xr:uid="{DCA0B8E9-7105-4FF0-AAE4-1468BB1FD7BB}"/>
    <cellStyle name="Warnender Text" xfId="15428" hidden="1" xr:uid="{AB0448AC-AF9E-4664-AA35-4E3AAA2526BB}"/>
    <cellStyle name="Warnender Text" xfId="15323" hidden="1" xr:uid="{40121A24-0E6E-49E6-945D-B72FCE6A1E17}"/>
    <cellStyle name="Warnender Text" xfId="15680" hidden="1" xr:uid="{F820104D-6DB9-423B-93FC-97E79E9FC687}"/>
    <cellStyle name="Warnender Text" xfId="14092" hidden="1" xr:uid="{2CA0DBDD-06EC-4EB0-9DE2-15FCE3C74161}"/>
    <cellStyle name="Warnender Text" xfId="15155" hidden="1" xr:uid="{3C04F923-ED0B-4EDD-8DC0-4D35B342E43D}"/>
    <cellStyle name="Warnender Text" xfId="15879" hidden="1" xr:uid="{A0E8F4F6-70EF-4123-83E5-494BBFFA3B9F}"/>
    <cellStyle name="Warnender Text" xfId="16092" hidden="1" xr:uid="{8753FA93-364D-4A97-9083-205915B9B8E1}"/>
    <cellStyle name="Warnender Text" xfId="16396" hidden="1" xr:uid="{E7748AE8-DA95-4D99-AD15-395C580285A1}"/>
    <cellStyle name="Warnender Text" xfId="16169" hidden="1" xr:uid="{F7E003E7-E18D-47C6-89BE-BF315051CA12}"/>
    <cellStyle name="Warnender Text" xfId="16455" hidden="1" xr:uid="{4D87AD5B-F655-4FAE-865B-C5F2C2C866F0}"/>
    <cellStyle name="Warnender Text" xfId="17337" hidden="1" xr:uid="{E982A2CA-8D45-428D-99ED-81009745811B}"/>
    <cellStyle name="Warnender Text" xfId="17684" hidden="1" xr:uid="{31F24278-662D-4795-9A49-31B2B7887DD1}"/>
    <cellStyle name="Warnender Text" xfId="17514" hidden="1" xr:uid="{5E25DCFC-CEB0-44F1-A3F5-BE2652A79A7F}"/>
    <cellStyle name="Warnender Text" xfId="17643" hidden="1" xr:uid="{6A866707-894C-4DCD-B24F-2A99B6BB652D}"/>
    <cellStyle name="Warnender Text" xfId="17637" hidden="1" xr:uid="{A6D89687-8C51-4160-907B-D0222484C9D0}"/>
    <cellStyle name="Warnender Text" xfId="18027" hidden="1" xr:uid="{975EF439-3D54-41A4-998F-03989A340F05}"/>
    <cellStyle name="Warnender Text" xfId="18289" hidden="1" xr:uid="{3770F1BB-DC2F-4B11-A74F-0C6CC356EFE3}"/>
    <cellStyle name="Warnender Text" xfId="16367" hidden="1" xr:uid="{FEAF0764-0140-4E12-B373-EE740D88E026}"/>
    <cellStyle name="Warnender Text" xfId="18113" hidden="1" xr:uid="{0440D9BD-353A-4230-86A2-6F5D3E008B17}"/>
    <cellStyle name="Warnender Text" xfId="18283" hidden="1" xr:uid="{3306546F-2EE1-41E1-A7CD-A66CB55E4F06}"/>
    <cellStyle name="Warnender Text" xfId="17062" hidden="1" xr:uid="{4B189575-3B56-412D-BD23-B7A58B0AD702}"/>
    <cellStyle name="Warnender Text" xfId="18921" hidden="1" xr:uid="{6D0D5AC1-0342-4144-9C13-D2AD3274CD99}"/>
    <cellStyle name="Warnender Text" xfId="18866" hidden="1" xr:uid="{428C09EB-D643-4F10-9555-81A09A90DD22}"/>
    <cellStyle name="Warnender Text" xfId="19148" hidden="1" xr:uid="{FAE316BF-E9E5-4517-970D-54D86189086C}"/>
    <cellStyle name="Warnender Text" xfId="19425" hidden="1" xr:uid="{26C5F55D-F12C-4C29-8193-355F307EC85C}"/>
    <cellStyle name="Warnender Text" xfId="19731" hidden="1" xr:uid="{3B001FC4-E9CE-4AB8-B3C9-6D4D9EFE058A}"/>
    <cellStyle name="Warnender Text" xfId="19387" hidden="1" xr:uid="{71775B4C-1A50-4BAE-9F98-D5DBC28AE09A}"/>
    <cellStyle name="Warnender Text" xfId="20612" hidden="1" xr:uid="{8BB1C050-B0F8-4FC4-AD41-AFCC75982978}"/>
    <cellStyle name="Warnender Text" xfId="20623" hidden="1" xr:uid="{0150E82D-2C42-4514-95A1-78EA8614F487}"/>
    <cellStyle name="Warnender Text" xfId="21045" hidden="1" xr:uid="{CC1479B3-C5B9-4E68-B32B-9931326B8C44}"/>
    <cellStyle name="Warnender Text" xfId="20696" hidden="1" xr:uid="{DE990103-881E-4B1A-B54E-DBCFEDB4A83E}"/>
    <cellStyle name="Warnender Text" xfId="19595" hidden="1" xr:uid="{F80BD32A-6532-412A-A88B-943FED34D44E}"/>
    <cellStyle name="Warnender Text" xfId="21487" hidden="1" xr:uid="{50BE3ECC-7E58-4E28-A7E8-BDC0A87AF579}"/>
    <cellStyle name="Warnender Text" xfId="19768" hidden="1" xr:uid="{D4D6CC9F-2BBC-4E61-BDB0-49F67832CB22}"/>
    <cellStyle name="Warnender Text" xfId="21434" hidden="1" xr:uid="{7B87AA02-B888-4BE2-8CA1-DEE732E0C3FC}"/>
    <cellStyle name="Warnender Text" xfId="21976" hidden="1" xr:uid="{72DD4775-D03D-45F1-9593-04D8BBBCBB58}"/>
    <cellStyle name="Warnender Text" xfId="21721" hidden="1" xr:uid="{842CF56F-B9D4-46D5-A914-D70626312562}"/>
    <cellStyle name="Warnender Text" xfId="21927" hidden="1" xr:uid="{26F65FEC-4493-435D-A94A-DBACC417A237}"/>
    <cellStyle name="Warnender Text" xfId="22382" hidden="1" xr:uid="{27949ABB-603D-46E1-BB8E-526C225DDAB3}"/>
    <cellStyle name="Warnender Text" xfId="22590" hidden="1" xr:uid="{1724161C-554B-478A-A143-A9F93792D1C4}"/>
    <cellStyle name="Warnender Text" xfId="22984" hidden="1" xr:uid="{D5A79FD1-0D29-4323-BD53-D6BF87C8B0AF}"/>
    <cellStyle name="Warnender Text" xfId="22974" hidden="1" xr:uid="{36AAD8B4-A49E-4891-93A1-DEFB697A19FD}"/>
    <cellStyle name="Warnender Text" xfId="22953" hidden="1" xr:uid="{5D92EEEA-446F-45C7-B85A-46DDAC5D40D9}"/>
    <cellStyle name="Warnender Text" xfId="20879" hidden="1" xr:uid="{5DB2CF5C-CB7E-496F-8413-0E0B9D56841C}"/>
    <cellStyle name="Warnender Text" xfId="22611" hidden="1" xr:uid="{45281806-663B-4ECC-8D88-B25C2133A303}"/>
    <cellStyle name="Warnender Text" xfId="19892" hidden="1" xr:uid="{3A3E53E6-F038-445C-9715-885F2E81C971}"/>
    <cellStyle name="Warnender Text" xfId="21766" hidden="1" xr:uid="{6487106A-2B63-4B42-AB00-7A7FF6F2D430}"/>
    <cellStyle name="Warnender Text" xfId="23248" hidden="1" xr:uid="{85E05274-629C-4C8C-B8A4-3C162C609422}"/>
    <cellStyle name="Warnender Text" xfId="23476" hidden="1" xr:uid="{669D47CF-95BE-4ABC-85E4-F3B436916211}"/>
    <cellStyle name="Warnender Text" xfId="22039" hidden="1" xr:uid="{CA1DF142-A4B5-4EE9-8495-95921CFAAB4C}"/>
    <cellStyle name="Warnender Text" xfId="23163" hidden="1" xr:uid="{2E307A32-D5B5-4BE5-AFFF-8ED3C5D27CE1}"/>
    <cellStyle name="Warnender Text" xfId="24148" hidden="1" xr:uid="{AFD3CD4B-46C1-4367-BC44-65D1D4C46622}"/>
    <cellStyle name="Warnender Text" xfId="24591" hidden="1" xr:uid="{0AFF3391-824B-4267-AAB8-F3EC6FC8D4FA}"/>
    <cellStyle name="Warnender Text" xfId="24568" hidden="1" xr:uid="{007DA50E-4E65-4EB4-A5D4-9513D87AF57B}"/>
    <cellStyle name="Warnender Text" xfId="24582" hidden="1" xr:uid="{F8A22871-9585-4F12-A16B-F923FD0DFC0A}"/>
    <cellStyle name="Warnender Text" xfId="24446" hidden="1" xr:uid="{7A7DC1F1-4869-4046-AA78-8C162CB066D3}"/>
    <cellStyle name="Warnender Text" xfId="25503" hidden="1" xr:uid="{86D1F4BF-6886-47FF-AA69-D232AF8AC819}"/>
    <cellStyle name="Warnender Text" xfId="26184" hidden="1" xr:uid="{1B63A94A-0199-42C6-A5B4-823F31CBAD3C}"/>
    <cellStyle name="Warnender Text" xfId="26143" hidden="1" xr:uid="{92E248EC-0FB2-47E1-A98A-D31327E2451C}"/>
    <cellStyle name="Warnender Text" xfId="26486" hidden="1" xr:uid="{CBB1F1F2-8E6C-4FBC-9F8A-556416F31141}"/>
    <cellStyle name="Warnender Text" xfId="24596" hidden="1" xr:uid="{0002B6CB-0E3E-4222-AEB1-09445949D999}"/>
    <cellStyle name="Warnender Text" xfId="26078" hidden="1" xr:uid="{C8D16E9D-B73E-41A2-A66D-4240D5340DBB}"/>
    <cellStyle name="Warnender Text" xfId="26669" hidden="1" xr:uid="{0E74996D-369E-476D-9DF5-24980A71C5AE}"/>
    <cellStyle name="Warnender Text" xfId="26449" hidden="1" xr:uid="{BD49FD4D-4271-43D0-91AF-042AAA6E3BF8}"/>
    <cellStyle name="Warnender Text" xfId="26489" hidden="1" xr:uid="{E82484F9-1167-4A1D-A06D-437AA83A5404}"/>
    <cellStyle name="Warnender Text" xfId="26584" hidden="1" xr:uid="{C189704E-668B-46C1-81CE-F06A0E1D80E3}"/>
    <cellStyle name="Warnender Text" xfId="25917" hidden="1" xr:uid="{30522379-1919-4723-BC95-AA3DB404435A}"/>
    <cellStyle name="Warnender Text" xfId="27673" hidden="1" xr:uid="{63997445-51AE-43AE-82ED-D61031223EBB}"/>
    <cellStyle name="Warnender Text" xfId="27701" hidden="1" xr:uid="{3C4585BC-6F66-48C6-8F86-FF5290B62322}"/>
    <cellStyle name="Warnender Text" xfId="26206" hidden="1" xr:uid="{7B0E9D0A-8CAA-4A98-BD0A-34F37454E33C}"/>
    <cellStyle name="Warnender Text" xfId="27864" hidden="1" xr:uid="{24A37A88-2BA1-40D7-8E11-00EC0E95B62B}"/>
    <cellStyle name="Warnender Text" xfId="27939" hidden="1" xr:uid="{C1D4F71C-C54A-4187-A7F6-965BC193A424}"/>
    <cellStyle name="Warnender Text" xfId="28212" hidden="1" xr:uid="{7474724D-DBC0-494E-AA6F-428AEF8D5720}"/>
    <cellStyle name="Warnender Text" xfId="28188" hidden="1" xr:uid="{2EEFFE77-C1A0-42D0-A28E-E8C94940D786}"/>
    <cellStyle name="Warnender Text" xfId="28178" hidden="1" xr:uid="{24F8D6C8-3A29-4D69-98AB-110DAE898185}"/>
    <cellStyle name="Warnender Text" xfId="29423" hidden="1" xr:uid="{7C325D9F-668F-48F9-B072-F15C5116B44D}"/>
    <cellStyle name="Warnender Text" xfId="28060" hidden="1" xr:uid="{DDA5F355-0006-48A8-A05F-4AC970474EC8}"/>
    <cellStyle name="Warnender Text" xfId="29345" hidden="1" xr:uid="{C5E2EBC6-C83C-4E49-A285-7012042ADDBD}"/>
    <cellStyle name="Warnender Text" xfId="28001" hidden="1" xr:uid="{1F33810C-D93B-414E-819F-2F5BE21AB95A}"/>
    <cellStyle name="Warnender Text" xfId="28194" hidden="1" xr:uid="{DFD229B6-BF70-4A1E-9746-76A2B0901A27}"/>
    <cellStyle name="Warnender Text" xfId="29995" hidden="1" xr:uid="{0787D7EE-7C30-4A06-92C6-554A847C4D7F}"/>
    <cellStyle name="Warnender Text 2" xfId="396" xr:uid="{16DFCA5B-9430-4E60-8CB6-7848AD847F29}"/>
    <cellStyle name="Warnender Text 3" xfId="287" xr:uid="{CC7EF1E4-84EF-4ED9-ADE0-7B7945295D16}"/>
    <cellStyle name="Warning Text 2" xfId="187" xr:uid="{5F434CAE-2C72-4A94-BFB4-187BAF82E02A}"/>
    <cellStyle name="Warning Text 3" xfId="240" xr:uid="{976DFCAD-A8F2-408E-8C0C-FB9665B47CBA}"/>
    <cellStyle name="Überschrift" xfId="181" xr:uid="{81D40770-5D84-413D-980C-9220F8CBF1BD}"/>
    <cellStyle name="Überschrift 1" xfId="182" xr:uid="{14A5AD69-5B8E-42A1-A811-CF2588E0B106}"/>
    <cellStyle name="Überschrift 2" xfId="183" xr:uid="{065DDD80-B8FD-4197-A3EB-99E67AEA881D}"/>
    <cellStyle name="Überschrift 3" xfId="184" xr:uid="{8EA01CC8-7735-4D0E-BF2B-5FC757824633}"/>
    <cellStyle name="Überschrift 4" xfId="185" xr:uid="{625A0A76-C576-4545-8DE3-678E5F67B45C}"/>
    <cellStyle name="Zelle überprüfen" xfId="188" xr:uid="{509BB340-2F37-4CE9-AB4F-4A4514F98C24}"/>
    <cellStyle name="Гиперссылка" xfId="189" xr:uid="{CC56F0A5-5BBB-4F50-A612-5E50AE6B9129}"/>
    <cellStyle name="Гиперссылка 2" xfId="190" xr:uid="{2E31E9E0-2212-45EC-BC0B-437508754294}"/>
    <cellStyle name="Гиперссылка 3" xfId="198" xr:uid="{3639548F-D6FF-48AF-A879-EBE8EABE7E60}"/>
    <cellStyle name="Гиперссылка 4" xfId="370" xr:uid="{5D1E19FA-F5D6-4792-8609-7C0F2F327FB5}"/>
    <cellStyle name="Обычный_2++" xfId="32" xr:uid="{D9AB3B8C-CED2-432F-A28F-25FB044B775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Figures!$B$6</c:f>
              <c:strCache>
                <c:ptCount val="1"/>
                <c:pt idx="0">
                  <c:v>Production of mineral fertilizer</c:v>
                </c:pt>
              </c:strCache>
            </c:strRef>
          </c:tx>
          <c:spPr>
            <a:solidFill>
              <a:schemeClr val="accent1"/>
            </a:solidFill>
            <a:ln>
              <a:noFill/>
            </a:ln>
            <a:effectLst/>
          </c:spPr>
          <c:invertIfNegative val="0"/>
          <c:cat>
            <c:strRef>
              <c:f>Figures!$A$7:$A$17</c:f>
              <c:strCache>
                <c:ptCount val="11"/>
                <c:pt idx="0">
                  <c:v>Poland</c:v>
                </c:pt>
                <c:pt idx="1">
                  <c:v>Netherlands</c:v>
                </c:pt>
                <c:pt idx="2">
                  <c:v>Hungary </c:v>
                </c:pt>
                <c:pt idx="3">
                  <c:v>Greece</c:v>
                </c:pt>
                <c:pt idx="4">
                  <c:v>Denmark </c:v>
                </c:pt>
                <c:pt idx="5">
                  <c:v>Italy</c:v>
                </c:pt>
                <c:pt idx="6">
                  <c:v>Germany</c:v>
                </c:pt>
                <c:pt idx="7">
                  <c:v>France</c:v>
                </c:pt>
                <c:pt idx="8">
                  <c:v>Ireland</c:v>
                </c:pt>
                <c:pt idx="9">
                  <c:v>Spain</c:v>
                </c:pt>
                <c:pt idx="10">
                  <c:v>Sweden</c:v>
                </c:pt>
              </c:strCache>
            </c:strRef>
          </c:cat>
          <c:val>
            <c:numRef>
              <c:f>Figures!$B$7:$B$17</c:f>
              <c:numCache>
                <c:formatCode>General</c:formatCode>
                <c:ptCount val="11"/>
                <c:pt idx="0">
                  <c:v>1.9236003830194702E-4</c:v>
                </c:pt>
                <c:pt idx="1">
                  <c:v>1.5316974121426066E-4</c:v>
                </c:pt>
                <c:pt idx="2">
                  <c:v>6.7798992461728133E-5</c:v>
                </c:pt>
                <c:pt idx="3">
                  <c:v>1.0611674083105767E-4</c:v>
                </c:pt>
                <c:pt idx="4">
                  <c:v>0.40361469627153623</c:v>
                </c:pt>
                <c:pt idx="5">
                  <c:v>4.3958220091398369E-5</c:v>
                </c:pt>
                <c:pt idx="6">
                  <c:v>4.2402987872964724E-5</c:v>
                </c:pt>
                <c:pt idx="7">
                  <c:v>5.3389885230525459E-5</c:v>
                </c:pt>
                <c:pt idx="8">
                  <c:v>6.7760232986542224E-5</c:v>
                </c:pt>
                <c:pt idx="9">
                  <c:v>2.9296861014412422E-5</c:v>
                </c:pt>
                <c:pt idx="10">
                  <c:v>6.3671741001744889E-5</c:v>
                </c:pt>
              </c:numCache>
            </c:numRef>
          </c:val>
          <c:extLst>
            <c:ext xmlns:c16="http://schemas.microsoft.com/office/drawing/2014/chart" uri="{C3380CC4-5D6E-409C-BE32-E72D297353CC}">
              <c16:uniqueId val="{00000000-54F4-4B2C-8F1D-2D51C7266F6A}"/>
            </c:ext>
          </c:extLst>
        </c:ser>
        <c:ser>
          <c:idx val="1"/>
          <c:order val="1"/>
          <c:tx>
            <c:strRef>
              <c:f>Figures!$C$6</c:f>
              <c:strCache>
                <c:ptCount val="1"/>
                <c:pt idx="0">
                  <c:v>Production of capital goods </c:v>
                </c:pt>
              </c:strCache>
            </c:strRef>
          </c:tx>
          <c:spPr>
            <a:solidFill>
              <a:schemeClr val="accent2"/>
            </a:solidFill>
            <a:ln>
              <a:noFill/>
            </a:ln>
            <a:effectLst/>
          </c:spPr>
          <c:invertIfNegative val="0"/>
          <c:cat>
            <c:strRef>
              <c:f>Figures!$A$7:$A$17</c:f>
              <c:strCache>
                <c:ptCount val="11"/>
                <c:pt idx="0">
                  <c:v>Poland</c:v>
                </c:pt>
                <c:pt idx="1">
                  <c:v>Netherlands</c:v>
                </c:pt>
                <c:pt idx="2">
                  <c:v>Hungary </c:v>
                </c:pt>
                <c:pt idx="3">
                  <c:v>Greece</c:v>
                </c:pt>
                <c:pt idx="4">
                  <c:v>Denmark </c:v>
                </c:pt>
                <c:pt idx="5">
                  <c:v>Italy</c:v>
                </c:pt>
                <c:pt idx="6">
                  <c:v>Germany</c:v>
                </c:pt>
                <c:pt idx="7">
                  <c:v>France</c:v>
                </c:pt>
                <c:pt idx="8">
                  <c:v>Ireland</c:v>
                </c:pt>
                <c:pt idx="9">
                  <c:v>Spain</c:v>
                </c:pt>
                <c:pt idx="10">
                  <c:v>Sweden</c:v>
                </c:pt>
              </c:strCache>
            </c:strRef>
          </c:cat>
          <c:val>
            <c:numRef>
              <c:f>Figures!$C$7:$C$17</c:f>
              <c:numCache>
                <c:formatCode>General</c:formatCode>
                <c:ptCount val="11"/>
                <c:pt idx="0">
                  <c:v>3.8624960102138527E-5</c:v>
                </c:pt>
                <c:pt idx="1">
                  <c:v>3.5544885336366783E-5</c:v>
                </c:pt>
                <c:pt idx="2">
                  <c:v>3.3197388177580372E-5</c:v>
                </c:pt>
                <c:pt idx="3">
                  <c:v>3.6721989587811973E-5</c:v>
                </c:pt>
                <c:pt idx="4">
                  <c:v>0.64420806821940713</c:v>
                </c:pt>
                <c:pt idx="5">
                  <c:v>3.1533416139114613E-5</c:v>
                </c:pt>
                <c:pt idx="6">
                  <c:v>3.5798974024866891E-5</c:v>
                </c:pt>
                <c:pt idx="7">
                  <c:v>3.4500625474174446E-5</c:v>
                </c:pt>
                <c:pt idx="8">
                  <c:v>3.6682196701120248E-5</c:v>
                </c:pt>
                <c:pt idx="9">
                  <c:v>3.642299674460524E-5</c:v>
                </c:pt>
                <c:pt idx="10">
                  <c:v>7.6939163740823488E-5</c:v>
                </c:pt>
              </c:numCache>
            </c:numRef>
          </c:val>
          <c:extLst>
            <c:ext xmlns:c16="http://schemas.microsoft.com/office/drawing/2014/chart" uri="{C3380CC4-5D6E-409C-BE32-E72D297353CC}">
              <c16:uniqueId val="{00000001-54F4-4B2C-8F1D-2D51C7266F6A}"/>
            </c:ext>
          </c:extLst>
        </c:ser>
        <c:ser>
          <c:idx val="2"/>
          <c:order val="2"/>
          <c:tx>
            <c:strRef>
              <c:f>Figures!$D$6</c:f>
              <c:strCache>
                <c:ptCount val="1"/>
                <c:pt idx="0">
                  <c:v>Emissions from soil </c:v>
                </c:pt>
              </c:strCache>
            </c:strRef>
          </c:tx>
          <c:spPr>
            <a:solidFill>
              <a:schemeClr val="accent3"/>
            </a:solidFill>
            <a:ln>
              <a:noFill/>
            </a:ln>
            <a:effectLst/>
          </c:spPr>
          <c:invertIfNegative val="0"/>
          <c:cat>
            <c:strRef>
              <c:f>Figures!$A$7:$A$17</c:f>
              <c:strCache>
                <c:ptCount val="11"/>
                <c:pt idx="0">
                  <c:v>Poland</c:v>
                </c:pt>
                <c:pt idx="1">
                  <c:v>Netherlands</c:v>
                </c:pt>
                <c:pt idx="2">
                  <c:v>Hungary </c:v>
                </c:pt>
                <c:pt idx="3">
                  <c:v>Greece</c:v>
                </c:pt>
                <c:pt idx="4">
                  <c:v>Denmark </c:v>
                </c:pt>
                <c:pt idx="5">
                  <c:v>Italy</c:v>
                </c:pt>
                <c:pt idx="6">
                  <c:v>Germany</c:v>
                </c:pt>
                <c:pt idx="7">
                  <c:v>France</c:v>
                </c:pt>
                <c:pt idx="8">
                  <c:v>Ireland</c:v>
                </c:pt>
                <c:pt idx="9">
                  <c:v>Spain</c:v>
                </c:pt>
                <c:pt idx="10">
                  <c:v>Sweden</c:v>
                </c:pt>
              </c:strCache>
            </c:strRef>
          </c:cat>
          <c:val>
            <c:numRef>
              <c:f>Figures!$D$7:$D$17</c:f>
              <c:numCache>
                <c:formatCode>General</c:formatCode>
                <c:ptCount val="11"/>
                <c:pt idx="0">
                  <c:v>1.8555133805541515</c:v>
                </c:pt>
                <c:pt idx="1">
                  <c:v>1.8773186415286873</c:v>
                </c:pt>
                <c:pt idx="2">
                  <c:v>2.1258547779317833</c:v>
                </c:pt>
                <c:pt idx="3">
                  <c:v>2.2980532595292003</c:v>
                </c:pt>
                <c:pt idx="4">
                  <c:v>0.75655943072316445</c:v>
                </c:pt>
                <c:pt idx="5">
                  <c:v>1.8591550512507564</c:v>
                </c:pt>
                <c:pt idx="6">
                  <c:v>1.8160985784180039</c:v>
                </c:pt>
                <c:pt idx="7">
                  <c:v>2.9876335611427951</c:v>
                </c:pt>
                <c:pt idx="8">
                  <c:v>9.5007545251537572E-5</c:v>
                </c:pt>
                <c:pt idx="9">
                  <c:v>3.052207744823713</c:v>
                </c:pt>
                <c:pt idx="10">
                  <c:v>2.2613075108621485</c:v>
                </c:pt>
              </c:numCache>
            </c:numRef>
          </c:val>
          <c:extLst>
            <c:ext xmlns:c16="http://schemas.microsoft.com/office/drawing/2014/chart" uri="{C3380CC4-5D6E-409C-BE32-E72D297353CC}">
              <c16:uniqueId val="{00000002-54F4-4B2C-8F1D-2D51C7266F6A}"/>
            </c:ext>
          </c:extLst>
        </c:ser>
        <c:ser>
          <c:idx val="3"/>
          <c:order val="3"/>
          <c:tx>
            <c:strRef>
              <c:f>Figures!$E$6</c:f>
              <c:strCache>
                <c:ptCount val="1"/>
                <c:pt idx="0">
                  <c:v>Energy use cropping</c:v>
                </c:pt>
              </c:strCache>
            </c:strRef>
          </c:tx>
          <c:spPr>
            <a:solidFill>
              <a:schemeClr val="accent4"/>
            </a:solidFill>
            <a:ln>
              <a:noFill/>
            </a:ln>
            <a:effectLst/>
          </c:spPr>
          <c:invertIfNegative val="0"/>
          <c:cat>
            <c:strRef>
              <c:f>Figures!$A$7:$A$17</c:f>
              <c:strCache>
                <c:ptCount val="11"/>
                <c:pt idx="0">
                  <c:v>Poland</c:v>
                </c:pt>
                <c:pt idx="1">
                  <c:v>Netherlands</c:v>
                </c:pt>
                <c:pt idx="2">
                  <c:v>Hungary </c:v>
                </c:pt>
                <c:pt idx="3">
                  <c:v>Greece</c:v>
                </c:pt>
                <c:pt idx="4">
                  <c:v>Denmark </c:v>
                </c:pt>
                <c:pt idx="5">
                  <c:v>Italy</c:v>
                </c:pt>
                <c:pt idx="6">
                  <c:v>Germany</c:v>
                </c:pt>
                <c:pt idx="7">
                  <c:v>France</c:v>
                </c:pt>
                <c:pt idx="8">
                  <c:v>Ireland</c:v>
                </c:pt>
                <c:pt idx="9">
                  <c:v>Spain</c:v>
                </c:pt>
                <c:pt idx="10">
                  <c:v>Sweden</c:v>
                </c:pt>
              </c:strCache>
            </c:strRef>
          </c:cat>
          <c:val>
            <c:numRef>
              <c:f>Figures!$E$7:$E$17</c:f>
              <c:numCache>
                <c:formatCode>General</c:formatCode>
                <c:ptCount val="11"/>
                <c:pt idx="0">
                  <c:v>8.8828979125438887E-5</c:v>
                </c:pt>
                <c:pt idx="1">
                  <c:v>2.6592379929687238E-5</c:v>
                </c:pt>
                <c:pt idx="2">
                  <c:v>3.4113098069049731E-5</c:v>
                </c:pt>
                <c:pt idx="3">
                  <c:v>5.1856023520222953E-5</c:v>
                </c:pt>
                <c:pt idx="4">
                  <c:v>0.30554910868875179</c:v>
                </c:pt>
                <c:pt idx="5">
                  <c:v>1.6006974838507655E-5</c:v>
                </c:pt>
                <c:pt idx="6">
                  <c:v>1.8463706113573207E-5</c:v>
                </c:pt>
                <c:pt idx="7">
                  <c:v>2.104843950557936E-5</c:v>
                </c:pt>
                <c:pt idx="8">
                  <c:v>2.0813800414914702E-5</c:v>
                </c:pt>
                <c:pt idx="9">
                  <c:v>4.5913257449303228E-5</c:v>
                </c:pt>
                <c:pt idx="10">
                  <c:v>6.4098373044730003E-5</c:v>
                </c:pt>
              </c:numCache>
            </c:numRef>
          </c:val>
          <c:extLst>
            <c:ext xmlns:c16="http://schemas.microsoft.com/office/drawing/2014/chart" uri="{C3380CC4-5D6E-409C-BE32-E72D297353CC}">
              <c16:uniqueId val="{00000003-54F4-4B2C-8F1D-2D51C7266F6A}"/>
            </c:ext>
          </c:extLst>
        </c:ser>
        <c:ser>
          <c:idx val="4"/>
          <c:order val="4"/>
          <c:tx>
            <c:strRef>
              <c:f>Figures!$F$6</c:f>
              <c:strCache>
                <c:ptCount val="1"/>
                <c:pt idx="0">
                  <c:v>Energy use for feed processing</c:v>
                </c:pt>
              </c:strCache>
            </c:strRef>
          </c:tx>
          <c:spPr>
            <a:solidFill>
              <a:schemeClr val="accent5"/>
            </a:solidFill>
            <a:ln>
              <a:noFill/>
            </a:ln>
            <a:effectLst/>
          </c:spPr>
          <c:invertIfNegative val="0"/>
          <c:cat>
            <c:strRef>
              <c:f>Figures!$A$7:$A$17</c:f>
              <c:strCache>
                <c:ptCount val="11"/>
                <c:pt idx="0">
                  <c:v>Poland</c:v>
                </c:pt>
                <c:pt idx="1">
                  <c:v>Netherlands</c:v>
                </c:pt>
                <c:pt idx="2">
                  <c:v>Hungary </c:v>
                </c:pt>
                <c:pt idx="3">
                  <c:v>Greece</c:v>
                </c:pt>
                <c:pt idx="4">
                  <c:v>Denmark </c:v>
                </c:pt>
                <c:pt idx="5">
                  <c:v>Italy</c:v>
                </c:pt>
                <c:pt idx="6">
                  <c:v>Germany</c:v>
                </c:pt>
                <c:pt idx="7">
                  <c:v>France</c:v>
                </c:pt>
                <c:pt idx="8">
                  <c:v>Ireland</c:v>
                </c:pt>
                <c:pt idx="9">
                  <c:v>Spain</c:v>
                </c:pt>
                <c:pt idx="10">
                  <c:v>Sweden</c:v>
                </c:pt>
              </c:strCache>
            </c:strRef>
          </c:cat>
          <c:val>
            <c:numRef>
              <c:f>Figures!$F$7:$F$17</c:f>
              <c:numCache>
                <c:formatCode>General</c:formatCode>
                <c:ptCount val="11"/>
                <c:pt idx="0">
                  <c:v>6.0736584743057776E-5</c:v>
                </c:pt>
                <c:pt idx="1">
                  <c:v>4.933333107973431E-5</c:v>
                </c:pt>
                <c:pt idx="2">
                  <c:v>7.9145177756257795E-5</c:v>
                </c:pt>
                <c:pt idx="3">
                  <c:v>4.6890398385564846E-5</c:v>
                </c:pt>
                <c:pt idx="4">
                  <c:v>1.8236671797270756</c:v>
                </c:pt>
                <c:pt idx="5">
                  <c:v>4.4572523602820484E-5</c:v>
                </c:pt>
                <c:pt idx="6">
                  <c:v>7.4174056658217179E-5</c:v>
                </c:pt>
                <c:pt idx="7">
                  <c:v>7.5547198902137314E-5</c:v>
                </c:pt>
                <c:pt idx="8">
                  <c:v>1.2837399969951564E-5</c:v>
                </c:pt>
                <c:pt idx="9">
                  <c:v>3.9805575860558094E-5</c:v>
                </c:pt>
                <c:pt idx="10">
                  <c:v>1.608352366094174E-4</c:v>
                </c:pt>
              </c:numCache>
            </c:numRef>
          </c:val>
          <c:extLst>
            <c:ext xmlns:c16="http://schemas.microsoft.com/office/drawing/2014/chart" uri="{C3380CC4-5D6E-409C-BE32-E72D297353CC}">
              <c16:uniqueId val="{00000004-54F4-4B2C-8F1D-2D51C7266F6A}"/>
            </c:ext>
          </c:extLst>
        </c:ser>
        <c:ser>
          <c:idx val="5"/>
          <c:order val="5"/>
          <c:tx>
            <c:strRef>
              <c:f>Figures!$G$6</c:f>
              <c:strCache>
                <c:ptCount val="1"/>
                <c:pt idx="0">
                  <c:v>Land use change emissions</c:v>
                </c:pt>
              </c:strCache>
            </c:strRef>
          </c:tx>
          <c:spPr>
            <a:solidFill>
              <a:schemeClr val="accent6"/>
            </a:solidFill>
            <a:ln>
              <a:noFill/>
            </a:ln>
            <a:effectLst/>
          </c:spPr>
          <c:invertIfNegative val="0"/>
          <c:cat>
            <c:strRef>
              <c:f>Figures!$A$7:$A$17</c:f>
              <c:strCache>
                <c:ptCount val="11"/>
                <c:pt idx="0">
                  <c:v>Poland</c:v>
                </c:pt>
                <c:pt idx="1">
                  <c:v>Netherlands</c:v>
                </c:pt>
                <c:pt idx="2">
                  <c:v>Hungary </c:v>
                </c:pt>
                <c:pt idx="3">
                  <c:v>Greece</c:v>
                </c:pt>
                <c:pt idx="4">
                  <c:v>Denmark </c:v>
                </c:pt>
                <c:pt idx="5">
                  <c:v>Italy</c:v>
                </c:pt>
                <c:pt idx="6">
                  <c:v>Germany</c:v>
                </c:pt>
                <c:pt idx="7">
                  <c:v>France</c:v>
                </c:pt>
                <c:pt idx="8">
                  <c:v>Ireland</c:v>
                </c:pt>
                <c:pt idx="9">
                  <c:v>Spain</c:v>
                </c:pt>
                <c:pt idx="10">
                  <c:v>Sweden</c:v>
                </c:pt>
              </c:strCache>
            </c:strRef>
          </c:cat>
          <c:val>
            <c:numRef>
              <c:f>Figures!$G$7:$G$17</c:f>
              <c:numCache>
                <c:formatCode>General</c:formatCode>
                <c:ptCount val="11"/>
                <c:pt idx="0">
                  <c:v>0</c:v>
                </c:pt>
                <c:pt idx="1">
                  <c:v>2.6485640426863208E-5</c:v>
                </c:pt>
                <c:pt idx="2">
                  <c:v>3.7824017269839478E-5</c:v>
                </c:pt>
                <c:pt idx="3">
                  <c:v>2.6432018810891098E-5</c:v>
                </c:pt>
                <c:pt idx="4">
                  <c:v>0.31030815594205652</c:v>
                </c:pt>
                <c:pt idx="5">
                  <c:v>1.6949289075754711E-5</c:v>
                </c:pt>
                <c:pt idx="6">
                  <c:v>1.2433510246965893E-5</c:v>
                </c:pt>
                <c:pt idx="7">
                  <c:v>1.3536749290345186E-5</c:v>
                </c:pt>
                <c:pt idx="8">
                  <c:v>4.2857820203972298E-6</c:v>
                </c:pt>
                <c:pt idx="9">
                  <c:v>3.2394772374849186E-5</c:v>
                </c:pt>
                <c:pt idx="10">
                  <c:v>0</c:v>
                </c:pt>
              </c:numCache>
            </c:numRef>
          </c:val>
          <c:extLst>
            <c:ext xmlns:c16="http://schemas.microsoft.com/office/drawing/2014/chart" uri="{C3380CC4-5D6E-409C-BE32-E72D297353CC}">
              <c16:uniqueId val="{00000005-54F4-4B2C-8F1D-2D51C7266F6A}"/>
            </c:ext>
          </c:extLst>
        </c:ser>
        <c:ser>
          <c:idx val="6"/>
          <c:order val="6"/>
          <c:tx>
            <c:strRef>
              <c:f>Figures!$H$6</c:f>
              <c:strCache>
                <c:ptCount val="1"/>
                <c:pt idx="0">
                  <c:v>Feed transports</c:v>
                </c:pt>
              </c:strCache>
            </c:strRef>
          </c:tx>
          <c:spPr>
            <a:solidFill>
              <a:schemeClr val="accent1">
                <a:lumMod val="60000"/>
              </a:schemeClr>
            </a:solidFill>
            <a:ln>
              <a:noFill/>
            </a:ln>
            <a:effectLst/>
          </c:spPr>
          <c:invertIfNegative val="0"/>
          <c:cat>
            <c:strRef>
              <c:f>Figures!$A$7:$A$17</c:f>
              <c:strCache>
                <c:ptCount val="11"/>
                <c:pt idx="0">
                  <c:v>Poland</c:v>
                </c:pt>
                <c:pt idx="1">
                  <c:v>Netherlands</c:v>
                </c:pt>
                <c:pt idx="2">
                  <c:v>Hungary </c:v>
                </c:pt>
                <c:pt idx="3">
                  <c:v>Greece</c:v>
                </c:pt>
                <c:pt idx="4">
                  <c:v>Denmark </c:v>
                </c:pt>
                <c:pt idx="5">
                  <c:v>Italy</c:v>
                </c:pt>
                <c:pt idx="6">
                  <c:v>Germany</c:v>
                </c:pt>
                <c:pt idx="7">
                  <c:v>France</c:v>
                </c:pt>
                <c:pt idx="8">
                  <c:v>Ireland</c:v>
                </c:pt>
                <c:pt idx="9">
                  <c:v>Spain</c:v>
                </c:pt>
                <c:pt idx="10">
                  <c:v>Sweden</c:v>
                </c:pt>
              </c:strCache>
            </c:strRef>
          </c:cat>
          <c:val>
            <c:numRef>
              <c:f>Figures!$H$7:$H$17</c:f>
              <c:numCache>
                <c:formatCode>General</c:formatCode>
                <c:ptCount val="11"/>
                <c:pt idx="0">
                  <c:v>0</c:v>
                </c:pt>
                <c:pt idx="1">
                  <c:v>4.2387315628154261E-5</c:v>
                </c:pt>
                <c:pt idx="2">
                  <c:v>6.7177441875891519E-5</c:v>
                </c:pt>
                <c:pt idx="3">
                  <c:v>2.2419988133519256E-5</c:v>
                </c:pt>
                <c:pt idx="4">
                  <c:v>1.7657976562029094</c:v>
                </c:pt>
                <c:pt idx="5">
                  <c:v>4.0870606491882791E-5</c:v>
                </c:pt>
                <c:pt idx="6">
                  <c:v>7.0866683556309505E-5</c:v>
                </c:pt>
                <c:pt idx="7">
                  <c:v>6.9612814599800534E-5</c:v>
                </c:pt>
                <c:pt idx="8">
                  <c:v>2.9903501443490595E-6</c:v>
                </c:pt>
                <c:pt idx="9">
                  <c:v>2.093497368015151E-5</c:v>
                </c:pt>
                <c:pt idx="10">
                  <c:v>1.608352366094174E-4</c:v>
                </c:pt>
              </c:numCache>
            </c:numRef>
          </c:val>
          <c:extLst>
            <c:ext xmlns:c16="http://schemas.microsoft.com/office/drawing/2014/chart" uri="{C3380CC4-5D6E-409C-BE32-E72D297353CC}">
              <c16:uniqueId val="{00000006-54F4-4B2C-8F1D-2D51C7266F6A}"/>
            </c:ext>
          </c:extLst>
        </c:ser>
        <c:ser>
          <c:idx val="7"/>
          <c:order val="7"/>
          <c:tx>
            <c:strRef>
              <c:f>Figures!$I$6</c:f>
              <c:strCache>
                <c:ptCount val="1"/>
                <c:pt idx="0">
                  <c:v>Enteric fermentation</c:v>
                </c:pt>
              </c:strCache>
            </c:strRef>
          </c:tx>
          <c:spPr>
            <a:solidFill>
              <a:schemeClr val="accent2">
                <a:lumMod val="60000"/>
              </a:schemeClr>
            </a:solidFill>
            <a:ln>
              <a:noFill/>
            </a:ln>
            <a:effectLst/>
          </c:spPr>
          <c:invertIfNegative val="0"/>
          <c:cat>
            <c:strRef>
              <c:f>Figures!$A$7:$A$17</c:f>
              <c:strCache>
                <c:ptCount val="11"/>
                <c:pt idx="0">
                  <c:v>Poland</c:v>
                </c:pt>
                <c:pt idx="1">
                  <c:v>Netherlands</c:v>
                </c:pt>
                <c:pt idx="2">
                  <c:v>Hungary </c:v>
                </c:pt>
                <c:pt idx="3">
                  <c:v>Greece</c:v>
                </c:pt>
                <c:pt idx="4">
                  <c:v>Denmark </c:v>
                </c:pt>
                <c:pt idx="5">
                  <c:v>Italy</c:v>
                </c:pt>
                <c:pt idx="6">
                  <c:v>Germany</c:v>
                </c:pt>
                <c:pt idx="7">
                  <c:v>France</c:v>
                </c:pt>
                <c:pt idx="8">
                  <c:v>Ireland</c:v>
                </c:pt>
                <c:pt idx="9">
                  <c:v>Spain</c:v>
                </c:pt>
                <c:pt idx="10">
                  <c:v>Sweden</c:v>
                </c:pt>
              </c:strCache>
            </c:strRef>
          </c:cat>
          <c:val>
            <c:numRef>
              <c:f>Figures!$I$7:$I$17</c:f>
              <c:numCache>
                <c:formatCode>General</c:formatCode>
                <c:ptCount val="11"/>
                <c:pt idx="0">
                  <c:v>17.925311203319502</c:v>
                </c:pt>
                <c:pt idx="1">
                  <c:v>17.925311203319502</c:v>
                </c:pt>
                <c:pt idx="2">
                  <c:v>17.925311203319502</c:v>
                </c:pt>
                <c:pt idx="3">
                  <c:v>11.950207468879668</c:v>
                </c:pt>
                <c:pt idx="4">
                  <c:v>11.950207468879668</c:v>
                </c:pt>
                <c:pt idx="5">
                  <c:v>17.925311203319502</c:v>
                </c:pt>
                <c:pt idx="6">
                  <c:v>11.950207468879668</c:v>
                </c:pt>
                <c:pt idx="7">
                  <c:v>11.950207468879668</c:v>
                </c:pt>
                <c:pt idx="8">
                  <c:v>17.925311203319502</c:v>
                </c:pt>
                <c:pt idx="9">
                  <c:v>17.925311203319502</c:v>
                </c:pt>
                <c:pt idx="10">
                  <c:v>17.925311203319502</c:v>
                </c:pt>
              </c:numCache>
            </c:numRef>
          </c:val>
          <c:extLst>
            <c:ext xmlns:c16="http://schemas.microsoft.com/office/drawing/2014/chart" uri="{C3380CC4-5D6E-409C-BE32-E72D297353CC}">
              <c16:uniqueId val="{00000007-54F4-4B2C-8F1D-2D51C7266F6A}"/>
            </c:ext>
          </c:extLst>
        </c:ser>
        <c:ser>
          <c:idx val="8"/>
          <c:order val="8"/>
          <c:tx>
            <c:strRef>
              <c:f>Figures!$J$6</c:f>
              <c:strCache>
                <c:ptCount val="1"/>
                <c:pt idx="0">
                  <c:v>Manure management</c:v>
                </c:pt>
              </c:strCache>
            </c:strRef>
          </c:tx>
          <c:spPr>
            <a:solidFill>
              <a:schemeClr val="accent3">
                <a:lumMod val="60000"/>
              </a:schemeClr>
            </a:solidFill>
            <a:ln>
              <a:noFill/>
            </a:ln>
            <a:effectLst/>
          </c:spPr>
          <c:invertIfNegative val="0"/>
          <c:cat>
            <c:strRef>
              <c:f>Figures!$A$7:$A$17</c:f>
              <c:strCache>
                <c:ptCount val="11"/>
                <c:pt idx="0">
                  <c:v>Poland</c:v>
                </c:pt>
                <c:pt idx="1">
                  <c:v>Netherlands</c:v>
                </c:pt>
                <c:pt idx="2">
                  <c:v>Hungary </c:v>
                </c:pt>
                <c:pt idx="3">
                  <c:v>Greece</c:v>
                </c:pt>
                <c:pt idx="4">
                  <c:v>Denmark </c:v>
                </c:pt>
                <c:pt idx="5">
                  <c:v>Italy</c:v>
                </c:pt>
                <c:pt idx="6">
                  <c:v>Germany</c:v>
                </c:pt>
                <c:pt idx="7">
                  <c:v>France</c:v>
                </c:pt>
                <c:pt idx="8">
                  <c:v>Ireland</c:v>
                </c:pt>
                <c:pt idx="9">
                  <c:v>Spain</c:v>
                </c:pt>
                <c:pt idx="10">
                  <c:v>Sweden</c:v>
                </c:pt>
              </c:strCache>
            </c:strRef>
          </c:cat>
          <c:val>
            <c:numRef>
              <c:f>Figures!$J$7:$J$17</c:f>
              <c:numCache>
                <c:formatCode>General</c:formatCode>
                <c:ptCount val="11"/>
                <c:pt idx="0">
                  <c:v>8.2602999693121113</c:v>
                </c:pt>
                <c:pt idx="1">
                  <c:v>3.8252728785108849</c:v>
                </c:pt>
                <c:pt idx="2">
                  <c:v>12.159007317279141</c:v>
                </c:pt>
                <c:pt idx="3">
                  <c:v>8.8522680384105747</c:v>
                </c:pt>
                <c:pt idx="4">
                  <c:v>12.618130475191284</c:v>
                </c:pt>
                <c:pt idx="5">
                  <c:v>15.454116128711229</c:v>
                </c:pt>
                <c:pt idx="6">
                  <c:v>9.8820861689285699</c:v>
                </c:pt>
                <c:pt idx="7">
                  <c:v>7.1892401765226914</c:v>
                </c:pt>
                <c:pt idx="8">
                  <c:v>10.057514151023787</c:v>
                </c:pt>
                <c:pt idx="9">
                  <c:v>5.5727209335082835</c:v>
                </c:pt>
                <c:pt idx="10">
                  <c:v>6.9810155439933812</c:v>
                </c:pt>
              </c:numCache>
            </c:numRef>
          </c:val>
          <c:extLst>
            <c:ext xmlns:c16="http://schemas.microsoft.com/office/drawing/2014/chart" uri="{C3380CC4-5D6E-409C-BE32-E72D297353CC}">
              <c16:uniqueId val="{00000008-54F4-4B2C-8F1D-2D51C7266F6A}"/>
            </c:ext>
          </c:extLst>
        </c:ser>
        <c:ser>
          <c:idx val="9"/>
          <c:order val="9"/>
          <c:tx>
            <c:strRef>
              <c:f>Figures!$K$6</c:f>
              <c:strCache>
                <c:ptCount val="1"/>
                <c:pt idx="0">
                  <c:v>Energy use in stables</c:v>
                </c:pt>
              </c:strCache>
            </c:strRef>
          </c:tx>
          <c:spPr>
            <a:solidFill>
              <a:schemeClr val="accent4">
                <a:lumMod val="60000"/>
              </a:schemeClr>
            </a:solidFill>
            <a:ln>
              <a:noFill/>
            </a:ln>
            <a:effectLst/>
          </c:spPr>
          <c:invertIfNegative val="0"/>
          <c:cat>
            <c:strRef>
              <c:f>Figures!$A$7:$A$17</c:f>
              <c:strCache>
                <c:ptCount val="11"/>
                <c:pt idx="0">
                  <c:v>Poland</c:v>
                </c:pt>
                <c:pt idx="1">
                  <c:v>Netherlands</c:v>
                </c:pt>
                <c:pt idx="2">
                  <c:v>Hungary </c:v>
                </c:pt>
                <c:pt idx="3">
                  <c:v>Greece</c:v>
                </c:pt>
                <c:pt idx="4">
                  <c:v>Denmark </c:v>
                </c:pt>
                <c:pt idx="5">
                  <c:v>Italy</c:v>
                </c:pt>
                <c:pt idx="6">
                  <c:v>Germany</c:v>
                </c:pt>
                <c:pt idx="7">
                  <c:v>France</c:v>
                </c:pt>
                <c:pt idx="8">
                  <c:v>Ireland</c:v>
                </c:pt>
                <c:pt idx="9">
                  <c:v>Spain</c:v>
                </c:pt>
                <c:pt idx="10">
                  <c:v>Sweden</c:v>
                </c:pt>
              </c:strCache>
            </c:strRef>
          </c:cat>
          <c:val>
            <c:numRef>
              <c:f>Figures!$K$7:$K$17</c:f>
              <c:numCache>
                <c:formatCode>General</c:formatCode>
                <c:ptCount val="11"/>
                <c:pt idx="0">
                  <c:v>8.820190570055594E-5</c:v>
                </c:pt>
                <c:pt idx="1">
                  <c:v>4.5237464093125089E-5</c:v>
                </c:pt>
                <c:pt idx="2">
                  <c:v>4.0363861087465362E-5</c:v>
                </c:pt>
                <c:pt idx="3">
                  <c:v>5.8204796117049048E-5</c:v>
                </c:pt>
                <c:pt idx="4">
                  <c:v>3.3277279127666178E-5</c:v>
                </c:pt>
                <c:pt idx="5">
                  <c:v>3.6721572071259704E-5</c:v>
                </c:pt>
                <c:pt idx="6">
                  <c:v>4.2182547889215717E-5</c:v>
                </c:pt>
                <c:pt idx="7">
                  <c:v>8.2893793894404684E-6</c:v>
                </c:pt>
                <c:pt idx="8">
                  <c:v>3.4760045549549307E-5</c:v>
                </c:pt>
                <c:pt idx="9">
                  <c:v>2.5204942505207863E-5</c:v>
                </c:pt>
                <c:pt idx="10">
                  <c:v>7.9676651475490593E-6</c:v>
                </c:pt>
              </c:numCache>
            </c:numRef>
          </c:val>
          <c:extLst>
            <c:ext xmlns:c16="http://schemas.microsoft.com/office/drawing/2014/chart" uri="{C3380CC4-5D6E-409C-BE32-E72D297353CC}">
              <c16:uniqueId val="{00000009-54F4-4B2C-8F1D-2D51C7266F6A}"/>
            </c:ext>
          </c:extLst>
        </c:ser>
        <c:ser>
          <c:idx val="10"/>
          <c:order val="10"/>
          <c:tx>
            <c:strRef>
              <c:f>Figures!$L$6</c:f>
              <c:strCache>
                <c:ptCount val="1"/>
                <c:pt idx="0">
                  <c:v>Energy use for slaughter</c:v>
                </c:pt>
              </c:strCache>
            </c:strRef>
          </c:tx>
          <c:spPr>
            <a:solidFill>
              <a:schemeClr val="accent5">
                <a:lumMod val="60000"/>
              </a:schemeClr>
            </a:solidFill>
            <a:ln>
              <a:noFill/>
            </a:ln>
            <a:effectLst/>
          </c:spPr>
          <c:invertIfNegative val="0"/>
          <c:cat>
            <c:strRef>
              <c:f>Figures!$A$7:$A$17</c:f>
              <c:strCache>
                <c:ptCount val="11"/>
                <c:pt idx="0">
                  <c:v>Poland</c:v>
                </c:pt>
                <c:pt idx="1">
                  <c:v>Netherlands</c:v>
                </c:pt>
                <c:pt idx="2">
                  <c:v>Hungary </c:v>
                </c:pt>
                <c:pt idx="3">
                  <c:v>Greece</c:v>
                </c:pt>
                <c:pt idx="4">
                  <c:v>Denmark </c:v>
                </c:pt>
                <c:pt idx="5">
                  <c:v>Italy</c:v>
                </c:pt>
                <c:pt idx="6">
                  <c:v>Germany</c:v>
                </c:pt>
                <c:pt idx="7">
                  <c:v>France</c:v>
                </c:pt>
                <c:pt idx="8">
                  <c:v>Ireland</c:v>
                </c:pt>
                <c:pt idx="9">
                  <c:v>Spain</c:v>
                </c:pt>
                <c:pt idx="10">
                  <c:v>Sweden</c:v>
                </c:pt>
              </c:strCache>
            </c:strRef>
          </c:cat>
          <c:val>
            <c:numRef>
              <c:f>Figures!$L$7:$L$17</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A-54F4-4B2C-8F1D-2D51C7266F6A}"/>
            </c:ext>
          </c:extLst>
        </c:ser>
        <c:dLbls>
          <c:showLegendKey val="0"/>
          <c:showVal val="0"/>
          <c:showCatName val="0"/>
          <c:showSerName val="0"/>
          <c:showPercent val="0"/>
          <c:showBubbleSize val="0"/>
        </c:dLbls>
        <c:gapWidth val="150"/>
        <c:overlap val="100"/>
        <c:axId val="1097164863"/>
        <c:axId val="1097163423"/>
      </c:barChart>
      <c:catAx>
        <c:axId val="1097164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97163423"/>
        <c:crosses val="autoZero"/>
        <c:auto val="1"/>
        <c:lblAlgn val="ctr"/>
        <c:lblOffset val="100"/>
        <c:noMultiLvlLbl val="0"/>
      </c:catAx>
      <c:valAx>
        <c:axId val="1097163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kg CO2e per kg of</a:t>
                </a:r>
                <a:r>
                  <a:rPr lang="sv-SE" baseline="0"/>
                  <a:t> bonefree meat</a:t>
                </a:r>
                <a:endParaRPr lang="sv-S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97164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sv-SE"/>
              <a:t>Maize,</a:t>
            </a:r>
            <a:r>
              <a:rPr lang="sv-SE" baseline="0"/>
              <a:t> green for forage</a:t>
            </a:r>
            <a:endParaRPr lang="sv-S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sv-SE"/>
        </a:p>
      </c:txPr>
    </c:title>
    <c:autoTitleDeleted val="0"/>
    <c:plotArea>
      <c:layout/>
      <c:barChart>
        <c:barDir val="col"/>
        <c:grouping val="stacked"/>
        <c:varyColors val="0"/>
        <c:ser>
          <c:idx val="1"/>
          <c:order val="0"/>
          <c:tx>
            <c:v>Mineral fertilisers</c:v>
          </c:tx>
          <c:spPr>
            <a:solidFill>
              <a:schemeClr val="accent2"/>
            </a:solidFill>
            <a:ln>
              <a:noFill/>
            </a:ln>
            <a:effectLst/>
          </c:spPr>
          <c:invertIfNegative val="0"/>
          <c:cat>
            <c:strRef>
              <c:extLst>
                <c:ext xmlns:c15="http://schemas.microsoft.com/office/drawing/2012/chart" uri="{02D57815-91ED-43cb-92C2-25804820EDAC}">
                  <c15:fullRef>
                    <c15:sqref>'Forage crops, CF'!$D$73:$D$127</c15:sqref>
                  </c15:fullRef>
                </c:ext>
              </c:extLst>
              <c:f>('Forage crops, CF'!$D$77,'Forage crops, CF'!$D$82,'Forage crops, CF'!$D$87,'Forage crops, CF'!$D$92,'Forage crops, CF'!$D$97,'Forage crops, CF'!$D$102,'Forage crops, CF'!$D$107,'Forage crops, CF'!$D$112,'Forage crops, CF'!$D$117,'Forage crops, CF'!$D$122,'Forage crops, CF'!$D$127)</c:f>
              <c:strCache>
                <c:ptCount val="11"/>
                <c:pt idx="0">
                  <c:v>Denmark</c:v>
                </c:pt>
                <c:pt idx="1">
                  <c:v>France</c:v>
                </c:pt>
                <c:pt idx="2">
                  <c:v>Germany</c:v>
                </c:pt>
                <c:pt idx="3">
                  <c:v>Greece</c:v>
                </c:pt>
                <c:pt idx="4">
                  <c:v>Hungary</c:v>
                </c:pt>
                <c:pt idx="5">
                  <c:v>Ireland</c:v>
                </c:pt>
                <c:pt idx="6">
                  <c:v>Italy</c:v>
                </c:pt>
                <c:pt idx="7">
                  <c:v>Netherlands</c:v>
                </c:pt>
                <c:pt idx="8">
                  <c:v>Poland</c:v>
                </c:pt>
                <c:pt idx="9">
                  <c:v>Spain</c:v>
                </c:pt>
                <c:pt idx="10">
                  <c:v>Sweden</c:v>
                </c:pt>
              </c:strCache>
            </c:strRef>
          </c:cat>
          <c:val>
            <c:numRef>
              <c:extLst>
                <c:ext xmlns:c15="http://schemas.microsoft.com/office/drawing/2012/chart" uri="{02D57815-91ED-43cb-92C2-25804820EDAC}">
                  <c15:fullRef>
                    <c15:sqref>'Forage crops, CF'!$F$73:$F$127</c15:sqref>
                  </c15:fullRef>
                </c:ext>
              </c:extLst>
              <c:f>('Forage crops, CF'!$F$77,'Forage crops, CF'!$F$82,'Forage crops, CF'!$F$87,'Forage crops, CF'!$F$92,'Forage crops, CF'!$F$97,'Forage crops, CF'!$F$102,'Forage crops, CF'!$F$107,'Forage crops, CF'!$F$112,'Forage crops, CF'!$F$117,'Forage crops, CF'!$F$122,'Forage crops, CF'!$F$127)</c:f>
              <c:numCache>
                <c:formatCode>0.000</c:formatCode>
                <c:ptCount val="11"/>
                <c:pt idx="0">
                  <c:v>1.5212301592451271E-2</c:v>
                </c:pt>
                <c:pt idx="1">
                  <c:v>3.0261176034673178E-2</c:v>
                </c:pt>
                <c:pt idx="2">
                  <c:v>2.0269412690915308E-2</c:v>
                </c:pt>
                <c:pt idx="3">
                  <c:v>0.16531105221662676</c:v>
                </c:pt>
                <c:pt idx="4">
                  <c:v>7.6439243865802392E-2</c:v>
                </c:pt>
                <c:pt idx="5">
                  <c:v>5.4019918290839623E-2</c:v>
                </c:pt>
                <c:pt idx="6">
                  <c:v>4.7789381587740182E-2</c:v>
                </c:pt>
                <c:pt idx="7">
                  <c:v>1.9538024660458535E-3</c:v>
                </c:pt>
                <c:pt idx="8">
                  <c:v>4.9730932494092647E-2</c:v>
                </c:pt>
                <c:pt idx="9">
                  <c:v>3.5117151206294411E-2</c:v>
                </c:pt>
                <c:pt idx="10">
                  <c:v>3.2353634923456949E-2</c:v>
                </c:pt>
              </c:numCache>
            </c:numRef>
          </c:val>
          <c:extLst>
            <c:ext xmlns:c16="http://schemas.microsoft.com/office/drawing/2014/chart" uri="{C3380CC4-5D6E-409C-BE32-E72D297353CC}">
              <c16:uniqueId val="{00000001-AC09-405F-A7BC-7A80AE741F69}"/>
            </c:ext>
          </c:extLst>
        </c:ser>
        <c:ser>
          <c:idx val="2"/>
          <c:order val="1"/>
          <c:tx>
            <c:v>Capital goods</c:v>
          </c:tx>
          <c:spPr>
            <a:solidFill>
              <a:schemeClr val="accent3"/>
            </a:solidFill>
            <a:ln>
              <a:noFill/>
            </a:ln>
            <a:effectLst/>
          </c:spPr>
          <c:invertIfNegative val="0"/>
          <c:cat>
            <c:strRef>
              <c:extLst>
                <c:ext xmlns:c15="http://schemas.microsoft.com/office/drawing/2012/chart" uri="{02D57815-91ED-43cb-92C2-25804820EDAC}">
                  <c15:fullRef>
                    <c15:sqref>'Forage crops, CF'!$D$73:$D$127</c15:sqref>
                  </c15:fullRef>
                </c:ext>
              </c:extLst>
              <c:f>('Forage crops, CF'!$D$77,'Forage crops, CF'!$D$82,'Forage crops, CF'!$D$87,'Forage crops, CF'!$D$92,'Forage crops, CF'!$D$97,'Forage crops, CF'!$D$102,'Forage crops, CF'!$D$107,'Forage crops, CF'!$D$112,'Forage crops, CF'!$D$117,'Forage crops, CF'!$D$122,'Forage crops, CF'!$D$127)</c:f>
              <c:strCache>
                <c:ptCount val="11"/>
                <c:pt idx="0">
                  <c:v>Denmark</c:v>
                </c:pt>
                <c:pt idx="1">
                  <c:v>France</c:v>
                </c:pt>
                <c:pt idx="2">
                  <c:v>Germany</c:v>
                </c:pt>
                <c:pt idx="3">
                  <c:v>Greece</c:v>
                </c:pt>
                <c:pt idx="4">
                  <c:v>Hungary</c:v>
                </c:pt>
                <c:pt idx="5">
                  <c:v>Ireland</c:v>
                </c:pt>
                <c:pt idx="6">
                  <c:v>Italy</c:v>
                </c:pt>
                <c:pt idx="7">
                  <c:v>Netherlands</c:v>
                </c:pt>
                <c:pt idx="8">
                  <c:v>Poland</c:v>
                </c:pt>
                <c:pt idx="9">
                  <c:v>Spain</c:v>
                </c:pt>
                <c:pt idx="10">
                  <c:v>Sweden</c:v>
                </c:pt>
              </c:strCache>
            </c:strRef>
          </c:cat>
          <c:val>
            <c:numRef>
              <c:extLst>
                <c:ext xmlns:c15="http://schemas.microsoft.com/office/drawing/2012/chart" uri="{02D57815-91ED-43cb-92C2-25804820EDAC}">
                  <c15:fullRef>
                    <c15:sqref>'Forage crops, CF'!$G$73:$G$127</c15:sqref>
                  </c15:fullRef>
                </c:ext>
              </c:extLst>
              <c:f>('Forage crops, CF'!$G$77,'Forage crops, CF'!$G$82,'Forage crops, CF'!$G$87,'Forage crops, CF'!$G$92,'Forage crops, CF'!$G$97,'Forage crops, CF'!$G$102,'Forage crops, CF'!$G$107,'Forage crops, CF'!$G$112,'Forage crops, CF'!$G$117,'Forage crops, CF'!$G$122,'Forage crops, CF'!$G$127)</c:f>
              <c:numCache>
                <c:formatCode>0.000</c:formatCode>
                <c:ptCount val="11"/>
                <c:pt idx="0">
                  <c:v>3.01313E-2</c:v>
                </c:pt>
                <c:pt idx="1">
                  <c:v>3.01313E-2</c:v>
                </c:pt>
                <c:pt idx="2">
                  <c:v>3.01313E-2</c:v>
                </c:pt>
                <c:pt idx="3">
                  <c:v>3.01313E-2</c:v>
                </c:pt>
                <c:pt idx="4">
                  <c:v>3.01313E-2</c:v>
                </c:pt>
                <c:pt idx="5">
                  <c:v>3.01313E-2</c:v>
                </c:pt>
                <c:pt idx="6">
                  <c:v>3.01313E-2</c:v>
                </c:pt>
                <c:pt idx="7">
                  <c:v>3.01313E-2</c:v>
                </c:pt>
                <c:pt idx="8">
                  <c:v>3.01313E-2</c:v>
                </c:pt>
                <c:pt idx="9">
                  <c:v>3.01313E-2</c:v>
                </c:pt>
                <c:pt idx="10">
                  <c:v>3.01313E-2</c:v>
                </c:pt>
              </c:numCache>
            </c:numRef>
          </c:val>
          <c:extLst>
            <c:ext xmlns:c16="http://schemas.microsoft.com/office/drawing/2014/chart" uri="{C3380CC4-5D6E-409C-BE32-E72D297353CC}">
              <c16:uniqueId val="{00000002-AC09-405F-A7BC-7A80AE741F69}"/>
            </c:ext>
          </c:extLst>
        </c:ser>
        <c:ser>
          <c:idx val="3"/>
          <c:order val="2"/>
          <c:tx>
            <c:v>Direct N2O</c:v>
          </c:tx>
          <c:spPr>
            <a:solidFill>
              <a:schemeClr val="accent4"/>
            </a:solidFill>
            <a:ln>
              <a:noFill/>
            </a:ln>
            <a:effectLst/>
          </c:spPr>
          <c:invertIfNegative val="0"/>
          <c:cat>
            <c:strRef>
              <c:extLst>
                <c:ext xmlns:c15="http://schemas.microsoft.com/office/drawing/2012/chart" uri="{02D57815-91ED-43cb-92C2-25804820EDAC}">
                  <c15:fullRef>
                    <c15:sqref>'Forage crops, CF'!$D$73:$D$127</c15:sqref>
                  </c15:fullRef>
                </c:ext>
              </c:extLst>
              <c:f>('Forage crops, CF'!$D$77,'Forage crops, CF'!$D$82,'Forage crops, CF'!$D$87,'Forage crops, CF'!$D$92,'Forage crops, CF'!$D$97,'Forage crops, CF'!$D$102,'Forage crops, CF'!$D$107,'Forage crops, CF'!$D$112,'Forage crops, CF'!$D$117,'Forage crops, CF'!$D$122,'Forage crops, CF'!$D$127)</c:f>
              <c:strCache>
                <c:ptCount val="11"/>
                <c:pt idx="0">
                  <c:v>Denmark</c:v>
                </c:pt>
                <c:pt idx="1">
                  <c:v>France</c:v>
                </c:pt>
                <c:pt idx="2">
                  <c:v>Germany</c:v>
                </c:pt>
                <c:pt idx="3">
                  <c:v>Greece</c:v>
                </c:pt>
                <c:pt idx="4">
                  <c:v>Hungary</c:v>
                </c:pt>
                <c:pt idx="5">
                  <c:v>Ireland</c:v>
                </c:pt>
                <c:pt idx="6">
                  <c:v>Italy</c:v>
                </c:pt>
                <c:pt idx="7">
                  <c:v>Netherlands</c:v>
                </c:pt>
                <c:pt idx="8">
                  <c:v>Poland</c:v>
                </c:pt>
                <c:pt idx="9">
                  <c:v>Spain</c:v>
                </c:pt>
                <c:pt idx="10">
                  <c:v>Sweden</c:v>
                </c:pt>
              </c:strCache>
            </c:strRef>
          </c:cat>
          <c:val>
            <c:numRef>
              <c:extLst>
                <c:ext xmlns:c15="http://schemas.microsoft.com/office/drawing/2012/chart" uri="{02D57815-91ED-43cb-92C2-25804820EDAC}">
                  <c15:fullRef>
                    <c15:sqref>'Forage crops, CF'!$H$73:$H$127</c15:sqref>
                  </c15:fullRef>
                </c:ext>
              </c:extLst>
              <c:f>('Forage crops, CF'!$H$77,'Forage crops, CF'!$H$82,'Forage crops, CF'!$H$87,'Forage crops, CF'!$H$92,'Forage crops, CF'!$H$97,'Forage crops, CF'!$H$102,'Forage crops, CF'!$H$107,'Forage crops, CF'!$H$112,'Forage crops, CF'!$H$117,'Forage crops, CF'!$H$122,'Forage crops, CF'!$H$127)</c:f>
              <c:numCache>
                <c:formatCode>0.000</c:formatCode>
                <c:ptCount val="11"/>
                <c:pt idx="0">
                  <c:v>2.5299136463246403E-2</c:v>
                </c:pt>
                <c:pt idx="1">
                  <c:v>3.7990778054647803E-2</c:v>
                </c:pt>
                <c:pt idx="2">
                  <c:v>2.6980683865700381E-2</c:v>
                </c:pt>
                <c:pt idx="3">
                  <c:v>0.18680453652881251</c:v>
                </c:pt>
                <c:pt idx="4">
                  <c:v>8.8875177413642106E-2</c:v>
                </c:pt>
                <c:pt idx="5">
                  <c:v>6.4170940759836148E-2</c:v>
                </c:pt>
                <c:pt idx="6">
                  <c:v>5.7305406260195063E-2</c:v>
                </c:pt>
                <c:pt idx="7">
                  <c:v>6.798401042734839E-3</c:v>
                </c:pt>
                <c:pt idx="8">
                  <c:v>5.9444834268658799E-2</c:v>
                </c:pt>
                <c:pt idx="9">
                  <c:v>4.334165979386962E-2</c:v>
                </c:pt>
                <c:pt idx="10">
                  <c:v>4.8571836564416049E-2</c:v>
                </c:pt>
              </c:numCache>
            </c:numRef>
          </c:val>
          <c:extLst>
            <c:ext xmlns:c16="http://schemas.microsoft.com/office/drawing/2014/chart" uri="{C3380CC4-5D6E-409C-BE32-E72D297353CC}">
              <c16:uniqueId val="{00000003-AC09-405F-A7BC-7A80AE741F69}"/>
            </c:ext>
          </c:extLst>
        </c:ser>
        <c:ser>
          <c:idx val="4"/>
          <c:order val="3"/>
          <c:tx>
            <c:v>Indirect N2O</c:v>
          </c:tx>
          <c:spPr>
            <a:solidFill>
              <a:schemeClr val="accent5"/>
            </a:solidFill>
            <a:ln>
              <a:noFill/>
            </a:ln>
            <a:effectLst/>
          </c:spPr>
          <c:invertIfNegative val="0"/>
          <c:cat>
            <c:strRef>
              <c:extLst>
                <c:ext xmlns:c15="http://schemas.microsoft.com/office/drawing/2012/chart" uri="{02D57815-91ED-43cb-92C2-25804820EDAC}">
                  <c15:fullRef>
                    <c15:sqref>'Forage crops, CF'!$D$73:$D$127</c15:sqref>
                  </c15:fullRef>
                </c:ext>
              </c:extLst>
              <c:f>('Forage crops, CF'!$D$77,'Forage crops, CF'!$D$82,'Forage crops, CF'!$D$87,'Forage crops, CF'!$D$92,'Forage crops, CF'!$D$97,'Forage crops, CF'!$D$102,'Forage crops, CF'!$D$107,'Forage crops, CF'!$D$112,'Forage crops, CF'!$D$117,'Forage crops, CF'!$D$122,'Forage crops, CF'!$D$127)</c:f>
              <c:strCache>
                <c:ptCount val="11"/>
                <c:pt idx="0">
                  <c:v>Denmark</c:v>
                </c:pt>
                <c:pt idx="1">
                  <c:v>France</c:v>
                </c:pt>
                <c:pt idx="2">
                  <c:v>Germany</c:v>
                </c:pt>
                <c:pt idx="3">
                  <c:v>Greece</c:v>
                </c:pt>
                <c:pt idx="4">
                  <c:v>Hungary</c:v>
                </c:pt>
                <c:pt idx="5">
                  <c:v>Ireland</c:v>
                </c:pt>
                <c:pt idx="6">
                  <c:v>Italy</c:v>
                </c:pt>
                <c:pt idx="7">
                  <c:v>Netherlands</c:v>
                </c:pt>
                <c:pt idx="8">
                  <c:v>Poland</c:v>
                </c:pt>
                <c:pt idx="9">
                  <c:v>Spain</c:v>
                </c:pt>
                <c:pt idx="10">
                  <c:v>Sweden</c:v>
                </c:pt>
              </c:strCache>
            </c:strRef>
          </c:cat>
          <c:val>
            <c:numRef>
              <c:extLst>
                <c:ext xmlns:c15="http://schemas.microsoft.com/office/drawing/2012/chart" uri="{02D57815-91ED-43cb-92C2-25804820EDAC}">
                  <c15:fullRef>
                    <c15:sqref>'Forage crops, CF'!$I$73:$I$127</c15:sqref>
                  </c15:fullRef>
                </c:ext>
              </c:extLst>
              <c:f>('Forage crops, CF'!$I$77,'Forage crops, CF'!$I$82,'Forage crops, CF'!$I$87,'Forage crops, CF'!$I$92,'Forage crops, CF'!$I$97,'Forage crops, CF'!$I$102,'Forage crops, CF'!$I$107,'Forage crops, CF'!$I$112,'Forage crops, CF'!$I$117,'Forage crops, CF'!$I$122,'Forage crops, CF'!$I$127)</c:f>
              <c:numCache>
                <c:formatCode>0.000</c:formatCode>
                <c:ptCount val="11"/>
                <c:pt idx="0">
                  <c:v>2.5299136463246405E-3</c:v>
                </c:pt>
                <c:pt idx="1">
                  <c:v>3.79907780546478E-3</c:v>
                </c:pt>
                <c:pt idx="2">
                  <c:v>2.6980683865700382E-3</c:v>
                </c:pt>
                <c:pt idx="3">
                  <c:v>1.8680453652881252E-2</c:v>
                </c:pt>
                <c:pt idx="4">
                  <c:v>8.8875177413642106E-3</c:v>
                </c:pt>
                <c:pt idx="5">
                  <c:v>6.417094075983616E-3</c:v>
                </c:pt>
                <c:pt idx="6">
                  <c:v>5.7305406260195063E-3</c:v>
                </c:pt>
                <c:pt idx="7">
                  <c:v>6.7984010427348397E-4</c:v>
                </c:pt>
                <c:pt idx="8">
                  <c:v>5.9444834268658807E-3</c:v>
                </c:pt>
                <c:pt idx="9">
                  <c:v>4.3341659793869614E-3</c:v>
                </c:pt>
                <c:pt idx="10">
                  <c:v>4.8571836564416044E-3</c:v>
                </c:pt>
              </c:numCache>
            </c:numRef>
          </c:val>
          <c:extLst>
            <c:ext xmlns:c16="http://schemas.microsoft.com/office/drawing/2014/chart" uri="{C3380CC4-5D6E-409C-BE32-E72D297353CC}">
              <c16:uniqueId val="{00000004-AC09-405F-A7BC-7A80AE741F69}"/>
            </c:ext>
          </c:extLst>
        </c:ser>
        <c:ser>
          <c:idx val="5"/>
          <c:order val="4"/>
          <c:tx>
            <c:v>Diesel</c:v>
          </c:tx>
          <c:spPr>
            <a:solidFill>
              <a:schemeClr val="accent6"/>
            </a:solidFill>
            <a:ln>
              <a:noFill/>
            </a:ln>
            <a:effectLst/>
          </c:spPr>
          <c:invertIfNegative val="0"/>
          <c:cat>
            <c:strRef>
              <c:extLst>
                <c:ext xmlns:c15="http://schemas.microsoft.com/office/drawing/2012/chart" uri="{02D57815-91ED-43cb-92C2-25804820EDAC}">
                  <c15:fullRef>
                    <c15:sqref>'Forage crops, CF'!$D$73:$D$127</c15:sqref>
                  </c15:fullRef>
                </c:ext>
              </c:extLst>
              <c:f>('Forage crops, CF'!$D$77,'Forage crops, CF'!$D$82,'Forage crops, CF'!$D$87,'Forage crops, CF'!$D$92,'Forage crops, CF'!$D$97,'Forage crops, CF'!$D$102,'Forage crops, CF'!$D$107,'Forage crops, CF'!$D$112,'Forage crops, CF'!$D$117,'Forage crops, CF'!$D$122,'Forage crops, CF'!$D$127)</c:f>
              <c:strCache>
                <c:ptCount val="11"/>
                <c:pt idx="0">
                  <c:v>Denmark</c:v>
                </c:pt>
                <c:pt idx="1">
                  <c:v>France</c:v>
                </c:pt>
                <c:pt idx="2">
                  <c:v>Germany</c:v>
                </c:pt>
                <c:pt idx="3">
                  <c:v>Greece</c:v>
                </c:pt>
                <c:pt idx="4">
                  <c:v>Hungary</c:v>
                </c:pt>
                <c:pt idx="5">
                  <c:v>Ireland</c:v>
                </c:pt>
                <c:pt idx="6">
                  <c:v>Italy</c:v>
                </c:pt>
                <c:pt idx="7">
                  <c:v>Netherlands</c:v>
                </c:pt>
                <c:pt idx="8">
                  <c:v>Poland</c:v>
                </c:pt>
                <c:pt idx="9">
                  <c:v>Spain</c:v>
                </c:pt>
                <c:pt idx="10">
                  <c:v>Sweden</c:v>
                </c:pt>
              </c:strCache>
            </c:strRef>
          </c:cat>
          <c:val>
            <c:numRef>
              <c:extLst>
                <c:ext xmlns:c15="http://schemas.microsoft.com/office/drawing/2012/chart" uri="{02D57815-91ED-43cb-92C2-25804820EDAC}">
                  <c15:fullRef>
                    <c15:sqref>'Forage crops, CF'!$J$73:$J$127</c15:sqref>
                  </c15:fullRef>
                </c:ext>
              </c:extLst>
              <c:f>('Forage crops, CF'!$J$77,'Forage crops, CF'!$J$82,'Forage crops, CF'!$J$87,'Forage crops, CF'!$J$92,'Forage crops, CF'!$J$97,'Forage crops, CF'!$J$102,'Forage crops, CF'!$J$107,'Forage crops, CF'!$J$112,'Forage crops, CF'!$J$117,'Forage crops, CF'!$J$122,'Forage crops, CF'!$J$127)</c:f>
              <c:numCache>
                <c:formatCode>0.000</c:formatCode>
                <c:ptCount val="11"/>
                <c:pt idx="0">
                  <c:v>1.6104850122497835E-2</c:v>
                </c:pt>
                <c:pt idx="1">
                  <c:v>1.6775002230573311E-2</c:v>
                </c:pt>
                <c:pt idx="2">
                  <c:v>1.3659646590488472E-2</c:v>
                </c:pt>
                <c:pt idx="3">
                  <c:v>3.1564423324806551E-2</c:v>
                </c:pt>
                <c:pt idx="4">
                  <c:v>2.1951926542895964E-2</c:v>
                </c:pt>
                <c:pt idx="5">
                  <c:v>1.3261552271447692E-2</c:v>
                </c:pt>
                <c:pt idx="6">
                  <c:v>1.1013914042783962E-2</c:v>
                </c:pt>
                <c:pt idx="7">
                  <c:v>1.3166760971704331E-2</c:v>
                </c:pt>
                <c:pt idx="8">
                  <c:v>1.3565147853375367E-2</c:v>
                </c:pt>
                <c:pt idx="9">
                  <c:v>2.1944468280114801E-2</c:v>
                </c:pt>
                <c:pt idx="10">
                  <c:v>1.95725221156858E-2</c:v>
                </c:pt>
              </c:numCache>
            </c:numRef>
          </c:val>
          <c:extLst>
            <c:ext xmlns:c16="http://schemas.microsoft.com/office/drawing/2014/chart" uri="{C3380CC4-5D6E-409C-BE32-E72D297353CC}">
              <c16:uniqueId val="{00000005-AC09-405F-A7BC-7A80AE741F69}"/>
            </c:ext>
          </c:extLst>
        </c:ser>
        <c:ser>
          <c:idx val="7"/>
          <c:order val="5"/>
          <c:tx>
            <c:v>Irrigation</c:v>
          </c:tx>
          <c:spPr>
            <a:solidFill>
              <a:schemeClr val="accent2">
                <a:lumMod val="60000"/>
              </a:schemeClr>
            </a:solidFill>
            <a:ln>
              <a:noFill/>
            </a:ln>
            <a:effectLst/>
          </c:spPr>
          <c:invertIfNegative val="0"/>
          <c:cat>
            <c:strRef>
              <c:extLst>
                <c:ext xmlns:c15="http://schemas.microsoft.com/office/drawing/2012/chart" uri="{02D57815-91ED-43cb-92C2-25804820EDAC}">
                  <c15:fullRef>
                    <c15:sqref>'Forage crops, CF'!$D$73:$D$127</c15:sqref>
                  </c15:fullRef>
                </c:ext>
              </c:extLst>
              <c:f>('Forage crops, CF'!$D$77,'Forage crops, CF'!$D$82,'Forage crops, CF'!$D$87,'Forage crops, CF'!$D$92,'Forage crops, CF'!$D$97,'Forage crops, CF'!$D$102,'Forage crops, CF'!$D$107,'Forage crops, CF'!$D$112,'Forage crops, CF'!$D$117,'Forage crops, CF'!$D$122,'Forage crops, CF'!$D$127)</c:f>
              <c:strCache>
                <c:ptCount val="11"/>
                <c:pt idx="0">
                  <c:v>Denmark</c:v>
                </c:pt>
                <c:pt idx="1">
                  <c:v>France</c:v>
                </c:pt>
                <c:pt idx="2">
                  <c:v>Germany</c:v>
                </c:pt>
                <c:pt idx="3">
                  <c:v>Greece</c:v>
                </c:pt>
                <c:pt idx="4">
                  <c:v>Hungary</c:v>
                </c:pt>
                <c:pt idx="5">
                  <c:v>Ireland</c:v>
                </c:pt>
                <c:pt idx="6">
                  <c:v>Italy</c:v>
                </c:pt>
                <c:pt idx="7">
                  <c:v>Netherlands</c:v>
                </c:pt>
                <c:pt idx="8">
                  <c:v>Poland</c:v>
                </c:pt>
                <c:pt idx="9">
                  <c:v>Spain</c:v>
                </c:pt>
                <c:pt idx="10">
                  <c:v>Sweden</c:v>
                </c:pt>
              </c:strCache>
            </c:strRef>
          </c:cat>
          <c:val>
            <c:numRef>
              <c:extLst>
                <c:ext xmlns:c15="http://schemas.microsoft.com/office/drawing/2012/chart" uri="{02D57815-91ED-43cb-92C2-25804820EDAC}">
                  <c15:fullRef>
                    <c15:sqref>'Forage crops, CF'!$L$73:$L$127</c15:sqref>
                  </c15:fullRef>
                </c:ext>
              </c:extLst>
              <c:f>('Forage crops, CF'!$L$77,'Forage crops, CF'!$L$82,'Forage crops, CF'!$L$87,'Forage crops, CF'!$L$92,'Forage crops, CF'!$L$97,'Forage crops, CF'!$L$102,'Forage crops, CF'!$L$107,'Forage crops, CF'!$L$112,'Forage crops, CF'!$L$117,'Forage crops, CF'!$L$122,'Forage crops, CF'!$L$127)</c:f>
              <c:numCache>
                <c:formatCode>0.000</c:formatCode>
                <c:ptCount val="11"/>
                <c:pt idx="0">
                  <c:v>0</c:v>
                </c:pt>
                <c:pt idx="1">
                  <c:v>6.0220854831130751E-4</c:v>
                </c:pt>
                <c:pt idx="2">
                  <c:v>1.0951486098461612E-5</c:v>
                </c:pt>
                <c:pt idx="3">
                  <c:v>3.4729811887573942E-3</c:v>
                </c:pt>
                <c:pt idx="4">
                  <c:v>9.5245674673145839E-6</c:v>
                </c:pt>
                <c:pt idx="5">
                  <c:v>0</c:v>
                </c:pt>
                <c:pt idx="6">
                  <c:v>4.6255793261834192E-4</c:v>
                </c:pt>
                <c:pt idx="7">
                  <c:v>8.3406990743827535E-5</c:v>
                </c:pt>
                <c:pt idx="8">
                  <c:v>1.9753330424853642E-5</c:v>
                </c:pt>
                <c:pt idx="9">
                  <c:v>3.4657898131926499E-3</c:v>
                </c:pt>
                <c:pt idx="10">
                  <c:v>0</c:v>
                </c:pt>
              </c:numCache>
            </c:numRef>
          </c:val>
          <c:extLst>
            <c:ext xmlns:c16="http://schemas.microsoft.com/office/drawing/2014/chart" uri="{C3380CC4-5D6E-409C-BE32-E72D297353CC}">
              <c16:uniqueId val="{00000007-AC09-405F-A7BC-7A80AE741F69}"/>
            </c:ext>
          </c:extLst>
        </c:ser>
        <c:ser>
          <c:idx val="10"/>
          <c:order val="6"/>
          <c:tx>
            <c:v>Feed processing</c:v>
          </c:tx>
          <c:spPr>
            <a:solidFill>
              <a:schemeClr val="accent5">
                <a:lumMod val="60000"/>
              </a:schemeClr>
            </a:solidFill>
            <a:ln>
              <a:noFill/>
            </a:ln>
            <a:effectLst/>
          </c:spPr>
          <c:invertIfNegative val="0"/>
          <c:cat>
            <c:strRef>
              <c:extLst>
                <c:ext xmlns:c15="http://schemas.microsoft.com/office/drawing/2012/chart" uri="{02D57815-91ED-43cb-92C2-25804820EDAC}">
                  <c15:fullRef>
                    <c15:sqref>'Forage crops, CF'!$D$73:$D$127</c15:sqref>
                  </c15:fullRef>
                </c:ext>
              </c:extLst>
              <c:f>('Forage crops, CF'!$D$77,'Forage crops, CF'!$D$82,'Forage crops, CF'!$D$87,'Forage crops, CF'!$D$92,'Forage crops, CF'!$D$97,'Forage crops, CF'!$D$102,'Forage crops, CF'!$D$107,'Forage crops, CF'!$D$112,'Forage crops, CF'!$D$117,'Forage crops, CF'!$D$122,'Forage crops, CF'!$D$127)</c:f>
              <c:strCache>
                <c:ptCount val="11"/>
                <c:pt idx="0">
                  <c:v>Denmark</c:v>
                </c:pt>
                <c:pt idx="1">
                  <c:v>France</c:v>
                </c:pt>
                <c:pt idx="2">
                  <c:v>Germany</c:v>
                </c:pt>
                <c:pt idx="3">
                  <c:v>Greece</c:v>
                </c:pt>
                <c:pt idx="4">
                  <c:v>Hungary</c:v>
                </c:pt>
                <c:pt idx="5">
                  <c:v>Ireland</c:v>
                </c:pt>
                <c:pt idx="6">
                  <c:v>Italy</c:v>
                </c:pt>
                <c:pt idx="7">
                  <c:v>Netherlands</c:v>
                </c:pt>
                <c:pt idx="8">
                  <c:v>Poland</c:v>
                </c:pt>
                <c:pt idx="9">
                  <c:v>Spain</c:v>
                </c:pt>
                <c:pt idx="10">
                  <c:v>Sweden</c:v>
                </c:pt>
              </c:strCache>
            </c:strRef>
          </c:cat>
          <c:val>
            <c:numRef>
              <c:extLst>
                <c:ext xmlns:c15="http://schemas.microsoft.com/office/drawing/2012/chart" uri="{02D57815-91ED-43cb-92C2-25804820EDAC}">
                  <c15:fullRef>
                    <c15:sqref>'Forage crops, CF'!$O$73:$O$127</c15:sqref>
                  </c15:fullRef>
                </c:ext>
              </c:extLst>
              <c:f>('Forage crops, CF'!$O$77,'Forage crops, CF'!$O$82,'Forage crops, CF'!$O$87,'Forage crops, CF'!$O$92,'Forage crops, CF'!$O$97,'Forage crops, CF'!$O$102,'Forage crops, CF'!$O$107,'Forage crops, CF'!$O$112,'Forage crops, CF'!$O$117,'Forage crops, CF'!$O$122,'Forage crops, CF'!$O$127)</c:f>
              <c:numCache>
                <c:formatCode>0.000</c:formatCode>
                <c:ptCount val="11"/>
                <c:pt idx="0">
                  <c:v>8.6389700000000014E-2</c:v>
                </c:pt>
                <c:pt idx="1">
                  <c:v>8.6389700000000014E-2</c:v>
                </c:pt>
                <c:pt idx="2">
                  <c:v>8.6389700000000014E-2</c:v>
                </c:pt>
                <c:pt idx="3">
                  <c:v>8.6389700000000014E-2</c:v>
                </c:pt>
                <c:pt idx="4">
                  <c:v>8.6389700000000014E-2</c:v>
                </c:pt>
                <c:pt idx="5">
                  <c:v>8.6389700000000014E-2</c:v>
                </c:pt>
                <c:pt idx="6">
                  <c:v>8.6389700000000014E-2</c:v>
                </c:pt>
                <c:pt idx="7">
                  <c:v>8.6389700000000014E-2</c:v>
                </c:pt>
                <c:pt idx="8">
                  <c:v>8.6389700000000014E-2</c:v>
                </c:pt>
                <c:pt idx="9">
                  <c:v>8.6389700000000014E-2</c:v>
                </c:pt>
                <c:pt idx="10">
                  <c:v>8.6389700000000014E-2</c:v>
                </c:pt>
              </c:numCache>
            </c:numRef>
          </c:val>
          <c:extLst>
            <c:ext xmlns:c16="http://schemas.microsoft.com/office/drawing/2014/chart" uri="{C3380CC4-5D6E-409C-BE32-E72D297353CC}">
              <c16:uniqueId val="{0000000A-AC09-405F-A7BC-7A80AE741F69}"/>
            </c:ext>
          </c:extLst>
        </c:ser>
        <c:dLbls>
          <c:showLegendKey val="0"/>
          <c:showVal val="0"/>
          <c:showCatName val="0"/>
          <c:showSerName val="0"/>
          <c:showPercent val="0"/>
          <c:showBubbleSize val="0"/>
        </c:dLbls>
        <c:gapWidth val="150"/>
        <c:overlap val="100"/>
        <c:axId val="716577056"/>
        <c:axId val="1725772016"/>
      </c:barChart>
      <c:catAx>
        <c:axId val="716577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725772016"/>
        <c:crosses val="autoZero"/>
        <c:auto val="1"/>
        <c:lblAlgn val="ctr"/>
        <c:lblOffset val="100"/>
        <c:noMultiLvlLbl val="0"/>
      </c:catAx>
      <c:valAx>
        <c:axId val="17257720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kg CO2e per kg DM feed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7165770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sv-S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sv-SE"/>
              <a:t>Ley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sv-SE"/>
        </a:p>
      </c:txPr>
    </c:title>
    <c:autoTitleDeleted val="0"/>
    <c:plotArea>
      <c:layout/>
      <c:barChart>
        <c:barDir val="col"/>
        <c:grouping val="stacked"/>
        <c:varyColors val="0"/>
        <c:ser>
          <c:idx val="2"/>
          <c:order val="0"/>
          <c:tx>
            <c:v>Mineral fertilisers</c:v>
          </c:tx>
          <c:spPr>
            <a:solidFill>
              <a:schemeClr val="accent3"/>
            </a:solidFill>
            <a:ln>
              <a:noFill/>
            </a:ln>
            <a:effectLst/>
          </c:spPr>
          <c:invertIfNegative val="0"/>
          <c:cat>
            <c:strRef>
              <c:extLst>
                <c:ext xmlns:c15="http://schemas.microsoft.com/office/drawing/2012/chart" uri="{02D57815-91ED-43cb-92C2-25804820EDAC}">
                  <c15:fullRef>
                    <c15:sqref>'Forage crops, CF'!$D$142:$D$192</c15:sqref>
                  </c15:fullRef>
                </c:ext>
              </c:extLst>
              <c:f>('Forage crops, CF'!$D$142,'Forage crops, CF'!$D$147,'Forage crops, CF'!$D$152,'Forage crops, CF'!$D$157,'Forage crops, CF'!$D$162,'Forage crops, CF'!$D$167,'Forage crops, CF'!$D$172,'Forage crops, CF'!$D$177,'Forage crops, CF'!$D$182,'Forage crops, CF'!$D$187,'Forage crops, CF'!$D$192)</c:f>
              <c:strCache>
                <c:ptCount val="11"/>
                <c:pt idx="0">
                  <c:v>Denmark</c:v>
                </c:pt>
                <c:pt idx="1">
                  <c:v>France</c:v>
                </c:pt>
                <c:pt idx="2">
                  <c:v>Germany</c:v>
                </c:pt>
                <c:pt idx="3">
                  <c:v>Greece</c:v>
                </c:pt>
                <c:pt idx="4">
                  <c:v>Hungary</c:v>
                </c:pt>
                <c:pt idx="5">
                  <c:v>Ireland</c:v>
                </c:pt>
                <c:pt idx="6">
                  <c:v>Italy</c:v>
                </c:pt>
                <c:pt idx="7">
                  <c:v>Netherlands</c:v>
                </c:pt>
                <c:pt idx="8">
                  <c:v>Poland</c:v>
                </c:pt>
                <c:pt idx="9">
                  <c:v>Spain</c:v>
                </c:pt>
                <c:pt idx="10">
                  <c:v>Sweden</c:v>
                </c:pt>
              </c:strCache>
            </c:strRef>
          </c:cat>
          <c:val>
            <c:numRef>
              <c:extLst>
                <c:ext xmlns:c15="http://schemas.microsoft.com/office/drawing/2012/chart" uri="{02D57815-91ED-43cb-92C2-25804820EDAC}">
                  <c15:fullRef>
                    <c15:sqref>'Forage crops, CF'!$F$142:$F$192</c15:sqref>
                  </c15:fullRef>
                </c:ext>
              </c:extLst>
              <c:f>('Forage crops, CF'!$F$142,'Forage crops, CF'!$F$147,'Forage crops, CF'!$F$152,'Forage crops, CF'!$F$157,'Forage crops, CF'!$F$162,'Forage crops, CF'!$F$167,'Forage crops, CF'!$F$172,'Forage crops, CF'!$F$177,'Forage crops, CF'!$F$182,'Forage crops, CF'!$F$187,'Forage crops, CF'!$F$192)</c:f>
              <c:numCache>
                <c:formatCode>0.000</c:formatCode>
                <c:ptCount val="11"/>
                <c:pt idx="0">
                  <c:v>1.1579571413857116E-2</c:v>
                </c:pt>
                <c:pt idx="1">
                  <c:v>2.9835890327817659E-2</c:v>
                </c:pt>
                <c:pt idx="2">
                  <c:v>3.4963537377244516E-2</c:v>
                </c:pt>
                <c:pt idx="3">
                  <c:v>3.5987145443398816E-2</c:v>
                </c:pt>
                <c:pt idx="4">
                  <c:v>3.5987145443398816E-2</c:v>
                </c:pt>
                <c:pt idx="5">
                  <c:v>3.5987145443398816E-2</c:v>
                </c:pt>
                <c:pt idx="6">
                  <c:v>3.5987145443398816E-2</c:v>
                </c:pt>
                <c:pt idx="7">
                  <c:v>0.16081751765036911</c:v>
                </c:pt>
                <c:pt idx="8">
                  <c:v>3.5987145443398816E-2</c:v>
                </c:pt>
                <c:pt idx="9">
                  <c:v>3.5987145443398816E-2</c:v>
                </c:pt>
                <c:pt idx="10">
                  <c:v>3.5030664011208718E-2</c:v>
                </c:pt>
              </c:numCache>
            </c:numRef>
          </c:val>
          <c:extLst>
            <c:ext xmlns:c16="http://schemas.microsoft.com/office/drawing/2014/chart" uri="{C3380CC4-5D6E-409C-BE32-E72D297353CC}">
              <c16:uniqueId val="{00000001-9ED3-4D4F-AF81-9DD921C10045}"/>
            </c:ext>
          </c:extLst>
        </c:ser>
        <c:ser>
          <c:idx val="3"/>
          <c:order val="1"/>
          <c:tx>
            <c:v>Capital goods</c:v>
          </c:tx>
          <c:spPr>
            <a:solidFill>
              <a:schemeClr val="accent4"/>
            </a:solidFill>
            <a:ln>
              <a:noFill/>
            </a:ln>
            <a:effectLst/>
          </c:spPr>
          <c:invertIfNegative val="0"/>
          <c:cat>
            <c:strRef>
              <c:extLst>
                <c:ext xmlns:c15="http://schemas.microsoft.com/office/drawing/2012/chart" uri="{02D57815-91ED-43cb-92C2-25804820EDAC}">
                  <c15:fullRef>
                    <c15:sqref>'Forage crops, CF'!$D$142:$D$192</c15:sqref>
                  </c15:fullRef>
                </c:ext>
              </c:extLst>
              <c:f>('Forage crops, CF'!$D$142,'Forage crops, CF'!$D$147,'Forage crops, CF'!$D$152,'Forage crops, CF'!$D$157,'Forage crops, CF'!$D$162,'Forage crops, CF'!$D$167,'Forage crops, CF'!$D$172,'Forage crops, CF'!$D$177,'Forage crops, CF'!$D$182,'Forage crops, CF'!$D$187,'Forage crops, CF'!$D$192)</c:f>
              <c:strCache>
                <c:ptCount val="11"/>
                <c:pt idx="0">
                  <c:v>Denmark</c:v>
                </c:pt>
                <c:pt idx="1">
                  <c:v>France</c:v>
                </c:pt>
                <c:pt idx="2">
                  <c:v>Germany</c:v>
                </c:pt>
                <c:pt idx="3">
                  <c:v>Greece</c:v>
                </c:pt>
                <c:pt idx="4">
                  <c:v>Hungary</c:v>
                </c:pt>
                <c:pt idx="5">
                  <c:v>Ireland</c:v>
                </c:pt>
                <c:pt idx="6">
                  <c:v>Italy</c:v>
                </c:pt>
                <c:pt idx="7">
                  <c:v>Netherlands</c:v>
                </c:pt>
                <c:pt idx="8">
                  <c:v>Poland</c:v>
                </c:pt>
                <c:pt idx="9">
                  <c:v>Spain</c:v>
                </c:pt>
                <c:pt idx="10">
                  <c:v>Sweden</c:v>
                </c:pt>
              </c:strCache>
            </c:strRef>
          </c:cat>
          <c:val>
            <c:numRef>
              <c:extLst>
                <c:ext xmlns:c15="http://schemas.microsoft.com/office/drawing/2012/chart" uri="{02D57815-91ED-43cb-92C2-25804820EDAC}">
                  <c15:fullRef>
                    <c15:sqref>'Forage crops, CF'!$G$142:$G$192</c15:sqref>
                  </c15:fullRef>
                </c:ext>
              </c:extLst>
              <c:f>('Forage crops, CF'!$G$142,'Forage crops, CF'!$G$147,'Forage crops, CF'!$G$152,'Forage crops, CF'!$G$157,'Forage crops, CF'!$G$162,'Forage crops, CF'!$G$167,'Forage crops, CF'!$G$172,'Forage crops, CF'!$G$177,'Forage crops, CF'!$G$182,'Forage crops, CF'!$G$187,'Forage crops, CF'!$G$192)</c:f>
              <c:numCache>
                <c:formatCode>0.000</c:formatCode>
                <c:ptCount val="11"/>
                <c:pt idx="0">
                  <c:v>3.01313E-2</c:v>
                </c:pt>
                <c:pt idx="1">
                  <c:v>3.01313E-2</c:v>
                </c:pt>
                <c:pt idx="2">
                  <c:v>3.01313E-2</c:v>
                </c:pt>
                <c:pt idx="3">
                  <c:v>3.01313E-2</c:v>
                </c:pt>
                <c:pt idx="4">
                  <c:v>3.01313E-2</c:v>
                </c:pt>
                <c:pt idx="5">
                  <c:v>3.01313E-2</c:v>
                </c:pt>
                <c:pt idx="6">
                  <c:v>3.01313E-2</c:v>
                </c:pt>
                <c:pt idx="7">
                  <c:v>3.01313E-2</c:v>
                </c:pt>
                <c:pt idx="8">
                  <c:v>3.01313E-2</c:v>
                </c:pt>
                <c:pt idx="9">
                  <c:v>3.01313E-2</c:v>
                </c:pt>
                <c:pt idx="10">
                  <c:v>3.01313E-2</c:v>
                </c:pt>
              </c:numCache>
            </c:numRef>
          </c:val>
          <c:extLst>
            <c:ext xmlns:c16="http://schemas.microsoft.com/office/drawing/2014/chart" uri="{C3380CC4-5D6E-409C-BE32-E72D297353CC}">
              <c16:uniqueId val="{00000002-9ED3-4D4F-AF81-9DD921C10045}"/>
            </c:ext>
          </c:extLst>
        </c:ser>
        <c:ser>
          <c:idx val="4"/>
          <c:order val="2"/>
          <c:tx>
            <c:v>Direct N2O</c:v>
          </c:tx>
          <c:spPr>
            <a:solidFill>
              <a:schemeClr val="accent5"/>
            </a:solidFill>
            <a:ln>
              <a:noFill/>
            </a:ln>
            <a:effectLst/>
          </c:spPr>
          <c:invertIfNegative val="0"/>
          <c:cat>
            <c:strRef>
              <c:extLst>
                <c:ext xmlns:c15="http://schemas.microsoft.com/office/drawing/2012/chart" uri="{02D57815-91ED-43cb-92C2-25804820EDAC}">
                  <c15:fullRef>
                    <c15:sqref>'Forage crops, CF'!$D$142:$D$192</c15:sqref>
                  </c15:fullRef>
                </c:ext>
              </c:extLst>
              <c:f>('Forage crops, CF'!$D$142,'Forage crops, CF'!$D$147,'Forage crops, CF'!$D$152,'Forage crops, CF'!$D$157,'Forage crops, CF'!$D$162,'Forage crops, CF'!$D$167,'Forage crops, CF'!$D$172,'Forage crops, CF'!$D$177,'Forage crops, CF'!$D$182,'Forage crops, CF'!$D$187,'Forage crops, CF'!$D$192)</c:f>
              <c:strCache>
                <c:ptCount val="11"/>
                <c:pt idx="0">
                  <c:v>Denmark</c:v>
                </c:pt>
                <c:pt idx="1">
                  <c:v>France</c:v>
                </c:pt>
                <c:pt idx="2">
                  <c:v>Germany</c:v>
                </c:pt>
                <c:pt idx="3">
                  <c:v>Greece</c:v>
                </c:pt>
                <c:pt idx="4">
                  <c:v>Hungary</c:v>
                </c:pt>
                <c:pt idx="5">
                  <c:v>Ireland</c:v>
                </c:pt>
                <c:pt idx="6">
                  <c:v>Italy</c:v>
                </c:pt>
                <c:pt idx="7">
                  <c:v>Netherlands</c:v>
                </c:pt>
                <c:pt idx="8">
                  <c:v>Poland</c:v>
                </c:pt>
                <c:pt idx="9">
                  <c:v>Spain</c:v>
                </c:pt>
                <c:pt idx="10">
                  <c:v>Sweden</c:v>
                </c:pt>
              </c:strCache>
            </c:strRef>
          </c:cat>
          <c:val>
            <c:numRef>
              <c:extLst>
                <c:ext xmlns:c15="http://schemas.microsoft.com/office/drawing/2012/chart" uri="{02D57815-91ED-43cb-92C2-25804820EDAC}">
                  <c15:fullRef>
                    <c15:sqref>'Forage crops, CF'!$H$142:$H$192</c15:sqref>
                  </c15:fullRef>
                </c:ext>
              </c:extLst>
              <c:f>('Forage crops, CF'!$H$142,'Forage crops, CF'!$H$147,'Forage crops, CF'!$H$152,'Forage crops, CF'!$H$157,'Forage crops, CF'!$H$162,'Forage crops, CF'!$H$167,'Forage crops, CF'!$H$172,'Forage crops, CF'!$H$177,'Forage crops, CF'!$H$182,'Forage crops, CF'!$H$187,'Forage crops, CF'!$H$192)</c:f>
              <c:numCache>
                <c:formatCode>0.000</c:formatCode>
                <c:ptCount val="11"/>
                <c:pt idx="0">
                  <c:v>2.3588698151845507E-2</c:v>
                </c:pt>
                <c:pt idx="1">
                  <c:v>4.0743849259617014E-2</c:v>
                </c:pt>
                <c:pt idx="2">
                  <c:v>4.6394090867584795E-2</c:v>
                </c:pt>
                <c:pt idx="3">
                  <c:v>4.7522022027800453E-2</c:v>
                </c:pt>
                <c:pt idx="4">
                  <c:v>4.752202202780046E-2</c:v>
                </c:pt>
                <c:pt idx="5">
                  <c:v>4.752202202780046E-2</c:v>
                </c:pt>
                <c:pt idx="6">
                  <c:v>4.7522022027800453E-2</c:v>
                </c:pt>
                <c:pt idx="7">
                  <c:v>0.18507473503303087</c:v>
                </c:pt>
                <c:pt idx="8">
                  <c:v>4.752202202780046E-2</c:v>
                </c:pt>
                <c:pt idx="9">
                  <c:v>4.752202202780046E-2</c:v>
                </c:pt>
                <c:pt idx="10">
                  <c:v>5.542812595619958E-2</c:v>
                </c:pt>
              </c:numCache>
            </c:numRef>
          </c:val>
          <c:extLst>
            <c:ext xmlns:c16="http://schemas.microsoft.com/office/drawing/2014/chart" uri="{C3380CC4-5D6E-409C-BE32-E72D297353CC}">
              <c16:uniqueId val="{00000003-9ED3-4D4F-AF81-9DD921C10045}"/>
            </c:ext>
          </c:extLst>
        </c:ser>
        <c:ser>
          <c:idx val="5"/>
          <c:order val="3"/>
          <c:tx>
            <c:v>Indirect N2O</c:v>
          </c:tx>
          <c:spPr>
            <a:solidFill>
              <a:schemeClr val="accent6"/>
            </a:solidFill>
            <a:ln>
              <a:noFill/>
            </a:ln>
            <a:effectLst/>
          </c:spPr>
          <c:invertIfNegative val="0"/>
          <c:cat>
            <c:strRef>
              <c:extLst>
                <c:ext xmlns:c15="http://schemas.microsoft.com/office/drawing/2012/chart" uri="{02D57815-91ED-43cb-92C2-25804820EDAC}">
                  <c15:fullRef>
                    <c15:sqref>'Forage crops, CF'!$D$142:$D$192</c15:sqref>
                  </c15:fullRef>
                </c:ext>
              </c:extLst>
              <c:f>('Forage crops, CF'!$D$142,'Forage crops, CF'!$D$147,'Forage crops, CF'!$D$152,'Forage crops, CF'!$D$157,'Forage crops, CF'!$D$162,'Forage crops, CF'!$D$167,'Forage crops, CF'!$D$172,'Forage crops, CF'!$D$177,'Forage crops, CF'!$D$182,'Forage crops, CF'!$D$187,'Forage crops, CF'!$D$192)</c:f>
              <c:strCache>
                <c:ptCount val="11"/>
                <c:pt idx="0">
                  <c:v>Denmark</c:v>
                </c:pt>
                <c:pt idx="1">
                  <c:v>France</c:v>
                </c:pt>
                <c:pt idx="2">
                  <c:v>Germany</c:v>
                </c:pt>
                <c:pt idx="3">
                  <c:v>Greece</c:v>
                </c:pt>
                <c:pt idx="4">
                  <c:v>Hungary</c:v>
                </c:pt>
                <c:pt idx="5">
                  <c:v>Ireland</c:v>
                </c:pt>
                <c:pt idx="6">
                  <c:v>Italy</c:v>
                </c:pt>
                <c:pt idx="7">
                  <c:v>Netherlands</c:v>
                </c:pt>
                <c:pt idx="8">
                  <c:v>Poland</c:v>
                </c:pt>
                <c:pt idx="9">
                  <c:v>Spain</c:v>
                </c:pt>
                <c:pt idx="10">
                  <c:v>Sweden</c:v>
                </c:pt>
              </c:strCache>
            </c:strRef>
          </c:cat>
          <c:val>
            <c:numRef>
              <c:extLst>
                <c:ext xmlns:c15="http://schemas.microsoft.com/office/drawing/2012/chart" uri="{02D57815-91ED-43cb-92C2-25804820EDAC}">
                  <c15:fullRef>
                    <c15:sqref>'Forage crops, CF'!$I$142:$I$192</c15:sqref>
                  </c15:fullRef>
                </c:ext>
              </c:extLst>
              <c:f>('Forage crops, CF'!$I$142,'Forage crops, CF'!$I$147,'Forage crops, CF'!$I$152,'Forage crops, CF'!$I$157,'Forage crops, CF'!$I$162,'Forage crops, CF'!$I$167,'Forage crops, CF'!$I$172,'Forage crops, CF'!$I$177,'Forage crops, CF'!$I$182,'Forage crops, CF'!$I$187,'Forage crops, CF'!$I$192)</c:f>
              <c:numCache>
                <c:formatCode>0.000</c:formatCode>
                <c:ptCount val="11"/>
                <c:pt idx="0">
                  <c:v>2.3588698151845505E-3</c:v>
                </c:pt>
                <c:pt idx="1">
                  <c:v>4.0743849259617018E-3</c:v>
                </c:pt>
                <c:pt idx="2">
                  <c:v>4.6394090867584786E-3</c:v>
                </c:pt>
                <c:pt idx="3">
                  <c:v>4.7522022027800459E-3</c:v>
                </c:pt>
                <c:pt idx="4">
                  <c:v>4.7522022027800459E-3</c:v>
                </c:pt>
                <c:pt idx="5">
                  <c:v>4.7522022027800459E-3</c:v>
                </c:pt>
                <c:pt idx="6">
                  <c:v>4.7522022027800459E-3</c:v>
                </c:pt>
                <c:pt idx="7">
                  <c:v>1.850747350330309E-2</c:v>
                </c:pt>
                <c:pt idx="8">
                  <c:v>4.7522022027800459E-3</c:v>
                </c:pt>
                <c:pt idx="9">
                  <c:v>4.7522022027800459E-3</c:v>
                </c:pt>
                <c:pt idx="10">
                  <c:v>5.5428125956199581E-3</c:v>
                </c:pt>
              </c:numCache>
            </c:numRef>
          </c:val>
          <c:extLst>
            <c:ext xmlns:c16="http://schemas.microsoft.com/office/drawing/2014/chart" uri="{C3380CC4-5D6E-409C-BE32-E72D297353CC}">
              <c16:uniqueId val="{00000004-9ED3-4D4F-AF81-9DD921C10045}"/>
            </c:ext>
          </c:extLst>
        </c:ser>
        <c:ser>
          <c:idx val="7"/>
          <c:order val="4"/>
          <c:tx>
            <c:v>Field operations</c:v>
          </c:tx>
          <c:spPr>
            <a:solidFill>
              <a:schemeClr val="accent2">
                <a:lumMod val="60000"/>
              </a:schemeClr>
            </a:solidFill>
            <a:ln>
              <a:noFill/>
            </a:ln>
            <a:effectLst/>
          </c:spPr>
          <c:invertIfNegative val="0"/>
          <c:cat>
            <c:strRef>
              <c:extLst>
                <c:ext xmlns:c15="http://schemas.microsoft.com/office/drawing/2012/chart" uri="{02D57815-91ED-43cb-92C2-25804820EDAC}">
                  <c15:fullRef>
                    <c15:sqref>'Forage crops, CF'!$D$142:$D$192</c15:sqref>
                  </c15:fullRef>
                </c:ext>
              </c:extLst>
              <c:f>('Forage crops, CF'!$D$142,'Forage crops, CF'!$D$147,'Forage crops, CF'!$D$152,'Forage crops, CF'!$D$157,'Forage crops, CF'!$D$162,'Forage crops, CF'!$D$167,'Forage crops, CF'!$D$172,'Forage crops, CF'!$D$177,'Forage crops, CF'!$D$182,'Forage crops, CF'!$D$187,'Forage crops, CF'!$D$192)</c:f>
              <c:strCache>
                <c:ptCount val="11"/>
                <c:pt idx="0">
                  <c:v>Denmark</c:v>
                </c:pt>
                <c:pt idx="1">
                  <c:v>France</c:v>
                </c:pt>
                <c:pt idx="2">
                  <c:v>Germany</c:v>
                </c:pt>
                <c:pt idx="3">
                  <c:v>Greece</c:v>
                </c:pt>
                <c:pt idx="4">
                  <c:v>Hungary</c:v>
                </c:pt>
                <c:pt idx="5">
                  <c:v>Ireland</c:v>
                </c:pt>
                <c:pt idx="6">
                  <c:v>Italy</c:v>
                </c:pt>
                <c:pt idx="7">
                  <c:v>Netherlands</c:v>
                </c:pt>
                <c:pt idx="8">
                  <c:v>Poland</c:v>
                </c:pt>
                <c:pt idx="9">
                  <c:v>Spain</c:v>
                </c:pt>
                <c:pt idx="10">
                  <c:v>Sweden</c:v>
                </c:pt>
              </c:strCache>
            </c:strRef>
          </c:cat>
          <c:val>
            <c:numRef>
              <c:extLst>
                <c:ext xmlns:c15="http://schemas.microsoft.com/office/drawing/2012/chart" uri="{02D57815-91ED-43cb-92C2-25804820EDAC}">
                  <c15:fullRef>
                    <c15:sqref>'Forage crops, CF'!$J$142:$J$192</c15:sqref>
                  </c15:fullRef>
                </c:ext>
              </c:extLst>
              <c:f>('Forage crops, CF'!$J$142,'Forage crops, CF'!$J$147,'Forage crops, CF'!$J$152,'Forage crops, CF'!$J$157,'Forage crops, CF'!$J$162,'Forage crops, CF'!$J$167,'Forage crops, CF'!$J$172,'Forage crops, CF'!$J$177,'Forage crops, CF'!$J$182,'Forage crops, CF'!$J$187,'Forage crops, CF'!$J$192)</c:f>
              <c:numCache>
                <c:formatCode>0.000</c:formatCode>
                <c:ptCount val="11"/>
                <c:pt idx="0">
                  <c:v>1.0330936406066488E-2</c:v>
                </c:pt>
                <c:pt idx="1">
                  <c:v>1.3373866530534318E-2</c:v>
                </c:pt>
                <c:pt idx="2">
                  <c:v>1.3433418913001914E-2</c:v>
                </c:pt>
                <c:pt idx="3">
                  <c:v>3.3082704214679549E-2</c:v>
                </c:pt>
                <c:pt idx="4">
                  <c:v>4.969824898465218E-2</c:v>
                </c:pt>
                <c:pt idx="5">
                  <c:v>1.5013625608635414E-2</c:v>
                </c:pt>
                <c:pt idx="6">
                  <c:v>1.2374614147716767E-2</c:v>
                </c:pt>
                <c:pt idx="7">
                  <c:v>2.1025103145319253E-2</c:v>
                </c:pt>
                <c:pt idx="8">
                  <c:v>1.553543349653318E-2</c:v>
                </c:pt>
                <c:pt idx="9">
                  <c:v>2.2369244374722035E-2</c:v>
                </c:pt>
                <c:pt idx="10">
                  <c:v>2.1897403352181932E-2</c:v>
                </c:pt>
              </c:numCache>
            </c:numRef>
          </c:val>
          <c:extLst>
            <c:ext xmlns:c16="http://schemas.microsoft.com/office/drawing/2014/chart" uri="{C3380CC4-5D6E-409C-BE32-E72D297353CC}">
              <c16:uniqueId val="{00000005-9ED3-4D4F-AF81-9DD921C10045}"/>
            </c:ext>
          </c:extLst>
        </c:ser>
        <c:ser>
          <c:idx val="0"/>
          <c:order val="5"/>
          <c:tx>
            <c:v>Irrigation</c:v>
          </c:tx>
          <c:spPr>
            <a:solidFill>
              <a:schemeClr val="accent1"/>
            </a:solidFill>
            <a:ln>
              <a:noFill/>
            </a:ln>
            <a:effectLst/>
          </c:spPr>
          <c:invertIfNegative val="0"/>
          <c:cat>
            <c:strRef>
              <c:extLst>
                <c:ext xmlns:c15="http://schemas.microsoft.com/office/drawing/2012/chart" uri="{02D57815-91ED-43cb-92C2-25804820EDAC}">
                  <c15:fullRef>
                    <c15:sqref>'Forage crops, CF'!$D$142:$D$192</c15:sqref>
                  </c15:fullRef>
                </c:ext>
              </c:extLst>
              <c:f>('Forage crops, CF'!$D$142,'Forage crops, CF'!$D$147,'Forage crops, CF'!$D$152,'Forage crops, CF'!$D$157,'Forage crops, CF'!$D$162,'Forage crops, CF'!$D$167,'Forage crops, CF'!$D$172,'Forage crops, CF'!$D$177,'Forage crops, CF'!$D$182,'Forage crops, CF'!$D$187,'Forage crops, CF'!$D$192)</c:f>
              <c:strCache>
                <c:ptCount val="11"/>
                <c:pt idx="0">
                  <c:v>Denmark</c:v>
                </c:pt>
                <c:pt idx="1">
                  <c:v>France</c:v>
                </c:pt>
                <c:pt idx="2">
                  <c:v>Germany</c:v>
                </c:pt>
                <c:pt idx="3">
                  <c:v>Greece</c:v>
                </c:pt>
                <c:pt idx="4">
                  <c:v>Hungary</c:v>
                </c:pt>
                <c:pt idx="5">
                  <c:v>Ireland</c:v>
                </c:pt>
                <c:pt idx="6">
                  <c:v>Italy</c:v>
                </c:pt>
                <c:pt idx="7">
                  <c:v>Netherlands</c:v>
                </c:pt>
                <c:pt idx="8">
                  <c:v>Poland</c:v>
                </c:pt>
                <c:pt idx="9">
                  <c:v>Spain</c:v>
                </c:pt>
                <c:pt idx="10">
                  <c:v>Sweden</c:v>
                </c:pt>
              </c:strCache>
            </c:strRef>
          </c:cat>
          <c:val>
            <c:numRef>
              <c:extLst>
                <c:ext xmlns:c15="http://schemas.microsoft.com/office/drawing/2012/chart" uri="{02D57815-91ED-43cb-92C2-25804820EDAC}">
                  <c15:fullRef>
                    <c15:sqref>'Forage crops, CF'!$L$142:$L$192</c15:sqref>
                  </c15:fullRef>
                </c:ext>
              </c:extLst>
              <c:f>('Forage crops, CF'!$L$142,'Forage crops, CF'!$L$147,'Forage crops, CF'!$L$152,'Forage crops, CF'!$L$157,'Forage crops, CF'!$L$162,'Forage crops, CF'!$L$167,'Forage crops, CF'!$L$172,'Forage crops, CF'!$L$177,'Forage crops, CF'!$L$182,'Forage crops, CF'!$L$187,'Forage crops, CF'!$L$192)</c:f>
              <c:numCache>
                <c:formatCode>0.000</c:formatCode>
                <c:ptCount val="11"/>
                <c:pt idx="0">
                  <c:v>0</c:v>
                </c:pt>
                <c:pt idx="1">
                  <c:v>6.0220854831130751E-4</c:v>
                </c:pt>
                <c:pt idx="2">
                  <c:v>1.0951486098461612E-5</c:v>
                </c:pt>
                <c:pt idx="3">
                  <c:v>3.4729811887573938E-3</c:v>
                </c:pt>
                <c:pt idx="4">
                  <c:v>9.5245674673145822E-6</c:v>
                </c:pt>
                <c:pt idx="5">
                  <c:v>0</c:v>
                </c:pt>
                <c:pt idx="6">
                  <c:v>4.6255793261834192E-4</c:v>
                </c:pt>
                <c:pt idx="7">
                  <c:v>8.3406990743827548E-5</c:v>
                </c:pt>
                <c:pt idx="8">
                  <c:v>1.9753330424853642E-5</c:v>
                </c:pt>
                <c:pt idx="9">
                  <c:v>3.4657898131926494E-3</c:v>
                </c:pt>
                <c:pt idx="10">
                  <c:v>0</c:v>
                </c:pt>
              </c:numCache>
            </c:numRef>
          </c:val>
          <c:extLst>
            <c:ext xmlns:c16="http://schemas.microsoft.com/office/drawing/2014/chart" uri="{C3380CC4-5D6E-409C-BE32-E72D297353CC}">
              <c16:uniqueId val="{00000007-9ED3-4D4F-AF81-9DD921C10045}"/>
            </c:ext>
          </c:extLst>
        </c:ser>
        <c:ser>
          <c:idx val="9"/>
          <c:order val="6"/>
          <c:tx>
            <c:v>Feed processing</c:v>
          </c:tx>
          <c:spPr>
            <a:solidFill>
              <a:schemeClr val="accent4">
                <a:lumMod val="60000"/>
              </a:schemeClr>
            </a:solidFill>
            <a:ln>
              <a:noFill/>
            </a:ln>
            <a:effectLst/>
          </c:spPr>
          <c:invertIfNegative val="0"/>
          <c:cat>
            <c:strRef>
              <c:extLst>
                <c:ext xmlns:c15="http://schemas.microsoft.com/office/drawing/2012/chart" uri="{02D57815-91ED-43cb-92C2-25804820EDAC}">
                  <c15:fullRef>
                    <c15:sqref>'Forage crops, CF'!$D$142:$D$192</c15:sqref>
                  </c15:fullRef>
                </c:ext>
              </c:extLst>
              <c:f>('Forage crops, CF'!$D$142,'Forage crops, CF'!$D$147,'Forage crops, CF'!$D$152,'Forage crops, CF'!$D$157,'Forage crops, CF'!$D$162,'Forage crops, CF'!$D$167,'Forage crops, CF'!$D$172,'Forage crops, CF'!$D$177,'Forage crops, CF'!$D$182,'Forage crops, CF'!$D$187,'Forage crops, CF'!$D$192)</c:f>
              <c:strCache>
                <c:ptCount val="11"/>
                <c:pt idx="0">
                  <c:v>Denmark</c:v>
                </c:pt>
                <c:pt idx="1">
                  <c:v>France</c:v>
                </c:pt>
                <c:pt idx="2">
                  <c:v>Germany</c:v>
                </c:pt>
                <c:pt idx="3">
                  <c:v>Greece</c:v>
                </c:pt>
                <c:pt idx="4">
                  <c:v>Hungary</c:v>
                </c:pt>
                <c:pt idx="5">
                  <c:v>Ireland</c:v>
                </c:pt>
                <c:pt idx="6">
                  <c:v>Italy</c:v>
                </c:pt>
                <c:pt idx="7">
                  <c:v>Netherlands</c:v>
                </c:pt>
                <c:pt idx="8">
                  <c:v>Poland</c:v>
                </c:pt>
                <c:pt idx="9">
                  <c:v>Spain</c:v>
                </c:pt>
                <c:pt idx="10">
                  <c:v>Sweden</c:v>
                </c:pt>
              </c:strCache>
            </c:strRef>
          </c:cat>
          <c:val>
            <c:numRef>
              <c:extLst>
                <c:ext xmlns:c15="http://schemas.microsoft.com/office/drawing/2012/chart" uri="{02D57815-91ED-43cb-92C2-25804820EDAC}">
                  <c15:fullRef>
                    <c15:sqref>'Forage crops, CF'!$O$142:$O$192</c15:sqref>
                  </c15:fullRef>
                </c:ext>
              </c:extLst>
              <c:f>('Forage crops, CF'!$O$142,'Forage crops, CF'!$O$147,'Forage crops, CF'!$O$152,'Forage crops, CF'!$O$157,'Forage crops, CF'!$O$162,'Forage crops, CF'!$O$167,'Forage crops, CF'!$O$172,'Forage crops, CF'!$O$177,'Forage crops, CF'!$O$182,'Forage crops, CF'!$O$187,'Forage crops, CF'!$O$192)</c:f>
              <c:numCache>
                <c:formatCode>0.000</c:formatCode>
                <c:ptCount val="11"/>
                <c:pt idx="0">
                  <c:v>8.6389700000000014E-2</c:v>
                </c:pt>
                <c:pt idx="1">
                  <c:v>8.6389700000000014E-2</c:v>
                </c:pt>
                <c:pt idx="2">
                  <c:v>8.6389700000000014E-2</c:v>
                </c:pt>
                <c:pt idx="3">
                  <c:v>8.6389700000000014E-2</c:v>
                </c:pt>
                <c:pt idx="4">
                  <c:v>8.6389700000000014E-2</c:v>
                </c:pt>
                <c:pt idx="5">
                  <c:v>8.6389700000000014E-2</c:v>
                </c:pt>
                <c:pt idx="6">
                  <c:v>8.6389700000000014E-2</c:v>
                </c:pt>
                <c:pt idx="7">
                  <c:v>8.6389700000000014E-2</c:v>
                </c:pt>
                <c:pt idx="8">
                  <c:v>8.6389700000000014E-2</c:v>
                </c:pt>
                <c:pt idx="9">
                  <c:v>8.6389700000000014E-2</c:v>
                </c:pt>
                <c:pt idx="10">
                  <c:v>8.6389700000000014E-2</c:v>
                </c:pt>
              </c:numCache>
            </c:numRef>
          </c:val>
          <c:extLst>
            <c:ext xmlns:c16="http://schemas.microsoft.com/office/drawing/2014/chart" uri="{C3380CC4-5D6E-409C-BE32-E72D297353CC}">
              <c16:uniqueId val="{0000000A-9ED3-4D4F-AF81-9DD921C10045}"/>
            </c:ext>
          </c:extLst>
        </c:ser>
        <c:dLbls>
          <c:showLegendKey val="0"/>
          <c:showVal val="0"/>
          <c:showCatName val="0"/>
          <c:showSerName val="0"/>
          <c:showPercent val="0"/>
          <c:showBubbleSize val="0"/>
        </c:dLbls>
        <c:gapWidth val="150"/>
        <c:overlap val="100"/>
        <c:axId val="716577056"/>
        <c:axId val="1725772016"/>
      </c:barChart>
      <c:catAx>
        <c:axId val="716577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725772016"/>
        <c:crosses val="autoZero"/>
        <c:auto val="1"/>
        <c:lblAlgn val="ctr"/>
        <c:lblOffset val="100"/>
        <c:noMultiLvlLbl val="0"/>
      </c:catAx>
      <c:valAx>
        <c:axId val="17257720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kg CO2e per kg DM feed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7165770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sv-S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chart" Target="../charts/chart1.xm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9</xdr:col>
      <xdr:colOff>107673</xdr:colOff>
      <xdr:row>24</xdr:row>
      <xdr:rowOff>36417</xdr:rowOff>
    </xdr:from>
    <xdr:to>
      <xdr:col>16</xdr:col>
      <xdr:colOff>232101</xdr:colOff>
      <xdr:row>36</xdr:row>
      <xdr:rowOff>122705</xdr:rowOff>
    </xdr:to>
    <xdr:pic>
      <xdr:nvPicPr>
        <xdr:cNvPr id="2" name="Picture 1">
          <a:extLst>
            <a:ext uri="{FF2B5EF4-FFF2-40B4-BE49-F238E27FC236}">
              <a16:creationId xmlns:a16="http://schemas.microsoft.com/office/drawing/2014/main" id="{49EBFC10-4A61-A53E-1EED-5E024309E858}"/>
            </a:ext>
          </a:extLst>
        </xdr:cNvPr>
        <xdr:cNvPicPr>
          <a:picLocks noChangeAspect="1"/>
        </xdr:cNvPicPr>
      </xdr:nvPicPr>
      <xdr:blipFill>
        <a:blip xmlns:r="http://schemas.openxmlformats.org/officeDocument/2006/relationships" r:embed="rId1"/>
        <a:stretch>
          <a:fillRect/>
        </a:stretch>
      </xdr:blipFill>
      <xdr:spPr>
        <a:xfrm>
          <a:off x="6352760" y="5155069"/>
          <a:ext cx="4298863" cy="2272897"/>
        </a:xfrm>
        <a:prstGeom prst="rect">
          <a:avLst/>
        </a:prstGeom>
      </xdr:spPr>
    </xdr:pic>
    <xdr:clientData/>
  </xdr:twoCellAnchor>
  <xdr:twoCellAnchor>
    <xdr:from>
      <xdr:col>13</xdr:col>
      <xdr:colOff>166413</xdr:colOff>
      <xdr:row>3</xdr:row>
      <xdr:rowOff>133744</xdr:rowOff>
    </xdr:from>
    <xdr:to>
      <xdr:col>27</xdr:col>
      <xdr:colOff>56054</xdr:colOff>
      <xdr:row>27</xdr:row>
      <xdr:rowOff>42304</xdr:rowOff>
    </xdr:to>
    <xdr:graphicFrame macro="">
      <xdr:nvGraphicFramePr>
        <xdr:cNvPr id="3" name="Chart 2">
          <a:extLst>
            <a:ext uri="{FF2B5EF4-FFF2-40B4-BE49-F238E27FC236}">
              <a16:creationId xmlns:a16="http://schemas.microsoft.com/office/drawing/2014/main" id="{51716538-0B0E-AE6A-904A-C4826EA67E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21738</xdr:colOff>
      <xdr:row>35</xdr:row>
      <xdr:rowOff>97962</xdr:rowOff>
    </xdr:from>
    <xdr:to>
      <xdr:col>5</xdr:col>
      <xdr:colOff>330553</xdr:colOff>
      <xdr:row>49</xdr:row>
      <xdr:rowOff>135593</xdr:rowOff>
    </xdr:to>
    <xdr:pic>
      <xdr:nvPicPr>
        <xdr:cNvPr id="4" name="Picture 3">
          <a:extLst>
            <a:ext uri="{FF2B5EF4-FFF2-40B4-BE49-F238E27FC236}">
              <a16:creationId xmlns:a16="http://schemas.microsoft.com/office/drawing/2014/main" id="{5D1F6EDF-BE7E-6D5A-41C6-4C7DBA08C1A9}"/>
            </a:ext>
          </a:extLst>
        </xdr:cNvPr>
        <xdr:cNvPicPr>
          <a:picLocks noChangeAspect="1"/>
        </xdr:cNvPicPr>
      </xdr:nvPicPr>
      <xdr:blipFill>
        <a:blip xmlns:r="http://schemas.openxmlformats.org/officeDocument/2006/relationships" r:embed="rId3"/>
        <a:stretch>
          <a:fillRect/>
        </a:stretch>
      </xdr:blipFill>
      <xdr:spPr>
        <a:xfrm>
          <a:off x="21738" y="7221005"/>
          <a:ext cx="4591676" cy="25886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22</xdr:col>
      <xdr:colOff>47624</xdr:colOff>
      <xdr:row>29</xdr:row>
      <xdr:rowOff>37310</xdr:rowOff>
    </xdr:from>
    <xdr:to>
      <xdr:col>28</xdr:col>
      <xdr:colOff>111402</xdr:colOff>
      <xdr:row>40</xdr:row>
      <xdr:rowOff>38605</xdr:rowOff>
    </xdr:to>
    <xdr:pic>
      <xdr:nvPicPr>
        <xdr:cNvPr id="2" name="Picture 1">
          <a:extLst>
            <a:ext uri="{FF2B5EF4-FFF2-40B4-BE49-F238E27FC236}">
              <a16:creationId xmlns:a16="http://schemas.microsoft.com/office/drawing/2014/main" id="{9AC85809-FD88-6202-6D64-0FC8A717296B}"/>
            </a:ext>
          </a:extLst>
        </xdr:cNvPr>
        <xdr:cNvPicPr>
          <a:picLocks noChangeAspect="1"/>
        </xdr:cNvPicPr>
      </xdr:nvPicPr>
      <xdr:blipFill>
        <a:blip xmlns:r="http://schemas.openxmlformats.org/officeDocument/2006/relationships" r:embed="rId1"/>
        <a:stretch>
          <a:fillRect/>
        </a:stretch>
      </xdr:blipFill>
      <xdr:spPr>
        <a:xfrm>
          <a:off x="19745324" y="5333210"/>
          <a:ext cx="3601363" cy="1992020"/>
        </a:xfrm>
        <a:prstGeom prst="rect">
          <a:avLst/>
        </a:prstGeom>
      </xdr:spPr>
    </xdr:pic>
    <xdr:clientData/>
  </xdr:twoCellAnchor>
  <xdr:twoCellAnchor editAs="oneCell">
    <xdr:from>
      <xdr:col>17</xdr:col>
      <xdr:colOff>0</xdr:colOff>
      <xdr:row>83</xdr:row>
      <xdr:rowOff>0</xdr:rowOff>
    </xdr:from>
    <xdr:to>
      <xdr:col>25</xdr:col>
      <xdr:colOff>579581</xdr:colOff>
      <xdr:row>100</xdr:row>
      <xdr:rowOff>178808</xdr:rowOff>
    </xdr:to>
    <xdr:pic>
      <xdr:nvPicPr>
        <xdr:cNvPr id="3" name="Picture 2">
          <a:extLst>
            <a:ext uri="{FF2B5EF4-FFF2-40B4-BE49-F238E27FC236}">
              <a16:creationId xmlns:a16="http://schemas.microsoft.com/office/drawing/2014/main" id="{0587D2B7-7329-5425-6DB6-16FEE1D0E7C5}"/>
            </a:ext>
          </a:extLst>
        </xdr:cNvPr>
        <xdr:cNvPicPr>
          <a:picLocks noChangeAspect="1"/>
        </xdr:cNvPicPr>
      </xdr:nvPicPr>
      <xdr:blipFill>
        <a:blip xmlns:r="http://schemas.openxmlformats.org/officeDocument/2006/relationships" r:embed="rId2"/>
        <a:stretch>
          <a:fillRect/>
        </a:stretch>
      </xdr:blipFill>
      <xdr:spPr>
        <a:xfrm>
          <a:off x="16790276" y="16229724"/>
          <a:ext cx="5344271" cy="3305636"/>
        </a:xfrm>
        <a:prstGeom prst="rect">
          <a:avLst/>
        </a:prstGeom>
      </xdr:spPr>
    </xdr:pic>
    <xdr:clientData/>
  </xdr:twoCellAnchor>
  <xdr:twoCellAnchor editAs="oneCell">
    <xdr:from>
      <xdr:col>17</xdr:col>
      <xdr:colOff>26276</xdr:colOff>
      <xdr:row>52</xdr:row>
      <xdr:rowOff>179516</xdr:rowOff>
    </xdr:from>
    <xdr:to>
      <xdr:col>25</xdr:col>
      <xdr:colOff>415510</xdr:colOff>
      <xdr:row>61</xdr:row>
      <xdr:rowOff>19998</xdr:rowOff>
    </xdr:to>
    <xdr:pic>
      <xdr:nvPicPr>
        <xdr:cNvPr id="4" name="Picture 3">
          <a:extLst>
            <a:ext uri="{FF2B5EF4-FFF2-40B4-BE49-F238E27FC236}">
              <a16:creationId xmlns:a16="http://schemas.microsoft.com/office/drawing/2014/main" id="{E0AC9F8D-F202-F024-2CF9-EFB43E84E044}"/>
            </a:ext>
          </a:extLst>
        </xdr:cNvPr>
        <xdr:cNvPicPr>
          <a:picLocks noChangeAspect="1"/>
        </xdr:cNvPicPr>
      </xdr:nvPicPr>
      <xdr:blipFill>
        <a:blip xmlns:r="http://schemas.openxmlformats.org/officeDocument/2006/relationships" r:embed="rId3"/>
        <a:stretch>
          <a:fillRect/>
        </a:stretch>
      </xdr:blipFill>
      <xdr:spPr>
        <a:xfrm>
          <a:off x="17552276" y="9787723"/>
          <a:ext cx="5153924" cy="149586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17</xdr:col>
      <xdr:colOff>0</xdr:colOff>
      <xdr:row>61</xdr:row>
      <xdr:rowOff>0</xdr:rowOff>
    </xdr:from>
    <xdr:to>
      <xdr:col>25</xdr:col>
      <xdr:colOff>579581</xdr:colOff>
      <xdr:row>78</xdr:row>
      <xdr:rowOff>178808</xdr:rowOff>
    </xdr:to>
    <xdr:pic>
      <xdr:nvPicPr>
        <xdr:cNvPr id="3" name="Picture 2">
          <a:extLst>
            <a:ext uri="{FF2B5EF4-FFF2-40B4-BE49-F238E27FC236}">
              <a16:creationId xmlns:a16="http://schemas.microsoft.com/office/drawing/2014/main" id="{89D6C9A2-B505-4DD6-B9C7-A694E6C7E67A}"/>
            </a:ext>
          </a:extLst>
        </xdr:cNvPr>
        <xdr:cNvPicPr>
          <a:picLocks noChangeAspect="1"/>
        </xdr:cNvPicPr>
      </xdr:nvPicPr>
      <xdr:blipFill>
        <a:blip xmlns:r="http://schemas.openxmlformats.org/officeDocument/2006/relationships" r:embed="rId1"/>
        <a:stretch>
          <a:fillRect/>
        </a:stretch>
      </xdr:blipFill>
      <xdr:spPr>
        <a:xfrm>
          <a:off x="17465040" y="15224760"/>
          <a:ext cx="5334461" cy="3287768"/>
        </a:xfrm>
        <a:prstGeom prst="rect">
          <a:avLst/>
        </a:prstGeom>
      </xdr:spPr>
    </xdr:pic>
    <xdr:clientData/>
  </xdr:twoCellAnchor>
  <xdr:twoCellAnchor editAs="oneCell">
    <xdr:from>
      <xdr:col>17</xdr:col>
      <xdr:colOff>26276</xdr:colOff>
      <xdr:row>30</xdr:row>
      <xdr:rowOff>179516</xdr:rowOff>
    </xdr:from>
    <xdr:to>
      <xdr:col>25</xdr:col>
      <xdr:colOff>415510</xdr:colOff>
      <xdr:row>39</xdr:row>
      <xdr:rowOff>19998</xdr:rowOff>
    </xdr:to>
    <xdr:pic>
      <xdr:nvPicPr>
        <xdr:cNvPr id="4" name="Picture 3">
          <a:extLst>
            <a:ext uri="{FF2B5EF4-FFF2-40B4-BE49-F238E27FC236}">
              <a16:creationId xmlns:a16="http://schemas.microsoft.com/office/drawing/2014/main" id="{ECC5BB10-F344-4888-B112-2E4C71837639}"/>
            </a:ext>
          </a:extLst>
        </xdr:cNvPr>
        <xdr:cNvPicPr>
          <a:picLocks noChangeAspect="1"/>
        </xdr:cNvPicPr>
      </xdr:nvPicPr>
      <xdr:blipFill>
        <a:blip xmlns:r="http://schemas.openxmlformats.org/officeDocument/2006/relationships" r:embed="rId2"/>
        <a:stretch>
          <a:fillRect/>
        </a:stretch>
      </xdr:blipFill>
      <xdr:spPr>
        <a:xfrm>
          <a:off x="17491316" y="9734996"/>
          <a:ext cx="5144114" cy="148640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16</xdr:col>
      <xdr:colOff>314325</xdr:colOff>
      <xdr:row>5</xdr:row>
      <xdr:rowOff>9525</xdr:rowOff>
    </xdr:from>
    <xdr:to>
      <xdr:col>24</xdr:col>
      <xdr:colOff>381000</xdr:colOff>
      <xdr:row>31</xdr:row>
      <xdr:rowOff>38100</xdr:rowOff>
    </xdr:to>
    <xdr:graphicFrame macro="">
      <xdr:nvGraphicFramePr>
        <xdr:cNvPr id="2" name="Chart 1">
          <a:extLst>
            <a:ext uri="{FF2B5EF4-FFF2-40B4-BE49-F238E27FC236}">
              <a16:creationId xmlns:a16="http://schemas.microsoft.com/office/drawing/2014/main" id="{F0A9A6C4-F6D4-9154-C749-7D30BEAAF1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171450</xdr:colOff>
      <xdr:row>68</xdr:row>
      <xdr:rowOff>0</xdr:rowOff>
    </xdr:from>
    <xdr:to>
      <xdr:col>24</xdr:col>
      <xdr:colOff>238125</xdr:colOff>
      <xdr:row>87</xdr:row>
      <xdr:rowOff>57150</xdr:rowOff>
    </xdr:to>
    <xdr:graphicFrame macro="">
      <xdr:nvGraphicFramePr>
        <xdr:cNvPr id="3" name="Chart 2">
          <a:extLst>
            <a:ext uri="{FF2B5EF4-FFF2-40B4-BE49-F238E27FC236}">
              <a16:creationId xmlns:a16="http://schemas.microsoft.com/office/drawing/2014/main" id="{751A4291-4975-4944-ACDC-827B4117AB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9525</xdr:colOff>
      <xdr:row>77</xdr:row>
      <xdr:rowOff>21633</xdr:rowOff>
    </xdr:from>
    <xdr:to>
      <xdr:col>14</xdr:col>
      <xdr:colOff>715601</xdr:colOff>
      <xdr:row>89</xdr:row>
      <xdr:rowOff>143386</xdr:rowOff>
    </xdr:to>
    <xdr:pic>
      <xdr:nvPicPr>
        <xdr:cNvPr id="2" name="Picture 1">
          <a:extLst>
            <a:ext uri="{FF2B5EF4-FFF2-40B4-BE49-F238E27FC236}">
              <a16:creationId xmlns:a16="http://schemas.microsoft.com/office/drawing/2014/main" id="{E4291FD2-B6AE-7227-5E75-D331D1855C93}"/>
            </a:ext>
          </a:extLst>
        </xdr:cNvPr>
        <xdr:cNvPicPr>
          <a:picLocks noChangeAspect="1"/>
        </xdr:cNvPicPr>
      </xdr:nvPicPr>
      <xdr:blipFill>
        <a:blip xmlns:r="http://schemas.openxmlformats.org/officeDocument/2006/relationships" r:embed="rId1"/>
        <a:stretch>
          <a:fillRect/>
        </a:stretch>
      </xdr:blipFill>
      <xdr:spPr>
        <a:xfrm>
          <a:off x="8782050" y="8346483"/>
          <a:ext cx="5506676" cy="2293453"/>
        </a:xfrm>
        <a:prstGeom prst="rect">
          <a:avLst/>
        </a:prstGeom>
      </xdr:spPr>
    </xdr:pic>
    <xdr:clientData/>
  </xdr:twoCellAnchor>
  <xdr:twoCellAnchor editAs="oneCell">
    <xdr:from>
      <xdr:col>36</xdr:col>
      <xdr:colOff>2105025</xdr:colOff>
      <xdr:row>16</xdr:row>
      <xdr:rowOff>9525</xdr:rowOff>
    </xdr:from>
    <xdr:to>
      <xdr:col>45</xdr:col>
      <xdr:colOff>47625</xdr:colOff>
      <xdr:row>23</xdr:row>
      <xdr:rowOff>156715</xdr:rowOff>
    </xdr:to>
    <xdr:pic>
      <xdr:nvPicPr>
        <xdr:cNvPr id="3" name="Picture 2">
          <a:extLst>
            <a:ext uri="{FF2B5EF4-FFF2-40B4-BE49-F238E27FC236}">
              <a16:creationId xmlns:a16="http://schemas.microsoft.com/office/drawing/2014/main" id="{5318BD79-694C-4DA4-96FC-441359391616}"/>
            </a:ext>
          </a:extLst>
        </xdr:cNvPr>
        <xdr:cNvPicPr>
          <a:picLocks noChangeAspect="1"/>
        </xdr:cNvPicPr>
      </xdr:nvPicPr>
      <xdr:blipFill>
        <a:blip xmlns:r="http://schemas.openxmlformats.org/officeDocument/2006/relationships" r:embed="rId2"/>
        <a:stretch>
          <a:fillRect/>
        </a:stretch>
      </xdr:blipFill>
      <xdr:spPr>
        <a:xfrm>
          <a:off x="33166050" y="3638550"/>
          <a:ext cx="4895850" cy="1461640"/>
        </a:xfrm>
        <a:prstGeom prst="rect">
          <a:avLst/>
        </a:prstGeom>
      </xdr:spPr>
    </xdr:pic>
    <xdr:clientData/>
  </xdr:twoCellAnchor>
  <xdr:twoCellAnchor editAs="oneCell">
    <xdr:from>
      <xdr:col>36</xdr:col>
      <xdr:colOff>1266825</xdr:colOff>
      <xdr:row>24</xdr:row>
      <xdr:rowOff>95250</xdr:rowOff>
    </xdr:from>
    <xdr:to>
      <xdr:col>47</xdr:col>
      <xdr:colOff>181991</xdr:colOff>
      <xdr:row>45</xdr:row>
      <xdr:rowOff>685</xdr:rowOff>
    </xdr:to>
    <xdr:pic>
      <xdr:nvPicPr>
        <xdr:cNvPr id="4" name="Picture 3">
          <a:extLst>
            <a:ext uri="{FF2B5EF4-FFF2-40B4-BE49-F238E27FC236}">
              <a16:creationId xmlns:a16="http://schemas.microsoft.com/office/drawing/2014/main" id="{470CD06A-A584-4D91-46D9-2DD0FE8F726C}"/>
            </a:ext>
          </a:extLst>
        </xdr:cNvPr>
        <xdr:cNvPicPr>
          <a:picLocks noChangeAspect="1"/>
        </xdr:cNvPicPr>
      </xdr:nvPicPr>
      <xdr:blipFill>
        <a:blip xmlns:r="http://schemas.openxmlformats.org/officeDocument/2006/relationships" r:embed="rId3"/>
        <a:stretch>
          <a:fillRect/>
        </a:stretch>
      </xdr:blipFill>
      <xdr:spPr>
        <a:xfrm>
          <a:off x="32327850" y="5219700"/>
          <a:ext cx="7278116" cy="490606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arla.se/4a9c19/globalassets/om-arla/hallbarhet/klimatberakningar/climate-check-report-2022.pdf"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A2:B29"/>
  <sheetViews>
    <sheetView topLeftCell="A2" zoomScale="80" zoomScaleNormal="80" workbookViewId="0">
      <selection activeCell="D14" sqref="D14"/>
    </sheetView>
  </sheetViews>
  <sheetFormatPr defaultColWidth="8.6640625" defaultRowHeight="14.4" x14ac:dyDescent="0.3"/>
  <cols>
    <col min="1" max="1" width="8.6640625" style="29"/>
    <col min="2" max="2" width="18.33203125" customWidth="1"/>
    <col min="3" max="3" width="31.44140625" customWidth="1"/>
    <col min="4" max="4" width="24.6640625" customWidth="1"/>
  </cols>
  <sheetData>
    <row r="2" spans="1:1" ht="21" x14ac:dyDescent="0.4">
      <c r="A2" s="58" t="s">
        <v>0</v>
      </c>
    </row>
    <row r="4" spans="1:1" x14ac:dyDescent="0.3">
      <c r="A4" s="29" t="s">
        <v>1</v>
      </c>
    </row>
    <row r="7" spans="1:1" x14ac:dyDescent="0.3">
      <c r="A7" s="375" t="s">
        <v>519</v>
      </c>
    </row>
    <row r="8" spans="1:1" x14ac:dyDescent="0.3">
      <c r="A8" s="300" t="s">
        <v>515</v>
      </c>
    </row>
    <row r="9" spans="1:1" x14ac:dyDescent="0.3">
      <c r="A9" s="375" t="s">
        <v>518</v>
      </c>
    </row>
    <row r="10" spans="1:1" x14ac:dyDescent="0.3">
      <c r="A10" s="375" t="s">
        <v>520</v>
      </c>
    </row>
    <row r="17" spans="1:2" x14ac:dyDescent="0.3">
      <c r="A17" s="29" t="s">
        <v>2</v>
      </c>
    </row>
    <row r="19" spans="1:2" x14ac:dyDescent="0.3">
      <c r="A19" s="77"/>
      <c r="B19" t="s">
        <v>3</v>
      </c>
    </row>
    <row r="20" spans="1:2" x14ac:dyDescent="0.3">
      <c r="A20" s="101"/>
      <c r="B20" t="s">
        <v>4</v>
      </c>
    </row>
    <row r="21" spans="1:2" x14ac:dyDescent="0.3">
      <c r="A21" s="102"/>
      <c r="B21" t="s">
        <v>5</v>
      </c>
    </row>
    <row r="26" spans="1:2" x14ac:dyDescent="0.3">
      <c r="A26" s="103" t="s">
        <v>6</v>
      </c>
    </row>
    <row r="27" spans="1:2" x14ac:dyDescent="0.3">
      <c r="A27" s="29" t="s">
        <v>7</v>
      </c>
    </row>
    <row r="28" spans="1:2" x14ac:dyDescent="0.3">
      <c r="A28" s="29" t="s">
        <v>8</v>
      </c>
    </row>
    <row r="29" spans="1:2" x14ac:dyDescent="0.3">
      <c r="A29" s="29" t="s">
        <v>9</v>
      </c>
    </row>
  </sheetData>
  <hyperlinks>
    <hyperlink ref="A8" r:id="rId1" xr:uid="{AAD1C4F6-A405-41B1-94E5-6EC38519728F}"/>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A76AF-D044-4984-908D-510EF5A11805}">
  <dimension ref="A2:AB109"/>
  <sheetViews>
    <sheetView zoomScale="66" workbookViewId="0">
      <selection activeCell="T32" sqref="T32"/>
    </sheetView>
  </sheetViews>
  <sheetFormatPr defaultColWidth="8.6640625" defaultRowHeight="14.4" x14ac:dyDescent="0.3"/>
  <cols>
    <col min="1" max="1" width="13.6640625" customWidth="1"/>
    <col min="2" max="2" width="12.21875" bestFit="1" customWidth="1"/>
    <col min="3" max="3" width="12.88671875" bestFit="1" customWidth="1"/>
    <col min="4" max="4" width="11.21875" customWidth="1"/>
    <col min="5" max="6" width="12" bestFit="1" customWidth="1"/>
  </cols>
  <sheetData>
    <row r="2" spans="1:13" ht="21" x14ac:dyDescent="0.4">
      <c r="A2" s="2" t="s">
        <v>280</v>
      </c>
    </row>
    <row r="4" spans="1:13" x14ac:dyDescent="0.3">
      <c r="A4" t="s">
        <v>594</v>
      </c>
    </row>
    <row r="6" spans="1:13" ht="57.6" x14ac:dyDescent="0.3">
      <c r="B6" s="252" t="s">
        <v>227</v>
      </c>
      <c r="C6" s="252" t="s">
        <v>76</v>
      </c>
      <c r="D6" s="252" t="s">
        <v>277</v>
      </c>
      <c r="E6" s="252" t="s">
        <v>543</v>
      </c>
      <c r="F6" s="252" t="s">
        <v>275</v>
      </c>
      <c r="G6" s="252" t="s">
        <v>276</v>
      </c>
      <c r="H6" s="252" t="s">
        <v>82</v>
      </c>
      <c r="I6" s="253" t="s">
        <v>127</v>
      </c>
      <c r="J6" s="253" t="s">
        <v>273</v>
      </c>
      <c r="K6" s="252" t="s">
        <v>87</v>
      </c>
      <c r="L6" s="252" t="s">
        <v>88</v>
      </c>
      <c r="M6" s="252" t="s">
        <v>274</v>
      </c>
    </row>
    <row r="7" spans="1:13" ht="15" customHeight="1" x14ac:dyDescent="0.3">
      <c r="A7" s="119" t="s">
        <v>55</v>
      </c>
      <c r="B7">
        <f>'GHG det D24m, results per kg'!H51</f>
        <v>1.9236003830194702E-4</v>
      </c>
      <c r="C7">
        <f>'GHG det D24m, results per kg'!I51</f>
        <v>3.8624960102138527E-5</v>
      </c>
      <c r="D7">
        <f>'GHG det D24m, results per kg'!J51+'GHG det D24m, results per kg'!K51</f>
        <v>1.8555133805541515</v>
      </c>
      <c r="E7">
        <f>'GHG det D24m, results per kg'!L51+'GHG det D24m, results per kg'!N51</f>
        <v>8.8828979125438887E-5</v>
      </c>
      <c r="F7">
        <f>'GHG det D24m, results per kg'!O51+'GHG det D24m, results per kg'!Q51</f>
        <v>6.0736584743057776E-5</v>
      </c>
      <c r="G7">
        <f>'GHG det D24m, results per kg'!P51</f>
        <v>0</v>
      </c>
      <c r="H7">
        <f>'GHG det D24m, results per kg'!R51</f>
        <v>0</v>
      </c>
      <c r="I7">
        <f>'GHG det D24m, results per kg'!S51</f>
        <v>17.925311203319502</v>
      </c>
      <c r="J7">
        <f>'GHG det D24m, results per kg'!T51</f>
        <v>8.2602999693121113</v>
      </c>
      <c r="K7">
        <f>'GHG det D24m, results per kg'!W51</f>
        <v>8.820190570055594E-5</v>
      </c>
      <c r="L7">
        <f>'GHG det D24m, results per kg'!X51</f>
        <v>0</v>
      </c>
      <c r="M7">
        <f t="shared" ref="M7:M17" si="0">SUM(B7:L7)</f>
        <v>28.041593305653738</v>
      </c>
    </row>
    <row r="8" spans="1:13" ht="15" customHeight="1" x14ac:dyDescent="0.3">
      <c r="A8" s="119" t="s">
        <v>53</v>
      </c>
      <c r="B8">
        <f>'GHG det D24m, results per kg'!H46</f>
        <v>1.5316974121426066E-4</v>
      </c>
      <c r="C8">
        <f>'GHG det D24m, results per kg'!I46</f>
        <v>3.5544885336366783E-5</v>
      </c>
      <c r="D8">
        <f>'GHG det D24m, results per kg'!J46+'GHG det D24m, results per kg'!K46</f>
        <v>1.8773186415286873</v>
      </c>
      <c r="E8">
        <f>'GHG det D24m, results per kg'!L46+'GHG det D24m, results per kg'!N46</f>
        <v>2.6592379929687238E-5</v>
      </c>
      <c r="F8">
        <f>'GHG det D24m, results per kg'!O46+'GHG det D24m, results per kg'!Q46</f>
        <v>4.933333107973431E-5</v>
      </c>
      <c r="G8">
        <f>'GHG det D24m, results per kg'!P46</f>
        <v>2.6485640426863208E-5</v>
      </c>
      <c r="H8">
        <f>'GHG det D24m, results per kg'!R46</f>
        <v>4.2387315628154261E-5</v>
      </c>
      <c r="I8">
        <f>'GHG det D24m, results per kg'!S46</f>
        <v>17.925311203319502</v>
      </c>
      <c r="J8">
        <f>'GHG det D24m, results per kg'!T46</f>
        <v>3.8252728785108849</v>
      </c>
      <c r="K8">
        <f>'GHG det D24m, results per kg'!W46</f>
        <v>4.5237464093125089E-5</v>
      </c>
      <c r="L8">
        <f>'GHG det D24m, results per kg'!X46</f>
        <v>0</v>
      </c>
      <c r="M8">
        <f t="shared" si="0"/>
        <v>23.628281474116783</v>
      </c>
    </row>
    <row r="9" spans="1:13" ht="15" customHeight="1" x14ac:dyDescent="0.3">
      <c r="A9" s="119" t="s">
        <v>47</v>
      </c>
      <c r="B9">
        <f>'GHG det D24m, results per kg'!H31</f>
        <v>6.7798992461728133E-5</v>
      </c>
      <c r="C9">
        <f>'GHG det D24m, results per kg'!I31</f>
        <v>3.3197388177580372E-5</v>
      </c>
      <c r="D9">
        <f>'GHG det D24m, results per kg'!J31+'GHG det D24m, results per kg'!K31</f>
        <v>2.1258547779317833</v>
      </c>
      <c r="E9">
        <f>'GHG det D24m, results per kg'!L31+'GHG det D24m, results per kg'!N31</f>
        <v>3.4113098069049731E-5</v>
      </c>
      <c r="F9">
        <f>'GHG det D24m, results per kg'!O31+'GHG det D24m, results per kg'!Q31</f>
        <v>7.9145177756257795E-5</v>
      </c>
      <c r="G9">
        <f>'GHG det D24m, results per kg'!P31</f>
        <v>3.7824017269839478E-5</v>
      </c>
      <c r="H9">
        <f>'GHG det D24m, results per kg'!R31</f>
        <v>6.7177441875891519E-5</v>
      </c>
      <c r="I9">
        <f>'GHG det D24m, results per kg'!S31</f>
        <v>17.925311203319502</v>
      </c>
      <c r="J9">
        <f>'GHG det D24m, results per kg'!T31</f>
        <v>12.159007317279141</v>
      </c>
      <c r="K9">
        <f>'GHG det D24m, results per kg'!W31</f>
        <v>4.0363861087465362E-5</v>
      </c>
      <c r="L9">
        <f>'GHG det D24m, results per kg'!X31</f>
        <v>0</v>
      </c>
      <c r="M9">
        <f t="shared" si="0"/>
        <v>32.210532918507127</v>
      </c>
    </row>
    <row r="10" spans="1:13" ht="15" customHeight="1" x14ac:dyDescent="0.3">
      <c r="A10" s="119" t="s">
        <v>45</v>
      </c>
      <c r="B10">
        <f>'GHG det D24m, results per kg'!H26</f>
        <v>1.0611674083105767E-4</v>
      </c>
      <c r="C10">
        <f>'GHG det D24m, results per kg'!I26</f>
        <v>3.6721989587811973E-5</v>
      </c>
      <c r="D10">
        <f>'GHG det D24m, results per kg'!J26+'GHG det D24m, results per kg'!K26</f>
        <v>2.2980532595292003</v>
      </c>
      <c r="E10">
        <f>'GHG det D24m, results per kg'!L26+'GHG det D24m, results per kg'!N26</f>
        <v>5.1856023520222953E-5</v>
      </c>
      <c r="F10">
        <f>'GHG det D24m, results per kg'!O26+'GHG det D24m, results per kg'!Q26</f>
        <v>4.6890398385564846E-5</v>
      </c>
      <c r="G10">
        <f>'GHG det D24m, results per kg'!P26</f>
        <v>2.6432018810891098E-5</v>
      </c>
      <c r="H10">
        <f>'GHG det D24m, results per kg'!R26</f>
        <v>2.2419988133519256E-5</v>
      </c>
      <c r="I10">
        <f>'GHG det D24m, results per kg'!S26</f>
        <v>11.950207468879668</v>
      </c>
      <c r="J10">
        <f>'GHG det D24m, results per kg'!T26</f>
        <v>8.8522680384105747</v>
      </c>
      <c r="K10">
        <f>'GHG det D24m, results per kg'!W26</f>
        <v>5.8204796117049048E-5</v>
      </c>
      <c r="L10">
        <f>'GHG det D24m, results per kg'!X26</f>
        <v>0</v>
      </c>
      <c r="M10">
        <f t="shared" si="0"/>
        <v>23.100877408774828</v>
      </c>
    </row>
    <row r="11" spans="1:13" ht="15" customHeight="1" x14ac:dyDescent="0.3">
      <c r="A11" s="119" t="s">
        <v>39</v>
      </c>
      <c r="B11">
        <f>'GHG det D24m, results per kg'!H11</f>
        <v>0.40361469627153623</v>
      </c>
      <c r="C11">
        <f>'GHG det D24m, results per kg'!I11</f>
        <v>0.64420806821940713</v>
      </c>
      <c r="D11">
        <f>'GHG det D24m, results per kg'!J11+'GHG det D24m, results per kg'!K11</f>
        <v>0.75655943072316445</v>
      </c>
      <c r="E11">
        <f>'GHG det D24m, results per kg'!L11+'GHG det D24m, results per kg'!N11</f>
        <v>0.30554910868875179</v>
      </c>
      <c r="F11">
        <f>'GHG det D24m, results per kg'!O11+'GHG det D24m, results per kg'!Q11</f>
        <v>1.8236671797270756</v>
      </c>
      <c r="G11">
        <f>'GHG det D24m, results per kg'!P11</f>
        <v>0.31030815594205652</v>
      </c>
      <c r="H11">
        <f>'GHG det D24m, results per kg'!R11</f>
        <v>1.7657976562029094</v>
      </c>
      <c r="I11">
        <f>'GHG det D24m, results per kg'!S11</f>
        <v>11.950207468879668</v>
      </c>
      <c r="J11">
        <f>'GHG det D24m, results per kg'!T11</f>
        <v>12.618130475191284</v>
      </c>
      <c r="K11">
        <f>'GHG det D24m, results per kg'!W11</f>
        <v>3.3277279127666178E-5</v>
      </c>
      <c r="L11">
        <f>'GHG det D24m, results per kg'!X11</f>
        <v>0</v>
      </c>
      <c r="M11">
        <f t="shared" si="0"/>
        <v>30.578075517124983</v>
      </c>
    </row>
    <row r="12" spans="1:13" ht="15" customHeight="1" x14ac:dyDescent="0.3">
      <c r="A12" s="119" t="s">
        <v>51</v>
      </c>
      <c r="B12">
        <f>'GHG det D24m, results per kg'!H41</f>
        <v>4.3958220091398369E-5</v>
      </c>
      <c r="C12">
        <f>'GHG det D24m, results per kg'!I41</f>
        <v>3.1533416139114613E-5</v>
      </c>
      <c r="D12">
        <f>'GHG det D24m, results per kg'!J41+'GHG det D24m, results per kg'!K41</f>
        <v>1.8591550512507564</v>
      </c>
      <c r="E12">
        <f>'GHG det D24m, results per kg'!L41+'GHG det D24m, results per kg'!N41</f>
        <v>1.6006974838507655E-5</v>
      </c>
      <c r="F12">
        <f>'GHG det D24m, results per kg'!O41+'GHG det D24m, results per kg'!Q41</f>
        <v>4.4572523602820484E-5</v>
      </c>
      <c r="G12">
        <f>'GHG det D24m, results per kg'!P41</f>
        <v>1.6949289075754711E-5</v>
      </c>
      <c r="H12">
        <f>'GHG det D24m, results per kg'!R41</f>
        <v>4.0870606491882791E-5</v>
      </c>
      <c r="I12">
        <f>'GHG det D24m, results per kg'!S41</f>
        <v>17.925311203319502</v>
      </c>
      <c r="J12">
        <f>'GHG det D24m, results per kg'!T41</f>
        <v>15.454116128711229</v>
      </c>
      <c r="K12">
        <f>'GHG det D24m, results per kg'!W41</f>
        <v>3.6721572071259704E-5</v>
      </c>
      <c r="L12">
        <f>'GHG det D24m, results per kg'!X41</f>
        <v>0</v>
      </c>
      <c r="M12">
        <f t="shared" si="0"/>
        <v>35.238812995883798</v>
      </c>
    </row>
    <row r="13" spans="1:13" ht="15" customHeight="1" x14ac:dyDescent="0.3">
      <c r="A13" s="119" t="s">
        <v>43</v>
      </c>
      <c r="B13">
        <f>'GHG det D24m, results per kg'!H21</f>
        <v>4.2402987872964724E-5</v>
      </c>
      <c r="C13">
        <f>'GHG det D24m, results per kg'!I21</f>
        <v>3.5798974024866891E-5</v>
      </c>
      <c r="D13">
        <f>'GHG det D24m, results per kg'!J21+'GHG det D24m, results per kg'!K21</f>
        <v>1.8160985784180039</v>
      </c>
      <c r="E13">
        <f>'GHG det D24m, results per kg'!L21+'GHG det D24m, results per kg'!N21</f>
        <v>1.8463706113573207E-5</v>
      </c>
      <c r="F13">
        <f>'GHG det D24m, results per kg'!O21+'GHG det D24m, results per kg'!Q21</f>
        <v>7.4174056658217179E-5</v>
      </c>
      <c r="G13">
        <f>'GHG det D24m, results per kg'!P21</f>
        <v>1.2433510246965893E-5</v>
      </c>
      <c r="H13">
        <f>'GHG det D24m, results per kg'!R21</f>
        <v>7.0866683556309505E-5</v>
      </c>
      <c r="I13">
        <f>'GHG det D24m, results per kg'!S21</f>
        <v>11.950207468879668</v>
      </c>
      <c r="J13">
        <f>'GHG det D24m, results per kg'!T21</f>
        <v>9.8820861689285699</v>
      </c>
      <c r="K13">
        <f>'GHG det D24m, results per kg'!W21</f>
        <v>4.2182547889215717E-5</v>
      </c>
      <c r="L13">
        <f>'GHG det D24m, results per kg'!X21</f>
        <v>0</v>
      </c>
      <c r="M13">
        <f t="shared" si="0"/>
        <v>23.648688538692607</v>
      </c>
    </row>
    <row r="14" spans="1:13" ht="15" customHeight="1" x14ac:dyDescent="0.3">
      <c r="A14" s="119" t="s">
        <v>41</v>
      </c>
      <c r="B14">
        <f>'GHG det D24m, results per kg'!H16</f>
        <v>5.3389885230525459E-5</v>
      </c>
      <c r="C14">
        <f>'GHG det D24m, results per kg'!I16</f>
        <v>3.4500625474174446E-5</v>
      </c>
      <c r="D14">
        <f>'GHG det D24m, results per kg'!J16+'GHG det D24m, results per kg'!K16</f>
        <v>2.9876335611427951</v>
      </c>
      <c r="E14">
        <f>'GHG det D24m, results per kg'!L16+'GHG det D24m, results per kg'!N16</f>
        <v>2.104843950557936E-5</v>
      </c>
      <c r="F14">
        <f>'GHG det D24m, results per kg'!O16+'GHG det D24m, results per kg'!Q16</f>
        <v>7.5547198902137314E-5</v>
      </c>
      <c r="G14">
        <f>'GHG det D24m, results per kg'!P16</f>
        <v>1.3536749290345186E-5</v>
      </c>
      <c r="H14">
        <f>'GHG det D24m, results per kg'!R16</f>
        <v>6.9612814599800534E-5</v>
      </c>
      <c r="I14">
        <f>'GHG det D24m, results per kg'!S16</f>
        <v>11.950207468879668</v>
      </c>
      <c r="J14">
        <f>'GHG det D24m, results per kg'!T16</f>
        <v>7.1892401765226914</v>
      </c>
      <c r="K14">
        <f>'GHG det D24m, results per kg'!W16</f>
        <v>8.2893793894404684E-6</v>
      </c>
      <c r="L14">
        <f>'GHG det D24m, results per kg'!X16</f>
        <v>0</v>
      </c>
      <c r="M14">
        <f t="shared" si="0"/>
        <v>22.127357131637549</v>
      </c>
    </row>
    <row r="15" spans="1:13" ht="15" customHeight="1" x14ac:dyDescent="0.3">
      <c r="A15" s="119" t="s">
        <v>49</v>
      </c>
      <c r="B15">
        <f>'GHG det D24m, results per kg'!H36</f>
        <v>6.7760232986542224E-5</v>
      </c>
      <c r="C15">
        <f>'GHG det D24m, results per kg'!I36</f>
        <v>3.6682196701120248E-5</v>
      </c>
      <c r="D15">
        <f>'GHG det D24m, results per kg'!J36+'GHG det D24m, results per kg'!K36</f>
        <v>9.5007545251537572E-5</v>
      </c>
      <c r="E15">
        <f>'GHG det D24m, results per kg'!L36+'GHG det D24m, results per kg'!N36</f>
        <v>2.0813800414914702E-5</v>
      </c>
      <c r="F15">
        <f>'GHG det D24m, results per kg'!O36+'GHG det D24m, results per kg'!Q36</f>
        <v>1.2837399969951564E-5</v>
      </c>
      <c r="G15">
        <f>'GHG det D24m, results per kg'!P36</f>
        <v>4.2857820203972298E-6</v>
      </c>
      <c r="H15">
        <f>'GHG det D24m, results per kg'!R36</f>
        <v>2.9903501443490595E-6</v>
      </c>
      <c r="I15">
        <f>'GHG det D24m, results per kg'!S36</f>
        <v>17.925311203319502</v>
      </c>
      <c r="J15">
        <f>'GHG det D24m, results per kg'!T36</f>
        <v>10.057514151023787</v>
      </c>
      <c r="K15">
        <f>'GHG det D24m, results per kg'!W36</f>
        <v>3.4760045549549307E-5</v>
      </c>
      <c r="L15">
        <f>'GHG det D24m, results per kg'!X36</f>
        <v>0</v>
      </c>
      <c r="M15">
        <f t="shared" si="0"/>
        <v>27.983100491696327</v>
      </c>
    </row>
    <row r="16" spans="1:13" ht="15" customHeight="1" x14ac:dyDescent="0.3">
      <c r="A16" s="119" t="s">
        <v>57</v>
      </c>
      <c r="B16">
        <f>'GHG det D24m, results per kg'!H56</f>
        <v>2.9296861014412422E-5</v>
      </c>
      <c r="C16">
        <f>'GHG det D24m, results per kg'!I56</f>
        <v>3.642299674460524E-5</v>
      </c>
      <c r="D16">
        <f>'GHG det D24m, results per kg'!J56+'GHG det D24m, results per kg'!K56</f>
        <v>3.052207744823713</v>
      </c>
      <c r="E16">
        <f>'GHG det D24m, results per kg'!L56+'GHG det D24m, results per kg'!N56</f>
        <v>4.5913257449303228E-5</v>
      </c>
      <c r="F16">
        <f>'GHG det D24m, results per kg'!O56+'GHG det D24m, results per kg'!Q56</f>
        <v>3.9805575860558094E-5</v>
      </c>
      <c r="G16">
        <f>'GHG det D24m, results per kg'!P56</f>
        <v>3.2394772374849186E-5</v>
      </c>
      <c r="H16">
        <f>'GHG det D24m, results per kg'!R56</f>
        <v>2.093497368015151E-5</v>
      </c>
      <c r="I16">
        <f>'GHG det D24m, results per kg'!S56</f>
        <v>17.925311203319502</v>
      </c>
      <c r="J16">
        <f>'GHG det D24m, results per kg'!T56</f>
        <v>5.5727209335082835</v>
      </c>
      <c r="K16">
        <f>'GHG det D24m, results per kg'!W56</f>
        <v>2.5204942505207863E-5</v>
      </c>
      <c r="L16">
        <f>'GHG det D24m, results per kg'!X56</f>
        <v>0</v>
      </c>
      <c r="M16">
        <f t="shared" si="0"/>
        <v>26.550469855031128</v>
      </c>
    </row>
    <row r="17" spans="1:13" ht="15" customHeight="1" x14ac:dyDescent="0.3">
      <c r="A17" s="190" t="s">
        <v>59</v>
      </c>
      <c r="B17">
        <f>'GHG det D24m, results per kg'!H61</f>
        <v>6.3671741001744889E-5</v>
      </c>
      <c r="C17">
        <f>'GHG det D24m, results per kg'!I61</f>
        <v>7.6939163740823488E-5</v>
      </c>
      <c r="D17">
        <f>'GHG det D24m, results per kg'!J61+'GHG det D24m, results per kg'!K61</f>
        <v>2.2613075108621485</v>
      </c>
      <c r="E17">
        <f>'GHG det D24m, results per kg'!L61+'GHG det D24m, results per kg'!N61</f>
        <v>6.4098373044730003E-5</v>
      </c>
      <c r="F17">
        <f>'GHG det D24m, results per kg'!O61+'GHG det D24m, results per kg'!Q61</f>
        <v>1.608352366094174E-4</v>
      </c>
      <c r="G17">
        <f>'GHG det D24m, results per kg'!P61</f>
        <v>0</v>
      </c>
      <c r="H17">
        <f>'GHG det D24m, results per kg'!R61</f>
        <v>1.608352366094174E-4</v>
      </c>
      <c r="I17">
        <f>'GHG det D24m, results per kg'!S61</f>
        <v>17.925311203319502</v>
      </c>
      <c r="J17">
        <f>'GHG det D24m, results per kg'!T61</f>
        <v>6.9810155439933812</v>
      </c>
      <c r="K17">
        <f>'GHG det D24m, results per kg'!W61</f>
        <v>7.9676651475490593E-6</v>
      </c>
      <c r="L17">
        <f>'GHG det D24m, results per kg'!X61</f>
        <v>0</v>
      </c>
      <c r="M17">
        <f t="shared" si="0"/>
        <v>27.168168605591184</v>
      </c>
    </row>
    <row r="18" spans="1:13" ht="15" customHeight="1" x14ac:dyDescent="0.3">
      <c r="A18" s="253"/>
    </row>
    <row r="19" spans="1:13" ht="15" customHeight="1" x14ac:dyDescent="0.3">
      <c r="A19" s="252"/>
    </row>
    <row r="20" spans="1:13" ht="15" customHeight="1" x14ac:dyDescent="0.3">
      <c r="B20" s="10"/>
      <c r="C20" s="264"/>
      <c r="E20" s="264"/>
    </row>
    <row r="21" spans="1:13" x14ac:dyDescent="0.3">
      <c r="B21" s="10"/>
      <c r="C21" s="264"/>
      <c r="E21" s="264"/>
    </row>
    <row r="22" spans="1:13" ht="18" x14ac:dyDescent="0.35">
      <c r="A22" s="1" t="s">
        <v>602</v>
      </c>
      <c r="B22" s="10"/>
      <c r="C22" s="264"/>
      <c r="E22" s="264"/>
    </row>
    <row r="23" spans="1:13" x14ac:dyDescent="0.3">
      <c r="B23" s="10"/>
      <c r="C23" s="264"/>
      <c r="E23" s="264"/>
    </row>
    <row r="24" spans="1:13" x14ac:dyDescent="0.3">
      <c r="A24" s="125" t="s">
        <v>611</v>
      </c>
      <c r="B24" s="429"/>
      <c r="C24" s="125"/>
      <c r="D24" s="305" t="s">
        <v>597</v>
      </c>
      <c r="E24" s="305" t="s">
        <v>516</v>
      </c>
      <c r="F24" s="305" t="s">
        <v>598</v>
      </c>
      <c r="G24" s="305" t="s">
        <v>517</v>
      </c>
      <c r="H24" s="305" t="s">
        <v>599</v>
      </c>
      <c r="I24" s="305" t="s">
        <v>595</v>
      </c>
    </row>
    <row r="25" spans="1:13" x14ac:dyDescent="0.3">
      <c r="A25" s="195" t="s">
        <v>596</v>
      </c>
      <c r="B25" t="s">
        <v>569</v>
      </c>
      <c r="C25" t="s">
        <v>600</v>
      </c>
      <c r="D25" s="118">
        <v>13.594746183723807</v>
      </c>
      <c r="E25" s="5">
        <v>8.2248390755655052</v>
      </c>
      <c r="F25" s="5">
        <v>3.0881711705265111</v>
      </c>
      <c r="G25" s="5">
        <v>2.3886297698531815</v>
      </c>
      <c r="H25" s="5">
        <v>2.1976081041213424</v>
      </c>
      <c r="I25" s="118">
        <v>29.493994303790348</v>
      </c>
    </row>
    <row r="26" spans="1:13" x14ac:dyDescent="0.3">
      <c r="C26" t="s">
        <v>601</v>
      </c>
      <c r="D26" s="118">
        <f>D25/0.69</f>
        <v>19.702530701048996</v>
      </c>
      <c r="E26" s="5">
        <f t="shared" ref="E26:I26" si="1">E25/0.69</f>
        <v>11.920056631254356</v>
      </c>
      <c r="F26" s="5">
        <f t="shared" si="1"/>
        <v>4.4756103920674075</v>
      </c>
      <c r="G26" s="5">
        <f t="shared" si="1"/>
        <v>3.4617822751495386</v>
      </c>
      <c r="H26" s="5">
        <f t="shared" si="1"/>
        <v>3.184939281335279</v>
      </c>
      <c r="I26" s="118">
        <f t="shared" si="1"/>
        <v>42.744919280855584</v>
      </c>
    </row>
    <row r="27" spans="1:13" x14ac:dyDescent="0.3">
      <c r="A27" t="s">
        <v>603</v>
      </c>
      <c r="D27" s="118">
        <f>I17</f>
        <v>17.925311203319502</v>
      </c>
      <c r="E27" s="5">
        <f>J17</f>
        <v>6.9810155439933812</v>
      </c>
      <c r="F27" s="5">
        <f>D17</f>
        <v>2.2613075108621485</v>
      </c>
      <c r="G27" s="5">
        <f>B17+E17+F17+K17</f>
        <v>2.9657301580344135E-4</v>
      </c>
      <c r="H27" s="5">
        <f>C17+H17+L17</f>
        <v>2.3777440035024089E-4</v>
      </c>
      <c r="I27" s="118">
        <f>SUM(D27:H27)</f>
        <v>27.168168605591184</v>
      </c>
    </row>
    <row r="29" spans="1:13" x14ac:dyDescent="0.3">
      <c r="A29" s="125" t="s">
        <v>612</v>
      </c>
      <c r="B29" s="429"/>
      <c r="C29" s="429"/>
    </row>
    <row r="30" spans="1:13" x14ac:dyDescent="0.3">
      <c r="A30" s="195" t="s">
        <v>596</v>
      </c>
      <c r="B30" t="s">
        <v>569</v>
      </c>
      <c r="C30">
        <f>0.2/0.695</f>
        <v>0.28776978417266191</v>
      </c>
    </row>
    <row r="31" spans="1:13" x14ac:dyDescent="0.3">
      <c r="A31" t="s">
        <v>603</v>
      </c>
      <c r="C31">
        <f>'Footprints, results per kg'!R17</f>
        <v>0.20378096408845922</v>
      </c>
      <c r="D31" t="s">
        <v>613</v>
      </c>
    </row>
    <row r="33" spans="1:28" x14ac:dyDescent="0.3">
      <c r="A33" s="125" t="s">
        <v>615</v>
      </c>
      <c r="B33" s="429"/>
      <c r="C33" s="429"/>
    </row>
    <row r="34" spans="1:28" x14ac:dyDescent="0.3">
      <c r="A34" s="195" t="s">
        <v>596</v>
      </c>
      <c r="B34" t="s">
        <v>569</v>
      </c>
      <c r="C34">
        <v>30</v>
      </c>
      <c r="D34" t="s">
        <v>623</v>
      </c>
      <c r="Z34" t="s">
        <v>511</v>
      </c>
      <c r="AB34" t="s">
        <v>512</v>
      </c>
    </row>
    <row r="35" spans="1:28" x14ac:dyDescent="0.3">
      <c r="A35" t="s">
        <v>603</v>
      </c>
      <c r="C35" s="118">
        <f>'Footprints, results per kg'!L17</f>
        <v>40.815647043474215</v>
      </c>
    </row>
    <row r="36" spans="1:28" x14ac:dyDescent="0.3">
      <c r="Z36" s="119" t="s">
        <v>43</v>
      </c>
      <c r="AB36" t="s">
        <v>55</v>
      </c>
    </row>
    <row r="37" spans="1:28" x14ac:dyDescent="0.3">
      <c r="Z37" s="119" t="s">
        <v>57</v>
      </c>
      <c r="AB37" t="s">
        <v>49</v>
      </c>
    </row>
    <row r="38" spans="1:28" x14ac:dyDescent="0.3">
      <c r="Z38" s="119" t="s">
        <v>53</v>
      </c>
      <c r="AB38" t="s">
        <v>96</v>
      </c>
    </row>
    <row r="39" spans="1:28" x14ac:dyDescent="0.3">
      <c r="Z39" s="119" t="s">
        <v>45</v>
      </c>
      <c r="AB39" t="s">
        <v>45</v>
      </c>
    </row>
    <row r="40" spans="1:28" x14ac:dyDescent="0.3">
      <c r="Z40" s="119" t="s">
        <v>51</v>
      </c>
      <c r="AB40" t="s">
        <v>53</v>
      </c>
    </row>
    <row r="41" spans="1:28" x14ac:dyDescent="0.3">
      <c r="Z41" s="119" t="s">
        <v>55</v>
      </c>
      <c r="AB41" t="s">
        <v>51</v>
      </c>
    </row>
    <row r="42" spans="1:28" x14ac:dyDescent="0.3">
      <c r="Z42" s="119" t="s">
        <v>49</v>
      </c>
      <c r="AB42" t="s">
        <v>57</v>
      </c>
    </row>
    <row r="43" spans="1:28" x14ac:dyDescent="0.3">
      <c r="Z43" s="119" t="s">
        <v>90</v>
      </c>
      <c r="AB43" t="s">
        <v>43</v>
      </c>
    </row>
    <row r="44" spans="1:28" x14ac:dyDescent="0.3">
      <c r="Z44" s="119" t="s">
        <v>47</v>
      </c>
      <c r="AB44" t="s">
        <v>41</v>
      </c>
    </row>
    <row r="45" spans="1:28" x14ac:dyDescent="0.3">
      <c r="L45" s="15"/>
      <c r="Z45" s="119" t="s">
        <v>41</v>
      </c>
      <c r="AB45" t="s">
        <v>513</v>
      </c>
    </row>
    <row r="46" spans="1:28" x14ac:dyDescent="0.3">
      <c r="Z46" s="190" t="s">
        <v>59</v>
      </c>
      <c r="AB46" t="s">
        <v>514</v>
      </c>
    </row>
    <row r="52" spans="1:4" ht="18" x14ac:dyDescent="0.35">
      <c r="A52" s="1" t="s">
        <v>617</v>
      </c>
    </row>
    <row r="54" spans="1:4" ht="28.8" x14ac:dyDescent="0.3">
      <c r="A54" s="430"/>
      <c r="B54" s="430" t="s">
        <v>621</v>
      </c>
      <c r="C54" s="430" t="s">
        <v>622</v>
      </c>
      <c r="D54" s="430" t="s">
        <v>603</v>
      </c>
    </row>
    <row r="55" spans="1:4" x14ac:dyDescent="0.3">
      <c r="A55" t="s">
        <v>614</v>
      </c>
      <c r="B55" s="118">
        <f>33.9/0.7</f>
        <v>48.428571428571431</v>
      </c>
      <c r="C55">
        <v>36</v>
      </c>
      <c r="D55" s="10">
        <f>'Footprints, results per kg'!L17</f>
        <v>40.815647043474215</v>
      </c>
    </row>
    <row r="56" spans="1:4" x14ac:dyDescent="0.3">
      <c r="A56" t="s">
        <v>618</v>
      </c>
      <c r="B56" s="5">
        <f>0.99/0.7</f>
        <v>1.4142857142857144</v>
      </c>
      <c r="C56">
        <v>1.1000000000000001</v>
      </c>
      <c r="D56" s="100">
        <f>'Footprints, results per kg'!M17</f>
        <v>0.52594899406403273</v>
      </c>
    </row>
    <row r="57" spans="1:4" x14ac:dyDescent="0.3">
      <c r="A57" t="s">
        <v>619</v>
      </c>
      <c r="B57" s="4">
        <f>0.022/0.7</f>
        <v>3.1428571428571431E-2</v>
      </c>
      <c r="C57">
        <v>2.7E-2</v>
      </c>
      <c r="D57" s="100">
        <f>'Footprints, results per kg'!N17</f>
        <v>6.084968857639165E-3</v>
      </c>
    </row>
    <row r="58" spans="1:4" x14ac:dyDescent="0.3">
      <c r="A58" t="s">
        <v>14</v>
      </c>
      <c r="B58" s="4">
        <f>0.13/0.7</f>
        <v>0.18571428571428572</v>
      </c>
      <c r="C58">
        <v>0.02</v>
      </c>
      <c r="D58" s="100">
        <f>'Footprints, results per kg'!O17</f>
        <v>0</v>
      </c>
    </row>
    <row r="59" spans="1:4" x14ac:dyDescent="0.3">
      <c r="A59" t="s">
        <v>620</v>
      </c>
      <c r="B59" s="33">
        <f>0.000000000009/0.7</f>
        <v>1.2857142857142858E-11</v>
      </c>
      <c r="C59" s="42">
        <v>1.8999999999999999E-11</v>
      </c>
      <c r="D59" s="42">
        <f>'Footprints, results per kg'!Q17/100</f>
        <v>-4.3908667682075743E-11</v>
      </c>
    </row>
    <row r="60" spans="1:4" x14ac:dyDescent="0.3">
      <c r="A60" t="s">
        <v>15</v>
      </c>
      <c r="B60" s="4">
        <f>0.0014/0.7</f>
        <v>2E-3</v>
      </c>
      <c r="D60" s="100">
        <f>'Footprints, results per kg'!O17</f>
        <v>0</v>
      </c>
    </row>
    <row r="61" spans="1:4" x14ac:dyDescent="0.3">
      <c r="A61" t="s">
        <v>17</v>
      </c>
      <c r="B61" s="4">
        <f>0.066/0.7</f>
        <v>9.4285714285714292E-2</v>
      </c>
      <c r="D61" s="100">
        <f>'Footprints, results per kg'!R17</f>
        <v>0.20378096408845922</v>
      </c>
    </row>
    <row r="76" spans="2:2" ht="17.399999999999999" x14ac:dyDescent="0.35">
      <c r="B76" s="377"/>
    </row>
    <row r="77" spans="2:2" x14ac:dyDescent="0.3">
      <c r="B77" s="170"/>
    </row>
    <row r="83" spans="2:2" x14ac:dyDescent="0.3">
      <c r="B83" s="170"/>
    </row>
    <row r="87" spans="2:2" x14ac:dyDescent="0.3">
      <c r="B87" s="376"/>
    </row>
    <row r="96" spans="2:2" x14ac:dyDescent="0.3">
      <c r="B96" s="3"/>
    </row>
    <row r="97" spans="2:2" x14ac:dyDescent="0.3">
      <c r="B97" s="3"/>
    </row>
    <row r="101" spans="2:2" x14ac:dyDescent="0.3">
      <c r="B101" s="376"/>
    </row>
    <row r="103" spans="2:2" x14ac:dyDescent="0.3">
      <c r="B103" s="10"/>
    </row>
    <row r="104" spans="2:2" x14ac:dyDescent="0.3">
      <c r="B104" s="10"/>
    </row>
    <row r="108" spans="2:2" x14ac:dyDescent="0.3">
      <c r="B108" s="3"/>
    </row>
    <row r="109" spans="2:2" x14ac:dyDescent="0.3">
      <c r="B109" s="3"/>
    </row>
  </sheetData>
  <autoFilter ref="A6:M6" xr:uid="{54BA76AF-D044-4984-908D-510EF5A11805}">
    <sortState xmlns:xlrd2="http://schemas.microsoft.com/office/spreadsheetml/2017/richdata2" ref="A7:M17">
      <sortCondition descending="1" ref="M6"/>
    </sortState>
  </autoFilter>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EBC17-2EF5-413B-ABFE-A358F32DDB08}">
  <sheetPr>
    <tabColor theme="9" tint="0.79998168889431442"/>
  </sheetPr>
  <dimension ref="A2:U20"/>
  <sheetViews>
    <sheetView zoomScaleNormal="100" workbookViewId="0">
      <selection activeCell="J8" sqref="J8"/>
    </sheetView>
  </sheetViews>
  <sheetFormatPr defaultColWidth="8.6640625" defaultRowHeight="14.4" x14ac:dyDescent="0.3"/>
  <cols>
    <col min="1" max="1" width="8.6640625" style="29"/>
    <col min="2" max="2" width="17.5546875" customWidth="1"/>
    <col min="3" max="3" width="8.88671875" customWidth="1"/>
    <col min="4" max="4" width="12.77734375" customWidth="1"/>
    <col min="5" max="5" width="8.44140625" customWidth="1"/>
    <col min="6" max="11" width="10.44140625" customWidth="1"/>
    <col min="12" max="13" width="14.6640625" customWidth="1"/>
    <col min="14" max="14" width="14.6640625" style="11" customWidth="1"/>
    <col min="15" max="18" width="14.6640625" customWidth="1"/>
    <col min="19" max="19" width="8.5546875" customWidth="1"/>
    <col min="20" max="20" width="15.6640625" customWidth="1"/>
    <col min="21" max="21" width="18.44140625" customWidth="1"/>
  </cols>
  <sheetData>
    <row r="2" spans="1:21" ht="21" x14ac:dyDescent="0.4">
      <c r="A2" s="58" t="s">
        <v>559</v>
      </c>
      <c r="M2" s="163"/>
      <c r="T2" t="s">
        <v>289</v>
      </c>
    </row>
    <row r="3" spans="1:21" x14ac:dyDescent="0.3">
      <c r="L3" s="6"/>
      <c r="P3" s="6"/>
      <c r="R3" s="6"/>
      <c r="S3" s="7"/>
      <c r="T3" s="7"/>
      <c r="U3" s="7"/>
    </row>
    <row r="4" spans="1:21" x14ac:dyDescent="0.3">
      <c r="A4" s="78"/>
      <c r="B4" s="79"/>
      <c r="C4" s="79"/>
      <c r="D4" s="79"/>
      <c r="E4" s="79"/>
      <c r="F4" s="79"/>
      <c r="G4" s="79"/>
      <c r="H4" s="79"/>
      <c r="I4" s="79"/>
      <c r="J4" s="79"/>
      <c r="K4" s="79"/>
      <c r="L4" s="79"/>
      <c r="M4" s="79"/>
      <c r="N4" s="80"/>
      <c r="O4" s="79"/>
      <c r="P4" s="81"/>
      <c r="Q4" s="79"/>
      <c r="R4" s="81"/>
      <c r="S4" s="82"/>
      <c r="T4" s="82"/>
      <c r="U4" s="82"/>
    </row>
    <row r="5" spans="1:21" x14ac:dyDescent="0.3">
      <c r="A5" s="60" t="s">
        <v>10</v>
      </c>
      <c r="B5" s="41"/>
      <c r="C5" s="41"/>
      <c r="D5" s="47"/>
      <c r="E5" s="47"/>
      <c r="F5" s="173" t="s">
        <v>11</v>
      </c>
      <c r="G5" s="47"/>
      <c r="H5" s="47"/>
      <c r="I5" s="47"/>
      <c r="J5" s="47"/>
      <c r="K5" s="47"/>
      <c r="L5" s="39" t="s">
        <v>12</v>
      </c>
      <c r="M5" s="39" t="s">
        <v>247</v>
      </c>
      <c r="N5" s="39" t="s">
        <v>13</v>
      </c>
      <c r="O5" s="39" t="s">
        <v>14</v>
      </c>
      <c r="P5" s="40" t="s">
        <v>15</v>
      </c>
      <c r="Q5" s="40" t="s">
        <v>16</v>
      </c>
      <c r="R5" s="40" t="s">
        <v>17</v>
      </c>
      <c r="S5" s="40" t="s">
        <v>18</v>
      </c>
      <c r="T5" s="52" t="s">
        <v>287</v>
      </c>
      <c r="U5" s="52" t="s">
        <v>288</v>
      </c>
    </row>
    <row r="6" spans="1:21" s="8" customFormat="1" ht="57.6" x14ac:dyDescent="0.3">
      <c r="A6" s="62" t="s">
        <v>19</v>
      </c>
      <c r="B6" s="61" t="s">
        <v>20</v>
      </c>
      <c r="C6" s="61" t="s">
        <v>21</v>
      </c>
      <c r="D6" s="63" t="s">
        <v>22</v>
      </c>
      <c r="E6" s="64" t="s">
        <v>23</v>
      </c>
      <c r="F6" s="172" t="s">
        <v>24</v>
      </c>
      <c r="G6" s="171" t="s">
        <v>25</v>
      </c>
      <c r="H6" s="172" t="s">
        <v>26</v>
      </c>
      <c r="I6" s="172" t="s">
        <v>27</v>
      </c>
      <c r="J6" s="172" t="s">
        <v>28</v>
      </c>
      <c r="K6" s="171" t="s">
        <v>29</v>
      </c>
      <c r="L6" s="67" t="s">
        <v>30</v>
      </c>
      <c r="M6" s="67" t="s">
        <v>31</v>
      </c>
      <c r="N6" s="67" t="s">
        <v>32</v>
      </c>
      <c r="O6" s="68" t="s">
        <v>33</v>
      </c>
      <c r="P6" s="69" t="s">
        <v>34</v>
      </c>
      <c r="Q6" s="70" t="s">
        <v>35</v>
      </c>
      <c r="R6" s="70" t="s">
        <v>36</v>
      </c>
      <c r="S6" s="70" t="s">
        <v>37</v>
      </c>
      <c r="T6" s="46" t="s">
        <v>38</v>
      </c>
      <c r="U6" s="46" t="s">
        <v>286</v>
      </c>
    </row>
    <row r="7" spans="1:21" x14ac:dyDescent="0.3">
      <c r="A7" s="11">
        <v>21111.02</v>
      </c>
      <c r="B7" s="11" t="s">
        <v>583</v>
      </c>
      <c r="C7" s="15" t="s">
        <v>584</v>
      </c>
      <c r="D7" t="s">
        <v>39</v>
      </c>
      <c r="E7" t="s">
        <v>40</v>
      </c>
      <c r="F7" s="10">
        <f>'GHG det D24m, results per kg'!G11</f>
        <v>30.578075517124983</v>
      </c>
      <c r="G7" s="10">
        <f>'GHG det D24m, results per kg'!G7</f>
        <v>3.4321148841055247</v>
      </c>
      <c r="H7" s="100">
        <f>'GHG det D24m, results per kg'!G8</f>
        <v>3.0930649355820218E-2</v>
      </c>
      <c r="I7" s="42">
        <f>'GHG det D24m, results per kg'!G9</f>
        <v>1.0810814916047062</v>
      </c>
      <c r="J7" s="42">
        <f>'GHG det D24m, results per kg'!G10</f>
        <v>3.5359551223737094E-2</v>
      </c>
      <c r="L7" s="17">
        <f>('Production SH'!$B$5*'Parameters SH, country spec'!$B$51*'EFP per kg feed'!F20+('Production SH'!$B$6+'Production SH'!$B$7)*'Parameters SH, country spec'!$B$52*'EFP per kg feed'!F21)/'Production SH'!$B$21</f>
        <v>34.08104034746367</v>
      </c>
      <c r="M7" s="294">
        <f>('Production SH'!$B$5*'Parameters SH, country spec'!$B$51*'EFP per kg feed'!G20+('Production SH'!$B$6+'Production SH'!$B$7)*'Parameters SH, country spec'!$B$52*'EFP per kg feed'!G21-Excreted_N_after_losses_DK*Manure_repl_factor_DK)/'Production SH'!$B$21</f>
        <v>0.39287935763715631</v>
      </c>
      <c r="N7" s="294">
        <f>('Production SH'!$B$5*'Parameters SH, country spec'!$B$51*'EFP per kg feed'!H20+('Production SH'!$B$6+'Production SH'!$B$7)*'Parameters SH, country spec'!$B$52*'EFP per kg feed'!H21)/'Production SH'!$B$21</f>
        <v>1.5901371090528284E-2</v>
      </c>
      <c r="O7" s="294">
        <f>('Production SH'!$B$5*'Parameters SH, country spec'!$B$51*'EFP per kg feed'!I20+('Production SH'!$B$6+'Production SH'!$B$7)*'Parameters SH, country spec'!$B$52*'EFP per kg feed'!I21)/'Production SH'!$B$21</f>
        <v>7.5699251438098216E-3</v>
      </c>
      <c r="P7" s="294">
        <f>('Production SH'!$B$5*'Parameters SH, country spec'!$B$51*'EFP per kg feed'!J20+('Production SH'!$B$6+'Production SH'!$B$7)*'Parameters SH, country spec'!$B$52*'EFP per kg feed'!J21)/'Production SH'!$B$21</f>
        <v>0.8190839283378184</v>
      </c>
      <c r="Q7" s="344">
        <f>('Production SH'!$B$5*'Parameters SH, country spec'!$B$51*'EFP per kg feed'!K20+('Production SH'!$B$6+'Production SH'!$B$7)*'Parameters SH, country spec'!$B$52*'EFP per kg feed'!K21)/'Production SH'!$B$21</f>
        <v>2.2515202409350168E-9</v>
      </c>
      <c r="R7" s="18">
        <f>('Production SH'!$B$5*'Parameters SH, country spec'!$B$51*'EFP per kg feed'!L20+('Production SH'!$B$6+'Production SH'!$B$7)*'Parameters SH, country spec'!$B$52*'EFP per kg feed'!L21+Manure!C159)/'Production SH'!$B$21</f>
        <v>0.21242025874545406</v>
      </c>
      <c r="S7" s="17"/>
      <c r="T7" s="18">
        <v>0.27753207629504656</v>
      </c>
      <c r="U7" s="121">
        <v>16.134751773049647</v>
      </c>
    </row>
    <row r="8" spans="1:21" x14ac:dyDescent="0.3">
      <c r="A8" s="11">
        <v>21111.02</v>
      </c>
      <c r="B8" s="11" t="s">
        <v>583</v>
      </c>
      <c r="C8" s="15" t="s">
        <v>584</v>
      </c>
      <c r="D8" t="s">
        <v>41</v>
      </c>
      <c r="E8" t="s">
        <v>42</v>
      </c>
      <c r="F8" s="10">
        <f>'GHG det D24m, results per kg'!G16</f>
        <v>22.127357131637549</v>
      </c>
      <c r="G8" s="10">
        <f>'GHG det D24m, results per kg'!G12</f>
        <v>1.8768246502604352E-4</v>
      </c>
      <c r="H8" s="100">
        <f>'GHG det D24m, results per kg'!G13</f>
        <v>1.311908925044001E-6</v>
      </c>
      <c r="I8" s="42">
        <f>'GHG det D24m, results per kg'!G14</f>
        <v>0.65194237503894348</v>
      </c>
      <c r="J8" s="42">
        <f>'GHG det D24m, results per kg'!G15</f>
        <v>4.2908155328783053E-2</v>
      </c>
      <c r="L8" s="17">
        <f>('Production SH'!$C$5*'Parameters SH, country spec'!$C$51*'EFP per kg feed'!F38+('Production SH'!$C$6+'Production SH'!$C$7)*'Parameters SH, country spec'!$C$52*'EFP per kg feed'!F39)/'Production SH'!$C$21</f>
        <v>31.844587405654359</v>
      </c>
      <c r="M8" s="294">
        <f>('Production SH'!$C$5*'Parameters SH, country spec'!$C$51*'EFP per kg feed'!G38+('Production SH'!$C$6+'Production SH'!$C$7)*'Parameters SH, country spec'!$C$52*'EFP per kg feed'!G39-Excreted_N_after_losses_FR*Manure_repl_factor_FR)/'Production SH'!C21</f>
        <v>0.48443560104374972</v>
      </c>
      <c r="N8" s="294">
        <f>('Production SH'!$C$5*'Parameters SH, country spec'!$C$51*'EFP per kg feed'!H38+('Production SH'!$C$6+'Production SH'!$C$7)*'Parameters SH, country spec'!$C$52*'EFP per kg feed'!H39)/'Production SH'!C21</f>
        <v>3.8066570434078066E-2</v>
      </c>
      <c r="O8" s="294">
        <f>('Production SH'!$C$5*'Parameters SH, country spec'!$C$51*'EFP per kg feed'!I38+('Production SH'!$C$6+'Production SH'!$C$7)*'Parameters SH, country spec'!$C$52*'EFP per kg feed'!I39)/'Production SH'!C21</f>
        <v>0.32179062186568347</v>
      </c>
      <c r="P8" s="294">
        <f>('Production SH'!$C$5*'Parameters SH, country spec'!$C$51*'EFP per kg feed'!J38+('Production SH'!$C$6+'Production SH'!$C$7)*'Parameters SH, country spec'!$C$52*'EFP per kg feed'!J39)/'Production SH'!C21</f>
        <v>1.7710491350858</v>
      </c>
      <c r="Q8" s="344">
        <f>('Production SH'!$C$5*'Parameters SH, country spec'!$C$51*'EFP per kg feed'!K38+('Production SH'!$C$6+'Production SH'!$C$7)*'Parameters SH, country spec'!$C$52*'EFP per kg feed'!K39)/'Production SH'!C21</f>
        <v>1.4163738183306307E-8</v>
      </c>
      <c r="R8" s="18">
        <f>('Production SH'!$C$5*'Parameters SH, country spec'!$C$51*'EFP per kg feed'!L38+('Production SH'!$C$6+'Production SH'!$C$7)*'Parameters SH, country spec'!$C$52*'EFP per kg feed'!L39+Manure!E159)/'Production SH'!C21</f>
        <v>0.21144095981787578</v>
      </c>
      <c r="S8" s="9"/>
      <c r="T8" s="18">
        <v>0.26414069841730681</v>
      </c>
      <c r="U8" s="121">
        <v>31.990694948162801</v>
      </c>
    </row>
    <row r="9" spans="1:21" x14ac:dyDescent="0.3">
      <c r="A9" s="11">
        <v>21111.02</v>
      </c>
      <c r="B9" s="11" t="s">
        <v>583</v>
      </c>
      <c r="C9" s="15" t="s">
        <v>584</v>
      </c>
      <c r="D9" t="s">
        <v>43</v>
      </c>
      <c r="E9" t="s">
        <v>44</v>
      </c>
      <c r="F9" s="10">
        <f>'GHG det D24m, results per kg'!G21</f>
        <v>23.648688538692607</v>
      </c>
      <c r="G9" s="10">
        <f>'GHG det D24m, results per kg'!G17</f>
        <v>2.0927458142929627E-4</v>
      </c>
      <c r="H9" s="100">
        <f>'GHG det D24m, results per kg'!G18</f>
        <v>1.3756598420537985E-6</v>
      </c>
      <c r="I9" s="42">
        <f>'GHG det D24m, results per kg'!G19</f>
        <v>0.85358322247977836</v>
      </c>
      <c r="J9" s="42">
        <f>'GHG det D24m, results per kg'!G20</f>
        <v>3.8402115133415529E-2</v>
      </c>
      <c r="L9" s="17">
        <f>('Production SH'!$D$5*'Parameters SH, country spec'!$D$51*'EFP per kg feed'!F56+('Production SH'!$D$6+'Production SH'!$D$7)*'Parameters SH, country spec'!$D$52*'EFP per kg feed'!F57)/'Production SH'!$D$21</f>
        <v>23.347185013143726</v>
      </c>
      <c r="M9" s="294">
        <f>('Production SH'!$D$5*'Parameters SH, country spec'!$D$51*'EFP per kg feed'!G56+('Production SH'!$D$6+'Production SH'!$D$7)*'Parameters SH, country spec'!$D$52*'EFP per kg feed'!G57-Excreted_N_after_losses_DE*Manure_repl_factor_DE)/'Production SH'!$D$21</f>
        <v>0.39972858964409919</v>
      </c>
      <c r="N9" s="294">
        <f>('Production SH'!$D$5*'Parameters SH, country spec'!$D$51*'EFP per kg feed'!H56+('Production SH'!$D$6+'Production SH'!$D$7)*'Parameters SH, country spec'!$D$52*'EFP per kg feed'!H57)/'Production SH'!$D$21</f>
        <v>1.9914925389803301E-2</v>
      </c>
      <c r="O9" s="294">
        <f>('Production SH'!$D$5*'Parameters SH, country spec'!$D$51*'EFP per kg feed'!I56+('Production SH'!$D$6+'Production SH'!$D$7)*'Parameters SH, country spec'!$D$52*'EFP per kg feed'!I57)/'Production SH'!$D$21</f>
        <v>1.0578129982980031E-2</v>
      </c>
      <c r="P9" s="294">
        <f>('Production SH'!$D$5*'Parameters SH, country spec'!$D$51*'EFP per kg feed'!J56+('Production SH'!$D$6+'Production SH'!$D$7)*'Parameters SH, country spec'!$D$52*'EFP per kg feed'!J57)/'Production SH'!$D$21</f>
        <v>1.0667983860365213</v>
      </c>
      <c r="Q9" s="344">
        <f>('Production SH'!$D$5*'Parameters SH, country spec'!$D$51*'EFP per kg feed'!K56+('Production SH'!$D$6+'Production SH'!$D$7)*'Parameters SH, country spec'!$D$52*'EFP per kg feed'!K57)/'Production SH'!$D$21</f>
        <v>2.1447671045261058E-9</v>
      </c>
      <c r="R9" s="18">
        <f>('Production SH'!$D$5*'Parameters SH, country spec'!$D$51*'EFP per kg feed'!L56+('Production SH'!$D$6+'Production SH'!$D$7)*'Parameters SH, country spec'!$D$52*'EFP per kg feed'!L57+Manure!G159)/'Production SH'!$D$21</f>
        <v>0.23798811313421631</v>
      </c>
      <c r="S9" s="9"/>
      <c r="T9" s="18">
        <v>0.29846858206799881</v>
      </c>
      <c r="U9" s="121">
        <v>42.008021846731516</v>
      </c>
    </row>
    <row r="10" spans="1:21" x14ac:dyDescent="0.3">
      <c r="A10" s="11">
        <v>21111.02</v>
      </c>
      <c r="B10" s="11" t="s">
        <v>583</v>
      </c>
      <c r="C10" s="15" t="s">
        <v>584</v>
      </c>
      <c r="D10" t="s">
        <v>45</v>
      </c>
      <c r="E10" t="s">
        <v>46</v>
      </c>
      <c r="F10" s="10">
        <f>'GHG det D24m, results per kg'!G26</f>
        <v>23.100877408774828</v>
      </c>
      <c r="G10" s="10">
        <f>'GHG det D24m, results per kg'!G22</f>
        <v>2.777622475119199E-4</v>
      </c>
      <c r="H10" s="100">
        <f>'GHG det D24m, results per kg'!G23</f>
        <v>7.4082387437526626E-7</v>
      </c>
      <c r="I10" s="42">
        <f>'GHG det D24m, results per kg'!G24</f>
        <v>0.6887334502069411</v>
      </c>
      <c r="J10" s="42">
        <f>'GHG det D24m, results per kg'!G25</f>
        <v>4.8926895431498259E-2</v>
      </c>
      <c r="L10" s="17">
        <f>('Production SH'!$E$5*'Parameters SH, country spec'!$E$51*'EFP per kg feed'!F74+('Production SH'!$E$6+'Production SH'!$E$7)*'Parameters SH, country spec'!$E$52*'EFP per kg feed'!F75)/'Production SH'!$E$21</f>
        <v>50.543518102130541</v>
      </c>
      <c r="M10" s="294">
        <f>('Production SH'!$E$5*'Parameters SH, country spec'!$E$51*'EFP per kg feed'!G74+('Production SH'!$E$6+'Production SH'!$E$7)*'Parameters SH, country spec'!$E$52*'EFP per kg feed'!G75-Excreted_N_after_losses_GR*Manure_repl_factor_GR)/'Production SH'!$E$21</f>
        <v>0.77038120002619304</v>
      </c>
      <c r="N10" s="294">
        <f>('Production SH'!$E$5*'Parameters SH, country spec'!$E$51*'EFP per kg feed'!H74+('Production SH'!$E$6+'Production SH'!$E$7)*'Parameters SH, country spec'!$E$52*'EFP per kg feed'!H75)/'Production SH'!$E$21</f>
        <v>8.6791142342629052E-2</v>
      </c>
      <c r="O10" s="294">
        <f>('Production SH'!$E$5*'Parameters SH, country spec'!$E$51*'EFP per kg feed'!I74+('Production SH'!$E$6+'Production SH'!$E$7)*'Parameters SH, country spec'!$E$52*'EFP per kg feed'!I75)/'Production SH'!$E$21</f>
        <v>3.5421374232577367</v>
      </c>
      <c r="P10" s="294">
        <f>('Production SH'!$E$5*'Parameters SH, country spec'!$E$51*'EFP per kg feed'!J74+('Production SH'!$E$6+'Production SH'!$E$7)*'Parameters SH, country spec'!$E$52*'EFP per kg feed'!J75)/'Production SH'!$E$21</f>
        <v>2.1588876378323825</v>
      </c>
      <c r="Q10" s="344">
        <f>('Production SH'!$E$5*'Parameters SH, country spec'!$E$51*'EFP per kg feed'!K74+('Production SH'!$E$6+'Production SH'!$E$7)*'Parameters SH, country spec'!$E$52*'EFP per kg feed'!K75)/'Production SH'!$E$21</f>
        <v>1.8194035086133504E-7</v>
      </c>
      <c r="R10" s="18">
        <f>('Production SH'!$E$5*'Parameters SH, country spec'!$E$51*'EFP per kg feed'!L74+('Production SH'!$E$6+'Production SH'!$E$7)*'Parameters SH, country spec'!$E$52*'EFP per kg feed'!L75+Manure!I159)/'Production SH'!$E$21</f>
        <v>0.25261273010310781</v>
      </c>
      <c r="S10" s="9"/>
      <c r="T10" s="18">
        <v>0.30296370357825098</v>
      </c>
      <c r="U10" s="121">
        <v>93.603378167031607</v>
      </c>
    </row>
    <row r="11" spans="1:21" x14ac:dyDescent="0.3">
      <c r="A11" s="11">
        <v>21111.02</v>
      </c>
      <c r="B11" s="11" t="s">
        <v>583</v>
      </c>
      <c r="C11" s="15" t="s">
        <v>584</v>
      </c>
      <c r="D11" t="s">
        <v>47</v>
      </c>
      <c r="E11" t="s">
        <v>48</v>
      </c>
      <c r="F11" s="10">
        <f>'GHG det D24m, results per kg'!G31</f>
        <v>32.210532918507127</v>
      </c>
      <c r="G11" s="10">
        <f>'GHG det D24m, results per kg'!G27</f>
        <v>2.6618238970613201E-4</v>
      </c>
      <c r="H11" s="100">
        <f>'GHG det D24m, results per kg'!G28</f>
        <v>1.3488347111816167E-6</v>
      </c>
      <c r="I11" s="42">
        <f>'GHG det D24m, results per kg'!G29</f>
        <v>1.1150112780647048</v>
      </c>
      <c r="J11" s="42">
        <f>'GHG det D24m, results per kg'!G30</f>
        <v>5.2248825459249575E-2</v>
      </c>
      <c r="L11" s="17">
        <f>('Production SH'!$F$5*'Parameters SH, country spec'!$F$51*'EFP per kg feed'!F92+('Production SH'!$F$6+'Production SH'!$F$7)*'Parameters SH, country spec'!$F$52*'EFP per kg feed'!F93)/'Production SH'!$F$21</f>
        <v>56.245852257319889</v>
      </c>
      <c r="M11" s="294">
        <f>('Production SH'!$F$5*'Parameters SH, country spec'!$F$51*'EFP per kg feed'!G92+('Production SH'!$F$6+'Production SH'!$F$7)*'Parameters SH, country spec'!$F$52*'EFP per kg feed'!G93-Excreted_N_after_losses_HU*Manure_repl_factor_HU)/'Production SH'!$F$21</f>
        <v>0.78493394557296459</v>
      </c>
      <c r="N11" s="294">
        <f>('Production SH'!$F$5*'Parameters SH, country spec'!$F$51*'EFP per kg feed'!H92+('Production SH'!$F$6+'Production SH'!$F$7)*'Parameters SH, country spec'!$F$52*'EFP per kg feed'!H93)/'Production SH'!$F$21</f>
        <v>6.3892939025037149E-2</v>
      </c>
      <c r="O11" s="294">
        <f>('Production SH'!$F$5*'Parameters SH, country spec'!$F$51*'EFP per kg feed'!I92+('Production SH'!$F$6+'Production SH'!$F$7)*'Parameters SH, country spec'!$F$52*'EFP per kg feed'!I93)/'Production SH'!$F$21</f>
        <v>0.10215177904502031</v>
      </c>
      <c r="P11" s="294">
        <f>('Production SH'!$F$5*'Parameters SH, country spec'!$F$51*'EFP per kg feed'!J92+('Production SH'!$F$6+'Production SH'!$F$7)*'Parameters SH, country spec'!$F$52*'EFP per kg feed'!J93)/'Production SH'!$F$21</f>
        <v>2.5117464442122599</v>
      </c>
      <c r="Q11" s="344">
        <f>('Production SH'!$F$5*'Parameters SH, country spec'!$F$51*'EFP per kg feed'!K92+('Production SH'!$F$6+'Production SH'!$F$7)*'Parameters SH, country spec'!$F$52*'EFP per kg feed'!K93)/'Production SH'!$F$21</f>
        <v>4.6190020231008497E-9</v>
      </c>
      <c r="R11" s="18">
        <f>('Production SH'!$F$5*'Parameters SH, country spec'!$F$51*'EFP per kg feed'!L92+('Production SH'!$F$6+'Production SH'!$F$7)*'Parameters SH, country spec'!$F$52*'EFP per kg feed'!L93+Manure!K159)/'Production SH'!$F$21</f>
        <v>0.25604649649897193</v>
      </c>
      <c r="S11" s="9"/>
      <c r="T11" s="18">
        <v>0.32014996704472826</v>
      </c>
      <c r="U11" s="121">
        <v>86.193345559339789</v>
      </c>
    </row>
    <row r="12" spans="1:21" x14ac:dyDescent="0.3">
      <c r="A12" s="11">
        <v>21111.02</v>
      </c>
      <c r="B12" s="11" t="s">
        <v>583</v>
      </c>
      <c r="C12" s="15" t="s">
        <v>584</v>
      </c>
      <c r="D12" t="s">
        <v>49</v>
      </c>
      <c r="E12" t="s">
        <v>50</v>
      </c>
      <c r="F12" s="10">
        <f>'GHG det D24m, results per kg'!G36</f>
        <v>27.983100491696327</v>
      </c>
      <c r="G12" s="10">
        <f>'GHG det D24m, results per kg'!G32</f>
        <v>1.4497157116284356E-4</v>
      </c>
      <c r="H12" s="100">
        <f>'GHG det D24m, results per kg'!G33</f>
        <v>2.8312950350143849E-7</v>
      </c>
      <c r="I12" s="42">
        <f>'GHG det D24m, results per kg'!G34</f>
        <v>1.076922939514509</v>
      </c>
      <c r="J12" s="42">
        <f>'GHG det D24m, results per kg'!G35</f>
        <v>3.2833486692300379E-2</v>
      </c>
      <c r="L12" s="17">
        <f>('Production SH'!$G$5*'Parameters SH, country spec'!$G$51*'EFP per kg feed'!F110+('Production SH'!$G$6+'Production SH'!$G$7)*'Parameters SH, country spec'!$G$52*'EFP per kg feed'!F111)/'Production SH'!$G$21</f>
        <v>12.175917811392161</v>
      </c>
      <c r="M12" s="294">
        <f>('Production SH'!$G$5*'Parameters SH, country spec'!$G$51*'EFP per kg feed'!G110+('Production SH'!$G$6+'Production SH'!$G$7)*'Parameters SH, country spec'!$G$52*'EFP per kg feed'!G111-Excreted_N_after_losses_IE*Manure_repl_factor_IE)/'Production SH'!$G$21</f>
        <v>0.59205666279449232</v>
      </c>
      <c r="N12" s="294">
        <f>('Production SH'!$G$5*'Parameters SH, country spec'!$G$51*'EFP per kg feed'!H110+('Production SH'!$G$6+'Production SH'!$G$7)*'Parameters SH, country spec'!$G$52*'EFP per kg feed'!H111)/'Production SH'!$G$21</f>
        <v>3.6357790069827034E-2</v>
      </c>
      <c r="O12" s="294">
        <f>('Production SH'!$G$5*'Parameters SH, country spec'!$G$51*'EFP per kg feed'!I110+('Production SH'!$G$6+'Production SH'!$G$7)*'Parameters SH, country spec'!$G$52*'EFP per kg feed'!I111)/'Production SH'!$G$21</f>
        <v>2.0039051896144325E-3</v>
      </c>
      <c r="P12" s="294">
        <f>('Production SH'!$G$5*'Parameters SH, country spec'!$G$51*'EFP per kg feed'!J110+('Production SH'!$G$6+'Production SH'!$G$7)*'Parameters SH, country spec'!$G$52*'EFP per kg feed'!J111)/'Production SH'!$G$21</f>
        <v>3.1877281917365075</v>
      </c>
      <c r="Q12" s="344">
        <f>('Production SH'!$G$5*'Parameters SH, country spec'!$G$51*'EFP per kg feed'!K110+('Production SH'!$G$6+'Production SH'!$G$7)*'Parameters SH, country spec'!$G$52*'EFP per kg feed'!K111)/'Production SH'!$G$21</f>
        <v>1.4763207687658534E-9</v>
      </c>
      <c r="R12" s="18">
        <f>('Production SH'!$G$5*'Parameters SH, country spec'!$G$51*'EFP per kg feed'!L110+('Production SH'!$G$6+'Production SH'!$G$7)*'Parameters SH, country spec'!$G$52*'EFP per kg feed'!L111+Manure!M159)/'Production SH'!$G$21</f>
        <v>0.21090107057974303</v>
      </c>
      <c r="S12" s="9"/>
      <c r="T12" s="18">
        <v>0.27007153319622251</v>
      </c>
      <c r="U12" s="121">
        <v>33.68025440878867</v>
      </c>
    </row>
    <row r="13" spans="1:21" x14ac:dyDescent="0.3">
      <c r="A13" s="11">
        <v>21111.02</v>
      </c>
      <c r="B13" s="11" t="s">
        <v>583</v>
      </c>
      <c r="C13" s="15" t="s">
        <v>584</v>
      </c>
      <c r="D13" t="s">
        <v>51</v>
      </c>
      <c r="E13" t="s">
        <v>52</v>
      </c>
      <c r="F13" s="10">
        <f>'GHG det D24m, results per kg'!G41</f>
        <v>35.238812995883798</v>
      </c>
      <c r="G13" s="10">
        <f>'GHG det D24m, results per kg'!G37</f>
        <v>1.686349287858241E-4</v>
      </c>
      <c r="H13" s="100">
        <f>'GHG det D24m, results per kg'!G38</f>
        <v>9.4642631013741743E-7</v>
      </c>
      <c r="I13" s="42">
        <f>'GHG det D24m, results per kg'!G39</f>
        <v>1.3328476019645761</v>
      </c>
      <c r="J13" s="42">
        <f>'GHG det D24m, results per kg'!G40</f>
        <v>5.3867571549885147E-2</v>
      </c>
      <c r="L13" s="17">
        <f>('Production SH'!$H$5*'Parameters SH, country spec'!$H$51*'EFP per kg feed'!F128+('Production SH'!$H$6+'Production SH'!$H$7)*'Parameters SH, country spec'!$H$52*'EFP per kg feed'!F129)/'Production SH'!$H$21</f>
        <v>27.739742354995094</v>
      </c>
      <c r="M13" s="294">
        <f>('Production SH'!$H$5*'Parameters SH, country spec'!$H$51*'EFP per kg feed'!G128+('Production SH'!$H$6+'Production SH'!$H$7)*'Parameters SH, country spec'!$H$52*'EFP per kg feed'!G129-Excreted_N_after_losses_IT*Manure_repl_factor_IT)/'Production SH'!$H$21</f>
        <v>0.56074497442206395</v>
      </c>
      <c r="N13" s="294">
        <f>('Production SH'!$H$5*'Parameters SH, country spec'!$H$51*'EFP per kg feed'!H128+('Production SH'!$H$6+'Production SH'!$H$7)*'Parameters SH, country spec'!$H$52*'EFP per kg feed'!H129)/'Production SH'!$H$21</f>
        <v>3.4194009003252646E-2</v>
      </c>
      <c r="O13" s="294">
        <f>('Production SH'!$H$5*'Parameters SH, country spec'!$H$51*'EFP per kg feed'!I128+('Production SH'!$H$6+'Production SH'!$H$7)*'Parameters SH, country spec'!$H$52*'EFP per kg feed'!I129)/'Production SH'!$H$21</f>
        <v>0.35701409265134681</v>
      </c>
      <c r="P13" s="294">
        <f>('Production SH'!$H$5*'Parameters SH, country spec'!$H$51*'EFP per kg feed'!J128+('Production SH'!$H$6+'Production SH'!$H$7)*'Parameters SH, country spec'!$H$52*'EFP per kg feed'!J129)/'Production SH'!$H$21</f>
        <v>1.9859225056638456</v>
      </c>
      <c r="Q13" s="344">
        <f>('Production SH'!$H$5*'Parameters SH, country spec'!$H$51*'EFP per kg feed'!K128+('Production SH'!$H$6+'Production SH'!$H$7)*'Parameters SH, country spec'!$H$52*'EFP per kg feed'!K129)/'Production SH'!$H$21</f>
        <v>5.7557650882508996E-8</v>
      </c>
      <c r="R13" s="18">
        <f>('Production SH'!$H$5*'Parameters SH, country spec'!$H$51*'EFP per kg feed'!L128+('Production SH'!$H$6+'Production SH'!$H$7)*'Parameters SH, country spec'!$H$52*'EFP per kg feed'!L129+Manure!O159)/'Production SH'!$H$21</f>
        <v>0.33933505905984529</v>
      </c>
      <c r="S13" s="9"/>
      <c r="T13" s="18">
        <v>0.3612710534532324</v>
      </c>
      <c r="U13" s="121">
        <v>108.95768154124814</v>
      </c>
    </row>
    <row r="14" spans="1:21" x14ac:dyDescent="0.3">
      <c r="A14" s="11">
        <v>21111.02</v>
      </c>
      <c r="B14" s="11" t="s">
        <v>583</v>
      </c>
      <c r="C14" s="15" t="s">
        <v>584</v>
      </c>
      <c r="D14" t="s">
        <v>53</v>
      </c>
      <c r="E14" t="s">
        <v>54</v>
      </c>
      <c r="F14" s="10">
        <f>'GHG det D24m, results per kg'!G46</f>
        <v>23.628281474116783</v>
      </c>
      <c r="G14" s="10">
        <f>'GHG det D24m, results per kg'!G42</f>
        <v>2.7509985646103431E-4</v>
      </c>
      <c r="H14" s="100">
        <f>'GHG det D24m, results per kg'!G43</f>
        <v>1.0181102694614726E-6</v>
      </c>
      <c r="I14" s="42">
        <f>'GHG det D24m, results per kg'!G44</f>
        <v>0.77875629403638691</v>
      </c>
      <c r="J14" s="42">
        <f>'GHG det D24m, results per kg'!G45</f>
        <v>2.3541498073636379E-2</v>
      </c>
      <c r="L14" s="17">
        <f>('Production SH'!$I$5*'Parameters SH, country spec'!$I$51*'EFP per kg feed'!F146+('Production SH'!$I$6+'Production SH'!$I$7)*'Parameters SH, country spec'!$I$52*'EFP per kg feed'!F147)/'Production SH'!$I$21</f>
        <v>27.008546416727548</v>
      </c>
      <c r="M14" s="294">
        <f>('Production SH'!$I$5*'Parameters SH, country spec'!$I$51*'EFP per kg feed'!G146+('Production SH'!$I$6+'Production SH'!$I$7)*'Parameters SH, country spec'!$I$52*'EFP per kg feed'!G147-Excreted_N_after_losses_NL*Manure_repl_factor_NL)/'Production SH'!$I$21</f>
        <v>1.0370691274624357</v>
      </c>
      <c r="N14" s="294">
        <f>('Production SH'!$I$5*'Parameters SH, country spec'!$I$51*'EFP per kg feed'!H146+('Production SH'!$I$6+'Production SH'!$I$7)*'Parameters SH, country spec'!$I$52*'EFP per kg feed'!H147)/'Production SH'!$I$21</f>
        <v>2.5728359145490723E-2</v>
      </c>
      <c r="O14" s="294">
        <f>('Production SH'!$I$5*'Parameters SH, country spec'!$I$51*'EFP per kg feed'!I146+('Production SH'!$I$6+'Production SH'!$I$7)*'Parameters SH, country spec'!$I$52*'EFP per kg feed'!I147)/'Production SH'!$I$21</f>
        <v>4.861560637855112E-2</v>
      </c>
      <c r="P14" s="294">
        <f>('Production SH'!$I$5*'Parameters SH, country spec'!$I$51*'EFP per kg feed'!J146+('Production SH'!$I$6+'Production SH'!$I$7)*'Parameters SH, country spec'!$I$52*'EFP per kg feed'!J147)/'Production SH'!$I$21</f>
        <v>2.123075167891054</v>
      </c>
      <c r="Q14" s="344">
        <f>('Production SH'!$I$5*'Parameters SH, country spec'!$I$51*'EFP per kg feed'!K146+('Production SH'!$I$6+'Production SH'!$I$7)*'Parameters SH, country spec'!$I$52*'EFP per kg feed'!K147)/'Production SH'!$I$21</f>
        <v>3.6414625205494729E-9</v>
      </c>
      <c r="R14" s="18">
        <f>('Production SH'!$I$5*'Parameters SH, country spec'!$I$51*'EFP per kg feed'!L146+('Production SH'!$I$6+'Production SH'!$I$7)*'Parameters SH, country spec'!$I$52*'EFP per kg feed'!L147+Manure!Q159)/'Production SH'!$I$21</f>
        <v>0.17542994254158112</v>
      </c>
      <c r="S14" s="9"/>
      <c r="T14" s="18">
        <v>0.26899768642989907</v>
      </c>
      <c r="U14" s="121">
        <v>26.725346231217824</v>
      </c>
    </row>
    <row r="15" spans="1:21" x14ac:dyDescent="0.3">
      <c r="A15" s="11">
        <v>21111.02</v>
      </c>
      <c r="B15" s="11" t="s">
        <v>583</v>
      </c>
      <c r="C15" s="15" t="s">
        <v>584</v>
      </c>
      <c r="D15" t="s">
        <v>55</v>
      </c>
      <c r="E15" t="s">
        <v>56</v>
      </c>
      <c r="F15" s="10">
        <f>'GHG det D24m, results per kg'!G51</f>
        <v>28.041593305653738</v>
      </c>
      <c r="G15" s="10">
        <f>'GHG det D24m, results per kg'!G47</f>
        <v>3.7922766767626345E-4</v>
      </c>
      <c r="H15" s="100">
        <f>'GHG det D24m, results per kg'!G48</f>
        <v>5.9893187093636696E-7</v>
      </c>
      <c r="I15" s="42">
        <f>'GHG det D24m, results per kg'!G49</f>
        <v>0.77490450933581612</v>
      </c>
      <c r="J15" s="42">
        <f>'GHG det D24m, results per kg'!G50</f>
        <v>5.6333606033191895E-2</v>
      </c>
      <c r="L15" s="17">
        <f>('Production SH'!$J$5*'Parameters SH, country spec'!$J$51*'EFP per kg feed'!F164+('Production SH'!$J$6+'Production SH'!$J$7)*'Parameters SH, country spec'!$J$52*'EFP per kg feed'!F165)/'Production SH'!$J$21</f>
        <v>37.804269990977865</v>
      </c>
      <c r="M15" s="294">
        <f>('Production SH'!$J$5*'Parameters SH, country spec'!$J$51*'EFP per kg feed'!G164+('Production SH'!$J$6+'Production SH'!$J$7)*'Parameters SH, country spec'!$J$52*'EFP per kg feed'!G165-Excreted_N_after_losses_PL*Manure_repl_factor_PL)/'Production SH'!$J$21</f>
        <v>0.62792156672928578</v>
      </c>
      <c r="N15" s="294">
        <f>('Production SH'!$J$5*'Parameters SH, country spec'!$J$51*'EFP per kg feed'!H164+('Production SH'!$J$6+'Production SH'!$J$7)*'Parameters SH, country spec'!$J$52*'EFP per kg feed'!H165)/'Production SH'!$J$21</f>
        <v>5.3780362873833754E-2</v>
      </c>
      <c r="O15" s="294">
        <f>('Production SH'!$J$5*'Parameters SH, country spec'!$J$51*'EFP per kg feed'!I164+('Production SH'!$J$6+'Production SH'!$J$7)*'Parameters SH, country spec'!$J$52*'EFP per kg feed'!I165)/'Production SH'!$J$21</f>
        <v>2.1845591179006675E-2</v>
      </c>
      <c r="P15" s="294">
        <f>('Production SH'!$J$5*'Parameters SH, country spec'!$J$51*'EFP per kg feed'!J164+('Production SH'!$J$6+'Production SH'!$J$7)*'Parameters SH, country spec'!$J$52*'EFP per kg feed'!J165)/'Production SH'!$J$21</f>
        <v>2.7832697093553156</v>
      </c>
      <c r="Q15" s="344">
        <f>('Production SH'!$J$5*'Parameters SH, country spec'!$J$51*'EFP per kg feed'!K164+('Production SH'!$J$6+'Production SH'!$J$7)*'Parameters SH, country spec'!$J$52*'EFP per kg feed'!K165)/'Production SH'!$J$21</f>
        <v>4.3043857140316688E-9</v>
      </c>
      <c r="R15" s="18">
        <f>('Production SH'!$J$5*'Parameters SH, country spec'!$J$51*'EFP per kg feed'!L164+('Production SH'!$J$6+'Production SH'!$J$7)*'Parameters SH, country spec'!$J$52*'EFP per kg feed'!L165+Manure!S159)/'Production SH'!$J$21</f>
        <v>0.27758662239041215</v>
      </c>
      <c r="S15" s="9"/>
      <c r="T15" s="18">
        <v>0.3495409678970573</v>
      </c>
      <c r="U15" s="121">
        <v>112.12533271612082</v>
      </c>
    </row>
    <row r="16" spans="1:21" x14ac:dyDescent="0.3">
      <c r="A16" s="11">
        <v>21111.02</v>
      </c>
      <c r="B16" s="11" t="s">
        <v>583</v>
      </c>
      <c r="C16" s="15" t="s">
        <v>584</v>
      </c>
      <c r="D16" t="s">
        <v>57</v>
      </c>
      <c r="E16" t="s">
        <v>58</v>
      </c>
      <c r="F16" s="10">
        <f>'GHG det D24m, results per kg'!G56</f>
        <v>26.550469855031128</v>
      </c>
      <c r="G16" s="10">
        <f>'GHG det D24m, results per kg'!G52</f>
        <v>1.934549031488439E-4</v>
      </c>
      <c r="H16" s="100">
        <f>'GHG det D24m, results per kg'!G53</f>
        <v>5.6882720659044006E-7</v>
      </c>
      <c r="I16" s="42">
        <f>'GHG det D24m, results per kg'!G54</f>
        <v>0.8285349808139032</v>
      </c>
      <c r="J16" s="42">
        <f>'GHG det D24m, results per kg'!G55</f>
        <v>3.5723574727509588E-2</v>
      </c>
      <c r="L16" s="17">
        <f>('Production SH'!$K$5*'Parameters SH, country spec'!$K$51*'EFP per kg feed'!F182+('Production SH'!$K$6+'Production SH'!$K$7)*'Parameters SH, country spec'!$K$52*'EFP per kg feed'!F183)/'Production SH'!$K$21</f>
        <v>43.25983410657232</v>
      </c>
      <c r="M16" s="294">
        <f>('Production SH'!$K$5*'Parameters SH, country spec'!$K$51*'EFP per kg feed'!G182+('Production SH'!$K$6+'Production SH'!$K$7)*'Parameters SH, country spec'!$K$52*'EFP per kg feed'!G183-Excreted_N_after_losses_ES*Manure_repl_factor_ES)/'Production SH'!$K$21</f>
        <v>0.69861559521319794</v>
      </c>
      <c r="N16" s="294">
        <f>('Production SH'!$K$5*'Parameters SH, country spec'!$K$51*'EFP per kg feed'!H182+('Production SH'!$K$6+'Production SH'!$K$7)*'Parameters SH, country spec'!$K$52*'EFP per kg feed'!H183)/'Production SH'!$K$21</f>
        <v>6.6744879646670086E-2</v>
      </c>
      <c r="O16" s="294">
        <f>('Production SH'!$K$5*'Parameters SH, country spec'!$K$51*'EFP per kg feed'!I182+('Production SH'!$K$6+'Production SH'!$K$7)*'Parameters SH, country spec'!$K$52*'EFP per kg feed'!I183)/'Production SH'!$K$21</f>
        <v>3.8598341835485419</v>
      </c>
      <c r="P16" s="294">
        <f>('Production SH'!$K$5*'Parameters SH, country spec'!$K$51*'EFP per kg feed'!J182+('Production SH'!$K$6+'Production SH'!$K$7)*'Parameters SH, country spec'!$K$52*'EFP per kg feed'!J183)/'Production SH'!$K$21</f>
        <v>2.6239911177923059</v>
      </c>
      <c r="Q16" s="344">
        <f>('Production SH'!$K$5*'Parameters SH, country spec'!$K$51*'EFP per kg feed'!K182+('Production SH'!$K$6+'Production SH'!$K$7)*'Parameters SH, country spec'!$K$52*'EFP per kg feed'!K183)/'Production SH'!$K$21</f>
        <v>1.6644677358040323E-7</v>
      </c>
      <c r="R16" s="18">
        <f>('Production SH'!$K$5*'Parameters SH, country spec'!$K$51*'EFP per kg feed'!L182+('Production SH'!$K$6+'Production SH'!$K$7)*'Parameters SH, country spec'!$K$52*'EFP per kg feed'!L183+Manure!U159)/'Production SH'!$K$21</f>
        <v>0.1814083968920272</v>
      </c>
      <c r="S16" s="9"/>
      <c r="T16" s="18">
        <v>0.24385272927210985</v>
      </c>
      <c r="U16" s="121">
        <v>80.47796399751708</v>
      </c>
    </row>
    <row r="17" spans="1:21" x14ac:dyDescent="0.3">
      <c r="A17" s="11">
        <v>21111.02</v>
      </c>
      <c r="B17" s="11" t="s">
        <v>583</v>
      </c>
      <c r="C17" s="15" t="s">
        <v>584</v>
      </c>
      <c r="D17" s="16" t="s">
        <v>59</v>
      </c>
      <c r="E17" s="16" t="s">
        <v>60</v>
      </c>
      <c r="F17" s="9">
        <f>'GHG det D24m, results per kg'!G61</f>
        <v>27.168168605591184</v>
      </c>
      <c r="G17" s="10">
        <f>'GHG det D24m, results per kg'!G57</f>
        <v>3.5361786492455003E-4</v>
      </c>
      <c r="H17" s="100">
        <f>'GHG det D24m, results per kg'!G58</f>
        <v>2.914991177535391E-6</v>
      </c>
      <c r="I17" s="42">
        <f>'GHG det D24m, results per kg'!G59</f>
        <v>0.88947990312202596</v>
      </c>
      <c r="J17" s="42">
        <f>'GHG det D24m, results per kg'!G60</f>
        <v>3.7116433262592861E-2</v>
      </c>
      <c r="K17" s="16"/>
      <c r="L17" s="17">
        <f>('Production SH'!$L$5*'Parameters SH, country spec'!$L$51*'EFP per kg feed'!F200+('Production SH'!$L$6+'Production SH'!$L$7)*'Parameters SH, country spec'!$L$52*'EFP per kg feed'!F201)/'Production SH'!$L$21</f>
        <v>40.815647043474215</v>
      </c>
      <c r="M17" s="294">
        <f>('Production SH'!$L$5*'Parameters SH, country spec'!$L$51*'EFP per kg feed'!G200+('Production SH'!$L$6+'Production SH'!$L$7)*'Parameters SH, country spec'!$L$52*'EFP per kg feed'!G201-Excreted_N_after_losses_SE*Manure_repl_factor_SE)/'Production SH'!$L$21</f>
        <v>0.52594899406403273</v>
      </c>
      <c r="N17" s="294">
        <f>('Production SH'!$L$5*'Parameters SH, country spec'!$L$51*'EFP per kg feed'!H200+('Production SH'!$L$6+'Production SH'!$L$7)*'Parameters SH, country spec'!$L$52*'EFP per kg feed'!H201)/'Production SH'!$L$21</f>
        <v>6.084968857639165E-3</v>
      </c>
      <c r="O17" s="294">
        <f>('Production SH'!$L$5*'Parameters SH, country spec'!$L$51*'EFP per kg feed'!I200+('Production SH'!$L$6+'Production SH'!$L$7)*'Parameters SH, country spec'!$L$52*'EFP per kg feed'!I201)/'Production SH'!$L$21</f>
        <v>0</v>
      </c>
      <c r="P17" s="294">
        <f>('Production SH'!$L$5*'Parameters SH, country spec'!$L$51*'EFP per kg feed'!J200+('Production SH'!$L$6+'Production SH'!$L$7)*'Parameters SH, country spec'!$L$52*'EFP per kg feed'!J201)/'Production SH'!$L$21</f>
        <v>1.7649507393547349E-2</v>
      </c>
      <c r="Q17" s="344">
        <f>('Production SH'!$L$5*'Parameters SH, country spec'!$L$51*'EFP per kg feed'!K200+('Production SH'!$L$6+'Production SH'!$L$7)*'Parameters SH, country spec'!$L$52*'EFP per kg feed'!K201)/'Production SH'!$L$21</f>
        <v>-4.3908667682075745E-9</v>
      </c>
      <c r="R17" s="18">
        <f>('Production SH'!$L$5*'Parameters SH, country spec'!$L$51*'EFP per kg feed'!L200+('Production SH'!$L$6+'Production SH'!$L$7)*'Parameters SH, country spec'!$L$52*'EFP per kg feed'!L201+Manure!W159)/'Production SH'!$L$21</f>
        <v>0.20378096408845922</v>
      </c>
      <c r="S17" s="9"/>
      <c r="T17" s="18">
        <v>0.22443652828279204</v>
      </c>
      <c r="U17" s="121">
        <v>8.3075734157650718</v>
      </c>
    </row>
    <row r="18" spans="1:21" x14ac:dyDescent="0.3">
      <c r="A18" s="11">
        <v>21111.02</v>
      </c>
      <c r="B18" s="11" t="s">
        <v>583</v>
      </c>
      <c r="C18" s="15" t="s">
        <v>584</v>
      </c>
      <c r="D18" s="16" t="s">
        <v>556</v>
      </c>
      <c r="E18" s="16" t="s">
        <v>560</v>
      </c>
      <c r="F18" s="9">
        <f>'GHG det D24m, results per kg'!G66</f>
        <v>24.906651504670052</v>
      </c>
      <c r="G18" s="10">
        <f>'GHG det D24m, results per kg'!G58</f>
        <v>2.914991177535391E-6</v>
      </c>
      <c r="H18" s="100">
        <f>'GHG det D24m, results per kg'!G59</f>
        <v>0.88947990312202596</v>
      </c>
      <c r="I18" s="42">
        <f>'GHG det D24m, results per kg'!G60</f>
        <v>3.7116433262592861E-2</v>
      </c>
      <c r="J18" s="42">
        <f>'GHG det D24m, results per kg'!G61</f>
        <v>27.168168605591184</v>
      </c>
      <c r="L18" s="17">
        <f>('Production SH'!$M$5*'Parameters SH, country spec'!$M$51*'EFP per kg feed'!F218+('Production SH'!$M$6+'Production SH'!$M$7)*'Parameters SH, country spec'!$M$52*'EFP per kg feed'!F219)/'Production SH'!$M$21</f>
        <v>21.159436151614365</v>
      </c>
      <c r="M18" s="294" cm="1">
        <f t="array" ref="M18">('Production SH'!$M$5*'Parameters SH, country spec'!$M$51*'EFP per kg feed'!G218+('Production SH'!$M$6+'Production SH'!$M$7)*'Parameters SH, country spec'!$M$52*'EFP per kg feed'!G219-Excreted_N_after_losses_GB*Manure_repl_factor_GB)/'Production SH'!$M$21</f>
        <v>0.8582145919979971</v>
      </c>
      <c r="N18" s="294">
        <f>('Production SH'!$M$5*'Parameters SH, country spec'!$M$51*'EFP per kg feed'!H218+('Production SH'!$M$6+'Production SH'!$M$7)*'Parameters SH, country spec'!$M$52*'EFP per kg feed'!H219)/'Production SH'!$M$21</f>
        <v>4.8203505795424442E-2</v>
      </c>
      <c r="O18" s="294">
        <f>('Production SH'!$M$5*'Parameters SH, country spec'!$M$51*'EFP per kg feed'!I218+('Production SH'!$M$6+'Production SH'!$M$7)*'Parameters SH, country spec'!$M$52*'EFP per kg feed'!I219)/'Production SH'!$M$21</f>
        <v>1.3790480466587304E-2</v>
      </c>
      <c r="P18" s="294">
        <f>('Production SH'!$M$5*'Parameters SH, country spec'!$M$51*'EFP per kg feed'!J218+('Production SH'!$M$6+'Production SH'!$M$7)*'Parameters SH, country spec'!$M$52*'EFP per kg feed'!J219)/'Production SH'!$M$21</f>
        <v>0.63437034337427955</v>
      </c>
      <c r="Q18" s="344">
        <f>('Production SH'!$M$5*'Parameters SH, country spec'!$M$51*'EFP per kg feed'!K218+('Production SH'!$M$6+'Production SH'!$M$7)*'Parameters SH, country spec'!$M$52*'EFP per kg feed'!K219)/'Production SH'!$M$21</f>
        <v>3.8526631331745251E-9</v>
      </c>
      <c r="R18" s="18">
        <f>('Production SH'!$M$5*'Parameters SH, country spec'!$M$51*'EFP per kg feed'!L218+('Production SH'!$M$6+'Production SH'!$M$7)*'Parameters SH, country spec'!$M$52*'EFP per kg feed'!L219+Manure!Y159)/'Production SH'!$M$21</f>
        <v>0.2049668585040933</v>
      </c>
      <c r="T18" s="18">
        <v>0.25133441689038538</v>
      </c>
      <c r="U18" s="121">
        <v>24.672883326325163</v>
      </c>
    </row>
    <row r="19" spans="1:21" x14ac:dyDescent="0.3">
      <c r="J19" s="42"/>
      <c r="M19" s="449"/>
      <c r="T19" s="6"/>
      <c r="U19" s="6"/>
    </row>
    <row r="20" spans="1:21" x14ac:dyDescent="0.3">
      <c r="T20" s="6"/>
      <c r="U20" s="6"/>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0A395-6EBD-44E3-AF26-05B7359B817C}">
  <sheetPr>
    <tabColor theme="9" tint="0.79998168889431442"/>
  </sheetPr>
  <dimension ref="A2:U19"/>
  <sheetViews>
    <sheetView zoomScaleNormal="100" workbookViewId="0">
      <selection activeCell="F12" sqref="F12"/>
    </sheetView>
  </sheetViews>
  <sheetFormatPr defaultColWidth="8.6640625" defaultRowHeight="14.4" x14ac:dyDescent="0.3"/>
  <cols>
    <col min="1" max="1" width="8.6640625" style="29"/>
    <col min="2" max="2" width="17.5546875" customWidth="1"/>
    <col min="3" max="3" width="8.88671875" customWidth="1"/>
    <col min="4" max="4" width="12.77734375" customWidth="1"/>
    <col min="5" max="5" width="8.44140625" customWidth="1"/>
    <col min="6" max="11" width="10.44140625" customWidth="1"/>
    <col min="12" max="13" width="14.6640625" customWidth="1"/>
    <col min="14" max="14" width="14.6640625" style="11" customWidth="1"/>
    <col min="15" max="18" width="14.6640625" customWidth="1"/>
    <col min="19" max="19" width="8.5546875" customWidth="1"/>
    <col min="20" max="20" width="15.6640625" customWidth="1"/>
    <col min="21" max="21" width="18.44140625" customWidth="1"/>
  </cols>
  <sheetData>
    <row r="2" spans="1:21" ht="21" x14ac:dyDescent="0.4">
      <c r="A2" s="58" t="s">
        <v>640</v>
      </c>
      <c r="M2" s="163"/>
      <c r="T2" t="s">
        <v>289</v>
      </c>
    </row>
    <row r="3" spans="1:21" x14ac:dyDescent="0.3">
      <c r="L3" s="6"/>
      <c r="P3" s="6"/>
      <c r="R3" s="6"/>
      <c r="S3" s="7"/>
      <c r="T3" s="7"/>
      <c r="U3" s="7"/>
    </row>
    <row r="4" spans="1:21" x14ac:dyDescent="0.3">
      <c r="A4" s="78"/>
      <c r="B4" s="79"/>
      <c r="C4" s="79"/>
      <c r="D4" s="79"/>
      <c r="E4" s="79"/>
      <c r="F4" s="79"/>
      <c r="G4" s="79"/>
      <c r="H4" s="79"/>
      <c r="I4" s="79"/>
      <c r="J4" s="79"/>
      <c r="K4" s="79"/>
      <c r="L4" s="79"/>
      <c r="M4" s="79"/>
      <c r="N4" s="80"/>
      <c r="O4" s="79"/>
      <c r="P4" s="81"/>
      <c r="Q4" s="79"/>
      <c r="R4" s="81"/>
      <c r="S4" s="82"/>
      <c r="T4" s="82"/>
      <c r="U4" s="82"/>
    </row>
    <row r="5" spans="1:21" x14ac:dyDescent="0.3">
      <c r="A5" s="60" t="s">
        <v>10</v>
      </c>
      <c r="B5" s="41"/>
      <c r="C5" s="41"/>
      <c r="D5" s="47"/>
      <c r="E5" s="47"/>
      <c r="F5" s="173" t="s">
        <v>11</v>
      </c>
      <c r="G5" s="47"/>
      <c r="H5" s="47"/>
      <c r="I5" s="47"/>
      <c r="J5" s="47"/>
      <c r="K5" s="47"/>
      <c r="L5" s="39" t="s">
        <v>12</v>
      </c>
      <c r="M5" s="39" t="s">
        <v>247</v>
      </c>
      <c r="N5" s="39" t="s">
        <v>13</v>
      </c>
      <c r="O5" s="39" t="s">
        <v>14</v>
      </c>
      <c r="P5" s="40" t="s">
        <v>15</v>
      </c>
      <c r="Q5" s="40" t="s">
        <v>16</v>
      </c>
      <c r="R5" s="40" t="s">
        <v>17</v>
      </c>
      <c r="S5" s="40" t="s">
        <v>18</v>
      </c>
      <c r="T5" s="52" t="s">
        <v>287</v>
      </c>
      <c r="U5" s="52" t="s">
        <v>288</v>
      </c>
    </row>
    <row r="6" spans="1:21" s="8" customFormat="1" ht="57.6" x14ac:dyDescent="0.3">
      <c r="A6" s="62" t="s">
        <v>19</v>
      </c>
      <c r="B6" s="61" t="s">
        <v>20</v>
      </c>
      <c r="C6" s="61" t="s">
        <v>21</v>
      </c>
      <c r="D6" s="63" t="s">
        <v>22</v>
      </c>
      <c r="E6" s="64" t="s">
        <v>23</v>
      </c>
      <c r="F6" s="172" t="s">
        <v>24</v>
      </c>
      <c r="G6" s="171" t="s">
        <v>25</v>
      </c>
      <c r="H6" s="172" t="s">
        <v>26</v>
      </c>
      <c r="I6" s="172" t="s">
        <v>27</v>
      </c>
      <c r="J6" s="172" t="s">
        <v>28</v>
      </c>
      <c r="K6" s="171" t="s">
        <v>29</v>
      </c>
      <c r="L6" s="67" t="s">
        <v>30</v>
      </c>
      <c r="M6" s="67" t="s">
        <v>31</v>
      </c>
      <c r="N6" s="67" t="s">
        <v>32</v>
      </c>
      <c r="O6" s="68" t="s">
        <v>33</v>
      </c>
      <c r="P6" s="69" t="s">
        <v>34</v>
      </c>
      <c r="Q6" s="70" t="s">
        <v>35</v>
      </c>
      <c r="R6" s="70" t="s">
        <v>36</v>
      </c>
      <c r="S6" s="70" t="s">
        <v>37</v>
      </c>
      <c r="T6" s="46" t="s">
        <v>38</v>
      </c>
      <c r="U6" s="46" t="s">
        <v>286</v>
      </c>
    </row>
    <row r="7" spans="1:21" x14ac:dyDescent="0.3">
      <c r="A7" s="11">
        <v>21111.02</v>
      </c>
      <c r="B7" s="11" t="s">
        <v>583</v>
      </c>
      <c r="C7" s="15" t="s">
        <v>584</v>
      </c>
      <c r="D7" t="s">
        <v>39</v>
      </c>
      <c r="E7" t="s">
        <v>40</v>
      </c>
      <c r="F7" s="459">
        <f>'GHG det D24m, results per kg'!G11</f>
        <v>30.578075517124983</v>
      </c>
      <c r="G7" s="459">
        <f>'GHG det D24m, results per kg'!G7</f>
        <v>3.4321148841055247</v>
      </c>
      <c r="H7" s="460">
        <f>'GHG det D24m, results per kg'!G8</f>
        <v>3.0930649355820218E-2</v>
      </c>
      <c r="I7" s="461">
        <f>'GHG det D24m, results per kg'!G9</f>
        <v>1.0810814916047062</v>
      </c>
      <c r="J7" s="461">
        <f>'GHG det D24m, results per kg'!G10</f>
        <v>3.5359551223737094E-2</v>
      </c>
      <c r="L7" s="17">
        <f>'Production D24m'!$B$5*'Parameters D24m, country spec'!$B$30*'EFP per kg feed'!F22/'Production D24m'!$B$15</f>
        <v>20.891547121053435</v>
      </c>
      <c r="M7" s="294">
        <f>('Production D24m'!$B$5*'Parameters D24m, country spec'!$B$30*'EFP per kg feed'!G22-Excreted_N_after_losses_DK*Manure_repl_factor_DK)/'Production D24m'!$B$15</f>
        <v>0.24083925906187156</v>
      </c>
      <c r="N7" s="463">
        <f>('Production D24m'!$B$5*'Parameters D24m, country spec'!$B$30*'EFP per kg feed'!H20+('Production D24m'!$B$6+'Production D24m'!$B$7)*'Parameters D24m, country spec'!$B$52*'EFP per kg feed'!H15)/'Production D24m'!$B$15</f>
        <v>9.7709129002207327E-3</v>
      </c>
      <c r="O7" s="463">
        <f>('Production D24m'!$B$5*'Parameters D24m, country spec'!$B$30*'EFP per kg feed'!I20+('Production D24m'!$B$6+'Production D24m'!$B$7)*'Parameters D24m, country spec'!$B$52*'EFP per kg feed'!I15)/'Production D24m'!$B$15</f>
        <v>4.6386268695272183E-3</v>
      </c>
      <c r="P7" s="463">
        <f>('Production D24m'!$B$5*'Parameters D24m, country spec'!$B$30*'EFP per kg feed'!J20+('Production D24m'!$B$6+'Production D24m'!$B$7)*'Parameters D24m, country spec'!$B$52*'EFP per kg feed'!J15)/'Production D24m'!$B$15</f>
        <v>0.50544185013893272</v>
      </c>
      <c r="Q7" s="464">
        <f>('Production D24m'!$B$5*'Parameters D24m, country spec'!$B$30*'EFP per kg feed'!K20+('Production D24m'!$B$6+'Production D24m'!$B$7)*'Parameters D24m, country spec'!$B$52*'EFP per kg feed'!K15)/'Production D24m'!$B$15</f>
        <v>1.3801936626304279E-9</v>
      </c>
      <c r="R7" s="465">
        <f>('Production D24m'!$B$5*'Parameters D24m, country spec'!$B$30*'EFP per kg feed'!L20+('Production D24m'!$B$6+'Production D24m'!$B$7)*'Parameters D24m, country spec'!$B$52*'EFP per kg feed'!L15+Manure!C159)/'Production D24m'!$B$15</f>
        <v>0.40318891437795429</v>
      </c>
      <c r="S7" s="17"/>
      <c r="T7" s="18">
        <v>0.20061450746455783</v>
      </c>
      <c r="U7" s="121">
        <v>16.134751773049647</v>
      </c>
    </row>
    <row r="8" spans="1:21" x14ac:dyDescent="0.3">
      <c r="A8" s="11">
        <v>21111.02</v>
      </c>
      <c r="B8" s="11" t="s">
        <v>583</v>
      </c>
      <c r="C8" s="15" t="s">
        <v>584</v>
      </c>
      <c r="D8" t="s">
        <v>41</v>
      </c>
      <c r="E8" t="s">
        <v>42</v>
      </c>
      <c r="F8" s="459">
        <f>'GHG det D24m, results per kg'!G16</f>
        <v>22.127357131637549</v>
      </c>
      <c r="G8" s="459">
        <f>'GHG det D24m, results per kg'!G12</f>
        <v>1.8768246502604352E-4</v>
      </c>
      <c r="H8" s="460">
        <f>'GHG det D24m, results per kg'!G13</f>
        <v>1.311908925044001E-6</v>
      </c>
      <c r="I8" s="461">
        <f>'GHG det D24m, results per kg'!G14</f>
        <v>0.65194237503894348</v>
      </c>
      <c r="J8" s="461">
        <f>'GHG det D24m, results per kg'!G15</f>
        <v>4.2908155328783053E-2</v>
      </c>
      <c r="L8" s="17">
        <f>'Production D24m'!$C$5*'Parameters D24m, country spec'!$C$30*'EFP per kg feed'!F40/'Production D24m'!$C$15</f>
        <v>19.531816646883499</v>
      </c>
      <c r="M8" s="294">
        <f>('Production D24m'!$C$5*'Parameters D24m, country spec'!$C$30*'EFP per kg feed'!G40-Excreted_N_after_losses_FR*Manure_repl_factor_FR)/'Production D24m'!C15</f>
        <v>0.29707664611178036</v>
      </c>
      <c r="N8" s="463">
        <f>('Production D24m'!$C$5*'Parameters D24m, country spec'!$C$30*'EFP per kg feed'!H38+('Production D24m'!$C$6+'Production D24m'!$C$7)*'Parameters D24m, country spec'!$C$52*'EFP per kg feed'!H39)/'Production D24m'!C15</f>
        <v>2.3367525709769982E-2</v>
      </c>
      <c r="O8" s="463">
        <f>('Production D24m'!$C$5*'Parameters D24m, country spec'!$C$30*'EFP per kg feed'!I38+('Production D24m'!$C$6+'Production D24m'!$C$7)*'Parameters D24m, country spec'!$C$52*'EFP per kg feed'!I39)/'Production D24m'!C15</f>
        <v>0.1971965773662045</v>
      </c>
      <c r="P8" s="463">
        <f>('Production D24m'!$C$5*'Parameters D24m, country spec'!$C$30*'EFP per kg feed'!J38+('Production D24m'!$C$6+'Production D24m'!$C$7)*'Parameters D24m, country spec'!$C$52*'EFP per kg feed'!J39)/'Production D24m'!C15</f>
        <v>1.0898591751723554</v>
      </c>
      <c r="Q8" s="464">
        <f>('Production D24m'!$C$5*'Parameters D24m, country spec'!$C$30*'EFP per kg feed'!K38+('Production D24m'!$C$6+'Production D24m'!$C$7)*'Parameters D24m, country spec'!$C$52*'EFP per kg feed'!K39)/'Production D24m'!C15</f>
        <v>8.6850259056667824E-9</v>
      </c>
      <c r="R8" s="465">
        <f>('Production D24m'!$C$5*'Parameters D24m, country spec'!$C$30*'EFP per kg feed'!L38+('Production D24m'!$C$6+'Production D24m'!$C$7)*'Parameters D24m, country spec'!$C$52*'EFP per kg feed'!L39+Manure!E159)/'Production D24m'!C15</f>
        <v>0.39048551537885207</v>
      </c>
      <c r="S8" s="9"/>
      <c r="T8" s="18">
        <v>0.24631609136613059</v>
      </c>
      <c r="U8" s="121">
        <v>31.990694948162801</v>
      </c>
    </row>
    <row r="9" spans="1:21" x14ac:dyDescent="0.3">
      <c r="A9" s="11">
        <v>21111.02</v>
      </c>
      <c r="B9" s="11" t="s">
        <v>583</v>
      </c>
      <c r="C9" s="15" t="s">
        <v>584</v>
      </c>
      <c r="D9" t="s">
        <v>43</v>
      </c>
      <c r="E9" t="s">
        <v>44</v>
      </c>
      <c r="F9" s="459">
        <f>'GHG det D24m, results per kg'!G21</f>
        <v>23.648688538692607</v>
      </c>
      <c r="G9" s="459">
        <f>'GHG det D24m, results per kg'!G17</f>
        <v>2.0927458142929627E-4</v>
      </c>
      <c r="H9" s="460">
        <f>'GHG det D24m, results per kg'!G18</f>
        <v>1.3756598420537985E-6</v>
      </c>
      <c r="I9" s="461">
        <f>'GHG det D24m, results per kg'!G19</f>
        <v>0.85358322247977836</v>
      </c>
      <c r="J9" s="461">
        <f>'GHG det D24m, results per kg'!G20</f>
        <v>3.8402115133415529E-2</v>
      </c>
      <c r="L9" s="17">
        <f>'Production D24m'!$D$5*'Parameters D24m, country spec'!$D$30*'EFP per kg feed'!F58/'Production D24m'!$D$15</f>
        <v>14.305133750398086</v>
      </c>
      <c r="M9" s="294">
        <f>('Production D24m'!$D$5*'Parameters D24m, country spec'!$D$30*'EFP per kg feed'!G58-Excreted_N_after_losses_DE*Manure_repl_factor_DE)/'Production D24m'!$D$15</f>
        <v>0.24490856491813942</v>
      </c>
      <c r="N9" s="463">
        <f>('Production D24m'!$D$5*'Parameters D24m, country spec'!$D$30*'EFP per kg feed'!H56+('Production D24m'!$D$6+'Production D24m'!$D$7)*'Parameters D24m, country spec'!$D$52*'EFP per kg feed'!H57)/'Production D24m'!$D$15</f>
        <v>1.2206473514827358E-2</v>
      </c>
      <c r="O9" s="463">
        <f>('Production D24m'!$D$5*'Parameters D24m, country spec'!$D$30*'EFP per kg feed'!I56+('Production D24m'!$D$6+'Production D24m'!$D$7)*'Parameters D24m, country spec'!$D$52*'EFP per kg feed'!I57)/'Production D24m'!$D$15</f>
        <v>6.4803322506345948E-3</v>
      </c>
      <c r="P9" s="463">
        <f>('Production D24m'!$D$5*'Parameters D24m, country spec'!$D$30*'EFP per kg feed'!J56+('Production D24m'!$D$6+'Production D24m'!$D$7)*'Parameters D24m, country spec'!$D$52*'EFP per kg feed'!J57)/'Production D24m'!$D$15</f>
        <v>0.65416486819537634</v>
      </c>
      <c r="Q9" s="464">
        <f>('Production D24m'!$D$5*'Parameters D24m, country spec'!$D$30*'EFP per kg feed'!K56+('Production D24m'!$D$6+'Production D24m'!$D$7)*'Parameters D24m, country spec'!$D$52*'EFP per kg feed'!K57)/'Production D24m'!$D$15</f>
        <v>1.3140219205774538E-9</v>
      </c>
      <c r="R9" s="465">
        <f>('Production D24m'!$D$5*'Parameters D24m, country spec'!$D$30*'EFP per kg feed'!L56+('Production D24m'!$D$6+'Production D24m'!$D$7)*'Parameters D24m, country spec'!$D$52*'EFP per kg feed'!L57+Manure!G159)/'Production D24m'!$D$15</f>
        <v>0.4472851959031412</v>
      </c>
      <c r="S9" s="9"/>
      <c r="T9" s="18">
        <v>0.28238672518108959</v>
      </c>
      <c r="U9" s="121">
        <v>42.008021846731516</v>
      </c>
    </row>
    <row r="10" spans="1:21" x14ac:dyDescent="0.3">
      <c r="A10" s="11">
        <v>21111.02</v>
      </c>
      <c r="B10" s="11" t="s">
        <v>583</v>
      </c>
      <c r="C10" s="15" t="s">
        <v>584</v>
      </c>
      <c r="D10" t="s">
        <v>45</v>
      </c>
      <c r="E10" t="s">
        <v>46</v>
      </c>
      <c r="F10" s="459">
        <f>'GHG det D24m, results per kg'!G26</f>
        <v>23.100877408774828</v>
      </c>
      <c r="G10" s="459">
        <f>'GHG det D24m, results per kg'!G22</f>
        <v>2.777622475119199E-4</v>
      </c>
      <c r="H10" s="460">
        <f>'GHG det D24m, results per kg'!G23</f>
        <v>7.4082387437526626E-7</v>
      </c>
      <c r="I10" s="461">
        <f>'GHG det D24m, results per kg'!G24</f>
        <v>0.6887334502069411</v>
      </c>
      <c r="J10" s="461">
        <f>'GHG det D24m, results per kg'!G25</f>
        <v>4.8926895431498259E-2</v>
      </c>
      <c r="L10" s="17">
        <f>'Production D24m'!$E$5*'Parameters D24m, country spec'!$E$30*'EFP per kg feed'!F76/'Production D24m'!$E$15</f>
        <v>31.330594755908127</v>
      </c>
      <c r="M10" s="294">
        <f>('Production D24m'!$E$5*'Parameters D24m, country spec'!$E$30*'EFP per kg feed'!G76-Excreted_N_after_losses_GR*Manure_repl_factor_GR)/'Production D24m'!$E$15</f>
        <v>0.47411983141754427</v>
      </c>
      <c r="N10" s="463">
        <f>('Production D24m'!$E$5*'Parameters D24m, country spec'!$E$30*'EFP per kg feed'!H74+('Production D24m'!$E$6+'Production D24m'!$E$7)*'Parameters D24m, country spec'!$E$52*'EFP per kg feed'!H75)/'Production D24m'!$E$15</f>
        <v>5.3494247825070569E-2</v>
      </c>
      <c r="O10" s="463">
        <f>('Production D24m'!$E$5*'Parameters D24m, country spec'!$E$30*'EFP per kg feed'!I74+('Production D24m'!$E$6+'Production D24m'!$E$7)*'Parameters D24m, country spec'!$E$52*'EFP per kg feed'!I75)/'Production D24m'!$E$15</f>
        <v>2.169970251551991</v>
      </c>
      <c r="P10" s="463">
        <f>('Production D24m'!$E$5*'Parameters D24m, country spec'!$E$30*'EFP per kg feed'!J74+('Production D24m'!$E$6+'Production D24m'!$E$7)*'Parameters D24m, country spec'!$E$52*'EFP per kg feed'!J75)/'Production D24m'!$E$15</f>
        <v>1.3393228088659299</v>
      </c>
      <c r="Q10" s="464">
        <f>('Production D24m'!$E$5*'Parameters D24m, country spec'!$E$30*'EFP per kg feed'!K74+('Production D24m'!$E$6+'Production D24m'!$E$7)*'Parameters D24m, country spec'!$E$52*'EFP per kg feed'!K75)/'Production D24m'!$E$15</f>
        <v>1.1206794431334689E-7</v>
      </c>
      <c r="R10" s="465">
        <f>('Production D24m'!$E$5*'Parameters D24m, country spec'!$E$30*'EFP per kg feed'!L74+('Production D24m'!$E$6+'Production D24m'!$E$7)*'Parameters D24m, country spec'!$E$52*'EFP per kg feed'!L75+Manure!I159)/'Production D24m'!$E$15</f>
        <v>0.45175604383442552</v>
      </c>
      <c r="S10" s="9"/>
      <c r="T10" s="18">
        <v>0.28502160775195556</v>
      </c>
      <c r="U10" s="121">
        <v>93.603378167031607</v>
      </c>
    </row>
    <row r="11" spans="1:21" x14ac:dyDescent="0.3">
      <c r="A11" s="11">
        <v>21111.02</v>
      </c>
      <c r="B11" s="11" t="s">
        <v>583</v>
      </c>
      <c r="C11" s="15" t="s">
        <v>584</v>
      </c>
      <c r="D11" t="s">
        <v>47</v>
      </c>
      <c r="E11" t="s">
        <v>48</v>
      </c>
      <c r="F11" s="459">
        <f>'GHG det D24m, results per kg'!G31</f>
        <v>32.210532918507127</v>
      </c>
      <c r="G11" s="459">
        <f>'GHG det D24m, results per kg'!G27</f>
        <v>2.6618238970613201E-4</v>
      </c>
      <c r="H11" s="460">
        <f>'GHG det D24m, results per kg'!G28</f>
        <v>1.3488347111816167E-6</v>
      </c>
      <c r="I11" s="461">
        <f>'GHG det D24m, results per kg'!G29</f>
        <v>1.1150112780647048</v>
      </c>
      <c r="J11" s="461">
        <f>'GHG det D24m, results per kg'!G30</f>
        <v>5.2248825459249575E-2</v>
      </c>
      <c r="L11" s="17">
        <f>'Production D24m'!$F$5*'Parameters D24m, country spec'!$F$30*'EFP per kg feed'!F94/'Production D24m'!$F$15</f>
        <v>34.49396954365757</v>
      </c>
      <c r="M11" s="294">
        <f>('Production D24m'!$F$5*'Parameters D24m, country spec'!$F$30*'EFP per kg feed'!G94-Excreted_N_after_losses_HU*Manure_repl_factor_HU)/'Production D24m'!$F$15</f>
        <v>0.48128610685208578</v>
      </c>
      <c r="N11" s="463">
        <f>('Production D24m'!$F$5*'Parameters D24m, country spec'!$F$30*'EFP per kg feed'!H92+('Production D24m'!$F$6+'Production D24m'!$F$7)*'Parameters D24m, country spec'!$F$52*'EFP per kg feed'!H93)/'Production D24m'!$F$15</f>
        <v>3.9208351947465463E-2</v>
      </c>
      <c r="O11" s="463">
        <f>('Production D24m'!$F$5*'Parameters D24m, country spec'!$F$30*'EFP per kg feed'!I92+('Production D24m'!$F$6+'Production D24m'!$F$7)*'Parameters D24m, country spec'!$F$52*'EFP per kg feed'!I93)/'Production D24m'!$F$15</f>
        <v>6.2602245698291981E-2</v>
      </c>
      <c r="P11" s="463">
        <f>('Production D24m'!$F$5*'Parameters D24m, country spec'!$F$30*'EFP per kg feed'!J92+('Production D24m'!$F$6+'Production D24m'!$F$7)*'Parameters D24m, country spec'!$F$52*'EFP per kg feed'!J93)/'Production D24m'!$F$15</f>
        <v>1.5419545063415969</v>
      </c>
      <c r="Q11" s="464">
        <f>('Production D24m'!$F$5*'Parameters D24m, country spec'!$F$30*'EFP per kg feed'!K92+('Production D24m'!$F$6+'Production D24m'!$F$7)*'Parameters D24m, country spec'!$F$52*'EFP per kg feed'!K93)/'Production D24m'!$F$15</f>
        <v>2.8311530709249545E-9</v>
      </c>
      <c r="R11" s="465">
        <f>('Production D24m'!$F$5*'Parameters D24m, country spec'!$F$30*'EFP per kg feed'!L92+('Production D24m'!$F$6+'Production D24m'!$F$7)*'Parameters D24m, country spec'!$F$52*'EFP per kg feed'!L93+Manure!K159)/'Production D24m'!$F$15</f>
        <v>0.47099094528199298</v>
      </c>
      <c r="S11" s="9"/>
      <c r="T11" s="18">
        <v>0.2997406069409313</v>
      </c>
      <c r="U11" s="121">
        <v>86.193345559339789</v>
      </c>
    </row>
    <row r="12" spans="1:21" x14ac:dyDescent="0.3">
      <c r="A12" s="11">
        <v>21111.02</v>
      </c>
      <c r="B12" s="11" t="s">
        <v>583</v>
      </c>
      <c r="C12" s="15" t="s">
        <v>584</v>
      </c>
      <c r="D12" t="s">
        <v>49</v>
      </c>
      <c r="E12" t="s">
        <v>50</v>
      </c>
      <c r="F12" s="459">
        <f>'GHG det D24m, results per kg'!G36</f>
        <v>27.983100491696327</v>
      </c>
      <c r="G12" s="459">
        <f>'GHG det D24m, results per kg'!G32</f>
        <v>1.4497157116284356E-4</v>
      </c>
      <c r="H12" s="460">
        <f>'GHG det D24m, results per kg'!G33</f>
        <v>2.8312950350143849E-7</v>
      </c>
      <c r="I12" s="461">
        <f>'GHG det D24m, results per kg'!G34</f>
        <v>1.076922939514509</v>
      </c>
      <c r="J12" s="461">
        <f>'GHG det D24m, results per kg'!G35</f>
        <v>3.2833486692300379E-2</v>
      </c>
      <c r="L12" s="17">
        <f>'Production D24m'!$G$5*'Parameters D24m, country spec'!$G$30*'EFP per kg feed'!F112/'Production D24m'!$G$15</f>
        <v>7.656914966858154</v>
      </c>
      <c r="M12" s="294">
        <f>('Production D24m'!$G$5*'Parameters D24m, country spec'!$G$30*'EFP per kg feed'!G112-Excreted_N_after_losses_IE*Manure_repl_factor_IE)/'Production D24m'!$G$15</f>
        <v>0.36585952451696607</v>
      </c>
      <c r="N12" s="463">
        <f>('Production D24m'!$G$5*'Parameters D24m, country spec'!$G$30*'EFP per kg feed'!H110+('Production D24m'!$G$6+'Production D24m'!$G$7)*'Parameters D24m, country spec'!$G$52*'EFP per kg feed'!H111)/'Production D24m'!$G$15</f>
        <v>2.2742312663097387E-2</v>
      </c>
      <c r="O12" s="463">
        <f>('Production D24m'!$G$5*'Parameters D24m, country spec'!$G$30*'EFP per kg feed'!I110+('Production D24m'!$G$6+'Production D24m'!$G$7)*'Parameters D24m, country spec'!$G$52*'EFP per kg feed'!I111)/'Production D24m'!$G$15</f>
        <v>1.2276244901855593E-3</v>
      </c>
      <c r="P12" s="463">
        <f>('Production D24m'!$G$5*'Parameters D24m, country spec'!$G$30*'EFP per kg feed'!J110+('Production D24m'!$G$6+'Production D24m'!$G$7)*'Parameters D24m, country spec'!$G$52*'EFP per kg feed'!J111)/'Production D24m'!$G$15</f>
        <v>2.0163881905666079</v>
      </c>
      <c r="Q12" s="464">
        <f>('Production D24m'!$G$5*'Parameters D24m, country spec'!$G$30*'EFP per kg feed'!K110+('Production D24m'!$G$6+'Production D24m'!$G$7)*'Parameters D24m, country spec'!$G$52*'EFP per kg feed'!K111)/'Production D24m'!$G$15</f>
        <v>9.1145200563007095E-10</v>
      </c>
      <c r="R12" s="465">
        <f>('Production D24m'!$G$5*'Parameters D24m, country spec'!$G$30*'EFP per kg feed'!L110+('Production D24m'!$G$6+'Production D24m'!$G$7)*'Parameters D24m, country spec'!$G$52*'EFP per kg feed'!L111+Manure!M159)/'Production D24m'!$G$15</f>
        <v>0.38375593084555293</v>
      </c>
      <c r="S12" s="9"/>
      <c r="T12" s="18">
        <v>0.25013212819290204</v>
      </c>
      <c r="U12" s="121">
        <v>33.68025440878867</v>
      </c>
    </row>
    <row r="13" spans="1:21" x14ac:dyDescent="0.3">
      <c r="A13" s="11">
        <v>21111.02</v>
      </c>
      <c r="B13" s="11" t="s">
        <v>583</v>
      </c>
      <c r="C13" s="15" t="s">
        <v>584</v>
      </c>
      <c r="D13" t="s">
        <v>51</v>
      </c>
      <c r="E13" t="s">
        <v>52</v>
      </c>
      <c r="F13" s="459">
        <f>'GHG det D24m, results per kg'!G41</f>
        <v>35.238812995883798</v>
      </c>
      <c r="G13" s="459">
        <f>'GHG det D24m, results per kg'!G37</f>
        <v>1.686349287858241E-4</v>
      </c>
      <c r="H13" s="460">
        <f>'GHG det D24m, results per kg'!G38</f>
        <v>9.4642631013741743E-7</v>
      </c>
      <c r="I13" s="461">
        <f>'GHG det D24m, results per kg'!G39</f>
        <v>1.3328476019645761</v>
      </c>
      <c r="J13" s="461">
        <f>'GHG det D24m, results per kg'!G40</f>
        <v>5.3867571549885147E-2</v>
      </c>
      <c r="L13" s="17">
        <f>'Production D24m'!$H$5*'Parameters D24m, country spec'!$H$30*'EFP per kg feed'!F130/'Production D24m'!$H$15</f>
        <v>17.004109363558314</v>
      </c>
      <c r="M13" s="294">
        <f>('Production D24m'!$H$5*'Parameters D24m, country spec'!$H$30*'EFP per kg feed'!G130-Excreted_N_after_losses_IT*Manure_repl_factor_IT)/'Production D24m'!$H$15</f>
        <v>0.34359987909670281</v>
      </c>
      <c r="N13" s="463">
        <f>('Production D24m'!$H$5*'Parameters D24m, country spec'!$H$30*'EFP per kg feed'!H128+('Production D24m'!$H$6+'Production D24m'!$H$7)*'Parameters D24m, country spec'!$H$52*'EFP per kg feed'!H129)/'Production D24m'!$H$15</f>
        <v>2.0962299808839589E-2</v>
      </c>
      <c r="O13" s="463">
        <f>('Production D24m'!$H$5*'Parameters D24m, country spec'!$H$30*'EFP per kg feed'!I128+('Production D24m'!$H$6+'Production D24m'!$H$7)*'Parameters D24m, country spec'!$H$52*'EFP per kg feed'!I129)/'Production D24m'!$H$15</f>
        <v>0.21871256472193587</v>
      </c>
      <c r="P13" s="463">
        <f>('Production D24m'!$H$5*'Parameters D24m, country spec'!$H$30*'EFP per kg feed'!J128+('Production D24m'!$H$6+'Production D24m'!$H$7)*'Parameters D24m, country spec'!$H$52*'EFP per kg feed'!J129)/'Production D24m'!$H$15</f>
        <v>1.2173564447651932</v>
      </c>
      <c r="Q13" s="464">
        <f>('Production D24m'!$H$5*'Parameters D24m, country spec'!$H$30*'EFP per kg feed'!K128+('Production D24m'!$H$6+'Production D24m'!$H$7)*'Parameters D24m, country spec'!$H$52*'EFP per kg feed'!K129)/'Production D24m'!$H$15</f>
        <v>3.5274025700240821E-8</v>
      </c>
      <c r="R13" s="465">
        <f>('Production D24m'!$H$5*'Parameters D24m, country spec'!$H$30*'EFP per kg feed'!L128+('Production D24m'!$H$6+'Production D24m'!$H$7)*'Parameters D24m, country spec'!$H$52*'EFP per kg feed'!L129+Manure!O159)/'Production D24m'!$H$15</f>
        <v>0.63878408008128384</v>
      </c>
      <c r="S13" s="9"/>
      <c r="T13" s="18">
        <v>0.34062671579919718</v>
      </c>
      <c r="U13" s="121">
        <v>108.95768154124814</v>
      </c>
    </row>
    <row r="14" spans="1:21" x14ac:dyDescent="0.3">
      <c r="A14" s="11">
        <v>21111.02</v>
      </c>
      <c r="B14" s="11" t="s">
        <v>583</v>
      </c>
      <c r="C14" s="15" t="s">
        <v>584</v>
      </c>
      <c r="D14" t="s">
        <v>53</v>
      </c>
      <c r="E14" t="s">
        <v>54</v>
      </c>
      <c r="F14" s="459">
        <f>'GHG det D24m, results per kg'!G46</f>
        <v>23.628281474116783</v>
      </c>
      <c r="G14" s="459">
        <f>'GHG det D24m, results per kg'!G42</f>
        <v>2.7509985646103431E-4</v>
      </c>
      <c r="H14" s="460">
        <f>'GHG det D24m, results per kg'!G43</f>
        <v>1.0181102694614726E-6</v>
      </c>
      <c r="I14" s="461">
        <f>'GHG det D24m, results per kg'!G44</f>
        <v>0.77875629403638691</v>
      </c>
      <c r="J14" s="461">
        <f>'GHG det D24m, results per kg'!G45</f>
        <v>2.3541498073636379E-2</v>
      </c>
      <c r="L14" s="17">
        <f>'Production D24m'!$I$5*'Parameters D24m, country spec'!$I$30*'EFP per kg feed'!F148/'Production D24m'!$I$15</f>
        <v>16.553537857973815</v>
      </c>
      <c r="M14" s="294">
        <f>('Production D24m'!$I$5*'Parameters D24m, country spec'!$I$30*'EFP per kg feed'!G148-Excreted_N_after_losses_NL*Manure_repl_factor_NL)/'Production D24m'!$I$15</f>
        <v>0.63541183254362477</v>
      </c>
      <c r="N14" s="463">
        <f>('Production D24m'!$I$5*'Parameters D24m, country spec'!$I$30*'EFP per kg feed'!H146+('Production D24m'!$I$6+'Production D24m'!$I$7)*'Parameters D24m, country spec'!$I$52*'EFP per kg feed'!H147)/'Production D24m'!$I$15</f>
        <v>1.5779781171392539E-2</v>
      </c>
      <c r="O14" s="463">
        <f>('Production D24m'!$I$5*'Parameters D24m, country spec'!$I$30*'EFP per kg feed'!I146+('Production D24m'!$I$6+'Production D24m'!$I$7)*'Parameters D24m, country spec'!$I$52*'EFP per kg feed'!I147)/'Production D24m'!$I$15</f>
        <v>2.978270095054442E-2</v>
      </c>
      <c r="P14" s="463">
        <f>('Production D24m'!$I$5*'Parameters D24m, country spec'!$I$30*'EFP per kg feed'!J146+('Production D24m'!$I$6+'Production D24m'!$I$7)*'Parameters D24m, country spec'!$I$52*'EFP per kg feed'!J147)/'Production D24m'!$I$15</f>
        <v>1.3024474632025966</v>
      </c>
      <c r="Q14" s="464">
        <f>('Production D24m'!$I$5*'Parameters D24m, country spec'!$I$30*'EFP per kg feed'!K146+('Production D24m'!$I$6+'Production D24m'!$I$7)*'Parameters D24m, country spec'!$I$52*'EFP per kg feed'!K147)/'Production D24m'!$I$15</f>
        <v>2.231037677073321E-9</v>
      </c>
      <c r="R14" s="465">
        <f>('Production D24m'!$I$5*'Parameters D24m, country spec'!$I$30*'EFP per kg feed'!L146+('Production D24m'!$I$6+'Production D24m'!$I$7)*'Parameters D24m, country spec'!$I$52*'EFP per kg feed'!L147+Manure!Q159)/'Production D24m'!$I$15</f>
        <v>0.28446921584294432</v>
      </c>
      <c r="S14" s="9"/>
      <c r="T14" s="18">
        <v>0.2518584305669177</v>
      </c>
      <c r="U14" s="121">
        <v>26.725346231217824</v>
      </c>
    </row>
    <row r="15" spans="1:21" x14ac:dyDescent="0.3">
      <c r="A15" s="11">
        <v>21111.02</v>
      </c>
      <c r="B15" s="11" t="s">
        <v>583</v>
      </c>
      <c r="C15" s="15" t="s">
        <v>584</v>
      </c>
      <c r="D15" t="s">
        <v>55</v>
      </c>
      <c r="E15" t="s">
        <v>56</v>
      </c>
      <c r="F15" s="459">
        <f>'GHG det D24m, results per kg'!G51</f>
        <v>28.041593305653738</v>
      </c>
      <c r="G15" s="459">
        <f>'GHG det D24m, results per kg'!G47</f>
        <v>3.7922766767626345E-4</v>
      </c>
      <c r="H15" s="460">
        <f>'GHG det D24m, results per kg'!G48</f>
        <v>5.9893187093636696E-7</v>
      </c>
      <c r="I15" s="461">
        <f>'GHG det D24m, results per kg'!G49</f>
        <v>0.77490450933581612</v>
      </c>
      <c r="J15" s="461">
        <f>'GHG det D24m, results per kg'!G50</f>
        <v>5.6333606033191895E-2</v>
      </c>
      <c r="L15" s="17">
        <f>'Production D24m'!$J$5*'Parameters D24m, country spec'!$J$30*'EFP per kg feed'!F166/'Production D24m'!$J$15</f>
        <v>23.219235440716037</v>
      </c>
      <c r="M15" s="294">
        <f>('Production D24m'!$J$5*'Parameters D24m, country spec'!$J$30*'EFP per kg feed'!G166-Excreted_N_after_losses_PL*Manure_repl_factor_PL)/'Production D24m'!$J$15</f>
        <v>0.38513846459900186</v>
      </c>
      <c r="N15" s="463">
        <f>('Production D24m'!$J$5*'Parameters D24m, country spec'!$J$30*'EFP per kg feed'!H164+('Production D24m'!$J$6+'Production D24m'!$J$7)*'Parameters D24m, country spec'!$J$52*'EFP per kg feed'!H165)/'Production D24m'!$J$15</f>
        <v>3.3018411903263219E-2</v>
      </c>
      <c r="O15" s="463">
        <f>('Production D24m'!$J$5*'Parameters D24m, country spec'!$J$30*'EFP per kg feed'!I164+('Production D24m'!$J$6+'Production D24m'!$J$7)*'Parameters D24m, country spec'!$J$52*'EFP per kg feed'!I165)/'Production D24m'!$J$15</f>
        <v>1.3382959869019679E-2</v>
      </c>
      <c r="P15" s="463">
        <f>('Production D24m'!$J$5*'Parameters D24m, country spec'!$J$30*'EFP per kg feed'!J164+('Production D24m'!$J$6+'Production D24m'!$J$7)*'Parameters D24m, country spec'!$J$52*'EFP per kg feed'!J165)/'Production D24m'!$J$15</f>
        <v>1.7103952514798619</v>
      </c>
      <c r="Q15" s="464">
        <f>('Production D24m'!$J$5*'Parameters D24m, country spec'!$J$30*'EFP per kg feed'!K164+('Production D24m'!$J$6+'Production D24m'!$J$7)*'Parameters D24m, country spec'!$J$52*'EFP per kg feed'!K165)/'Production D24m'!$J$15</f>
        <v>2.6397112062384702E-9</v>
      </c>
      <c r="R15" s="465">
        <f>('Production D24m'!$J$5*'Parameters D24m, country spec'!$J$30*'EFP per kg feed'!L164+('Production D24m'!$J$6+'Production D24m'!$J$7)*'Parameters D24m, country spec'!$J$52*'EFP per kg feed'!L165+Manure!S159)/'Production D24m'!$J$15</f>
        <v>0.51561734898964495</v>
      </c>
      <c r="S15" s="9"/>
      <c r="T15" s="18">
        <v>0.3237271241377806</v>
      </c>
      <c r="U15" s="121">
        <v>112.12533271612082</v>
      </c>
    </row>
    <row r="16" spans="1:21" x14ac:dyDescent="0.3">
      <c r="A16" s="11">
        <v>21111.02</v>
      </c>
      <c r="B16" s="11" t="s">
        <v>583</v>
      </c>
      <c r="C16" s="15" t="s">
        <v>584</v>
      </c>
      <c r="D16" t="s">
        <v>57</v>
      </c>
      <c r="E16" t="s">
        <v>58</v>
      </c>
      <c r="F16" s="459">
        <f>'GHG det D24m, results per kg'!G56</f>
        <v>26.550469855031128</v>
      </c>
      <c r="G16" s="459">
        <f>'GHG det D24m, results per kg'!G52</f>
        <v>1.934549031488439E-4</v>
      </c>
      <c r="H16" s="460">
        <f>'GHG det D24m, results per kg'!G53</f>
        <v>5.6882720659044006E-7</v>
      </c>
      <c r="I16" s="461">
        <f>'GHG det D24m, results per kg'!G54</f>
        <v>0.8285349808139032</v>
      </c>
      <c r="J16" s="461">
        <f>'GHG det D24m, results per kg'!G55</f>
        <v>3.5723574727509588E-2</v>
      </c>
      <c r="L16" s="17">
        <f>'Production D24m'!$K$5*'Parameters D24m, country spec'!$K$30*'EFP per kg feed'!F184/'Production D24m'!$K$15</f>
        <v>26.848134415003663</v>
      </c>
      <c r="M16" s="294">
        <f>('Production D24m'!$K$5*'Parameters D24m, country spec'!$K$30*'EFP per kg feed'!G184-Excreted_N_after_losses_ES*Manure_repl_factor_ES)/'Production D24m'!$K$15</f>
        <v>0.43039445969324031</v>
      </c>
      <c r="N16" s="463">
        <f>('Production D24m'!$K$5*'Parameters D24m, country spec'!$K$30*'EFP per kg feed'!H182+('Production D24m'!$K$6+'Production D24m'!$K$7)*'Parameters D24m, country spec'!$K$52*'EFP per kg feed'!H183)/'Production D24m'!$K$15</f>
        <v>4.1248548898568153E-2</v>
      </c>
      <c r="O16" s="463">
        <f>('Production D24m'!$K$5*'Parameters D24m, country spec'!$K$30*'EFP per kg feed'!I182+('Production D24m'!$K$6+'Production D24m'!$K$7)*'Parameters D24m, country spec'!$K$52*'EFP per kg feed'!I183)/'Production D24m'!$K$15</f>
        <v>2.3743034846697051</v>
      </c>
      <c r="P16" s="463">
        <f>('Production D24m'!$K$5*'Parameters D24m, country spec'!$K$30*'EFP per kg feed'!J182+('Production D24m'!$K$6+'Production D24m'!$K$7)*'Parameters D24m, country spec'!$K$52*'EFP per kg feed'!J183)/'Production D24m'!$K$15</f>
        <v>1.6260572315166095</v>
      </c>
      <c r="Q16" s="464">
        <f>('Production D24m'!$K$5*'Parameters D24m, country spec'!$K$30*'EFP per kg feed'!K182+('Production D24m'!$K$6+'Production D24m'!$K$7)*'Parameters D24m, country spec'!$K$52*'EFP per kg feed'!K183)/'Production D24m'!$K$15</f>
        <v>1.0264649790073733E-7</v>
      </c>
      <c r="R16" s="465">
        <f>('Production D24m'!$K$5*'Parameters D24m, country spec'!$K$30*'EFP per kg feed'!L182+('Production D24m'!$K$6+'Production D24m'!$K$7)*'Parameters D24m, country spec'!$K$52*'EFP per kg feed'!L183+Manure!U159)/'Production D24m'!$K$15</f>
        <v>0.32366280669590825</v>
      </c>
      <c r="S16" s="9"/>
      <c r="T16" s="18">
        <v>0.22614561099605271</v>
      </c>
      <c r="U16" s="121">
        <v>80.47796399751708</v>
      </c>
    </row>
    <row r="17" spans="1:21" x14ac:dyDescent="0.3">
      <c r="A17" s="11">
        <v>21111.02</v>
      </c>
      <c r="B17" s="11" t="s">
        <v>583</v>
      </c>
      <c r="C17" s="15" t="s">
        <v>584</v>
      </c>
      <c r="D17" s="16" t="s">
        <v>59</v>
      </c>
      <c r="E17" s="16" t="s">
        <v>60</v>
      </c>
      <c r="F17" s="462">
        <f>'GHG det D24m, results per kg'!G61</f>
        <v>27.168168605591184</v>
      </c>
      <c r="G17" s="459">
        <f>'GHG det D24m, results per kg'!G57</f>
        <v>3.5361786492455003E-4</v>
      </c>
      <c r="H17" s="460">
        <f>'GHG det D24m, results per kg'!G58</f>
        <v>2.914991177535391E-6</v>
      </c>
      <c r="I17" s="461">
        <f>'GHG det D24m, results per kg'!G59</f>
        <v>0.88947990312202596</v>
      </c>
      <c r="J17" s="461">
        <f>'GHG det D24m, results per kg'!G60</f>
        <v>3.7116433262592861E-2</v>
      </c>
      <c r="K17" s="16"/>
      <c r="L17" s="17">
        <f>'Production D24m'!$L$5*'Parameters D24m, country spec'!$L$30*'EFP per kg feed'!F202/'Production D24m'!$L$15</f>
        <v>27.711382825708267</v>
      </c>
      <c r="M17" s="294">
        <f>('Production D24m'!$L$5*'Parameters D24m, country spec'!$L$30*'EFP per kg feed'!G202-Excreted_N_after_losses_SE*Manure_repl_factor_SE)/'Production D24m'!$L$15</f>
        <v>0.33298847333828235</v>
      </c>
      <c r="N17" s="463">
        <f>('Production D24m'!$L$5*'Parameters D24m, country spec'!$L$30*'EFP per kg feed'!H200+('Production D24m'!$L$6+'Production D24m'!$L$7)*'Parameters D24m, country spec'!$L$52*'EFP per kg feed'!H201)/'Production D24m'!$L$15</f>
        <v>3.1128692805203343E-3</v>
      </c>
      <c r="O17" s="463">
        <f>('Production D24m'!$L$5*'Parameters D24m, country spec'!$L$30*'EFP per kg feed'!I200+('Production D24m'!$L$6+'Production D24m'!$L$7)*'Parameters D24m, country spec'!$L$52*'EFP per kg feed'!I201)/'Production D24m'!$L$15</f>
        <v>0</v>
      </c>
      <c r="P17" s="463">
        <f>('Production D24m'!$L$5*'Parameters D24m, country spec'!$L$30*'EFP per kg feed'!J200+('Production D24m'!$L$6+'Production D24m'!$L$7)*'Parameters D24m, country spec'!$L$52*'EFP per kg feed'!J201)/'Production D24m'!$L$15</f>
        <v>1.9718053103000961E-2</v>
      </c>
      <c r="Q17" s="464">
        <f>('Production D24m'!$L$5*'Parameters D24m, country spec'!$L$30*'EFP per kg feed'!K200+('Production D24m'!$L$6+'Production D24m'!$L$7)*'Parameters D24m, country spec'!$L$52*'EFP per kg feed'!K201)/'Production D24m'!$L$15</f>
        <v>-3.5421527195728662E-9</v>
      </c>
      <c r="R17" s="465">
        <f>('Production D24m'!$L$5*'Parameters D24m, country spec'!$L$30*'EFP per kg feed'!L200+('Production D24m'!$L$6+'Production D24m'!$L$7)*'Parameters D24m, country spec'!$L$52*'EFP per kg feed'!L201+Manure!W159)/'Production D24m'!$L$15</f>
        <v>0.38362547085983728</v>
      </c>
      <c r="S17" s="9"/>
      <c r="T17" s="18">
        <v>0.20988202547243145</v>
      </c>
      <c r="U17" s="121">
        <v>8.3075734157650718</v>
      </c>
    </row>
    <row r="18" spans="1:21" x14ac:dyDescent="0.3">
      <c r="A18" s="11">
        <v>21111.02</v>
      </c>
      <c r="B18" s="11" t="s">
        <v>583</v>
      </c>
      <c r="C18" s="15" t="s">
        <v>584</v>
      </c>
      <c r="D18" s="16" t="s">
        <v>556</v>
      </c>
      <c r="E18" s="16" t="s">
        <v>560</v>
      </c>
      <c r="F18" s="462">
        <f>'GHG det D24m, results per kg'!G66</f>
        <v>24.906651504670052</v>
      </c>
      <c r="G18" s="459">
        <f>'GHG det D24m, results per kg'!G58</f>
        <v>2.914991177535391E-6</v>
      </c>
      <c r="H18" s="460">
        <f>'GHG det D24m, results per kg'!G59</f>
        <v>0.88947990312202596</v>
      </c>
      <c r="I18" s="461">
        <f>'GHG det D24m, results per kg'!G60</f>
        <v>3.7116433262592861E-2</v>
      </c>
      <c r="J18" s="461">
        <f>'GHG det D24m, results per kg'!G61</f>
        <v>27.168168605591184</v>
      </c>
      <c r="L18" s="17">
        <f>'Production D24m'!$M$5*'Parameters D24m, country spec'!$M$30*'EFP per kg feed'!F220/'Production D24m'!$M$15</f>
        <v>5.8480917572058804</v>
      </c>
      <c r="M18" s="294">
        <f>('Production D24m'!$M$5*'Parameters D24m, country spec'!$M$30*'EFP per kg feed'!G220-Excreted_N_after_losses_GB*Manure_repl_factor_GB)/'Production D24m'!$M$15</f>
        <v>0.33409467554503242</v>
      </c>
      <c r="N18" s="463">
        <f>('Production D24m'!$M$5*'Parameters D24m, country spec'!$M$30*'EFP per kg feed'!H158+('Production D24m'!$M$6+'Production D24m'!$M$7)*'Parameters D24m, country spec'!$M$52*'EFP per kg feed'!H159)/'Production D24m'!$M$15</f>
        <v>3.7784350581031079E-2</v>
      </c>
      <c r="O18" s="463">
        <f>('Production D24m'!$M$5*'Parameters D24m, country spec'!$M$30*'EFP per kg feed'!I158+('Production D24m'!$M$6+'Production D24m'!$M$7)*'Parameters D24m, country spec'!$M$52*'EFP per kg feed'!I159)/'Production D24m'!$M$15</f>
        <v>0</v>
      </c>
      <c r="P18" s="463">
        <f>('Production D24m'!$M$5*'Parameters D24m, country spec'!$M$30*'EFP per kg feed'!J158+('Production D24m'!$M$6+'Production D24m'!$M$7)*'Parameters D24m, country spec'!$M$52*'EFP per kg feed'!J159)/'Production D24m'!$M$15</f>
        <v>22.448172973484176</v>
      </c>
      <c r="Q18" s="464">
        <f>('Production D24m'!$M$5*'Parameters D24m, country spec'!$M$30*'EFP per kg feed'!K158+('Production D24m'!$M$6+'Production D24m'!$M$7)*'Parameters D24m, country spec'!$M$52*'EFP per kg feed'!K159)/'Production D24m'!$M$15</f>
        <v>4.8896362970055914E-9</v>
      </c>
      <c r="R18" s="465">
        <f>('Production D24m'!$M$5*'Parameters D24m, country spec'!$M$30*'EFP per kg feed'!L158+('Production D24m'!$M$6+'Production D24m'!$M$7)*'Parameters D24m, country spec'!$M$52*'EFP per kg feed'!L159+Manure!Y159)/'Production D24m'!$M$15</f>
        <v>0.37909639389885336</v>
      </c>
      <c r="T18" s="18">
        <v>0.23268738841337525</v>
      </c>
      <c r="U18" s="121">
        <v>24.672883326325163</v>
      </c>
    </row>
    <row r="19" spans="1:21" x14ac:dyDescent="0.3">
      <c r="J19" s="42"/>
      <c r="M19" s="449"/>
      <c r="T19" s="6"/>
      <c r="U19" s="6"/>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0">
    <tabColor theme="9" tint="0.59999389629810485"/>
  </sheetPr>
  <dimension ref="A1:AA231"/>
  <sheetViews>
    <sheetView zoomScale="80" zoomScaleNormal="80" workbookViewId="0">
      <selection activeCell="A16" sqref="A16"/>
    </sheetView>
  </sheetViews>
  <sheetFormatPr defaultColWidth="8.6640625" defaultRowHeight="14.4" x14ac:dyDescent="0.3"/>
  <cols>
    <col min="1" max="1" width="8.33203125" style="29" customWidth="1"/>
    <col min="2" max="2" width="22.44140625" customWidth="1"/>
    <col min="3" max="3" width="27.33203125" customWidth="1"/>
    <col min="4" max="5" width="10.33203125" customWidth="1"/>
    <col min="6" max="6" width="7.6640625" customWidth="1"/>
    <col min="7" max="7" width="9.33203125" style="11" customWidth="1"/>
    <col min="8" max="20" width="14.6640625" customWidth="1"/>
    <col min="21" max="22" width="14.6640625" style="7" customWidth="1"/>
    <col min="23" max="24" width="14.6640625" customWidth="1"/>
    <col min="26" max="26" width="16" customWidth="1"/>
    <col min="27" max="27" width="19.33203125" customWidth="1"/>
  </cols>
  <sheetData>
    <row r="1" spans="1:27" x14ac:dyDescent="0.3">
      <c r="H1" s="163"/>
      <c r="N1" s="6"/>
    </row>
    <row r="2" spans="1:27" ht="21" x14ac:dyDescent="0.4">
      <c r="A2" s="466" t="s">
        <v>646</v>
      </c>
      <c r="B2" s="437"/>
      <c r="C2" s="437"/>
      <c r="D2" s="437"/>
      <c r="E2" s="437"/>
      <c r="F2" s="437"/>
      <c r="H2" s="163" t="s">
        <v>647</v>
      </c>
      <c r="M2" s="6"/>
      <c r="N2" s="6"/>
      <c r="S2" s="10"/>
      <c r="T2" s="4"/>
    </row>
    <row r="3" spans="1:27" x14ac:dyDescent="0.3">
      <c r="J3" s="6"/>
      <c r="K3" s="163" t="s">
        <v>605</v>
      </c>
      <c r="L3" s="7"/>
      <c r="M3" s="7"/>
      <c r="N3" s="7"/>
      <c r="O3" s="7"/>
      <c r="P3" s="7"/>
      <c r="Q3" s="7"/>
      <c r="R3" s="7"/>
      <c r="S3" s="7"/>
      <c r="T3" s="7"/>
    </row>
    <row r="4" spans="1:27" x14ac:dyDescent="0.3">
      <c r="A4" s="59"/>
      <c r="B4" s="43"/>
      <c r="C4" s="43"/>
      <c r="D4" s="43"/>
      <c r="E4" s="43"/>
      <c r="F4" s="43"/>
      <c r="G4" s="43"/>
      <c r="H4" s="44"/>
      <c r="I4" s="44"/>
      <c r="J4" s="45"/>
      <c r="K4" s="45"/>
      <c r="L4" s="45"/>
      <c r="M4" s="45"/>
      <c r="N4" s="45"/>
      <c r="O4" s="45"/>
      <c r="P4" s="45"/>
      <c r="Q4" s="45"/>
      <c r="R4" s="45"/>
      <c r="S4" s="44" t="s">
        <v>61</v>
      </c>
      <c r="T4" s="44"/>
      <c r="U4" s="55"/>
      <c r="V4" s="55"/>
      <c r="W4" s="45" t="s">
        <v>62</v>
      </c>
      <c r="X4" s="45" t="s">
        <v>63</v>
      </c>
      <c r="Z4" s="44" t="s">
        <v>64</v>
      </c>
      <c r="AA4" s="44"/>
    </row>
    <row r="5" spans="1:27" x14ac:dyDescent="0.3">
      <c r="A5" s="60" t="s">
        <v>10</v>
      </c>
      <c r="B5" s="41"/>
      <c r="C5" s="41"/>
      <c r="D5" s="47"/>
      <c r="E5" s="47"/>
      <c r="F5" s="48"/>
      <c r="G5" s="49" t="s">
        <v>65</v>
      </c>
      <c r="H5" s="49" t="s">
        <v>66</v>
      </c>
      <c r="I5" s="50"/>
      <c r="J5" s="49" t="s">
        <v>67</v>
      </c>
      <c r="K5" s="51"/>
      <c r="L5" s="52" t="s">
        <v>68</v>
      </c>
      <c r="M5" s="51"/>
      <c r="N5" s="51"/>
      <c r="O5" s="51"/>
      <c r="P5" s="52" t="s">
        <v>69</v>
      </c>
      <c r="Q5" s="52" t="s">
        <v>305</v>
      </c>
      <c r="R5" s="52" t="s">
        <v>70</v>
      </c>
      <c r="S5" s="53"/>
      <c r="T5" s="53"/>
      <c r="U5" s="56"/>
      <c r="V5" s="56"/>
      <c r="W5" s="54"/>
      <c r="X5" s="54"/>
      <c r="Z5" s="49"/>
      <c r="AA5" s="49" t="s">
        <v>297</v>
      </c>
    </row>
    <row r="6" spans="1:27" ht="57.6" x14ac:dyDescent="0.3">
      <c r="A6" s="62" t="s">
        <v>71</v>
      </c>
      <c r="B6" s="61" t="s">
        <v>72</v>
      </c>
      <c r="C6" s="61" t="s">
        <v>73</v>
      </c>
      <c r="D6" s="63" t="s">
        <v>22</v>
      </c>
      <c r="E6" s="64" t="s">
        <v>23</v>
      </c>
      <c r="F6" s="63" t="s">
        <v>74</v>
      </c>
      <c r="G6" s="64" t="s">
        <v>75</v>
      </c>
      <c r="H6" s="46" t="s">
        <v>227</v>
      </c>
      <c r="I6" s="46" t="s">
        <v>76</v>
      </c>
      <c r="J6" s="46" t="s">
        <v>228</v>
      </c>
      <c r="K6" s="46" t="s">
        <v>606</v>
      </c>
      <c r="L6" s="46" t="s">
        <v>77</v>
      </c>
      <c r="M6" s="46" t="s">
        <v>78</v>
      </c>
      <c r="N6" s="46" t="s">
        <v>79</v>
      </c>
      <c r="O6" s="46" t="s">
        <v>80</v>
      </c>
      <c r="P6" s="46" t="s">
        <v>81</v>
      </c>
      <c r="Q6" s="46" t="s">
        <v>305</v>
      </c>
      <c r="R6" s="46" t="s">
        <v>82</v>
      </c>
      <c r="S6" s="64" t="s">
        <v>83</v>
      </c>
      <c r="T6" s="64" t="s">
        <v>84</v>
      </c>
      <c r="U6" s="65" t="s">
        <v>85</v>
      </c>
      <c r="V6" s="65" t="s">
        <v>86</v>
      </c>
      <c r="W6" s="46" t="s">
        <v>87</v>
      </c>
      <c r="X6" s="46" t="s">
        <v>88</v>
      </c>
      <c r="Z6" s="64" t="s">
        <v>89</v>
      </c>
      <c r="AA6" s="64" t="s">
        <v>527</v>
      </c>
    </row>
    <row r="7" spans="1:27" x14ac:dyDescent="0.3">
      <c r="A7" s="431" t="s">
        <v>624</v>
      </c>
      <c r="B7" s="431" t="s">
        <v>625</v>
      </c>
      <c r="C7" s="432" t="s">
        <v>626</v>
      </c>
      <c r="D7" s="123" t="s">
        <v>90</v>
      </c>
      <c r="E7" s="123" t="s">
        <v>40</v>
      </c>
      <c r="F7" s="134" t="s">
        <v>91</v>
      </c>
      <c r="G7" s="135">
        <f>SUM(H7:X7)</f>
        <v>3.4321148841055247</v>
      </c>
      <c r="H7" s="355">
        <f>'Production D24m'!$B$5*'Parameters D24m, country spec'!$B$30*'CO2 per kg feed'!G22/'Production D24m'!B15</f>
        <v>0.24802601399807916</v>
      </c>
      <c r="I7" s="355">
        <f>'Production D24m'!$B$5*'Parameters D24m, country spec'!$B$30*'CO2 per kg feed'!H22/'Production D24m'!B15</f>
        <v>0.57722847983052183</v>
      </c>
      <c r="J7" s="355"/>
      <c r="K7" s="355"/>
      <c r="L7" s="355">
        <f>'Production D24m'!$B$5*'Parameters D24m, country spec'!$B$30*'CO2 per kg feed'!K22/'Production D24m'!B15</f>
        <v>0.29902646068076388</v>
      </c>
      <c r="M7" s="355"/>
      <c r="N7" s="355">
        <f>'Production D24m'!$B$5*'Parameters D24m, country spec'!$B$30*'CO2 per kg feed'!M22/'Production D24m'!B15</f>
        <v>3.3895301249813178E-4</v>
      </c>
      <c r="O7" s="355">
        <f>'Production D24m'!$B$5*'Parameters D24m, country spec'!$B$30*'CO2 per kg feed'!N22/'Production D24m'!B15</f>
        <v>5.6175152237613463E-2</v>
      </c>
      <c r="P7" s="355">
        <f>'Production D24m'!$B$5*'Parameters D24m, country spec'!$B$30*'CO2 per kg feed'!O22/'Production D24m'!B15</f>
        <v>0.31030815594205652</v>
      </c>
      <c r="Q7" s="355">
        <f>'Production D24m'!$B$5*'Parameters D24m, country spec'!$B$30*'CO2 per kg feed'!P22/'Production D24m'!B15</f>
        <v>0.97049006520379477</v>
      </c>
      <c r="R7" s="355">
        <f>'Production D24m'!$B$5*'Parameters D24m, country spec'!$B$30*'CO2 per kg feed'!P22/'Production D24m'!B15</f>
        <v>0.97049006520379477</v>
      </c>
      <c r="S7" s="137"/>
      <c r="T7" s="122"/>
      <c r="U7" s="136"/>
      <c r="V7" s="136"/>
      <c r="W7" s="470">
        <f>'Production D24m'!$B$5*'Parameters D24m, country spec'!$B$58*EF_el_CO2_DK/'Production D24m'!B15</f>
        <v>3.1537996401949149E-5</v>
      </c>
      <c r="X7" s="471">
        <f>'Production D24m'!$B$12*(Energy_slaughter_el_DK*EF_el_CO2_DK+Energy_slaughter_oil_DK*EF_oil_CO2)/'Production D24m'!B15</f>
        <v>0</v>
      </c>
      <c r="Z7" s="18"/>
      <c r="AA7" s="18"/>
    </row>
    <row r="8" spans="1:27" x14ac:dyDescent="0.3">
      <c r="A8" s="11" t="s">
        <v>624</v>
      </c>
      <c r="B8" s="11" t="s">
        <v>627</v>
      </c>
      <c r="C8" s="15" t="s">
        <v>626</v>
      </c>
      <c r="D8" s="16" t="s">
        <v>90</v>
      </c>
      <c r="E8" s="16" t="s">
        <v>40</v>
      </c>
      <c r="F8" s="11" t="s">
        <v>92</v>
      </c>
      <c r="G8" s="18">
        <f t="shared" ref="G8:G61" si="0">SUM(H8:X8)</f>
        <v>3.0930649355820218E-2</v>
      </c>
      <c r="H8" s="27">
        <f>'Production D24m'!$B$5*'Parameters D24m, country spec'!$B$30*'CH4 per kg feed'!G22/'Production D24m'!B15</f>
        <v>3.5967463392885259E-4</v>
      </c>
      <c r="I8" s="344">
        <f>'Production D24m'!$B$5*'Parameters D24m, country spec'!$B$30*'CH4 per kg feed'!H22/'Production D24m'!B15</f>
        <v>2.0324701931262448E-3</v>
      </c>
      <c r="J8" s="344"/>
      <c r="K8" s="344"/>
      <c r="L8" s="344">
        <f>'Production D24m'!$B$5*'Parameters D24m, country spec'!$B$30*'CH4 per kg feed'!K22/'Production D24m'!B15</f>
        <v>1.3243186613053905E-4</v>
      </c>
      <c r="M8" s="344"/>
      <c r="N8" s="344">
        <f>'Production D24m'!$B$5*'Parameters D24m, country spec'!$B$30*'CH4 per kg feed'!M22/'Production D24m'!B15</f>
        <v>1.3256681335041885E-6</v>
      </c>
      <c r="O8" s="344">
        <f>'Production D24m'!$B$5*'Parameters D24m, country spec'!$B$30*'CH4 per kg feed'!N22/'Production D24m'!B15</f>
        <v>3.7985472525763692E-5</v>
      </c>
      <c r="P8" s="344">
        <f>'Production D24m'!$B$5*'Parameters D24m, country spec'!$B$30*'CH4 per kg feed'!O22/'Production D24m'!B15</f>
        <v>0</v>
      </c>
      <c r="Q8" s="344">
        <f>'Production D24m'!$B$5*'Parameters D24m, country spec'!$B$30*'CH4 per kg feed'!P22/'Production D24m'!B15</f>
        <v>1.4183359010826301E-2</v>
      </c>
      <c r="R8" s="344">
        <f>'Production D24m'!$B$5*'Parameters D24m, country spec'!$B$30*'CH4 per kg feed'!P22/'Production D24m'!B15</f>
        <v>1.4183359010826301E-2</v>
      </c>
      <c r="W8" s="438">
        <f>'Production D24m'!$B$5*'Parameters D24m, country spec'!$B$58*EF_el_CH4_DK/'Production D24m'!B15</f>
        <v>4.3500322712663038E-8</v>
      </c>
      <c r="X8" s="472">
        <f>'Production D24m'!$B$12*(Energy_slaughter_el_DK*EF_el_CH4_DK+Energy_slaughter_oil_DK*EF_oil_CH4)/'Production D24m'!B15</f>
        <v>0</v>
      </c>
      <c r="Z8" s="32"/>
      <c r="AA8" s="32"/>
    </row>
    <row r="9" spans="1:27" x14ac:dyDescent="0.3">
      <c r="A9" s="11" t="s">
        <v>624</v>
      </c>
      <c r="B9" s="11" t="s">
        <v>627</v>
      </c>
      <c r="C9" s="15" t="s">
        <v>626</v>
      </c>
      <c r="D9" s="16" t="s">
        <v>90</v>
      </c>
      <c r="E9" s="16" t="s">
        <v>40</v>
      </c>
      <c r="F9" s="11" t="s">
        <v>93</v>
      </c>
      <c r="G9" s="18">
        <f>SUM(H9:X9)</f>
        <v>1.0810814916047062</v>
      </c>
      <c r="H9" s="27"/>
      <c r="I9" s="344"/>
      <c r="J9" s="363"/>
      <c r="K9" s="344"/>
      <c r="L9" s="344"/>
      <c r="M9" s="344"/>
      <c r="N9" s="344"/>
      <c r="O9" s="344"/>
      <c r="P9" s="344"/>
      <c r="Q9" s="344"/>
      <c r="R9" s="344"/>
      <c r="S9" s="4">
        <f>('Production D24m'!$B$5*EF_ent_ferm_DK)/'Production D24m'!B15</f>
        <v>0.44260027662517287</v>
      </c>
      <c r="T9" s="42">
        <f>SUM(U9:V9)</f>
        <v>0.31924060748976674</v>
      </c>
      <c r="U9" s="467">
        <f>Manure!$C$34/'Production D24m'!B15</f>
        <v>0.31924060748976674</v>
      </c>
      <c r="V9" s="468"/>
      <c r="W9" s="438"/>
      <c r="X9" s="472"/>
      <c r="Z9" s="32"/>
      <c r="AA9" s="32"/>
    </row>
    <row r="10" spans="1:27" ht="15" thickBot="1" x14ac:dyDescent="0.35">
      <c r="A10" s="11" t="s">
        <v>624</v>
      </c>
      <c r="B10" s="11" t="s">
        <v>627</v>
      </c>
      <c r="C10" s="15" t="s">
        <v>626</v>
      </c>
      <c r="D10" s="16" t="s">
        <v>90</v>
      </c>
      <c r="E10" s="16" t="s">
        <v>40</v>
      </c>
      <c r="F10" s="34" t="s">
        <v>94</v>
      </c>
      <c r="G10" s="18">
        <f t="shared" si="0"/>
        <v>3.5359551223737094E-2</v>
      </c>
      <c r="H10" s="27">
        <f>'Production D24m'!$B$5*'Parameters D24m, country spec'!$B$30*'N2O per kg feed'!G22/'Production D24m'!B15</f>
        <v>5.3066072594277385E-4</v>
      </c>
      <c r="I10" s="344">
        <f>'Production D24m'!$B$5*'Parameters D24m, country spec'!$B$30*'N2O per kg feed'!H22/'Production D24m'!B15</f>
        <v>2.3487093896421973E-5</v>
      </c>
      <c r="J10" s="344">
        <f>'Production D24m'!$B$5*'Parameters D24m, country spec'!$B$30*'N2O per kg feed'!I22/'Production D24m'!B15</f>
        <v>2.5193454236535615E-3</v>
      </c>
      <c r="K10" s="32">
        <f>J10*EF_indirect_N2O_DK</f>
        <v>2.5193454236535618E-4</v>
      </c>
      <c r="L10" s="344">
        <f>'Production D24m'!$B$5*'Parameters D24m, country spec'!$B$30*'N2O per kg feed'!K22/'Production D24m'!B15</f>
        <v>8.0339576781928894E-6</v>
      </c>
      <c r="M10" s="344"/>
      <c r="N10" s="344">
        <f>'Production D24m'!$B$5*'Parameters D24m, country spec'!$B$30*'N2O per kg feed'!M22/'Production D24m'!B15</f>
        <v>1.6300469870478559E-8</v>
      </c>
      <c r="O10" s="344">
        <f>'Production D24m'!$B$5*'Parameters D24m, country spec'!$B$30*'N2O per kg feed'!N22/'Production D24m'!B15</f>
        <v>2.0600886640476743E-6</v>
      </c>
      <c r="P10" s="344">
        <f>'Production D24m'!$B$5*'Parameters D24m, country spec'!$B$30*'N2O per kg feed'!O22/'Production D24m'!B15</f>
        <v>0</v>
      </c>
      <c r="Q10" s="344">
        <f>'Production D24m'!$B$5*'Parameters D24m, country spec'!$B$30*'N2O per kg feed'!P22/'Production D24m'!B15</f>
        <v>1.3649944779358636E-3</v>
      </c>
      <c r="R10" s="344">
        <f>'Production D24m'!$B$5*'Parameters D24m, country spec'!$B$30*'N2O per kg feed'!P22/'Production D24m'!B15</f>
        <v>1.3649944779358636E-3</v>
      </c>
      <c r="S10" s="4"/>
      <c r="T10" s="42">
        <f>SUM(U10:V10)</f>
        <v>1.4647011256291512E-2</v>
      </c>
      <c r="U10" s="469">
        <f>Manure!$C$92*44/28/'Production D24m'!B15</f>
        <v>9.8101259669916389E-3</v>
      </c>
      <c r="V10" s="469">
        <f>Manure!$C$159*17/14*Manure!$B$122/'Production D24m'!B15</f>
        <v>4.8368852892998731E-3</v>
      </c>
      <c r="W10" s="438">
        <f>'Production D24m'!$B$5*'Parameters D24m, country spec'!$B$58*EF_el_N2O_DK/'Production D24m'!B15</f>
        <v>1.6226121204383447E-9</v>
      </c>
      <c r="X10" s="472">
        <f>'Production D24m'!$B$12*(Energy_slaughter_el_DK*EF_el_N2O_DK+Energy_slaughter_oil_DK*EF_oil_N2O)/'Production D24m'!B15</f>
        <v>0</v>
      </c>
      <c r="Z10" s="32"/>
      <c r="AA10" s="32"/>
    </row>
    <row r="11" spans="1:27" ht="15.6" thickTop="1" thickBot="1" x14ac:dyDescent="0.35">
      <c r="A11" s="127" t="s">
        <v>624</v>
      </c>
      <c r="B11" s="127" t="s">
        <v>627</v>
      </c>
      <c r="C11" s="128" t="s">
        <v>626</v>
      </c>
      <c r="D11" s="129" t="s">
        <v>90</v>
      </c>
      <c r="E11" s="129" t="s">
        <v>40</v>
      </c>
      <c r="F11" s="130" t="s">
        <v>95</v>
      </c>
      <c r="G11" s="384">
        <f>SUM(H11:X11)</f>
        <v>30.578075517124983</v>
      </c>
      <c r="H11" s="131">
        <f>SUMPRODUCT(H7:H10,'Parameters, general'!$B$23:$B$26)</f>
        <v>0.40361469627153623</v>
      </c>
      <c r="I11" s="131">
        <f>SUMPRODUCT(I7:I10,'Parameters, general'!$B$23:$B$26)</f>
        <v>0.64420806821940713</v>
      </c>
      <c r="J11" s="131">
        <f>SUMPRODUCT(J7:J10,'Parameters, general'!$B$23:$B$26)</f>
        <v>0.68778130065742227</v>
      </c>
      <c r="K11" s="131">
        <f>SUMPRODUCT(K7:K10,'Parameters, general'!$B$23:$B$26)</f>
        <v>6.8778130065742238E-2</v>
      </c>
      <c r="L11" s="131">
        <f>SUMPRODUCT(L7:L10,'Parameters, general'!$B$23:$B$26)</f>
        <v>0.30516620073760059</v>
      </c>
      <c r="M11" s="131">
        <f>SUMPRODUCT(M7:M10,'Parameters, general'!$B$23:$B$26)</f>
        <v>0</v>
      </c>
      <c r="N11" s="131">
        <f>SUMPRODUCT(N7:N10,'Parameters, general'!$B$23:$B$26)</f>
        <v>3.8290795115119723E-4</v>
      </c>
      <c r="O11" s="131">
        <f>SUMPRODUCT(O7:O10,'Parameters, general'!$B$23:$B$26)</f>
        <v>5.7869523524166237E-2</v>
      </c>
      <c r="P11" s="131">
        <f>SUMPRODUCT(P7:P10,'Parameters, general'!$B$23:$B$26)</f>
        <v>0.31030815594205652</v>
      </c>
      <c r="Q11" s="131">
        <f>SUMPRODUCT(Q7:Q10,'Parameters, general'!$B$23:$B$26)</f>
        <v>1.7657976562029094</v>
      </c>
      <c r="R11" s="131">
        <f>SUMPRODUCT(R7:R10,'Parameters, general'!$B$23:$B$26)</f>
        <v>1.7657976562029094</v>
      </c>
      <c r="S11" s="131">
        <f>SUMPRODUCT(S7:S10,'Parameters, general'!$B$23:$B$26)</f>
        <v>11.950207468879668</v>
      </c>
      <c r="T11" s="131">
        <f>SUMPRODUCT(T7:T10,'Parameters, general'!$B$23:$B$26)</f>
        <v>12.618130475191284</v>
      </c>
      <c r="U11" s="131"/>
      <c r="V11" s="131"/>
      <c r="W11" s="131">
        <f>SUMPRODUCT(W7:W10,'Parameters, general'!$B$23:$B$26)</f>
        <v>3.3277279127666178E-5</v>
      </c>
      <c r="X11" s="131">
        <f>SUMPRODUCT(X7:X10,'Parameters, general'!$B$23:$B$26)</f>
        <v>0</v>
      </c>
      <c r="Z11" s="104">
        <f>SUM(H11:R11)</f>
        <v>6.0097042957749025</v>
      </c>
      <c r="AA11" s="154">
        <f>'CO2 per kg feed'!F20+'CH4 per kg feed'!F20*CF_GWP_CH4_fossil+'N2O per kg feed'!F20*CF_GWP_N2O</f>
        <v>0.19150842992144521</v>
      </c>
    </row>
    <row r="12" spans="1:27" ht="15" thickTop="1" x14ac:dyDescent="0.3">
      <c r="A12" s="132" t="s">
        <v>624</v>
      </c>
      <c r="B12" s="132" t="s">
        <v>627</v>
      </c>
      <c r="C12" s="133" t="s">
        <v>626</v>
      </c>
      <c r="D12" s="16" t="s">
        <v>41</v>
      </c>
      <c r="E12" s="16" t="s">
        <v>42</v>
      </c>
      <c r="F12" s="36" t="s">
        <v>91</v>
      </c>
      <c r="G12" s="135">
        <f t="shared" si="0"/>
        <v>1.8768246502604352E-4</v>
      </c>
      <c r="H12" s="364">
        <f>('Production D24m'!$C$5*'Parameters D24m, country spec'!$C$51*'CO2 per kg feed'!G38+('Production D24m'!$C$6+'Production D24m'!$C$7)*'Parameters D24m, country spec'!$C$52*'CO2 per kg feed'!G39)/'Production D24m'!C15</f>
        <v>3.2212744015162579E-5</v>
      </c>
      <c r="I12" s="364">
        <f>('Production D24m'!$C$5*'Parameters D24m, country spec'!$C$51*'CO2 per kg feed'!H38+('Production D24m'!$C$6+'Production D24m'!$C$7)*'Parameters D24m, country spec'!$C$52*'CO2 per kg feed'!H39)/'Production D24m'!C15</f>
        <v>3.0906730568639512E-5</v>
      </c>
      <c r="J12" s="364"/>
      <c r="K12" s="364"/>
      <c r="L12" s="364">
        <f>('Production D24m'!$C$5*'Parameters D24m, country spec'!$C$51*'CO2 per kg feed'!K38+('Production D24m'!$C$6+'Production D24m'!$C$7)*'Parameters D24m, country spec'!$C$52*'CO2 per kg feed'!K39)/'Production D24m'!C15</f>
        <v>1.9814411595397454E-5</v>
      </c>
      <c r="M12" s="364"/>
      <c r="N12" s="364">
        <f>('Production D24m'!$C$5*'Parameters D24m, country spec'!$C$51*'CO2 per kg feed'!M38+('Production D24m'!$C$6+'Production D24m'!$C$7)*'Parameters D24m, country spec'!$C$52*'CO2 per kg feed'!M39)/'Production D24m'!C15</f>
        <v>7.4371863581135699E-7</v>
      </c>
      <c r="O12" s="364">
        <f>('Production D24m'!$C$5*'Parameters D24m, country spec'!$C$51*'CO2 per kg feed'!N38+('Production D24m'!$C$6+'Production D24m'!$C$7)*'Parameters D24m, country spec'!$C$52*'CO2 per kg feed'!N39)/'Production D24m'!C15</f>
        <v>5.7745745792035903E-6</v>
      </c>
      <c r="P12" s="364">
        <f>('Production D24m'!$C$5*'Parameters D24m, country spec'!$C$51*'CO2 per kg feed'!O38+('Production D24m'!$C$6+'Production D24m'!$C$7)*'Parameters D24m, country spec'!$C$52*'CO2 per kg feed'!O39)/'Production D24m'!C15</f>
        <v>1.3536749290345186E-5</v>
      </c>
      <c r="Q12" s="364">
        <f>('Production D24m'!$C$5*'Parameters D24m, country spec'!$C$51*'CO2 per kg feed'!P38+('Production D24m'!$C$6+'Production D24m'!$C$7)*'Parameters D24m, country spec'!$C$52*'CO2 per kg feed'!P39)/'Production D24m'!C15</f>
        <v>3.8639450568124606E-5</v>
      </c>
      <c r="R12" s="364">
        <f>('Production D24m'!$C$5*'Parameters D24m, country spec'!$C$51*'CO2 per kg feed'!P38+('Production D24m'!$C$6+'Production D24m'!$C$7)*'Parameters D24m, country spec'!$C$52*'CO2 per kg feed'!P39)/'Production D24m'!C15</f>
        <v>3.8639450568124606E-5</v>
      </c>
      <c r="S12" s="137"/>
      <c r="T12" s="122"/>
      <c r="U12" s="136"/>
      <c r="V12" s="136"/>
      <c r="W12" s="137">
        <f>'Production D24m'!C5*'Parameters D24m, country spec'!C58*EF_el_CO2_FR/'Production D24m'!C15</f>
        <v>7.4146352052345992E-6</v>
      </c>
      <c r="X12" s="138">
        <f>'Production D24m'!C12*(Energy_slaughter_el_FR*EF_el_CO2_FR+Energy_slaughter_oil_FR*EF_oil_CO2)/'Production D24m'!C15</f>
        <v>0</v>
      </c>
      <c r="Z12" s="18"/>
      <c r="AA12" s="18"/>
    </row>
    <row r="13" spans="1:27" x14ac:dyDescent="0.3">
      <c r="A13" s="11" t="s">
        <v>624</v>
      </c>
      <c r="B13" s="11" t="s">
        <v>627</v>
      </c>
      <c r="C13" s="15" t="s">
        <v>626</v>
      </c>
      <c r="D13" s="16" t="s">
        <v>41</v>
      </c>
      <c r="E13" s="16" t="s">
        <v>42</v>
      </c>
      <c r="F13" s="11" t="s">
        <v>92</v>
      </c>
      <c r="G13" s="18">
        <f t="shared" si="0"/>
        <v>1.311908925044001E-6</v>
      </c>
      <c r="H13" s="344">
        <f>('Production D24m'!$C$5*'Parameters D24m, country spec'!$C$51*'CH4 per kg feed'!G38+('Production D24m'!$C$6+'Production D24m'!$C$7)*'Parameters D24m, country spec'!$C$52*'CH4 per kg feed'!G39)/'Production D24m'!C15</f>
        <v>6.0184393752877494E-8</v>
      </c>
      <c r="I13" s="33">
        <f>('Production D24m'!$C$5*'Parameters D24m, country spec'!$C$51*'CH4 per kg feed'!H38+('Production D24m'!$C$6+'Production D24m'!$C$7)*'Parameters D24m, country spec'!$C$52*'CH4 per kg feed'!H39)/'Production D24m'!C15</f>
        <v>1.0913684243849088E-7</v>
      </c>
      <c r="J13" s="33"/>
      <c r="K13" s="33"/>
      <c r="L13" s="33">
        <f>('Production D24m'!$C$5*'Parameters D24m, country spec'!$C$51*'CH4 per kg feed'!K38+('Production D24m'!$C$6+'Production D24m'!$C$7)*'Parameters D24m, country spec'!$C$52*'CH4 per kg feed'!K39)/'Production D24m'!C15</f>
        <v>8.7773781813567217E-9</v>
      </c>
      <c r="M13" s="33"/>
      <c r="N13" s="33">
        <f>('Production D24m'!$C$5*'Parameters D24m, country spec'!$C$51*'CH4 per kg feed'!M38+('Production D24m'!$C$6+'Production D24m'!$C$7)*'Parameters D24m, country spec'!$C$52*'CH4 per kg feed'!M39)/'Production D24m'!C15</f>
        <v>2.5147132536572092E-9</v>
      </c>
      <c r="O13" s="33">
        <f>('Production D24m'!$C$5*'Parameters D24m, country spec'!$C$51*'CH4 per kg feed'!N38+('Production D24m'!$C$6+'Production D24m'!$C$7)*'Parameters D24m, country spec'!$C$52*'CH4 per kg feed'!N39)/'Production D24m'!C15</f>
        <v>3.4186980227296374E-9</v>
      </c>
      <c r="P13" s="33">
        <f>('Production D24m'!$C$5*'Parameters D24m, country spec'!$C$51*'CH4 per kg feed'!O38+('Production D24m'!$C$6+'Production D24m'!$C$7)*'Parameters D24m, country spec'!$C$52*'CH4 per kg feed'!O39)/'Production D24m'!C15</f>
        <v>0</v>
      </c>
      <c r="Q13" s="33">
        <f>('Production D24m'!$C$5*'Parameters D24m, country spec'!$C$51*'CH4 per kg feed'!P38+('Production D24m'!$C$6+'Production D24m'!$C$7)*'Parameters D24m, country spec'!$C$52*'CH4 per kg feed'!P39)/'Production D24m'!C15</f>
        <v>5.5244462213360153E-7</v>
      </c>
      <c r="R13" s="33">
        <f>('Production D24m'!$C$5*'Parameters D24m, country spec'!$C$51*'CH4 per kg feed'!P38+('Production D24m'!$C$6+'Production D24m'!$C$7)*'Parameters D24m, country spec'!$C$52*'CH4 per kg feed'!P39)/'Production D24m'!C15</f>
        <v>5.5244462213360153E-7</v>
      </c>
      <c r="W13" s="4">
        <f>'Production D24m'!C5*'Parameters D24m, country spec'!C58*EF_el_CH4_FR/'Production D24m'!C15</f>
        <v>2.2987655127685925E-8</v>
      </c>
      <c r="X13" s="10">
        <f>'Production D24m'!C12*(Energy_slaughter_el_FR*EF_el_CH4_FR+Energy_slaughter_oil_FR*EF_oil_CH4)/'Production D24m'!C15</f>
        <v>0</v>
      </c>
      <c r="Z13" s="32"/>
      <c r="AA13" s="32"/>
    </row>
    <row r="14" spans="1:27" x14ac:dyDescent="0.3">
      <c r="A14" s="11" t="s">
        <v>624</v>
      </c>
      <c r="B14" s="11" t="s">
        <v>627</v>
      </c>
      <c r="C14" s="15" t="s">
        <v>626</v>
      </c>
      <c r="D14" s="16" t="s">
        <v>41</v>
      </c>
      <c r="E14" s="16" t="s">
        <v>42</v>
      </c>
      <c r="F14" s="11" t="s">
        <v>93</v>
      </c>
      <c r="G14" s="18">
        <f>SUM(H14:X14)</f>
        <v>0.65194237503894348</v>
      </c>
      <c r="H14" s="344"/>
      <c r="I14" s="33"/>
      <c r="J14" s="33"/>
      <c r="K14" s="33"/>
      <c r="L14" s="33"/>
      <c r="M14" s="33"/>
      <c r="N14" s="33"/>
      <c r="O14" s="33"/>
      <c r="P14" s="33"/>
      <c r="Q14" s="33"/>
      <c r="R14" s="33"/>
      <c r="S14" s="4">
        <f>('Production D24m'!$C$5*EF_ent_ferm_FR)/'Production D24m'!C15</f>
        <v>0.44260027662517287</v>
      </c>
      <c r="T14" s="42">
        <f>SUM(U14:V14)</f>
        <v>0.10467104920688526</v>
      </c>
      <c r="U14" s="57">
        <f>Manure!$E$34/'Production D24m'!C15</f>
        <v>0.10467104920688526</v>
      </c>
      <c r="W14" s="4"/>
      <c r="X14" s="10"/>
      <c r="Z14" s="32"/>
      <c r="AA14" s="32"/>
    </row>
    <row r="15" spans="1:27" ht="15" thickBot="1" x14ac:dyDescent="0.35">
      <c r="A15" s="11" t="s">
        <v>624</v>
      </c>
      <c r="B15" s="11" t="s">
        <v>627</v>
      </c>
      <c r="C15" s="15" t="s">
        <v>626</v>
      </c>
      <c r="D15" s="16" t="s">
        <v>41</v>
      </c>
      <c r="E15" s="16" t="s">
        <v>42</v>
      </c>
      <c r="F15" s="34" t="s">
        <v>94</v>
      </c>
      <c r="G15" s="18">
        <f t="shared" si="0"/>
        <v>4.2908155328783053E-2</v>
      </c>
      <c r="H15" s="344">
        <f>('Production D24m'!$C$5*'Parameters D24m, country spec'!$C$51*'N2O per kg feed'!G38+('Production D24m'!$C$6+'Production D24m'!$C$7)*'Parameters D24m, country spec'!$C$52*'N2O per kg feed'!G39)/'Production D24m'!C15</f>
        <v>7.1002367331601207E-8</v>
      </c>
      <c r="I15" s="32">
        <f>('Production D24m'!$C$5*'Parameters D24m, country spec'!$C$51*'N2O per kg feed'!H38+('Production D24m'!$C$6+'Production D24m'!$C$7)*'Parameters D24m, country spec'!$C$52*'N2O per kg feed'!H39)/'Production D24m'!C15</f>
        <v>1.2513443255234615E-9</v>
      </c>
      <c r="J15" s="32">
        <f>('Production D24m'!$C$5*'Parameters D24m, country spec'!$C$51*'N2O per kg feed'!I38+('Production D24m'!$C$6+'Production D24m'!$C$7)*'Parameters D24m, country spec'!$C$52*'N2O per kg feed'!I39+Manure!E156)/'Production D24m'!C15</f>
        <v>9.9488297074352156E-3</v>
      </c>
      <c r="K15" s="32">
        <f>J15*EF_indirect_N2O_FR</f>
        <v>9.9488297074352169E-4</v>
      </c>
      <c r="L15" s="32">
        <f>('Production D24m'!$C$5*'Parameters D24m, country spec'!$C$51*'N2O per kg feed'!K38+('Production D24m'!$C$6+'Production D24m'!$C$7)*'Parameters D24m, country spec'!$C$52*'N2O per kg feed'!K39)/'Production D24m'!C15</f>
        <v>5.3242817567927217E-10</v>
      </c>
      <c r="M15" s="32"/>
      <c r="N15" s="32">
        <f>('Production D24m'!$C$5*'Parameters D24m, country spec'!$C$51*'N2O per kg feed'!M38+('Production D24m'!$C$6+'Production D24m'!$C$7)*'Parameters D24m, country spec'!$C$52*'N2O per kg feed'!M39)/'Production D24m'!C15</f>
        <v>3.0959918119749865E-11</v>
      </c>
      <c r="O15" s="32">
        <f>('Production D24m'!$C$5*'Parameters D24m, country spec'!$C$51*'N2O per kg feed'!N38+('Production D24m'!$C$6+'Production D24m'!$C$7)*'Parameters D24m, country spec'!$C$52*'N2O per kg feed'!N39)/'Production D24m'!C15</f>
        <v>2.1220704049761713E-10</v>
      </c>
      <c r="P15" s="32">
        <f>('Production D24m'!$C$5*'Parameters D24m, country spec'!$C$51*'N2O per kg feed'!O38+('Production D24m'!$C$6+'Production D24m'!$C$7)*'Parameters D24m, country spec'!$C$52*'N2O per kg feed'!O39)/'Production D24m'!C15</f>
        <v>0</v>
      </c>
      <c r="Q15" s="32">
        <f>('Production D24m'!$C$5*'Parameters D24m, country spec'!$C$51*'N2O per kg feed'!P38+('Production D24m'!$C$6+'Production D24m'!$C$7)*'Parameters D24m, country spec'!$C$52*'N2O per kg feed'!P39)/'Production D24m'!C15</f>
        <v>5.31520670040095E-8</v>
      </c>
      <c r="R15" s="32">
        <f>('Production D24m'!$C$5*'Parameters D24m, country spec'!$C$51*'N2O per kg feed'!P38+('Production D24m'!$C$6+'Production D24m'!$C$7)*'Parameters D24m, country spec'!$C$52*'N2O per kg feed'!P39)/'Production D24m'!C15</f>
        <v>5.31520670040095E-8</v>
      </c>
      <c r="S15" s="4"/>
      <c r="T15" s="42">
        <f>SUM(U15:V15)</f>
        <v>1.5982131311123769E-2</v>
      </c>
      <c r="U15" s="188">
        <f>Manure!$E$92*44/28/'Production D24m'!C15</f>
        <v>1.1359814831868691E-2</v>
      </c>
      <c r="V15" s="188">
        <f>Manure!$E$159*17/14*Manure!$D$122/'Production D24m'!C15</f>
        <v>4.6223164792550762E-3</v>
      </c>
      <c r="W15" s="4">
        <f>'Production D24m'!C5*'Parameters D24m, country spec'!C58*EF_el_N2O_FR/'Production D24m'!C15</f>
        <v>6.9491597582721553E-10</v>
      </c>
      <c r="X15" s="10">
        <f>'Production D24m'!C12*(Energy_slaughter_el_FR*EF_el_N2O_FR+Energy_slaughter_oil_FR*EF_oil_N2O)/'Production D24m'!C15</f>
        <v>0</v>
      </c>
      <c r="Z15" s="32"/>
      <c r="AA15" s="32"/>
    </row>
    <row r="16" spans="1:27" ht="15.6" thickTop="1" thickBot="1" x14ac:dyDescent="0.35">
      <c r="A16" s="127" t="s">
        <v>624</v>
      </c>
      <c r="B16" s="127" t="s">
        <v>627</v>
      </c>
      <c r="C16" s="128" t="s">
        <v>626</v>
      </c>
      <c r="D16" s="37" t="s">
        <v>41</v>
      </c>
      <c r="E16" s="37" t="s">
        <v>42</v>
      </c>
      <c r="F16" s="139" t="s">
        <v>95</v>
      </c>
      <c r="G16" s="140">
        <f t="shared" si="0"/>
        <v>22.127357131637549</v>
      </c>
      <c r="H16" s="131">
        <f>SUMPRODUCT(H12:H15,'Parameters, general'!$B$23:$B$26)</f>
        <v>5.3389885230525459E-5</v>
      </c>
      <c r="I16" s="131">
        <f>SUMPRODUCT(I12:I15,'Parameters, general'!$B$23:$B$26)</f>
        <v>3.4500625474174446E-5</v>
      </c>
      <c r="J16" s="131">
        <f>SUMPRODUCT(J12:J15,'Parameters, general'!$B$23:$B$26)</f>
        <v>2.7160305101298139</v>
      </c>
      <c r="K16" s="131">
        <f>SUMPRODUCT(K12:K15,'Parameters, general'!$B$23:$B$26)</f>
        <v>0.27160305101298143</v>
      </c>
      <c r="L16" s="131">
        <f>SUMPRODUCT(L12:L15,'Parameters, general'!$B$23:$B$26)</f>
        <v>2.0221330357162326E-5</v>
      </c>
      <c r="M16" s="131">
        <f>SUMPRODUCT(M12:M15,'Parameters, general'!$B$23:$B$26)</f>
        <v>0</v>
      </c>
      <c r="N16" s="131">
        <f>SUMPRODUCT(N12:N15,'Parameters, general'!$B$23:$B$26)</f>
        <v>8.2710914841703353E-7</v>
      </c>
      <c r="O16" s="131">
        <f>SUMPRODUCT(O12:O15,'Parameters, general'!$B$23:$B$26)</f>
        <v>5.9343843023367832E-6</v>
      </c>
      <c r="P16" s="131">
        <f>SUMPRODUCT(P12:P15,'Parameters, general'!$B$23:$B$26)</f>
        <v>1.3536749290345186E-5</v>
      </c>
      <c r="Q16" s="131">
        <f>SUMPRODUCT(Q12:Q15,'Parameters, general'!$B$23:$B$26)</f>
        <v>6.9612814599800534E-5</v>
      </c>
      <c r="R16" s="131">
        <f>SUMPRODUCT(R12:R15,'Parameters, general'!$B$23:$B$26)</f>
        <v>6.9612814599800534E-5</v>
      </c>
      <c r="S16" s="131">
        <f>SUMPRODUCT(S12:S15,'Parameters, general'!$B$23:$B$26)</f>
        <v>11.950207468879668</v>
      </c>
      <c r="T16" s="131">
        <f>SUMPRODUCT(T12:T15,'Parameters, general'!$B$23:$B$26)</f>
        <v>7.1892401765226914</v>
      </c>
      <c r="U16" s="131"/>
      <c r="V16" s="131"/>
      <c r="W16" s="131">
        <f>SUMPRODUCT(W12:W15,'Parameters, general'!$B$23:$B$26)</f>
        <v>8.2893793894404684E-6</v>
      </c>
      <c r="X16" s="131">
        <f>SUMPRODUCT(X12:X15,'Parameters, general'!$B$23:$B$26)</f>
        <v>0</v>
      </c>
      <c r="Z16" s="104">
        <f>SUM(H16:R16)</f>
        <v>2.9879011968557978</v>
      </c>
      <c r="AA16" s="154">
        <f>'CO2 per kg feed'!F38+'CH4 per kg feed'!F38*CF_GWP_CH4_fossil+'N2O per kg feed'!F38*CF_GWP_N2O</f>
        <v>0.22026649686229643</v>
      </c>
    </row>
    <row r="17" spans="1:27" ht="15" thickTop="1" x14ac:dyDescent="0.3">
      <c r="A17" s="132" t="s">
        <v>624</v>
      </c>
      <c r="B17" s="132" t="s">
        <v>627</v>
      </c>
      <c r="C17" s="133" t="s">
        <v>626</v>
      </c>
      <c r="D17" s="123" t="s">
        <v>43</v>
      </c>
      <c r="E17" s="123" t="s">
        <v>44</v>
      </c>
      <c r="F17" s="134" t="s">
        <v>91</v>
      </c>
      <c r="G17" s="135">
        <f t="shared" si="0"/>
        <v>2.0927458142929627E-4</v>
      </c>
      <c r="H17" s="355">
        <f>('Production D24m'!$D$5*'Parameters D24m, country spec'!$D$51*'CO2 per kg feed'!G56+('Production D24m'!$D$6+'Production D24m'!$D$7)*'Parameters D24m, country spec'!$D$52*'CO2 per kg feed'!G57)/'Production D24m'!D15</f>
        <v>2.5598449199627244E-5</v>
      </c>
      <c r="I17" s="355">
        <f>('Production D24m'!$D$5*'Parameters D24m, country spec'!$D$51*'CO2 per kg feed'!H56+('Production D24m'!$D$6+'Production D24m'!$D$7)*'Parameters D24m, country spec'!$D$52*'CO2 per kg feed'!H57)/'Production D24m'!D15</f>
        <v>3.2077327639358506E-5</v>
      </c>
      <c r="J17" s="355"/>
      <c r="K17" s="355"/>
      <c r="L17" s="355">
        <f>('Production D24m'!$D$5*'Parameters D24m, country spec'!$D$51*'CO2 per kg feed'!K56+('Production D24m'!$D$6+'Production D24m'!$D$7)*'Parameters D24m, country spec'!$D$52*'CO2 per kg feed'!K57)/'Production D24m'!D15</f>
        <v>1.8055154598969425E-5</v>
      </c>
      <c r="M17" s="355"/>
      <c r="N17" s="355">
        <f>('Production D24m'!$D$5*'Parameters D24m, country spec'!$D$51*'CO2 per kg feed'!M56+('Production D24m'!$D$6+'Production D24m'!$D$7)*'Parameters D24m, country spec'!$D$52*'CO2 per kg feed'!M57)/'Production D24m'!D15</f>
        <v>3.4079842200546916E-8</v>
      </c>
      <c r="O17" s="355">
        <f>('Production D24m'!$D$5*'Parameters D24m, country spec'!$D$51*'CO2 per kg feed'!N56+('Production D24m'!$D$6+'Production D24m'!$D$7)*'Parameters D24m, country spec'!$D$52*'CO2 per kg feed'!N57)/'Production D24m'!D15</f>
        <v>3.2111500982967909E-6</v>
      </c>
      <c r="P17" s="355">
        <f>('Production D24m'!$D$5*'Parameters D24m, country spec'!$D$51*'CO2 per kg feed'!O56+('Production D24m'!$D$6+'Production D24m'!$D$7)*'Parameters D24m, country spec'!$D$52*'CO2 per kg feed'!O57)/'Production D24m'!D15</f>
        <v>1.2433510246965893E-5</v>
      </c>
      <c r="Q17" s="355">
        <f>('Production D24m'!$D$5*'Parameters D24m, country spec'!$D$51*'CO2 per kg feed'!P56+('Production D24m'!$D$6+'Production D24m'!$D$7)*'Parameters D24m, country spec'!$D$52*'CO2 per kg feed'!P57)/'Production D24m'!D15</f>
        <v>3.9206807635906378E-5</v>
      </c>
      <c r="R17" s="355">
        <f>('Production D24m'!$D$5*'Parameters D24m, country spec'!$D$51*'CO2 per kg feed'!P56+('Production D24m'!$D$6+'Production D24m'!$D$7)*'Parameters D24m, country spec'!$D$52*'CO2 per kg feed'!P57)/'Production D24m'!D15</f>
        <v>3.9206807635906378E-5</v>
      </c>
      <c r="S17" s="137"/>
      <c r="T17" s="122"/>
      <c r="U17" s="136"/>
      <c r="V17" s="136"/>
      <c r="W17" s="137">
        <f>'Production D24m'!$D$5*'Parameters D24m, country spec'!$D$58*EF_el_CO2_DE/'Production D24m'!D15</f>
        <v>3.9451294532065118E-5</v>
      </c>
      <c r="X17" s="356">
        <f>'Production D24m'!$D$12*(Energy_slaughter_el_DE*EF_el_CO2_DE+Energy_slaughter_oil_DE*EF_oil_CO2)/'Production D24m'!D15</f>
        <v>0</v>
      </c>
      <c r="Z17" s="18"/>
      <c r="AA17" s="18"/>
    </row>
    <row r="18" spans="1:27" x14ac:dyDescent="0.3">
      <c r="A18" s="11" t="s">
        <v>624</v>
      </c>
      <c r="B18" s="11" t="s">
        <v>627</v>
      </c>
      <c r="C18" s="15" t="s">
        <v>626</v>
      </c>
      <c r="D18" s="16" t="s">
        <v>43</v>
      </c>
      <c r="E18" s="16" t="s">
        <v>44</v>
      </c>
      <c r="F18" s="11" t="s">
        <v>92</v>
      </c>
      <c r="G18" s="18">
        <f>SUM(H18:X18)</f>
        <v>1.3756598420537985E-6</v>
      </c>
      <c r="H18" s="344">
        <f>('Production D24m'!$D$5*'Parameters D24m, country spec'!$D$51*'CH4 per kg feed'!G56+('Production D24m'!$D$6+'Production D24m'!$D$7)*'Parameters D24m, country spec'!$D$52*'CH4 per kg feed'!G57)/'Production D24m'!D15</f>
        <v>4.7610018139205954E-8</v>
      </c>
      <c r="I18" s="344">
        <f>('Production D24m'!$D$5*'Parameters D24m, country spec'!$D$51*'CH4 per kg feed'!H56+('Production D24m'!$D$6+'Production D24m'!$D$7)*'Parameters D24m, country spec'!$D$52*'CH4 per kg feed'!H57)/'Production D24m'!D15</f>
        <v>1.129266275177147E-7</v>
      </c>
      <c r="J18" s="344"/>
      <c r="K18" s="344"/>
      <c r="L18" s="344">
        <f>('Production D24m'!$D$5*'Parameters D24m, country spec'!$D$51*'CH4 per kg feed'!K56+('Production D24m'!$D$6+'Production D24m'!$D$7)*'Parameters D24m, country spec'!$D$52*'CH4 per kg feed'!K57)/'Production D24m'!D15</f>
        <v>7.9973698053226847E-9</v>
      </c>
      <c r="M18" s="344"/>
      <c r="N18" s="344">
        <f>('Production D24m'!$D$5*'Parameters D24m, country spec'!$D$51*'CH4 per kg feed'!M56+('Production D24m'!$D$6+'Production D24m'!$D$7)*'Parameters D24m, country spec'!$D$52*'CH4 per kg feed'!M57)/'Production D24m'!D15</f>
        <v>1.1192759101720627E-10</v>
      </c>
      <c r="O18" s="344">
        <f>('Production D24m'!$D$5*'Parameters D24m, country spec'!$D$51*'CH4 per kg feed'!N56+('Production D24m'!$D$6+'Production D24m'!$D$7)*'Parameters D24m, country spec'!$D$52*'CH4 per kg feed'!N57)/'Production D24m'!D15</f>
        <v>2.1707516696229268E-9</v>
      </c>
      <c r="P18" s="344">
        <f>('Production D24m'!$D$5*'Parameters D24m, country spec'!$D$51*'CH4 per kg feed'!O56+('Production D24m'!$D$6+'Production D24m'!$D$7)*'Parameters D24m, country spec'!$D$52*'CH4 per kg feed'!O57)/'Production D24m'!D15</f>
        <v>0</v>
      </c>
      <c r="Q18" s="344">
        <f>('Production D24m'!$D$5*'Parameters D24m, country spec'!$D$51*'CH4 per kg feed'!P56+('Production D24m'!$D$6+'Production D24m'!$D$7)*'Parameters D24m, country spec'!$D$52*'CH4 per kg feed'!P57)/'Production D24m'!D15</f>
        <v>5.6468857794061869E-7</v>
      </c>
      <c r="R18" s="344">
        <f>('Production D24m'!$D$5*'Parameters D24m, country spec'!$D$51*'CH4 per kg feed'!P56+('Production D24m'!$D$6+'Production D24m'!$D$7)*'Parameters D24m, country spec'!$D$52*'CH4 per kg feed'!P57)/'Production D24m'!D15</f>
        <v>5.6468857794061869E-7</v>
      </c>
      <c r="W18" s="4">
        <f>'Production D24m'!$D$5*'Parameters D24m, country spec'!$D$58*EF_el_CH4_DE/'Production D24m'!D15</f>
        <v>7.5465991449677618E-8</v>
      </c>
      <c r="X18" s="42">
        <f>'Production D24m'!$D$12*(Energy_slaughter_el_DE*EF_el_CH4_DE+Energy_slaughter_oil_DE*EF_oil_CH4)/'Production D24m'!D15</f>
        <v>0</v>
      </c>
      <c r="Z18" s="32"/>
      <c r="AA18" s="32"/>
    </row>
    <row r="19" spans="1:27" x14ac:dyDescent="0.3">
      <c r="A19" s="11" t="s">
        <v>624</v>
      </c>
      <c r="B19" s="11" t="s">
        <v>627</v>
      </c>
      <c r="C19" s="15" t="s">
        <v>626</v>
      </c>
      <c r="D19" s="16" t="s">
        <v>43</v>
      </c>
      <c r="E19" s="16" t="s">
        <v>44</v>
      </c>
      <c r="F19" s="11" t="s">
        <v>93</v>
      </c>
      <c r="G19" s="18">
        <f>SUM(H19:X19)</f>
        <v>0.85358322247977836</v>
      </c>
      <c r="H19" s="344"/>
      <c r="I19" s="344"/>
      <c r="J19" s="363"/>
      <c r="K19" s="344"/>
      <c r="L19" s="344"/>
      <c r="M19" s="344"/>
      <c r="N19" s="344"/>
      <c r="O19" s="344"/>
      <c r="P19" s="344"/>
      <c r="Q19" s="344"/>
      <c r="R19" s="344"/>
      <c r="S19" s="4">
        <f>('Production D24m'!$D$5*EF_ent_ferm_DE)/'Production D24m'!D15</f>
        <v>0.44260027662517287</v>
      </c>
      <c r="T19" s="42">
        <f>SUM(U19:V19)</f>
        <v>0.20549147292730269</v>
      </c>
      <c r="U19" s="57">
        <f>Manure!$G$34/'Production D24m'!D15</f>
        <v>0.20549147292730269</v>
      </c>
      <c r="W19" s="4"/>
      <c r="X19" s="42"/>
      <c r="Z19" s="32"/>
      <c r="AA19" s="32"/>
    </row>
    <row r="20" spans="1:27" ht="15" thickBot="1" x14ac:dyDescent="0.35">
      <c r="A20" s="11" t="s">
        <v>624</v>
      </c>
      <c r="B20" s="11" t="s">
        <v>627</v>
      </c>
      <c r="C20" s="15" t="s">
        <v>626</v>
      </c>
      <c r="D20" s="16" t="s">
        <v>43</v>
      </c>
      <c r="E20" s="16" t="s">
        <v>44</v>
      </c>
      <c r="F20" s="34" t="s">
        <v>94</v>
      </c>
      <c r="G20" s="18">
        <f t="shared" si="0"/>
        <v>3.8402115133415529E-2</v>
      </c>
      <c r="H20" s="344">
        <f>('Production D24m'!$D$5*'Parameters D24m, country spec'!$D$51*'N2O per kg feed'!G56+('Production D24m'!$D$6+'Production D24m'!$D$7)*'Parameters D24m, country spec'!$D$52*'N2O per kg feed'!G57)/'Production D24m'!D15</f>
        <v>5.635809572450236E-8</v>
      </c>
      <c r="I20" s="344">
        <f>('Production D24m'!$D$5*'Parameters D24m, country spec'!$D$51*'N2O per kg feed'!H56+('Production D24m'!$D$6+'Production D24m'!$D$7)*'Parameters D24m, country spec'!$D$52*'N2O per kg feed'!H57)/'Production D24m'!D15</f>
        <v>1.3056149651299853E-9</v>
      </c>
      <c r="J20" s="344">
        <f>('Production D24m'!$D$5*'Parameters D24m, country spec'!$D$51*'N2O per kg feed'!I56+('Production D24m'!$D$6+'Production D24m'!$D$7)*'Parameters D24m, country spec'!$D$52*'N2O per kg feed'!I57++Manure!G156)/'Production D24m'!D15</f>
        <v>6.0476143137462666E-3</v>
      </c>
      <c r="K20" s="32">
        <f>J20*EF_indirect_N2O_DK</f>
        <v>6.0476143137462666E-4</v>
      </c>
      <c r="L20" s="344">
        <f>('Production D24m'!$D$5*'Parameters D24m, country spec'!$D$51*'N2O per kg feed'!K56+('Production D24m'!$D$6+'Production D24m'!$D$7)*'Parameters D24m, country spec'!$D$52*'N2O per kg feed'!K57)/'Production D24m'!D15</f>
        <v>4.8512299899089032E-10</v>
      </c>
      <c r="M20" s="344"/>
      <c r="N20" s="344">
        <f>('Production D24m'!$D$5*'Parameters D24m, country spec'!$D$51*'N2O per kg feed'!M56+('Production D24m'!$D$6+'Production D24m'!$D$7)*'Parameters D24m, country spec'!$D$52*'N2O per kg feed'!M57)/'Production D24m'!D15</f>
        <v>1.3774039113289497E-12</v>
      </c>
      <c r="O20" s="344">
        <f>('Production D24m'!$D$5*'Parameters D24m, country spec'!$D$51*'N2O per kg feed'!N56+('Production D24m'!$D$6+'Production D24m'!$D$7)*'Parameters D24m, country spec'!$D$52*'N2O per kg feed'!N57)/'Production D24m'!D15</f>
        <v>1.1551136943635521E-10</v>
      </c>
      <c r="P20" s="344">
        <f>('Production D24m'!$D$5*'Parameters D24m, country spec'!$D$51*'N2O per kg feed'!O56+('Production D24m'!$D$6+'Production D24m'!$D$7)*'Parameters D24m, country spec'!$D$52*'N2O per kg feed'!O57)/'Production D24m'!D15</f>
        <v>0</v>
      </c>
      <c r="Q20" s="344">
        <f>('Production D24m'!$D$5*'Parameters D24m, country spec'!$D$51*'N2O per kg feed'!P56+('Production D24m'!$D$6+'Production D24m'!$D$7)*'Parameters D24m, country spec'!$D$52*'N2O per kg feed'!P57)/'Production D24m'!D15</f>
        <v>5.4330242848984255E-8</v>
      </c>
      <c r="R20" s="344">
        <f>('Production D24m'!$D$5*'Parameters D24m, country spec'!$D$51*'N2O per kg feed'!P56+('Production D24m'!$D$6+'Production D24m'!$D$7)*'Parameters D24m, country spec'!$D$52*'N2O per kg feed'!P57)/'Production D24m'!D15</f>
        <v>5.4330242848984255E-8</v>
      </c>
      <c r="S20" s="4"/>
      <c r="T20" s="42">
        <f>SUM(U20:V20)</f>
        <v>1.5874785347587534E-2</v>
      </c>
      <c r="U20" s="188">
        <f>Manure!$G$92*44/28/'Production D24m'!D15</f>
        <v>1.0534092948307119E-2</v>
      </c>
      <c r="V20" s="188">
        <f>Manure!$G$159*17/14*Manure!$F$122/'Production D24m'!D15</f>
        <v>5.3406923992804162E-3</v>
      </c>
      <c r="W20" s="4">
        <f>'Production D24m'!$D$5*'Parameters D24m, country spec'!$D$58*EF_el_N2O_DE/'Production D24m'!D15</f>
        <v>1.7669113990850095E-9</v>
      </c>
      <c r="X20" s="42">
        <f>'Production D24m'!$D$12*(Energy_slaughter_el_DE*EF_el_N2O_DE+Energy_slaughter_oil_DE*EF_oil_N2O)/'Production D24m'!D15</f>
        <v>0</v>
      </c>
      <c r="Z20" s="32"/>
      <c r="AA20" s="32"/>
    </row>
    <row r="21" spans="1:27" ht="15.6" thickTop="1" thickBot="1" x14ac:dyDescent="0.35">
      <c r="A21" s="127" t="s">
        <v>624</v>
      </c>
      <c r="B21" s="127" t="s">
        <v>627</v>
      </c>
      <c r="C21" s="128" t="s">
        <v>626</v>
      </c>
      <c r="D21" s="129" t="s">
        <v>43</v>
      </c>
      <c r="E21" s="129" t="s">
        <v>44</v>
      </c>
      <c r="F21" s="130" t="s">
        <v>95</v>
      </c>
      <c r="G21" s="140">
        <f t="shared" si="0"/>
        <v>23.648688538692607</v>
      </c>
      <c r="H21" s="131">
        <f>SUMPRODUCT(H17:H20,'Parameters, general'!$B$23:$B$26)</f>
        <v>4.2402987872964724E-5</v>
      </c>
      <c r="I21" s="131">
        <f>SUMPRODUCT(I17:I20,'Parameters, general'!$B$23:$B$26)</f>
        <v>3.5798974024866891E-5</v>
      </c>
      <c r="J21" s="131">
        <f>SUMPRODUCT(J17:J20,'Parameters, general'!$B$23:$B$26)</f>
        <v>1.6509987076527308</v>
      </c>
      <c r="K21" s="131">
        <f>SUMPRODUCT(K17:K20,'Parameters, general'!$B$23:$B$26)</f>
        <v>0.16509987076527308</v>
      </c>
      <c r="L21" s="131">
        <f>SUMPRODUCT(L17:L20,'Parameters, general'!$B$23:$B$26)</f>
        <v>1.8425914797892555E-5</v>
      </c>
      <c r="M21" s="131">
        <f>SUMPRODUCT(M17:M20,'Parameters, general'!$B$23:$B$26)</f>
        <v>0</v>
      </c>
      <c r="N21" s="131">
        <f>SUMPRODUCT(N17:N20,'Parameters, general'!$B$23:$B$26)</f>
        <v>3.7791315680652464E-8</v>
      </c>
      <c r="O21" s="131">
        <f>SUMPRODUCT(O17:O20,'Parameters, general'!$B$23:$B$26)</f>
        <v>3.3073731019076788E-6</v>
      </c>
      <c r="P21" s="131">
        <f>SUMPRODUCT(P17:P20,'Parameters, general'!$B$23:$B$26)</f>
        <v>1.2433510246965893E-5</v>
      </c>
      <c r="Q21" s="131">
        <f>SUMPRODUCT(Q17:Q20,'Parameters, general'!$B$23:$B$26)</f>
        <v>7.0866683556309505E-5</v>
      </c>
      <c r="R21" s="131">
        <f>SUMPRODUCT(R17:R20,'Parameters, general'!$B$23:$B$26)</f>
        <v>7.0866683556309505E-5</v>
      </c>
      <c r="S21" s="131">
        <f>SUMPRODUCT(S17:S20,'Parameters, general'!$B$23:$B$26)</f>
        <v>11.950207468879668</v>
      </c>
      <c r="T21" s="131">
        <f>SUMPRODUCT(T17:T20,'Parameters, general'!$B$23:$B$26)</f>
        <v>9.8820861689285699</v>
      </c>
      <c r="U21" s="131"/>
      <c r="V21" s="131"/>
      <c r="W21" s="131">
        <f>SUMPRODUCT(W17:W20,'Parameters, general'!$B$23:$B$26)</f>
        <v>4.2182547889215717E-5</v>
      </c>
      <c r="X21" s="131">
        <f>SUMPRODUCT(X17:X20,'Parameters, general'!$B$23:$B$26)</f>
        <v>0</v>
      </c>
      <c r="Z21" s="104">
        <f>SUM(H21:R21)</f>
        <v>1.8163527183364767</v>
      </c>
      <c r="AA21" s="154">
        <f>'CO2 per kg feed'!F56+'CH4 per kg feed'!F56*CF_GWP_CH4_fossil+'N2O per kg feed'!F56*CF_GWP_N2O</f>
        <v>0.19897114722336404</v>
      </c>
    </row>
    <row r="22" spans="1:27" ht="15" thickTop="1" x14ac:dyDescent="0.3">
      <c r="A22" s="132" t="s">
        <v>624</v>
      </c>
      <c r="B22" s="132" t="s">
        <v>627</v>
      </c>
      <c r="C22" s="133" t="s">
        <v>626</v>
      </c>
      <c r="D22" s="16" t="s">
        <v>45</v>
      </c>
      <c r="E22" s="16" t="s">
        <v>46</v>
      </c>
      <c r="F22" s="36" t="s">
        <v>91</v>
      </c>
      <c r="G22" s="135">
        <f t="shared" si="0"/>
        <v>2.777622475119199E-4</v>
      </c>
      <c r="H22" s="355">
        <f>('Production D24m'!$E$5*'Parameters D24m, country spec'!$E$51*'CO2 per kg feed'!G74+('Production D24m'!$E$6+'Production D24m'!$E$7)*'Parameters D24m, country spec'!$E$52*'CO2 per kg feed'!G75)/'Production D24m'!E15</f>
        <v>6.3929113939128495E-5</v>
      </c>
      <c r="I22" s="355">
        <f>('Production D24m'!$E$5*'Parameters D24m, country spec'!$E$51*'CO2 per kg feed'!H74+('Production D24m'!$E$6+'Production D24m'!$E$7)*'Parameters D24m, country spec'!$E$52*'CO2 per kg feed'!H75)/'Production D24m'!E15</f>
        <v>3.2855713902510786E-5</v>
      </c>
      <c r="J22" s="355"/>
      <c r="K22" s="355"/>
      <c r="L22" s="355">
        <f>('Production D24m'!$E$5*'Parameters D24m, country spec'!$E$51*'CO2 per kg feed'!K74+('Production D24m'!$E$6+'Production D24m'!$E$7)*'Parameters D24m, country spec'!$E$52*'CO2 per kg feed'!K75)/'Production D24m'!E15</f>
        <v>4.276620108826971E-5</v>
      </c>
      <c r="M22" s="355"/>
      <c r="N22" s="355">
        <f>('Production D24m'!$E$5*'Parameters D24m, country spec'!$E$51*'CO2 per kg feed'!M74+('Production D24m'!$E$6+'Production D24m'!$E$7)*'Parameters D24m, country spec'!$E$52*'CO2 per kg feed'!M75)/'Production D24m'!E15</f>
        <v>7.3815776623198865E-6</v>
      </c>
      <c r="O22" s="355">
        <f>('Production D24m'!$E$5*'Parameters D24m, country spec'!$E$51*'CO2 per kg feed'!N74+('Production D24m'!$E$6+'Production D24m'!$E$7)*'Parameters D24m, country spec'!$E$52*'CO2 per kg feed'!N75)/'Production D24m'!E15</f>
        <v>2.3665680890353764E-5</v>
      </c>
      <c r="P22" s="355">
        <f>('Production D24m'!$E$5*'Parameters D24m, country spec'!$E$51*'CO2 per kg feed'!O74+('Production D24m'!$E$6+'Production D24m'!$E$7)*'Parameters D24m, country spec'!$E$52*'CO2 per kg feed'!O75)/'Production D24m'!E15</f>
        <v>2.6432018810891098E-5</v>
      </c>
      <c r="Q22" s="355">
        <f>('Production D24m'!$E$5*'Parameters D24m, country spec'!$E$51*'CO2 per kg feed'!P74+('Production D24m'!$E$6+'Production D24m'!$E$7)*'Parameters D24m, country spec'!$E$52*'CO2 per kg feed'!P75)/'Production D24m'!E15</f>
        <v>1.3130605987365435E-5</v>
      </c>
      <c r="R22" s="355">
        <f>('Production D24m'!$E$5*'Parameters D24m, country spec'!$E$51*'CO2 per kg feed'!P74+('Production D24m'!$E$6+'Production D24m'!$E$7)*'Parameters D24m, country spec'!$E$52*'CO2 per kg feed'!P75)/'Production D24m'!E15</f>
        <v>1.3130605987365435E-5</v>
      </c>
      <c r="S22" s="137"/>
      <c r="T22" s="122"/>
      <c r="U22" s="136"/>
      <c r="V22" s="136"/>
      <c r="W22" s="137">
        <f>'Production D24m'!$E$5*'Parameters D24m, country spec'!$E$58*EF_el_CO2_GR/'Production D24m'!E15</f>
        <v>5.4470729243715285E-5</v>
      </c>
      <c r="X22" s="356">
        <f>'Production D24m'!$E$12*(Energy_slaughter_el_GR*EF_el_CO2_GR+Energy_slaughter_oil_GR*EF_oil_CO2)/'Production D24m'!E15</f>
        <v>0</v>
      </c>
      <c r="Z22" s="18"/>
      <c r="AA22" s="18"/>
    </row>
    <row r="23" spans="1:27" x14ac:dyDescent="0.3">
      <c r="A23" s="11" t="s">
        <v>624</v>
      </c>
      <c r="B23" s="11" t="s">
        <v>627</v>
      </c>
      <c r="C23" s="15" t="s">
        <v>626</v>
      </c>
      <c r="D23" s="16" t="s">
        <v>45</v>
      </c>
      <c r="E23" s="16" t="s">
        <v>46</v>
      </c>
      <c r="F23" s="11" t="s">
        <v>92</v>
      </c>
      <c r="G23" s="18">
        <f t="shared" si="0"/>
        <v>7.4082387437526626E-7</v>
      </c>
      <c r="H23" s="344">
        <f>('Production D24m'!$E$5*'Parameters D24m, country spec'!$E$51*'CH4 per kg feed'!G74+('Production D24m'!$E$6+'Production D24m'!$E$7)*'Parameters D24m, country spec'!$E$52*'CH4 per kg feed'!G75)/'Production D24m'!E15</f>
        <v>1.2084773097537866E-7</v>
      </c>
      <c r="I23" s="344">
        <f>('Production D24m'!$E$5*'Parameters D24m, country spec'!$E$51*'CH4 per kg feed'!H74+('Production D24m'!$E$6+'Production D24m'!$E$7)*'Parameters D24m, country spec'!$E$52*'CH4 per kg feed'!H75)/'Production D24m'!E15</f>
        <v>1.1789861806046396E-7</v>
      </c>
      <c r="J23" s="344"/>
      <c r="K23" s="344"/>
      <c r="L23" s="344">
        <f>('Production D24m'!$E$5*'Parameters D24m, country spec'!$E$51*'CH4 per kg feed'!K74+('Production D24m'!$E$6+'Production D24m'!$E$7)*'Parameters D24m, country spec'!$E$52*'CH4 per kg feed'!K75)/'Production D24m'!E15</f>
        <v>1.8948552578473342E-8</v>
      </c>
      <c r="M23" s="344"/>
      <c r="N23" s="344">
        <f>('Production D24m'!$E$5*'Parameters D24m, country spec'!$E$51*'CH4 per kg feed'!M74+('Production D24m'!$E$6+'Production D24m'!$E$7)*'Parameters D24m, country spec'!$E$52*'CH4 per kg feed'!M75)/'Production D24m'!E15</f>
        <v>2.5024403100675374E-8</v>
      </c>
      <c r="O23" s="344">
        <f>('Production D24m'!$E$5*'Parameters D24m, country spec'!$E$51*'CH4 per kg feed'!N74+('Production D24m'!$E$6+'Production D24m'!$E$7)*'Parameters D24m, country spec'!$E$52*'CH4 per kg feed'!N75)/'Production D24m'!E15</f>
        <v>1.9374809202525215E-8</v>
      </c>
      <c r="P23" s="344">
        <f>('Production D24m'!$E$5*'Parameters D24m, country spec'!$E$51*'CH4 per kg feed'!O74+('Production D24m'!$E$6+'Production D24m'!$E$7)*'Parameters D24m, country spec'!$E$52*'CH4 per kg feed'!O75)/'Production D24m'!E15</f>
        <v>0</v>
      </c>
      <c r="Q23" s="344">
        <f>('Production D24m'!$E$5*'Parameters D24m, country spec'!$E$51*'CH4 per kg feed'!P74+('Production D24m'!$E$6+'Production D24m'!$E$7)*'Parameters D24m, country spec'!$E$52*'CH4 per kg feed'!P75)/'Production D24m'!E15</f>
        <v>1.6529886357668206E-7</v>
      </c>
      <c r="R23" s="344">
        <f>('Production D24m'!$E$5*'Parameters D24m, country spec'!$E$51*'CH4 per kg feed'!P74+('Production D24m'!$E$6+'Production D24m'!$E$7)*'Parameters D24m, country spec'!$E$52*'CH4 per kg feed'!P75)/'Production D24m'!E15</f>
        <v>1.6529886357668206E-7</v>
      </c>
      <c r="W23" s="4">
        <f>'Production D24m'!$E$5*'Parameters D24m, country spec'!$E$58*EF_el_CH4_GR/'Production D24m'!E15</f>
        <v>1.0813203330438558E-7</v>
      </c>
      <c r="X23" s="42">
        <f>'Production D24m'!$E$12*(Energy_slaughter_el_GR*EF_el_CH4_GR+Energy_slaughter_oil_GR*EF_oil_CH4)/'Production D24m'!E15</f>
        <v>0</v>
      </c>
      <c r="Z23" s="32"/>
      <c r="AA23" s="32"/>
    </row>
    <row r="24" spans="1:27" x14ac:dyDescent="0.3">
      <c r="A24" s="11" t="s">
        <v>624</v>
      </c>
      <c r="B24" s="11" t="s">
        <v>627</v>
      </c>
      <c r="C24" s="15" t="s">
        <v>626</v>
      </c>
      <c r="D24" s="16" t="s">
        <v>45</v>
      </c>
      <c r="E24" s="16" t="s">
        <v>46</v>
      </c>
      <c r="F24" s="11" t="s">
        <v>93</v>
      </c>
      <c r="G24" s="18">
        <f>SUM(H24:X24)</f>
        <v>0.6887334502069411</v>
      </c>
      <c r="H24" s="344"/>
      <c r="I24" s="344"/>
      <c r="J24" s="363"/>
      <c r="K24" s="344"/>
      <c r="L24" s="344"/>
      <c r="M24" s="344"/>
      <c r="N24" s="344"/>
      <c r="O24" s="344"/>
      <c r="P24" s="344"/>
      <c r="Q24" s="344"/>
      <c r="R24" s="344"/>
      <c r="S24" s="4">
        <f>('Production D24m'!$E$5*EF_ent_ferm_GR)/'Production D24m'!E15</f>
        <v>0.44260027662517287</v>
      </c>
      <c r="T24" s="42">
        <f>SUM(U24:V24)</f>
        <v>0.12306658679088416</v>
      </c>
      <c r="U24" s="57">
        <f>Manure!$I$34/'Production D24m'!E15</f>
        <v>0.12306658679088416</v>
      </c>
      <c r="W24" s="4"/>
      <c r="X24" s="42"/>
      <c r="Z24" s="32"/>
      <c r="AA24" s="32"/>
    </row>
    <row r="25" spans="1:27" ht="15" thickBot="1" x14ac:dyDescent="0.35">
      <c r="A25" s="11" t="s">
        <v>624</v>
      </c>
      <c r="B25" s="11" t="s">
        <v>627</v>
      </c>
      <c r="C25" s="15" t="s">
        <v>626</v>
      </c>
      <c r="D25" s="16" t="s">
        <v>45</v>
      </c>
      <c r="E25" s="16" t="s">
        <v>46</v>
      </c>
      <c r="F25" s="34" t="s">
        <v>94</v>
      </c>
      <c r="G25" s="18">
        <f t="shared" si="0"/>
        <v>4.8926895431498259E-2</v>
      </c>
      <c r="H25" s="344">
        <f>('Production D24m'!$E$5*'Parameters D24m, country spec'!$E$51*'N2O per kg feed'!G74+('Production D24m'!$E$6+'Production D24m'!$E$7)*'Parameters D24m, country spec'!$E$52*'N2O per kg feed'!G75)/'Production D24m'!E15</f>
        <v>1.4134199453795933E-7</v>
      </c>
      <c r="I25" s="344">
        <f>('Production D24m'!$E$5*'Parameters D24m, country spec'!$E$51*'N2O per kg feed'!H74+('Production D24m'!$E$6+'Production D24m'!$E$7)*'Parameters D24m, country spec'!$E$52*'N2O per kg feed'!H75)/'Production D24m'!E15</f>
        <v>1.2926625168474755E-9</v>
      </c>
      <c r="J25" s="344">
        <f>('Production D24m'!$E$5*'Parameters D24m, country spec'!$E$51*'N2O per kg feed'!I74+('Production D24m'!$E$6+'Production D24m'!$E$7)*'Parameters D24m, country spec'!$E$52*'N2O per kg feed'!I75+Manure!I156)/'Production D24m'!E15</f>
        <v>7.6525250067572444E-3</v>
      </c>
      <c r="K25" s="32">
        <f>J25*EF_indirect_N2O_DK</f>
        <v>7.6525250067572452E-4</v>
      </c>
      <c r="L25" s="344">
        <f>('Production D24m'!$E$5*'Parameters D24m, country spec'!$E$51*'N2O per kg feed'!K74+('Production D24m'!$E$6+'Production D24m'!$E$7)*'Parameters D24m, country spec'!$E$52*'N2O per kg feed'!K75)/'Production D24m'!E15</f>
        <v>1.1494348712662193E-9</v>
      </c>
      <c r="M25" s="344"/>
      <c r="N25" s="344">
        <f>('Production D24m'!$E$5*'Parameters D24m, country spec'!$E$51*'N2O per kg feed'!M74+('Production D24m'!$E$6+'Production D24m'!$E$7)*'Parameters D24m, country spec'!$E$52*'N2O per kg feed'!M75)/'Production D24m'!E15</f>
        <v>3.0789366497818135E-10</v>
      </c>
      <c r="O25" s="344">
        <f>('Production D24m'!$E$5*'Parameters D24m, country spec'!$E$51*'N2O per kg feed'!N74+('Production D24m'!$E$6+'Production D24m'!$E$7)*'Parameters D24m, country spec'!$E$52*'N2O per kg feed'!N75)/'Production D24m'!E15</f>
        <v>8.3282068665412287E-10</v>
      </c>
      <c r="P25" s="344">
        <f>('Production D24m'!$E$5*'Parameters D24m, country spec'!$E$51*'N2O per kg feed'!O74+('Production D24m'!$E$6+'Production D24m'!$E$7)*'Parameters D24m, country spec'!$E$52*'N2O per kg feed'!O75)/'Production D24m'!E15</f>
        <v>0</v>
      </c>
      <c r="Q25" s="344">
        <f>('Production D24m'!$E$5*'Parameters D24m, country spec'!$E$51*'N2O per kg feed'!P74+('Production D24m'!$E$6+'Production D24m'!$E$7)*'Parameters D24m, country spec'!$E$52*'N2O per kg feed'!P75)/'Production D24m'!E15</f>
        <v>1.5983428613804744E-8</v>
      </c>
      <c r="R25" s="344">
        <f>('Production D24m'!$E$5*'Parameters D24m, country spec'!$E$51*'N2O per kg feed'!P74+('Production D24m'!$E$6+'Production D24m'!$E$7)*'Parameters D24m, country spec'!$E$52*'N2O per kg feed'!P75)/'Production D24m'!E15</f>
        <v>1.5983428613804744E-8</v>
      </c>
      <c r="S25" s="4"/>
      <c r="T25" s="42">
        <f>SUM(U25:V25)</f>
        <v>2.0254469578962282E-2</v>
      </c>
      <c r="U25" s="188">
        <f>Manure!$I$92*44/28/'Production D24m'!E15</f>
        <v>1.4995561163079122E-2</v>
      </c>
      <c r="V25" s="188">
        <f>Manure!$I$159*17/14*Manure!$H$122/'Production D24m'!E15</f>
        <v>5.2589084158831591E-3</v>
      </c>
      <c r="W25" s="4">
        <f>'Production D24m'!$E$5*'Parameters D24m, country spec'!$E$58*EF_el_N2O_GR/'Production D24m'!E15</f>
        <v>1.8744772192786468E-9</v>
      </c>
      <c r="X25" s="42">
        <f>'Production D24m'!$E$12*(Energy_slaughter_el_GR*EF_el_N2O_GR+Energy_slaughter_oil_GR*EF_oil_N2O)/'Production D24m'!E15</f>
        <v>0</v>
      </c>
      <c r="Z25" s="32"/>
      <c r="AA25" s="32"/>
    </row>
    <row r="26" spans="1:27" ht="15.6" thickTop="1" thickBot="1" x14ac:dyDescent="0.35">
      <c r="A26" s="127" t="s">
        <v>624</v>
      </c>
      <c r="B26" s="127" t="s">
        <v>627</v>
      </c>
      <c r="C26" s="128" t="s">
        <v>626</v>
      </c>
      <c r="D26" s="37" t="s">
        <v>45</v>
      </c>
      <c r="E26" s="37" t="s">
        <v>46</v>
      </c>
      <c r="F26" s="130" t="s">
        <v>95</v>
      </c>
      <c r="G26" s="140">
        <f t="shared" si="0"/>
        <v>23.100877408774828</v>
      </c>
      <c r="H26" s="131">
        <f>SUMPRODUCT(H22:H25,'Parameters, general'!$B$23:$B$26)</f>
        <v>1.0611674083105767E-4</v>
      </c>
      <c r="I26" s="131">
        <f>SUMPRODUCT(I22:I25,'Parameters, general'!$B$23:$B$26)</f>
        <v>3.6721989587811973E-5</v>
      </c>
      <c r="J26" s="131">
        <f>SUMPRODUCT(J22:J25,'Parameters, general'!$B$23:$B$26)</f>
        <v>2.0891393268447276</v>
      </c>
      <c r="K26" s="131">
        <f>SUMPRODUCT(K22:K25,'Parameters, general'!$B$23:$B$26)</f>
        <v>0.20891393268447281</v>
      </c>
      <c r="L26" s="131">
        <f>SUMPRODUCT(L22:L25,'Parameters, general'!$B$23:$B$26)</f>
        <v>4.3644663674963894E-5</v>
      </c>
      <c r="M26" s="131">
        <f>SUMPRODUCT(M22:M25,'Parameters, general'!$B$23:$B$26)</f>
        <v>0</v>
      </c>
      <c r="N26" s="131">
        <f>SUMPRODUCT(N22:N25,'Parameters, general'!$B$23:$B$26)</f>
        <v>8.2113598452590572E-6</v>
      </c>
      <c r="O26" s="131">
        <f>SUMPRODUCT(O22:O25,'Parameters, general'!$B$23:$B$26)</f>
        <v>2.4470410252045593E-5</v>
      </c>
      <c r="P26" s="131">
        <f>SUMPRODUCT(P22:P25,'Parameters, general'!$B$23:$B$26)</f>
        <v>2.6432018810891098E-5</v>
      </c>
      <c r="Q26" s="131">
        <f>SUMPRODUCT(Q22:Q25,'Parameters, general'!$B$23:$B$26)</f>
        <v>2.2419988133519256E-5</v>
      </c>
      <c r="R26" s="131">
        <f>SUMPRODUCT(R22:R25,'Parameters, general'!$B$23:$B$26)</f>
        <v>2.2419988133519256E-5</v>
      </c>
      <c r="S26" s="131">
        <f>SUMPRODUCT(S22:S25,'Parameters, general'!$B$23:$B$26)</f>
        <v>11.950207468879668</v>
      </c>
      <c r="T26" s="131">
        <f>SUMPRODUCT(T22:T25,'Parameters, general'!$B$23:$B$26)</f>
        <v>8.8522680384105747</v>
      </c>
      <c r="U26" s="131"/>
      <c r="V26" s="131"/>
      <c r="W26" s="131">
        <f>SUMPRODUCT(W22:W25,'Parameters, general'!$B$23:$B$26)</f>
        <v>5.8204796117049048E-5</v>
      </c>
      <c r="X26" s="131">
        <f>SUMPRODUCT(X22:X25,'Parameters, general'!$B$23:$B$26)</f>
        <v>0</v>
      </c>
      <c r="Z26" s="104">
        <f>SUM(H26:R26)</f>
        <v>2.2983436966884696</v>
      </c>
      <c r="AA26" s="154">
        <f>'CO2 per kg feed'!F74+'CH4 per kg feed'!F74*CF_GWP_CH4_fossil+'N2O per kg feed'!F74*CF_GWP_N2O</f>
        <v>0.3041341932225976</v>
      </c>
    </row>
    <row r="27" spans="1:27" ht="15" thickTop="1" x14ac:dyDescent="0.3">
      <c r="A27" s="132" t="s">
        <v>624</v>
      </c>
      <c r="B27" s="132" t="s">
        <v>627</v>
      </c>
      <c r="C27" s="133" t="s">
        <v>626</v>
      </c>
      <c r="D27" s="123" t="s">
        <v>96</v>
      </c>
      <c r="E27" s="123" t="s">
        <v>48</v>
      </c>
      <c r="F27" s="134" t="s">
        <v>91</v>
      </c>
      <c r="G27" s="135">
        <f t="shared" si="0"/>
        <v>2.6618238970613201E-4</v>
      </c>
      <c r="H27" s="355">
        <f>('Production D24m'!$F$5*'Parameters D24m, country spec'!$F$51*'CO2 per kg feed'!G92+('Production D24m'!$F$6+'Production D24m'!$F$7)*'Parameters D24m, country spec'!$F$52*'CO2 per kg feed'!G93)/'Production D24m'!F15</f>
        <v>4.0906067594249897E-5</v>
      </c>
      <c r="I27" s="355">
        <f>('Production D24m'!$F$5*'Parameters D24m, country spec'!$F$51*'CO2 per kg feed'!H92+('Production D24m'!$F$6+'Production D24m'!$F$7)*'Parameters D24m, country spec'!$F$52*'CO2 per kg feed'!H93)/'Production D24m'!F15</f>
        <v>2.9726862840438133E-5</v>
      </c>
      <c r="J27" s="355"/>
      <c r="K27" s="355"/>
      <c r="L27" s="355">
        <f>('Production D24m'!$F$5*'Parameters D24m, country spec'!$F$51*'CO2 per kg feed'!K92+('Production D24m'!$F$6+'Production D24m'!$F$7)*'Parameters D24m, country spec'!$F$52*'CO2 per kg feed'!K93)/'Production D24m'!F15</f>
        <v>3.3358298632324064E-5</v>
      </c>
      <c r="M27" s="355"/>
      <c r="N27" s="355">
        <f>('Production D24m'!$F$5*'Parameters D24m, country spec'!$F$51*'CO2 per kg feed'!M92+('Production D24m'!$F$6+'Production D24m'!$F$7)*'Parameters D24m, country spec'!$F$52*'CO2 per kg feed'!M93)/'Production D24m'!F15</f>
        <v>5.9997508398826146E-8</v>
      </c>
      <c r="O27" s="355">
        <f>('Production D24m'!$F$5*'Parameters D24m, country spec'!$F$51*'CO2 per kg feed'!N92+('Production D24m'!$F$6+'Production D24m'!$F$7)*'Parameters D24m, country spec'!$F$52*'CO2 per kg feed'!N93)/'Production D24m'!F15</f>
        <v>1.1577804627136135E-5</v>
      </c>
      <c r="P27" s="355">
        <f>('Production D24m'!$F$5*'Parameters D24m, country spec'!$F$51*'CO2 per kg feed'!O92+('Production D24m'!$F$6+'Production D24m'!$F$7)*'Parameters D24m, country spec'!$F$52*'CO2 per kg feed'!O93)/'Production D24m'!F15</f>
        <v>3.7824017269839478E-5</v>
      </c>
      <c r="Q27" s="355">
        <f>('Production D24m'!$F$5*'Parameters D24m, country spec'!$F$51*'CO2 per kg feed'!P92+('Production D24m'!$F$6+'Production D24m'!$F$7)*'Parameters D24m, country spec'!$F$52*'CO2 per kg feed'!P93)/'Production D24m'!F15</f>
        <v>3.7760485158824008E-5</v>
      </c>
      <c r="R27" s="355">
        <f>('Production D24m'!$F$5*'Parameters D24m, country spec'!$F$51*'CO2 per kg feed'!P92+('Production D24m'!$F$6+'Production D24m'!$F$7)*'Parameters D24m, country spec'!$F$52*'CO2 per kg feed'!P93)/'Production D24m'!F15</f>
        <v>3.7760485158824008E-5</v>
      </c>
      <c r="S27" s="137"/>
      <c r="T27" s="122"/>
      <c r="U27" s="136"/>
      <c r="V27" s="136"/>
      <c r="W27" s="137">
        <f>'Production D24m'!$F$5*'Parameters D24m, country spec'!$F$58*EF_el_CO2_HU/'Production D24m'!F15</f>
        <v>3.7208370916097458E-5</v>
      </c>
      <c r="X27" s="356">
        <f>'Production D24m'!$F$12*(Energy_slaughter_el_HU*EF_el_CO2_HU+Energy_slaughter_oil_HU*EF_oil_CO2)/'Production D24m'!F15</f>
        <v>0</v>
      </c>
      <c r="Z27" s="18"/>
      <c r="AA27" s="18"/>
    </row>
    <row r="28" spans="1:27" x14ac:dyDescent="0.3">
      <c r="A28" s="11" t="s">
        <v>624</v>
      </c>
      <c r="B28" s="11" t="s">
        <v>627</v>
      </c>
      <c r="C28" s="15" t="s">
        <v>626</v>
      </c>
      <c r="D28" s="16" t="s">
        <v>96</v>
      </c>
      <c r="E28" s="16" t="s">
        <v>48</v>
      </c>
      <c r="F28" s="11" t="s">
        <v>92</v>
      </c>
      <c r="G28" s="18">
        <f t="shared" si="0"/>
        <v>1.3488347111816167E-6</v>
      </c>
      <c r="H28" s="344">
        <f>('Production D24m'!$F$5*'Parameters D24m, country spec'!$F$51*'CH4 per kg feed'!G92+('Production D24m'!$F$6+'Production D24m'!$F$7)*'Parameters D24m, country spec'!$F$52*'CH4 per kg feed'!G93)/'Production D24m'!F15</f>
        <v>7.6658098034708309E-8</v>
      </c>
      <c r="I28" s="344">
        <f>('Production D24m'!$F$5*'Parameters D24m, country spec'!$F$51*'CH4 per kg feed'!H92+('Production D24m'!$F$6+'Production D24m'!$F$7)*'Parameters D24m, country spec'!$F$52*'CH4 per kg feed'!H93)/'Production D24m'!F15</f>
        <v>1.0553864000201118E-7</v>
      </c>
      <c r="J28" s="344"/>
      <c r="K28" s="344"/>
      <c r="L28" s="344">
        <f>('Production D24m'!$F$5*'Parameters D24m, country spec'!$F$51*'CH4 per kg feed'!K92+('Production D24m'!$F$6+'Production D24m'!$F$7)*'Parameters D24m, country spec'!$F$52*'CH4 per kg feed'!K93)/'Production D24m'!F15</f>
        <v>1.4797103466911273E-8</v>
      </c>
      <c r="M28" s="344"/>
      <c r="N28" s="344">
        <f>('Production D24m'!$F$5*'Parameters D24m, country spec'!$F$51*'CH4 per kg feed'!M92+('Production D24m'!$F$6+'Production D24m'!$F$7)*'Parameters D24m, country spec'!$F$52*'CH4 per kg feed'!M93)/'Production D24m'!F15</f>
        <v>2.6677772028630806E-10</v>
      </c>
      <c r="O28" s="344">
        <f>('Production D24m'!$F$5*'Parameters D24m, country spec'!$F$51*'CH4 per kg feed'!N92+('Production D24m'!$F$6+'Production D24m'!$F$7)*'Parameters D24m, country spec'!$F$52*'CH4 per kg feed'!N93)/'Production D24m'!F15</f>
        <v>9.2960805142920036E-9</v>
      </c>
      <c r="P28" s="344">
        <f>('Production D24m'!$F$5*'Parameters D24m, country spec'!$F$51*'CH4 per kg feed'!O92+('Production D24m'!$F$6+'Production D24m'!$F$7)*'Parameters D24m, country spec'!$F$52*'CH4 per kg feed'!O93)/'Production D24m'!F15</f>
        <v>0</v>
      </c>
      <c r="Q28" s="344">
        <f>('Production D24m'!$F$5*'Parameters D24m, country spec'!$F$51*'CH4 per kg feed'!P92+('Production D24m'!$F$6+'Production D24m'!$F$7)*'Parameters D24m, country spec'!$F$52*'CH4 per kg feed'!P93)/'Production D24m'!F15</f>
        <v>5.2416592395698835E-7</v>
      </c>
      <c r="R28" s="344">
        <f>('Production D24m'!$F$5*'Parameters D24m, country spec'!$F$51*'CH4 per kg feed'!P92+('Production D24m'!$F$6+'Production D24m'!$F$7)*'Parameters D24m, country spec'!$F$52*'CH4 per kg feed'!P93)/'Production D24m'!F15</f>
        <v>5.2416592395698835E-7</v>
      </c>
      <c r="W28" s="4">
        <f>'Production D24m'!$F$5*'Parameters D24m, country spec'!$F$58*EF_el_CH4_HU/'Production D24m'!F15</f>
        <v>9.3946163529430779E-8</v>
      </c>
      <c r="X28" s="42">
        <f>'Production D24m'!$F$12*(Energy_slaughter_el_HU*EF_el_CH4_HU+Energy_slaughter_oil_HU*EF_oil_CH4)/'Production D24m'!F15</f>
        <v>0</v>
      </c>
      <c r="Z28" s="32"/>
      <c r="AA28" s="32"/>
    </row>
    <row r="29" spans="1:27" x14ac:dyDescent="0.3">
      <c r="A29" s="11" t="s">
        <v>624</v>
      </c>
      <c r="B29" s="11" t="s">
        <v>627</v>
      </c>
      <c r="C29" s="15" t="s">
        <v>626</v>
      </c>
      <c r="D29" s="16" t="s">
        <v>96</v>
      </c>
      <c r="E29" s="16" t="s">
        <v>48</v>
      </c>
      <c r="F29" s="11" t="s">
        <v>93</v>
      </c>
      <c r="G29" s="18">
        <f>SUM(H29:X29)</f>
        <v>1.1150112780647048</v>
      </c>
      <c r="H29" s="344"/>
      <c r="I29" s="344"/>
      <c r="J29" s="363"/>
      <c r="K29" s="344"/>
      <c r="L29" s="344"/>
      <c r="M29" s="344"/>
      <c r="N29" s="344"/>
      <c r="O29" s="344"/>
      <c r="P29" s="344"/>
      <c r="Q29" s="344"/>
      <c r="R29" s="344"/>
      <c r="S29" s="4">
        <f>('Production D24m'!$F$5*EF_ent_ferm_HU+('Production D24m'!$F$6+'Production D24m'!$F$7)*EF_ent_ferm_HU)/'Production D24m'!F15</f>
        <v>0.66390041493775931</v>
      </c>
      <c r="T29" s="42">
        <f>SUM(U29:V29)</f>
        <v>0.22555543156347274</v>
      </c>
      <c r="U29" s="57">
        <f>Manure!$K$34/'Production D24m'!F15</f>
        <v>0.22555543156347274</v>
      </c>
      <c r="W29" s="4"/>
      <c r="X29" s="42"/>
      <c r="Z29" s="32"/>
      <c r="AA29" s="32"/>
    </row>
    <row r="30" spans="1:27" ht="15" thickBot="1" x14ac:dyDescent="0.35">
      <c r="A30" s="11" t="s">
        <v>624</v>
      </c>
      <c r="B30" s="11" t="s">
        <v>627</v>
      </c>
      <c r="C30" s="15" t="s">
        <v>626</v>
      </c>
      <c r="D30" s="16" t="s">
        <v>96</v>
      </c>
      <c r="E30" s="16" t="s">
        <v>48</v>
      </c>
      <c r="F30" s="34" t="s">
        <v>94</v>
      </c>
      <c r="G30" s="18">
        <f t="shared" si="0"/>
        <v>5.2248825459249575E-2</v>
      </c>
      <c r="H30" s="344">
        <f>('Production D24m'!$F$5*'Parameters D24m, country spec'!$F$51*'N2O per kg feed'!G92+('Production D24m'!$F$6+'Production D24m'!$F$7)*'Parameters D24m, country spec'!$F$52*'N2O per kg feed'!G93)/'Production D24m'!F15</f>
        <v>9.0141075260234151E-8</v>
      </c>
      <c r="I30" s="344">
        <f>('Production D24m'!$F$5*'Parameters D24m, country spec'!$F$51*'N2O per kg feed'!H92+('Production D24m'!$F$6+'Production D24m'!$F$7)*'Parameters D24m, country spec'!$F$52*'N2O per kg feed'!H93)/'Production D24m'!F15</f>
        <v>1.1922119600084575E-9</v>
      </c>
      <c r="J30" s="344">
        <f>('Production D24m'!$F$5*'Parameters D24m, country spec'!$F$51*'N2O per kg feed'!I92+('Production D24m'!$F$6+'Production D24m'!$F$7)*'Parameters D24m, country spec'!$F$52*'N2O per kg feed'!I93+Manure!K156)/'Production D24m'!F15</f>
        <v>7.0791034896163282E-3</v>
      </c>
      <c r="K30" s="32">
        <f>J30*EF_indirect_N2O_DK</f>
        <v>7.0791034896163288E-4</v>
      </c>
      <c r="L30" s="344">
        <f>('Production D24m'!$F$5*'Parameters D24m, country spec'!$F$51*'N2O per kg feed'!K92+('Production D24m'!$F$6+'Production D24m'!$F$7)*'Parameters D24m, country spec'!$F$52*'N2O per kg feed'!K93)/'Production D24m'!F15</f>
        <v>8.9744306794977441E-10</v>
      </c>
      <c r="M30" s="344"/>
      <c r="N30" s="344">
        <f>('Production D24m'!$F$5*'Parameters D24m, country spec'!$F$51*'N2O per kg feed'!M92+('Production D24m'!$F$6+'Production D24m'!$F$7)*'Parameters D24m, country spec'!$F$52*'N2O per kg feed'!M93)/'Production D24m'!F15</f>
        <v>3.2831919342954294E-12</v>
      </c>
      <c r="O30" s="344">
        <f>('Production D24m'!$F$5*'Parameters D24m, country spec'!$F$51*'N2O per kg feed'!N92+('Production D24m'!$F$6+'Production D24m'!$F$7)*'Parameters D24m, country spec'!$F$52*'N2O per kg feed'!N93)/'Production D24m'!F15</f>
        <v>4.1358261503383644E-10</v>
      </c>
      <c r="P30" s="344">
        <f>('Production D24m'!$F$5*'Parameters D24m, country spec'!$F$51*'N2O per kg feed'!O92+('Production D24m'!$F$6+'Production D24m'!$F$7)*'Parameters D24m, country spec'!$F$52*'N2O per kg feed'!O93)/'Production D24m'!F15</f>
        <v>0</v>
      </c>
      <c r="Q30" s="344">
        <f>('Production D24m'!$F$5*'Parameters D24m, country spec'!$F$51*'N2O per kg feed'!P92+('Production D24m'!$F$6+'Production D24m'!$F$7)*'Parameters D24m, country spec'!$F$52*'N2O per kg feed'!P93)/'Production D24m'!F15</f>
        <v>5.0537773564649305E-8</v>
      </c>
      <c r="R30" s="344">
        <f>('Production D24m'!$F$5*'Parameters D24m, country spec'!$F$51*'N2O per kg feed'!P92+('Production D24m'!$F$6+'Production D24m'!$F$7)*'Parameters D24m, country spec'!$F$52*'N2O per kg feed'!P93)/'Production D24m'!F15</f>
        <v>5.0537773564649305E-8</v>
      </c>
      <c r="S30" s="4"/>
      <c r="T30" s="42">
        <f>SUM(U30:V30)</f>
        <v>2.2230808296942767E-2</v>
      </c>
      <c r="U30" s="188">
        <f>Manure!$K$92*44/28/'Production D24m'!F15</f>
        <v>1.6666583859413081E-2</v>
      </c>
      <c r="V30" s="188">
        <f>Manure!$K$159*17/14*Manure!$J$122/'Production D24m'!F15</f>
        <v>5.5642244375296874E-3</v>
      </c>
      <c r="W30" s="4">
        <f>'Production D24m'!$F$5*'Parameters D24m, country spec'!$F$58*EF_el_N2O_HU/'Production D24m'!F15</f>
        <v>1.3036428505160124E-9</v>
      </c>
      <c r="X30" s="42">
        <f>'Production D24m'!$F$12*(Energy_slaughter_el_HU*EF_el_N2O_HU+Energy_slaughter_oil_HU*EF_oil_N2O)/'Production D24m'!F15</f>
        <v>0</v>
      </c>
      <c r="Z30" s="32"/>
      <c r="AA30" s="32"/>
    </row>
    <row r="31" spans="1:27" ht="15.6" thickTop="1" thickBot="1" x14ac:dyDescent="0.35">
      <c r="A31" s="127" t="s">
        <v>624</v>
      </c>
      <c r="B31" s="127" t="s">
        <v>627</v>
      </c>
      <c r="C31" s="128" t="s">
        <v>626</v>
      </c>
      <c r="D31" s="129" t="s">
        <v>96</v>
      </c>
      <c r="E31" s="129" t="s">
        <v>48</v>
      </c>
      <c r="F31" s="130" t="s">
        <v>95</v>
      </c>
      <c r="G31" s="140">
        <f t="shared" si="0"/>
        <v>32.210532918507127</v>
      </c>
      <c r="H31" s="131">
        <f>SUMPRODUCT(H27:H30,'Parameters, general'!$B$23:$B$26)</f>
        <v>6.7798992461728133E-5</v>
      </c>
      <c r="I31" s="131">
        <f>SUMPRODUCT(I27:I30,'Parameters, general'!$B$23:$B$26)</f>
        <v>3.3197388177580372E-5</v>
      </c>
      <c r="J31" s="131">
        <f>SUMPRODUCT(J27:J30,'Parameters, general'!$B$23:$B$26)</f>
        <v>1.9325952526652577</v>
      </c>
      <c r="K31" s="131">
        <f>SUMPRODUCT(K27:K30,'Parameters, general'!$B$23:$B$26)</f>
        <v>0.19325952526652579</v>
      </c>
      <c r="L31" s="131">
        <f>SUMPRODUCT(L27:L30,'Parameters, general'!$B$23:$B$26)</f>
        <v>3.4044254273188308E-5</v>
      </c>
      <c r="M31" s="131">
        <f>SUMPRODUCT(M27:M30,'Parameters, general'!$B$23:$B$26)</f>
        <v>0</v>
      </c>
      <c r="N31" s="131">
        <f>SUMPRODUCT(N27:N30,'Parameters, general'!$B$23:$B$26)</f>
        <v>6.8843795861420783E-8</v>
      </c>
      <c r="O31" s="131">
        <f>SUMPRODUCT(O27:O30,'Parameters, general'!$B$23:$B$26)</f>
        <v>1.1967735880366273E-5</v>
      </c>
      <c r="P31" s="131">
        <f>SUMPRODUCT(P27:P30,'Parameters, general'!$B$23:$B$26)</f>
        <v>3.7824017269839478E-5</v>
      </c>
      <c r="Q31" s="131">
        <f>SUMPRODUCT(Q27:Q30,'Parameters, general'!$B$23:$B$26)</f>
        <v>6.7177441875891519E-5</v>
      </c>
      <c r="R31" s="131">
        <f>SUMPRODUCT(R27:R30,'Parameters, general'!$B$23:$B$26)</f>
        <v>6.7177441875891519E-5</v>
      </c>
      <c r="S31" s="131">
        <f>SUMPRODUCT(S27:S30,'Parameters, general'!$B$23:$B$26)</f>
        <v>17.925311203319502</v>
      </c>
      <c r="T31" s="131">
        <f>SUMPRODUCT(T27:T30,'Parameters, general'!$B$23:$B$26)</f>
        <v>12.159007317279141</v>
      </c>
      <c r="U31" s="131"/>
      <c r="V31" s="131"/>
      <c r="W31" s="131">
        <f>SUMPRODUCT(W27:W30,'Parameters, general'!$B$23:$B$26)</f>
        <v>4.0363861087465362E-5</v>
      </c>
      <c r="X31" s="131">
        <f>SUMPRODUCT(X27:X30,'Parameters, general'!$B$23:$B$26)</f>
        <v>0</v>
      </c>
      <c r="Z31" s="104">
        <f>SUM(H31:R31)</f>
        <v>2.126174034047394</v>
      </c>
      <c r="AA31" s="154">
        <f>'CO2 per kg feed'!F92+'CH4 per kg feed'!F92*CF_GWP_CH4_fossil+'N2O per kg feed'!F92*CF_GWP_N2O</f>
        <v>0.27981966234500727</v>
      </c>
    </row>
    <row r="32" spans="1:27" ht="15" thickTop="1" x14ac:dyDescent="0.3">
      <c r="A32" s="132" t="s">
        <v>624</v>
      </c>
      <c r="B32" s="132" t="s">
        <v>627</v>
      </c>
      <c r="C32" s="133" t="s">
        <v>626</v>
      </c>
      <c r="D32" s="123" t="s">
        <v>97</v>
      </c>
      <c r="E32" s="123" t="s">
        <v>50</v>
      </c>
      <c r="F32" s="134" t="s">
        <v>91</v>
      </c>
      <c r="G32" s="135">
        <f t="shared" si="0"/>
        <v>1.4497157116284356E-4</v>
      </c>
      <c r="H32" s="355">
        <f>('Production D24m'!$G$5*'Parameters D24m, country spec'!$G$51*'CO2 per kg feed'!G110+('Production D24m'!$G$6+'Production D24m'!$G$7)*'Parameters D24m, country spec'!$G$52*'CO2 per kg feed'!G111)/'Production D24m'!G15</f>
        <v>4.0782385491489794E-5</v>
      </c>
      <c r="I32" s="355">
        <f>('Production D24m'!$G$5*'Parameters D24m, country spec'!$G$51*'CO2 per kg feed'!H110+('Production D24m'!$G$6+'Production D24m'!$G$7)*'Parameters D24m, country spec'!$G$52*'CO2 per kg feed'!H111)/'Production D24m'!G15</f>
        <v>3.284635858939865E-5</v>
      </c>
      <c r="J32" s="355"/>
      <c r="K32" s="355"/>
      <c r="L32" s="355">
        <f>('Production D24m'!$G$5*'Parameters D24m, country spec'!$G$51*'CO2 per kg feed'!K110+('Production D24m'!$G$6+'Production D24m'!$G$7)*'Parameters D24m, country spec'!$G$52*'CO2 per kg feed'!K111)/'Production D24m'!G15</f>
        <v>2.038823023293025E-5</v>
      </c>
      <c r="M32" s="355"/>
      <c r="N32" s="355">
        <f>('Production D24m'!$G$5*'Parameters D24m, country spec'!$G$51*'CO2 per kg feed'!M110+('Production D24m'!$G$6+'Production D24m'!$G$7)*'Parameters D24m, country spec'!$G$52*'CO2 per kg feed'!M111)/'Production D24m'!G15</f>
        <v>3.909859460409009E-9</v>
      </c>
      <c r="O32" s="355">
        <f>('Production D24m'!$G$5*'Parameters D24m, country spec'!$G$51*'CO2 per kg feed'!N110+('Production D24m'!$G$6+'Production D24m'!$G$7)*'Parameters D24m, country spec'!$G$52*'CO2 per kg feed'!N111)/'Production D24m'!G15</f>
        <v>9.603383620780217E-6</v>
      </c>
      <c r="P32" s="355">
        <f>('Production D24m'!$G$5*'Parameters D24m, country spec'!$G$51*'CO2 per kg feed'!O110+('Production D24m'!$G$6+'Production D24m'!$G$7)*'Parameters D24m, country spec'!$G$52*'CO2 per kg feed'!O111)/'Production D24m'!G15</f>
        <v>4.2857820203972298E-6</v>
      </c>
      <c r="Q32" s="355">
        <f>('Production D24m'!$G$5*'Parameters D24m, country spec'!$G$51*'CO2 per kg feed'!P110+('Production D24m'!$G$6+'Production D24m'!$G$7)*'Parameters D24m, country spec'!$G$52*'CO2 per kg feed'!P111)/'Production D24m'!G15</f>
        <v>1.853581820071158E-6</v>
      </c>
      <c r="R32" s="355">
        <f>('Production D24m'!$G$5*'Parameters D24m, country spec'!$G$51*'CO2 per kg feed'!P110+('Production D24m'!$G$6+'Production D24m'!$G$7)*'Parameters D24m, country spec'!$G$52*'CO2 per kg feed'!P111)/'Production D24m'!G15</f>
        <v>1.853581820071158E-6</v>
      </c>
      <c r="S32" s="137"/>
      <c r="T32" s="122"/>
      <c r="U32" s="136"/>
      <c r="V32" s="136"/>
      <c r="W32" s="137">
        <f>'Production D24m'!$G$5*'Parameters D24m, country spec'!$G$58*EF_el_CO2_IE/'Production D24m'!G15</f>
        <v>3.3354357708244718E-5</v>
      </c>
      <c r="X32" s="356">
        <f>'Production D24m'!$G$12*(Energy_slaughter_el_IE*EF_el_CO2_IE+Energy_slaughter_oil_IE*EF_oil_CO2)/'Production D24m'!G15</f>
        <v>0</v>
      </c>
      <c r="Z32" s="18"/>
      <c r="AA32" s="18"/>
    </row>
    <row r="33" spans="1:27" x14ac:dyDescent="0.3">
      <c r="A33" s="11" t="s">
        <v>624</v>
      </c>
      <c r="B33" s="11" t="s">
        <v>627</v>
      </c>
      <c r="C33" s="15" t="s">
        <v>626</v>
      </c>
      <c r="D33" s="16" t="s">
        <v>97</v>
      </c>
      <c r="E33" s="16" t="s">
        <v>50</v>
      </c>
      <c r="F33" s="11" t="s">
        <v>92</v>
      </c>
      <c r="G33" s="18">
        <f t="shared" si="0"/>
        <v>2.8312950350143849E-7</v>
      </c>
      <c r="H33" s="344">
        <f>('Production D24m'!$G$5*'Parameters D24m, country spec'!$G$51*'CH4 per kg feed'!G110+('Production D24m'!$G$6+'Production D24m'!$G$7)*'Parameters D24m, country spec'!$G$52*'CH4 per kg feed'!G111)/'Production D24m'!G15</f>
        <v>7.5880942442376355E-8</v>
      </c>
      <c r="I33" s="344">
        <f>('Production D24m'!$G$5*'Parameters D24m, country spec'!$G$51*'CH4 per kg feed'!H110+('Production D24m'!$G$6+'Production D24m'!$G$7)*'Parameters D24m, country spec'!$G$52*'CH4 per kg feed'!H111)/'Production D24m'!G15</f>
        <v>1.1665976038796926E-7</v>
      </c>
      <c r="J33" s="344"/>
      <c r="K33" s="344"/>
      <c r="L33" s="344">
        <f>('Production D24m'!$G$5*'Parameters D24m, country spec'!$G$51*'CH4 per kg feed'!K110+('Production D24m'!$G$6+'Production D24m'!$G$7)*'Parameters D24m, country spec'!$G$52*'CH4 per kg feed'!K111)/'Production D24m'!G15</f>
        <v>8.9978642640656202E-9</v>
      </c>
      <c r="M33" s="344"/>
      <c r="N33" s="344">
        <f>('Production D24m'!$G$5*'Parameters D24m, country spec'!$G$51*'CH4 per kg feed'!M110+('Production D24m'!$G$6+'Production D24m'!$G$7)*'Parameters D24m, country spec'!$G$52*'CH4 per kg feed'!M111)/'Production D24m'!G15</f>
        <v>1.3881188339480554E-10</v>
      </c>
      <c r="O33" s="344">
        <f>('Production D24m'!$G$5*'Parameters D24m, country spec'!$G$51*'CH4 per kg feed'!N110+('Production D24m'!$G$6+'Production D24m'!$G$7)*'Parameters D24m, country spec'!$G$52*'CH4 per kg feed'!N111)/'Production D24m'!G15</f>
        <v>5.0414879210846836E-9</v>
      </c>
      <c r="P33" s="344">
        <f>('Production D24m'!$G$5*'Parameters D24m, country spec'!$G$51*'CH4 per kg feed'!O110+('Production D24m'!$G$6+'Production D24m'!$G$7)*'Parameters D24m, country spec'!$G$52*'CH4 per kg feed'!O111)/'Production D24m'!G15</f>
        <v>0</v>
      </c>
      <c r="Q33" s="344">
        <f>('Production D24m'!$G$5*'Parameters D24m, country spec'!$G$51*'CH4 per kg feed'!P110+('Production D24m'!$G$6+'Production D24m'!$G$7)*'Parameters D24m, country spec'!$G$52*'CH4 per kg feed'!P111)/'Production D24m'!G15</f>
        <v>2.0232595794770892E-8</v>
      </c>
      <c r="R33" s="344">
        <f>('Production D24m'!$G$5*'Parameters D24m, country spec'!$G$51*'CH4 per kg feed'!P110+('Production D24m'!$G$6+'Production D24m'!$G$7)*'Parameters D24m, country spec'!$G$52*'CH4 per kg feed'!P111)/'Production D24m'!G15</f>
        <v>2.0232595794770892E-8</v>
      </c>
      <c r="W33" s="4">
        <f>'Production D24m'!$G$5*'Parameters D24m, country spec'!$G$58*EF_el_CH4_IE/'Production D24m'!G15</f>
        <v>3.5945445013005987E-8</v>
      </c>
      <c r="X33" s="42">
        <f>'Production D24m'!$G$12*(Energy_slaughter_el_IE*EF_el_CH4_IE+Energy_slaughter_oil_IE*EF_oil_CH4)/'Production D24m'!G15</f>
        <v>0</v>
      </c>
      <c r="Z33" s="32"/>
      <c r="AA33" s="32"/>
    </row>
    <row r="34" spans="1:27" x14ac:dyDescent="0.3">
      <c r="A34" s="11" t="s">
        <v>624</v>
      </c>
      <c r="B34" s="11" t="s">
        <v>627</v>
      </c>
      <c r="C34" s="15" t="s">
        <v>626</v>
      </c>
      <c r="D34" s="16" t="s">
        <v>97</v>
      </c>
      <c r="E34" s="16" t="s">
        <v>50</v>
      </c>
      <c r="F34" s="11" t="s">
        <v>93</v>
      </c>
      <c r="G34" s="18">
        <f>SUM(H34:X34)</f>
        <v>1.076922939514509</v>
      </c>
      <c r="H34" s="344"/>
      <c r="I34" s="344"/>
      <c r="J34" s="363"/>
      <c r="K34" s="344"/>
      <c r="L34" s="344"/>
      <c r="M34" s="344"/>
      <c r="N34" s="344"/>
      <c r="O34" s="344"/>
      <c r="P34" s="344"/>
      <c r="Q34" s="344"/>
      <c r="R34" s="344"/>
      <c r="S34" s="4">
        <f>('Production D24m'!$G$5*EF_ent_ferm_IE+('Production D24m'!$G$6+'Production D24m'!$G$7)*EF_ent_ferm_IE)/'Production D24m'!G15</f>
        <v>0.66390041493775931</v>
      </c>
      <c r="T34" s="42">
        <f>SUM(U34:V34)</f>
        <v>0.20651126228837485</v>
      </c>
      <c r="U34" s="57">
        <f>Manure!$M$34/'Production D24m'!G15</f>
        <v>0.20651126228837485</v>
      </c>
      <c r="W34" s="4"/>
      <c r="X34" s="42"/>
      <c r="Z34" s="32"/>
      <c r="AA34" s="32"/>
    </row>
    <row r="35" spans="1:27" ht="15" thickBot="1" x14ac:dyDescent="0.35">
      <c r="A35" s="11" t="s">
        <v>624</v>
      </c>
      <c r="B35" s="11" t="s">
        <v>627</v>
      </c>
      <c r="C35" s="15" t="s">
        <v>626</v>
      </c>
      <c r="D35" s="16" t="s">
        <v>97</v>
      </c>
      <c r="E35" s="16" t="s">
        <v>50</v>
      </c>
      <c r="F35" s="34" t="s">
        <v>94</v>
      </c>
      <c r="G35" s="18">
        <f t="shared" si="0"/>
        <v>3.2833486692300379E-2</v>
      </c>
      <c r="H35" s="344">
        <f>('Production D24m'!$G$5*'Parameters D24m, country spec'!$G$51*'N2O per kg feed'!G110+('Production D24m'!$G$6+'Production D24m'!$G$7)*'Parameters D24m, country spec'!$G$52*'N2O per kg feed'!G111)/'Production D24m'!G15</f>
        <v>9.0536979524797145E-8</v>
      </c>
      <c r="I35" s="344">
        <f>('Production D24m'!$G$5*'Parameters D24m, country spec'!$G$51*'N2O per kg feed'!H110+('Production D24m'!$G$6+'Production D24m'!$G$7)*'Parameters D24m, country spec'!$G$52*'N2O per kg feed'!H111)/'Production D24m'!G15</f>
        <v>1.3164001910626871E-9</v>
      </c>
      <c r="J35" s="344">
        <f>('Production D24m'!$G$5*'Parameters D24m, country spec'!$G$51*'N2O per kg feed'!I110+('Production D24m'!$G$6+'Production D24m'!$G$7)*'Parameters D24m, country spec'!$G$52*'N2O per kg feed'!I111+Manure!ME156)/'Production D24m'!G15</f>
        <v>3.163754420630622E-7</v>
      </c>
      <c r="K35" s="32">
        <f>J35*EF_indirect_N2O_DK</f>
        <v>3.1637544206306219E-8</v>
      </c>
      <c r="L35" s="344">
        <f>('Production D24m'!$G$5*'Parameters D24m, country spec'!$G$51*'N2O per kg feed'!K110+('Production D24m'!$G$6+'Production D24m'!$G$7)*'Parameters D24m, country spec'!$G$52*'N2O per kg feed'!K111)/'Production D24m'!G15</f>
        <v>5.4549913719898284E-10</v>
      </c>
      <c r="M35" s="344"/>
      <c r="N35" s="344">
        <f>('Production D24m'!$G$5*'Parameters D24m, country spec'!$G$51*'N2O per kg feed'!M110+('Production D24m'!$G$6+'Production D24m'!$G$7)*'Parameters D24m, country spec'!$G$52*'N2O per kg feed'!M111)/'Production D24m'!G15</f>
        <v>1.7073585142944446E-12</v>
      </c>
      <c r="O35" s="344">
        <f>('Production D24m'!$G$5*'Parameters D24m, country spec'!$G$51*'N2O per kg feed'!N110+('Production D24m'!$G$6+'Production D24m'!$G$7)*'Parameters D24m, country spec'!$G$52*'N2O per kg feed'!N111)/'Production D24m'!G15</f>
        <v>3.4223393690096783E-10</v>
      </c>
      <c r="P35" s="344">
        <f>('Production D24m'!$G$5*'Parameters D24m, country spec'!$G$51*'N2O per kg feed'!O110+('Production D24m'!$G$6+'Production D24m'!$G$7)*'Parameters D24m, country spec'!$G$52*'N2O per kg feed'!O111)/'Production D24m'!G15</f>
        <v>0</v>
      </c>
      <c r="Q35" s="344">
        <f>('Production D24m'!$G$5*'Parameters D24m, country spec'!$G$51*'N2O per kg feed'!P110+('Production D24m'!$G$6+'Production D24m'!$G$7)*'Parameters D24m, country spec'!$G$52*'N2O per kg feed'!P111)/'Production D24m'!G15</f>
        <v>1.9554467750686052E-9</v>
      </c>
      <c r="R35" s="344">
        <f>('Production D24m'!$G$5*'Parameters D24m, country spec'!$G$51*'N2O per kg feed'!P110+('Production D24m'!$G$6+'Production D24m'!$G$7)*'Parameters D24m, country spec'!$G$52*'N2O per kg feed'!P111)/'Production D24m'!G15</f>
        <v>1.9554467750686052E-9</v>
      </c>
      <c r="S35" s="4"/>
      <c r="T35" s="42">
        <f>SUM(U35:V35)</f>
        <v>1.6416520400137972E-2</v>
      </c>
      <c r="U35" s="188">
        <f>Manure!$M$92*44/28/'Production D24m'!G15</f>
        <v>1.1910567620209972E-2</v>
      </c>
      <c r="V35" s="188">
        <f>Manure!$M$159*17/14*Manure!$L$122/'Production D24m'!G15</f>
        <v>4.5059527799279995E-3</v>
      </c>
      <c r="W35" s="4">
        <f>'Production D24m'!$G$5*'Parameters D24m, country spec'!$G$58*EF_el_N2O_IE/'Production D24m'!G15</f>
        <v>1.2253244685604852E-9</v>
      </c>
      <c r="X35" s="42">
        <f>'Production D24m'!$G$12*(Energy_slaughter_el_IE*EF_el_N2O_IE+Energy_slaughter_oil_IE*EF_oil_N2O)/'Production D24m'!G15</f>
        <v>0</v>
      </c>
      <c r="Z35" s="32"/>
      <c r="AA35" s="32"/>
    </row>
    <row r="36" spans="1:27" ht="15.6" thickTop="1" thickBot="1" x14ac:dyDescent="0.35">
      <c r="A36" s="127" t="s">
        <v>624</v>
      </c>
      <c r="B36" s="127" t="s">
        <v>627</v>
      </c>
      <c r="C36" s="128" t="s">
        <v>626</v>
      </c>
      <c r="D36" s="37" t="s">
        <v>97</v>
      </c>
      <c r="E36" s="37" t="s">
        <v>50</v>
      </c>
      <c r="F36" s="130" t="s">
        <v>95</v>
      </c>
      <c r="G36" s="140">
        <f t="shared" si="0"/>
        <v>27.983100491696327</v>
      </c>
      <c r="H36" s="131">
        <f>SUMPRODUCT(H32:H35,'Parameters, general'!$B$23:$B$26)</f>
        <v>6.7760232986542224E-5</v>
      </c>
      <c r="I36" s="131">
        <f>SUMPRODUCT(I32:I35,'Parameters, general'!$B$23:$B$26)</f>
        <v>3.6682196701120248E-5</v>
      </c>
      <c r="J36" s="131">
        <f>SUMPRODUCT(J32:J35,'Parameters, general'!$B$23:$B$26)</f>
        <v>8.6370495683215978E-5</v>
      </c>
      <c r="K36" s="131">
        <f>SUMPRODUCT(K32:K35,'Parameters, general'!$B$23:$B$26)</f>
        <v>8.6370495683215971E-6</v>
      </c>
      <c r="L36" s="131">
        <f>SUMPRODUCT(L32:L35,'Parameters, general'!$B$23:$B$26)</f>
        <v>2.0805287852454727E-5</v>
      </c>
      <c r="M36" s="131">
        <f>SUMPRODUCT(M32:M35,'Parameters, general'!$B$23:$B$26)</f>
        <v>0</v>
      </c>
      <c r="N36" s="131">
        <f>SUMPRODUCT(N32:N35,'Parameters, general'!$B$23:$B$26)</f>
        <v>8.5125624599765991E-9</v>
      </c>
      <c r="O36" s="131">
        <f>SUMPRODUCT(O32:O35,'Parameters, general'!$B$23:$B$26)</f>
        <v>9.8470498256025036E-6</v>
      </c>
      <c r="P36" s="131">
        <f>SUMPRODUCT(P32:P35,'Parameters, general'!$B$23:$B$26)</f>
        <v>4.2857820203972298E-6</v>
      </c>
      <c r="Q36" s="131">
        <f>SUMPRODUCT(Q32:Q35,'Parameters, general'!$B$23:$B$26)</f>
        <v>2.9903501443490595E-6</v>
      </c>
      <c r="R36" s="131">
        <f>SUMPRODUCT(R32:R35,'Parameters, general'!$B$23:$B$26)</f>
        <v>2.9903501443490595E-6</v>
      </c>
      <c r="S36" s="131">
        <f>SUMPRODUCT(S32:S35,'Parameters, general'!$B$23:$B$26)</f>
        <v>17.925311203319502</v>
      </c>
      <c r="T36" s="131">
        <f>SUMPRODUCT(T32:T35,'Parameters, general'!$B$23:$B$26)</f>
        <v>10.057514151023787</v>
      </c>
      <c r="U36" s="131"/>
      <c r="V36" s="131"/>
      <c r="W36" s="131">
        <f>SUMPRODUCT(W32:W35,'Parameters, general'!$B$23:$B$26)</f>
        <v>3.4760045549549307E-5</v>
      </c>
      <c r="X36" s="131">
        <f>SUMPRODUCT(X32:X35,'Parameters, general'!$B$23:$B$26)</f>
        <v>0</v>
      </c>
      <c r="Z36" s="104">
        <f>SUM(H36:R36)</f>
        <v>2.4037730748881258E-4</v>
      </c>
      <c r="AA36" s="154">
        <f>'CO2 per kg feed'!F110+'CH4 per kg feed'!F110*CF_GWP_CH4_fossil+'N2O per kg feed'!F110*CF_GWP_N2O</f>
        <v>0.18877321055904489</v>
      </c>
    </row>
    <row r="37" spans="1:27" ht="15" thickTop="1" x14ac:dyDescent="0.3">
      <c r="A37" s="132" t="s">
        <v>624</v>
      </c>
      <c r="B37" s="132" t="s">
        <v>627</v>
      </c>
      <c r="C37" s="133" t="s">
        <v>626</v>
      </c>
      <c r="D37" s="123" t="s">
        <v>51</v>
      </c>
      <c r="E37" s="123" t="s">
        <v>52</v>
      </c>
      <c r="F37" s="134" t="s">
        <v>91</v>
      </c>
      <c r="G37" s="135">
        <f t="shared" si="0"/>
        <v>1.686349287858241E-4</v>
      </c>
      <c r="H37" s="355">
        <f>('Production D24m'!$H$5*'Parameters D24m, country spec'!$H$51*'CO2 per kg feed'!G128+('Production D24m'!$H$6+'Production D24m'!$H$7)*'Parameters D24m, country spec'!$H$52*'CO2 per kg feed'!G129)/'Production D24m'!H15</f>
        <v>2.6547433925487107E-5</v>
      </c>
      <c r="I37" s="355">
        <f>('Production D24m'!$H$5*'Parameters D24m, country spec'!$H$51*'CO2 per kg feed'!H128+('Production D24m'!$H$6+'Production D24m'!$H$7)*'Parameters D24m, country spec'!$H$52*'CO2 per kg feed'!H129)/'Production D24m'!H15</f>
        <v>2.8251450230974936E-5</v>
      </c>
      <c r="J37" s="355"/>
      <c r="K37" s="355"/>
      <c r="L37" s="355">
        <f>('Production D24m'!$H$5*'Parameters D24m, country spec'!$H$51*'CO2 per kg feed'!K128+('Production D24m'!$H$6+'Production D24m'!$H$7)*'Parameters D24m, country spec'!$H$52*'CO2 per kg feed'!K129)/'Production D24m'!H15</f>
        <v>1.4940973684636032E-5</v>
      </c>
      <c r="M37" s="355"/>
      <c r="N37" s="355">
        <f>('Production D24m'!$H$5*'Parameters D24m, country spec'!$H$51*'CO2 per kg feed'!M128+('Production D24m'!$H$6+'Production D24m'!$H$7)*'Parameters D24m, country spec'!$H$52*'CO2 per kg feed'!M129)/'Production D24m'!H15</f>
        <v>6.8506943593140769E-7</v>
      </c>
      <c r="O37" s="355">
        <f>('Production D24m'!$H$5*'Parameters D24m, country spec'!$H$51*'CO2 per kg feed'!N128+('Production D24m'!$H$6+'Production D24m'!$H$7)*'Parameters D24m, country spec'!$H$52*'CO2 per kg feed'!N129)/'Production D24m'!H15</f>
        <v>3.5666469587672752E-6</v>
      </c>
      <c r="P37" s="355">
        <f>('Production D24m'!$H$5*'Parameters D24m, country spec'!$H$51*'CO2 per kg feed'!O128+('Production D24m'!$H$6+'Production D24m'!$H$7)*'Parameters D24m, country spec'!$H$52*'CO2 per kg feed'!O129)/'Production D24m'!H15</f>
        <v>1.6949289075754711E-5</v>
      </c>
      <c r="Q37" s="355">
        <f>('Production D24m'!$H$5*'Parameters D24m, country spec'!$H$51*'CO2 per kg feed'!P128+('Production D24m'!$H$6+'Production D24m'!$H$7)*'Parameters D24m, country spec'!$H$52*'CO2 per kg feed'!P129)/'Production D24m'!H15</f>
        <v>2.2761222146298994E-5</v>
      </c>
      <c r="R37" s="355">
        <f>('Production D24m'!$H$5*'Parameters D24m, country spec'!$H$51*'CO2 per kg feed'!P128+('Production D24m'!$H$6+'Production D24m'!$H$7)*'Parameters D24m, country spec'!$H$52*'CO2 per kg feed'!P129)/'Production D24m'!H15</f>
        <v>2.2761222146298994E-5</v>
      </c>
      <c r="S37" s="137"/>
      <c r="T37" s="122"/>
      <c r="U37" s="136"/>
      <c r="V37" s="136"/>
      <c r="W37" s="137">
        <f>'Production D24m'!$H$5*'Parameters D24m, country spec'!$H$58*EF_el_CO2_IT/'Production D24m'!H15</f>
        <v>3.2171621181674648E-5</v>
      </c>
      <c r="X37" s="356">
        <f>'Production D24m'!$H$12*(Energy_slaughter_el_IT*EF_el_CO2_IT+Energy_slaughter_oil_IT*EF_oil_CO2)/'Production D24m'!H15</f>
        <v>0</v>
      </c>
      <c r="Z37" s="18"/>
      <c r="AA37" s="18"/>
    </row>
    <row r="38" spans="1:27" x14ac:dyDescent="0.3">
      <c r="A38" s="11" t="s">
        <v>624</v>
      </c>
      <c r="B38" s="11" t="s">
        <v>627</v>
      </c>
      <c r="C38" s="15" t="s">
        <v>626</v>
      </c>
      <c r="D38" s="16" t="s">
        <v>51</v>
      </c>
      <c r="E38" s="16" t="s">
        <v>52</v>
      </c>
      <c r="F38" s="11" t="s">
        <v>92</v>
      </c>
      <c r="G38" s="18">
        <f t="shared" si="0"/>
        <v>9.4642631013741743E-7</v>
      </c>
      <c r="H38" s="344">
        <f>('Production D24m'!$H$5*'Parameters D24m, country spec'!$H$51*'CH4 per kg feed'!G128+('Production D24m'!$H$6+'Production D24m'!$H$7)*'Parameters D24m, country spec'!$H$52*'CH4 per kg feed'!G129)/'Production D24m'!H15</f>
        <v>4.91717118931208E-8</v>
      </c>
      <c r="I38" s="344">
        <f>('Production D24m'!$H$5*'Parameters D24m, country spec'!$H$51*'CH4 per kg feed'!H128+('Production D24m'!$H$6+'Production D24m'!$H$7)*'Parameters D24m, country spec'!$H$52*'CH4 per kg feed'!H129)/'Production D24m'!H15</f>
        <v>9.9630454031776565E-8</v>
      </c>
      <c r="J38" s="344"/>
      <c r="K38" s="344"/>
      <c r="L38" s="344">
        <f>('Production D24m'!$H$5*'Parameters D24m, country spec'!$H$51*'CH4 per kg feed'!K128+('Production D24m'!$H$6+'Production D24m'!$H$7)*'Parameters D24m, country spec'!$H$52*'CH4 per kg feed'!K129)/'Production D24m'!H15</f>
        <v>6.6173669827756075E-9</v>
      </c>
      <c r="M38" s="344"/>
      <c r="N38" s="344">
        <f>('Production D24m'!$H$5*'Parameters D24m, country spec'!$H$51*'CH4 per kg feed'!M128+('Production D24m'!$H$6+'Production D24m'!$H$7)*'Parameters D24m, country spec'!$H$52*'CH4 per kg feed'!M129)/'Production D24m'!H15</f>
        <v>2.2361977231063887E-9</v>
      </c>
      <c r="O38" s="344">
        <f>('Production D24m'!$H$5*'Parameters D24m, country spec'!$H$51*'CH4 per kg feed'!N128+('Production D24m'!$H$6+'Production D24m'!$H$7)*'Parameters D24m, country spec'!$H$52*'CH4 per kg feed'!N129)/'Production D24m'!H15</f>
        <v>3.3421988779513154E-9</v>
      </c>
      <c r="P38" s="344">
        <f>('Production D24m'!$H$5*'Parameters D24m, country spec'!$H$51*'CH4 per kg feed'!O128+('Production D24m'!$H$6+'Production D24m'!$H$7)*'Parameters D24m, country spec'!$H$52*'CH4 per kg feed'!O129)/'Production D24m'!H15</f>
        <v>0</v>
      </c>
      <c r="Q38" s="344">
        <f>('Production D24m'!$H$5*'Parameters D24m, country spec'!$H$51*'CH4 per kg feed'!P128+('Production D24m'!$H$6+'Production D24m'!$H$7)*'Parameters D24m, country spec'!$H$52*'CH4 per kg feed'!P129)/'Production D24m'!H15</f>
        <v>3.2278554087896515E-7</v>
      </c>
      <c r="R38" s="344">
        <f>('Production D24m'!$H$5*'Parameters D24m, country spec'!$H$51*'CH4 per kg feed'!P128+('Production D24m'!$H$6+'Production D24m'!$H$7)*'Parameters D24m, country spec'!$H$52*'CH4 per kg feed'!P129)/'Production D24m'!H15</f>
        <v>3.2278554087896515E-7</v>
      </c>
      <c r="W38" s="4">
        <f>'Production D24m'!$H$5*'Parameters D24m, country spec'!$H$58*EF_el_CH4_IT/'Production D24m'!H15</f>
        <v>1.3985729887075644E-7</v>
      </c>
      <c r="X38" s="42">
        <f>'Production D24m'!$H$12*(Energy_slaughter_el_IT*EF_el_CH4_IT+Energy_slaughter_oil_IT*EF_oil_CH4)/'Production D24m'!H15</f>
        <v>0</v>
      </c>
      <c r="Z38" s="32"/>
      <c r="AA38" s="32"/>
    </row>
    <row r="39" spans="1:27" x14ac:dyDescent="0.3">
      <c r="A39" s="11" t="s">
        <v>624</v>
      </c>
      <c r="B39" s="11" t="s">
        <v>627</v>
      </c>
      <c r="C39" s="15" t="s">
        <v>626</v>
      </c>
      <c r="D39" s="16" t="s">
        <v>51</v>
      </c>
      <c r="E39" s="16" t="s">
        <v>52</v>
      </c>
      <c r="F39" s="11" t="s">
        <v>93</v>
      </c>
      <c r="G39" s="18">
        <f>SUM(H39:X39)</f>
        <v>1.3328476019645761</v>
      </c>
      <c r="H39" s="344"/>
      <c r="I39" s="344"/>
      <c r="J39" s="363"/>
      <c r="K39" s="344"/>
      <c r="L39" s="344"/>
      <c r="M39" s="344"/>
      <c r="N39" s="344"/>
      <c r="O39" s="344"/>
      <c r="P39" s="344"/>
      <c r="Q39" s="344"/>
      <c r="R39" s="344"/>
      <c r="S39" s="4">
        <f>('Production D24m'!$H$5*EF_ent_ferm_IT+('Production D24m'!$H$6+'Production D24m'!$H$7)*EF_ent_ferm_IT)/'Production D24m'!H15</f>
        <v>0.66390041493775931</v>
      </c>
      <c r="T39" s="42">
        <f>SUM(U39:V39)</f>
        <v>0.33447359351340833</v>
      </c>
      <c r="U39" s="57">
        <f>Manure!$O$34/'Production D24m'!H15</f>
        <v>0.33447359351340833</v>
      </c>
      <c r="W39" s="4"/>
      <c r="X39" s="42"/>
      <c r="Z39" s="32"/>
      <c r="AA39" s="32"/>
    </row>
    <row r="40" spans="1:27" ht="15" thickBot="1" x14ac:dyDescent="0.35">
      <c r="A40" s="11" t="s">
        <v>624</v>
      </c>
      <c r="B40" s="11" t="s">
        <v>627</v>
      </c>
      <c r="C40" s="15" t="s">
        <v>626</v>
      </c>
      <c r="D40" s="16" t="s">
        <v>51</v>
      </c>
      <c r="E40" s="16" t="s">
        <v>52</v>
      </c>
      <c r="F40" s="34" t="s">
        <v>94</v>
      </c>
      <c r="G40" s="18">
        <f t="shared" si="0"/>
        <v>5.3867571549885147E-2</v>
      </c>
      <c r="H40" s="344">
        <f>('Production D24m'!$H$5*'Parameters D24m, country spec'!$H$51*'N2O per kg feed'!G128+('Production D24m'!$H$6+'Production D24m'!$H$7)*'Parameters D24m, country spec'!$H$52*'N2O per kg feed'!G129)/'Production D24m'!H15</f>
        <v>5.8408311910242721E-8</v>
      </c>
      <c r="I40" s="344">
        <f>('Production D24m'!$H$5*'Parameters D24m, country spec'!$H$51*'N2O per kg feed'!H128+('Production D24m'!$H$6+'Production D24m'!$H$7)*'Parameters D24m, country spec'!$H$52*'N2O per kg feed'!H129)/'Production D24m'!H15</f>
        <v>1.1464409450283504E-9</v>
      </c>
      <c r="J40" s="344">
        <f>('Production D24m'!$H$5*'Parameters D24m, country spec'!$H$51*'N2O per kg feed'!I128+('Production D24m'!$H$6+'Production D24m'!$H$7)*'Parameters D24m, country spec'!$H$52*'N2O per kg feed'!I129+Manure!O156)/'Production D24m'!H15</f>
        <v>6.1909925116575299E-3</v>
      </c>
      <c r="K40" s="32">
        <f>J40*EF_indirect_N2O_DK</f>
        <v>6.1909925116575303E-4</v>
      </c>
      <c r="L40" s="344">
        <f>('Production D24m'!$H$5*'Parameters D24m, country spec'!$H$51*'N2O per kg feed'!K128+('Production D24m'!$H$6+'Production D24m'!$H$7)*'Parameters D24m, country spec'!$H$52*'N2O per kg feed'!K129)/'Production D24m'!H15</f>
        <v>4.0139766058047089E-10</v>
      </c>
      <c r="M40" s="344"/>
      <c r="N40" s="344">
        <f>('Production D24m'!$H$5*'Parameters D24m, country spec'!$H$51*'N2O per kg feed'!M128+('Production D24m'!$H$6+'Production D24m'!$H$7)*'Parameters D24m, country spec'!$H$52*'N2O per kg feed'!M129)/'Production D24m'!H15</f>
        <v>2.7523547129897478E-11</v>
      </c>
      <c r="O40" s="344">
        <f>('Production D24m'!$H$5*'Parameters D24m, country spec'!$H$51*'N2O per kg feed'!N128+('Production D24m'!$H$6+'Production D24m'!$H$7)*'Parameters D24m, country spec'!$H$52*'N2O per kg feed'!N129)/'Production D24m'!H15</f>
        <v>1.3066895826911337E-10</v>
      </c>
      <c r="P40" s="344">
        <f>('Production D24m'!$H$5*'Parameters D24m, country spec'!$H$51*'N2O per kg feed'!O128+('Production D24m'!$H$6+'Production D24m'!$H$7)*'Parameters D24m, country spec'!$H$52*'N2O per kg feed'!O129)/'Production D24m'!H15</f>
        <v>0</v>
      </c>
      <c r="Q40" s="344">
        <f>('Production D24m'!$H$5*'Parameters D24m, country spec'!$H$51*'N2O per kg feed'!P128+('Production D24m'!$H$6+'Production D24m'!$H$7)*'Parameters D24m, country spec'!$H$52*'N2O per kg feed'!P129)/'Production D24m'!H15</f>
        <v>3.1100275558207476E-8</v>
      </c>
      <c r="R40" s="344">
        <f>('Production D24m'!$H$5*'Parameters D24m, country spec'!$H$51*'N2O per kg feed'!P128+('Production D24m'!$H$6+'Production D24m'!$H$7)*'Parameters D24m, country spec'!$H$52*'N2O per kg feed'!P129)/'Production D24m'!H15</f>
        <v>3.1100275558207476E-8</v>
      </c>
      <c r="S40" s="4"/>
      <c r="T40" s="42">
        <f>SUM(U40:V40)</f>
        <v>2.3528678036077669E-2</v>
      </c>
      <c r="U40" s="188">
        <f>Manure!$O$92*44/28/'Production D24m'!H15</f>
        <v>1.5895575557440218E-2</v>
      </c>
      <c r="V40" s="188">
        <f>Manure!$O$159*17/14*Manure!$N$122/'Production D24m'!H15</f>
        <v>7.6331024786374518E-3</v>
      </c>
      <c r="W40" s="4">
        <f>'Production D24m'!$H$5*'Parameters D24m, country spec'!$H$58*EF_el_N2O_IT/'Production D24m'!H15</f>
        <v>1.4000123928077456E-9</v>
      </c>
      <c r="X40" s="42">
        <f>'Production D24m'!$H$12*(Energy_slaughter_el_IT*EF_el_N2O_IT+Energy_slaughter_oil_IT*EF_oil_N2O)/'Production D24m'!H15</f>
        <v>0</v>
      </c>
      <c r="Z40" s="32"/>
      <c r="AA40" s="32"/>
    </row>
    <row r="41" spans="1:27" ht="15.6" thickTop="1" thickBot="1" x14ac:dyDescent="0.35">
      <c r="A41" s="127" t="s">
        <v>624</v>
      </c>
      <c r="B41" s="127" t="s">
        <v>627</v>
      </c>
      <c r="C41" s="128" t="s">
        <v>626</v>
      </c>
      <c r="D41" s="129" t="s">
        <v>51</v>
      </c>
      <c r="E41" s="129" t="s">
        <v>52</v>
      </c>
      <c r="F41" s="130" t="s">
        <v>95</v>
      </c>
      <c r="G41" s="140">
        <f t="shared" si="0"/>
        <v>35.238812995883798</v>
      </c>
      <c r="H41" s="131">
        <f>SUMPRODUCT(H37:H40,'Parameters, general'!$B$23:$B$26)</f>
        <v>4.3958220091398369E-5</v>
      </c>
      <c r="I41" s="131">
        <f>SUMPRODUCT(I37:I40,'Parameters, general'!$B$23:$B$26)</f>
        <v>3.1533416139114613E-5</v>
      </c>
      <c r="J41" s="131">
        <f>SUMPRODUCT(J37:J40,'Parameters, general'!$B$23:$B$26)</f>
        <v>1.6901409556825058</v>
      </c>
      <c r="K41" s="131">
        <f>SUMPRODUCT(K37:K40,'Parameters, general'!$B$23:$B$26)</f>
        <v>0.16901409556825059</v>
      </c>
      <c r="L41" s="131">
        <f>SUMPRODUCT(L37:L40,'Parameters, general'!$B$23:$B$26)</f>
        <v>1.5247752782061214E-5</v>
      </c>
      <c r="M41" s="131">
        <f>SUMPRODUCT(M37:M40,'Parameters, general'!$B$23:$B$26)</f>
        <v>0</v>
      </c>
      <c r="N41" s="131">
        <f>SUMPRODUCT(N37:N40,'Parameters, general'!$B$23:$B$26)</f>
        <v>7.5922205644644008E-7</v>
      </c>
      <c r="O41" s="131">
        <f>SUMPRODUCT(O37:O40,'Parameters, general'!$B$23:$B$26)</f>
        <v>3.7019171109376923E-6</v>
      </c>
      <c r="P41" s="131">
        <f>SUMPRODUCT(P37:P40,'Parameters, general'!$B$23:$B$26)</f>
        <v>1.6949289075754711E-5</v>
      </c>
      <c r="Q41" s="131">
        <f>SUMPRODUCT(Q37:Q40,'Parameters, general'!$B$23:$B$26)</f>
        <v>4.0870606491882791E-5</v>
      </c>
      <c r="R41" s="131">
        <f>SUMPRODUCT(R37:R40,'Parameters, general'!$B$23:$B$26)</f>
        <v>4.0870606491882791E-5</v>
      </c>
      <c r="S41" s="131">
        <f>SUMPRODUCT(S37:S40,'Parameters, general'!$B$23:$B$26)</f>
        <v>17.925311203319502</v>
      </c>
      <c r="T41" s="131">
        <f>SUMPRODUCT(T37:T40,'Parameters, general'!$B$23:$B$26)</f>
        <v>15.454116128711229</v>
      </c>
      <c r="U41" s="131"/>
      <c r="V41" s="131"/>
      <c r="W41" s="131">
        <f>SUMPRODUCT(W37:W40,'Parameters, general'!$B$23:$B$26)</f>
        <v>3.6721572071259704E-5</v>
      </c>
      <c r="X41" s="131">
        <f>SUMPRODUCT(X37:X40,'Parameters, general'!$B$23:$B$26)</f>
        <v>0</v>
      </c>
      <c r="Z41" s="104">
        <f>SUM(H41:R41)</f>
        <v>1.8593489422809959</v>
      </c>
      <c r="AA41" s="154">
        <f>'CO2 per kg feed'!F128+'CH4 per kg feed'!F128*CF_GWP_CH4_fossil+'N2O per kg feed'!F128*CF_GWP_N2O</f>
        <v>0.17614343918736369</v>
      </c>
    </row>
    <row r="42" spans="1:27" ht="15" thickTop="1" x14ac:dyDescent="0.3">
      <c r="A42" s="132" t="s">
        <v>624</v>
      </c>
      <c r="B42" s="132" t="s">
        <v>627</v>
      </c>
      <c r="C42" s="133" t="s">
        <v>626</v>
      </c>
      <c r="D42" t="s">
        <v>98</v>
      </c>
      <c r="E42" s="16" t="s">
        <v>54</v>
      </c>
      <c r="F42" s="134" t="s">
        <v>91</v>
      </c>
      <c r="G42" s="135">
        <f t="shared" si="0"/>
        <v>2.7509985646103431E-4</v>
      </c>
      <c r="H42" s="355">
        <f>('Production D24m'!$I$5*'Parameters D24m, country spec'!$I$51*'CO2 per kg feed'!G146+('Production D24m'!$I$6+'Production D24m'!$I$7)*'Parameters D24m, country spec'!$I$52*'CO2 per kg feed'!G146)/'Production D24m'!I15</f>
        <v>9.252011924717236E-5</v>
      </c>
      <c r="I42" s="355">
        <f>('Production D24m'!$I$5*'Parameters D24m, country spec'!$I$51*'CO2 per kg feed'!H146+('Production D24m'!$I$6+'Production D24m'!$I$7)*'Parameters D24m, country spec'!$I$52*'CO2 per kg feed'!H147)/'Production D24m'!I15</f>
        <v>3.1846366066621704E-5</v>
      </c>
      <c r="J42" s="355"/>
      <c r="K42" s="355"/>
      <c r="L42" s="355">
        <f>('Production D24m'!$I$5*'Parameters D24m, country spec'!$I$51*'CO2 per kg feed'!K146+('Production D24m'!$I$6+'Production D24m'!$I$7)*'Parameters D24m, country spec'!$I$52*'CO2 per kg feed'!K147)/'Production D24m'!I15</f>
        <v>2.5823504420270513E-5</v>
      </c>
      <c r="M42" s="355"/>
      <c r="N42" s="355">
        <f>('Production D24m'!$I$5*'Parameters D24m, country spec'!$I$51*'CO2 per kg feed'!M146+('Production D24m'!$I$6+'Production D24m'!$I$7)*'Parameters D24m, country spec'!$I$52*'CO2 per kg feed'!M147)/'Production D24m'!I15</f>
        <v>2.1515025209011753E-7</v>
      </c>
      <c r="O42" s="355">
        <f>('Production D24m'!$I$5*'Parameters D24m, country spec'!$I$51*'CO2 per kg feed'!N146+('Production D24m'!$I$6+'Production D24m'!$I$7)*'Parameters D24m, country spec'!$I$52*'CO2 per kg feed'!N147)/'Production D24m'!I15</f>
        <v>6.739576331918844E-6</v>
      </c>
      <c r="P42" s="355">
        <f>('Production D24m'!$I$5*'Parameters D24m, country spec'!$I$51*'CO2 per kg feed'!O146+('Production D24m'!$I$6+'Production D24m'!$I$7)*'Parameters D24m, country spec'!$I$52*'CO2 per kg feed'!O147)/'Production D24m'!I15</f>
        <v>2.6485640426863208E-5</v>
      </c>
      <c r="Q42" s="355">
        <f>('Production D24m'!$I$5*'Parameters D24m, country spec'!$I$51*'CO2 per kg feed'!P146+('Production D24m'!$I$6+'Production D24m'!$I$7)*'Parameters D24m, country spec'!$I$52*'CO2 per kg feed'!P147)/'Production D24m'!I15</f>
        <v>2.4594973574980395E-5</v>
      </c>
      <c r="R42" s="355">
        <f>('Production D24m'!$I$5*'Parameters D24m, country spec'!$I$51*'CO2 per kg feed'!P146+('Production D24m'!$I$6+'Production D24m'!$I$7)*'Parameters D24m, country spec'!$I$52*'CO2 per kg feed'!P147)/'Production D24m'!I15</f>
        <v>2.4594973574980395E-5</v>
      </c>
      <c r="S42" s="137"/>
      <c r="T42" s="122"/>
      <c r="U42" s="136"/>
      <c r="V42" s="136"/>
      <c r="W42" s="137">
        <f>'Production D24m'!$I$5*'Parameters D24m, country spec'!$I$58*EF_el_CO2_NL/'Production D24m'!I15</f>
        <v>4.2279552566136815E-5</v>
      </c>
      <c r="X42" s="356">
        <f>'Production D24m'!$I$12*(Energy_slaughter_el_NL*EF_el_CO2_NL+Energy_slaughter_oil_NL*EF_oil_CO2)/'Production D24m'!I15</f>
        <v>0</v>
      </c>
      <c r="Z42" s="18"/>
      <c r="AA42" s="18"/>
    </row>
    <row r="43" spans="1:27" x14ac:dyDescent="0.3">
      <c r="A43" s="11" t="s">
        <v>624</v>
      </c>
      <c r="B43" s="11" t="s">
        <v>627</v>
      </c>
      <c r="C43" s="15" t="s">
        <v>626</v>
      </c>
      <c r="D43" t="s">
        <v>98</v>
      </c>
      <c r="E43" s="16" t="s">
        <v>54</v>
      </c>
      <c r="F43" s="11" t="s">
        <v>92</v>
      </c>
      <c r="G43" s="18">
        <f t="shared" si="0"/>
        <v>1.0181102694614726E-6</v>
      </c>
      <c r="H43" s="344">
        <f>('Production D24m'!$I$5*'Parameters D24m, country spec'!$I$51*'CH4 per kg feed'!G146+('Production D24m'!$I$6+'Production D24m'!$I$7)*'Parameters D24m, country spec'!$I$52*'CH4 per kg feed'!G147)/'Production D24m'!I15</f>
        <v>1.7095319481483643E-7</v>
      </c>
      <c r="I43" s="344">
        <f>('Production D24m'!$I$5*'Parameters D24m, country spec'!$I$51*'CH4 per kg feed'!H146+('Production D24m'!$I$6+'Production D24m'!$I$7)*'Parameters D24m, country spec'!$I$52*'CH4 per kg feed'!H147)/'Production D24m'!I15</f>
        <v>1.1226429056659377E-7</v>
      </c>
      <c r="J43" s="344"/>
      <c r="K43" s="344"/>
      <c r="L43" s="344">
        <f>('Production D24m'!$I$5*'Parameters D24m, country spec'!$I$51*'CH4 per kg feed'!K146+('Production D24m'!$I$6+'Production D24m'!$I$7)*'Parameters D24m, country spec'!$I$52*'CH4 per kg feed'!K147)/'Production D24m'!I15</f>
        <v>1.1437726529241523E-8</v>
      </c>
      <c r="M43" s="344"/>
      <c r="N43" s="344">
        <f>('Production D24m'!$I$5*'Parameters D24m, country spec'!$I$51*'CH4 per kg feed'!M146+('Production D24m'!$I$6+'Production D24m'!$I$7)*'Parameters D24m, country spec'!$I$52*'CH4 per kg feed'!M147)/'Production D24m'!I15</f>
        <v>7.0785445619038754E-10</v>
      </c>
      <c r="O43" s="344">
        <f>('Production D24m'!$I$5*'Parameters D24m, country spec'!$I$51*'CH4 per kg feed'!N146+('Production D24m'!$I$6+'Production D24m'!$I$7)*'Parameters D24m, country spec'!$I$52*'CH4 per kg feed'!N147)/'Production D24m'!I15</f>
        <v>4.7050848338514041E-9</v>
      </c>
      <c r="P43" s="344">
        <f>('Production D24m'!$I$5*'Parameters D24m, country spec'!$I$51*'CH4 per kg feed'!O146+('Production D24m'!$I$6+'Production D24m'!$I$7)*'Parameters D24m, country spec'!$I$52*'CH4 per kg feed'!O147)/'Production D24m'!I15</f>
        <v>0</v>
      </c>
      <c r="Q43" s="344">
        <f>('Production D24m'!$I$5*'Parameters D24m, country spec'!$I$51*'CH4 per kg feed'!P146+('Production D24m'!$I$6+'Production D24m'!$I$7)*'Parameters D24m, country spec'!$I$52*'CH4 per kg feed'!P147)/'Production D24m'!I15</f>
        <v>3.1716671491833138E-7</v>
      </c>
      <c r="R43" s="344">
        <f>('Production D24m'!$I$5*'Parameters D24m, country spec'!$I$51*'CH4 per kg feed'!P146+('Production D24m'!$I$6+'Production D24m'!$I$7)*'Parameters D24m, country spec'!$I$52*'CH4 per kg feed'!P147)/'Production D24m'!I15</f>
        <v>3.1716671491833138E-7</v>
      </c>
      <c r="W43" s="4">
        <f>'Production D24m'!$I$5*'Parameters D24m, country spec'!$I$58*EF_el_CH4_NL/'Production D24m'!I15</f>
        <v>8.370868842409618E-8</v>
      </c>
      <c r="X43" s="42">
        <f>'Production D24m'!$I$12*(Energy_slaughter_el_NL*EF_el_CH4_NL+Energy_slaughter_oil_NL*EF_oil_CH4)/'Production D24m'!I15</f>
        <v>0</v>
      </c>
      <c r="Z43" s="32"/>
      <c r="AA43" s="32"/>
    </row>
    <row r="44" spans="1:27" x14ac:dyDescent="0.3">
      <c r="A44" s="11" t="s">
        <v>624</v>
      </c>
      <c r="B44" s="11" t="s">
        <v>627</v>
      </c>
      <c r="C44" s="15" t="s">
        <v>626</v>
      </c>
      <c r="D44" t="s">
        <v>98</v>
      </c>
      <c r="E44" s="16" t="s">
        <v>54</v>
      </c>
      <c r="F44" s="11" t="s">
        <v>93</v>
      </c>
      <c r="G44" s="18">
        <f>SUM(H44:X44)</f>
        <v>0.77875629403638691</v>
      </c>
      <c r="H44" s="344"/>
      <c r="I44" s="344"/>
      <c r="J44" s="363"/>
      <c r="K44" s="344"/>
      <c r="L44" s="344"/>
      <c r="M44" s="344"/>
      <c r="N44" s="344"/>
      <c r="O44" s="344"/>
      <c r="P44" s="344"/>
      <c r="Q44" s="344"/>
      <c r="R44" s="344"/>
      <c r="S44" s="4">
        <f>('Production D24m'!$I$5*EF_ent_ferm_NL+('Production D24m'!$I$6+'Production D24m'!$I$7)*EF_ent_ferm_NL)/'Production D24m'!I15</f>
        <v>0.66390041493775931</v>
      </c>
      <c r="T44" s="42">
        <f>SUM(U44:V44)</f>
        <v>5.7427939549313779E-2</v>
      </c>
      <c r="U44" s="57">
        <f>Manure!$Q$34/'Production D24m'!I15</f>
        <v>5.7427939549313779E-2</v>
      </c>
      <c r="W44" s="4"/>
      <c r="X44" s="42"/>
      <c r="Z44" s="32"/>
      <c r="AA44" s="32"/>
    </row>
    <row r="45" spans="1:27" ht="15" thickBot="1" x14ac:dyDescent="0.35">
      <c r="A45" s="11" t="s">
        <v>624</v>
      </c>
      <c r="B45" s="11" t="s">
        <v>627</v>
      </c>
      <c r="C45" s="15" t="s">
        <v>626</v>
      </c>
      <c r="D45" t="s">
        <v>98</v>
      </c>
      <c r="E45" s="16" t="s">
        <v>54</v>
      </c>
      <c r="F45" s="34" t="s">
        <v>94</v>
      </c>
      <c r="G45" s="18">
        <f t="shared" si="0"/>
        <v>2.3541498073636379E-2</v>
      </c>
      <c r="H45" s="344">
        <f>('Production D24m'!$I$5*'Parameters D24m, country spec'!$I$51*'N2O per kg feed'!G146+('Production D24m'!$I$6+'Production D24m'!$I$7)*'Parameters D24m, country spec'!$I$52*'N2O per kg feed'!G147)/'Production D24m'!I15</f>
        <v>2.0349896249672594E-7</v>
      </c>
      <c r="I45" s="344">
        <f>('Production D24m'!$I$5*'Parameters D24m, country spec'!$I$51*'N2O per kg feed'!H146+('Production D24m'!$I$6+'Production D24m'!$I$7)*'Parameters D24m, country spec'!$I$52*'N2O per kg feed'!H147)/'Production D24m'!I15</f>
        <v>1.2931993071816477E-9</v>
      </c>
      <c r="J45" s="344">
        <f>('Production D24m'!$I$5*'Parameters D24m, country spec'!$I$51*'N2O per kg feed'!I146+('Production D24m'!$I$6+'Production D24m'!$I$7)*'Parameters D24m, country spec'!$I$52*'N2O per kg feed'!I147+Manure!Q156)/'Production D24m'!I15</f>
        <v>6.2514773277678563E-3</v>
      </c>
      <c r="K45" s="32">
        <f>J45*EF_indirect_N2O_NL</f>
        <v>6.251477327767857E-4</v>
      </c>
      <c r="L45" s="344">
        <f>('Production D24m'!$I$5*'Parameters D24m, country spec'!$I$51*'N2O per kg feed'!K146+('Production D24m'!$I$6+'Production D24m'!$I$7)*'Parameters D24m, country spec'!$I$52*'N2O per kg feed'!K147)/'Production D24m'!I15</f>
        <v>6.9380703941324404E-10</v>
      </c>
      <c r="M45" s="344"/>
      <c r="N45" s="344">
        <f>('Production D24m'!$I$5*'Parameters D24m, country spec'!$I$51*'N2O per kg feed'!M146+('Production D24m'!$I$6+'Production D24m'!$I$7)*'Parameters D24m, country spec'!$I$52*'N2O per kg feed'!M147)/'Production D24m'!I15</f>
        <v>8.7092388312131401E-12</v>
      </c>
      <c r="O45" s="344">
        <f>('Production D24m'!$I$5*'Parameters D24m, country spec'!$I$51*'N2O per kg feed'!N146+('Production D24m'!$I$6+'Production D24m'!$I$7)*'Parameters D24m, country spec'!$I$52*'N2O per kg feed'!N147)/'Production D24m'!I15</f>
        <v>2.425919106682615E-10</v>
      </c>
      <c r="P45" s="344">
        <f>('Production D24m'!$I$5*'Parameters D24m, country spec'!$I$51*'N2O per kg feed'!O146+('Production D24m'!$I$6+'Production D24m'!$I$7)*'Parameters D24m, country spec'!$I$52*'N2O per kg feed'!O147)/'Production D24m'!I15</f>
        <v>0</v>
      </c>
      <c r="Q45" s="344">
        <f>('Production D24m'!$I$5*'Parameters D24m, country spec'!$I$51*'N2O per kg feed'!P146+('Production D24m'!$I$6+'Production D24m'!$I$7)*'Parameters D24m, country spec'!$I$52*'N2O per kg feed'!P147)/'Production D24m'!I15</f>
        <v>3.055228552603513E-8</v>
      </c>
      <c r="R45" s="344">
        <f>('Production D24m'!$I$5*'Parameters D24m, country spec'!$I$51*'N2O per kg feed'!P146+('Production D24m'!$I$6+'Production D24m'!$I$7)*'Parameters D24m, country spec'!$I$52*'N2O per kg feed'!P147)/'Production D24m'!I15</f>
        <v>3.055228552603513E-8</v>
      </c>
      <c r="S45" s="4"/>
      <c r="T45" s="42">
        <f>SUM(U45:V45)</f>
        <v>8.3323022369209271E-3</v>
      </c>
      <c r="U45" s="188">
        <f>Manure!$Q$92*44/28/'Production D24m'!I15</f>
        <v>5.1970035634415187E-3</v>
      </c>
      <c r="V45" s="188">
        <f>Manure!$Q$159*17/14*Manure!$P$122/'Production D24m'!I15</f>
        <v>3.135298673479408E-3</v>
      </c>
      <c r="W45" s="4">
        <f>'Production D24m'!$I$5*'Parameters D24m, country spec'!$I$58*EF_el_N2O_NL/'Production D24m'!I15</f>
        <v>1.6974088349824451E-9</v>
      </c>
      <c r="X45" s="42">
        <f>'Production D24m'!$I$12*(Energy_slaughter_el_NL*EF_el_N2O_NL+Energy_slaughter_oil_NL*EF_oil_N2O)/'Production D24m'!I15</f>
        <v>0</v>
      </c>
      <c r="Z45" s="32"/>
      <c r="AA45" s="32"/>
    </row>
    <row r="46" spans="1:27" ht="15.6" thickTop="1" thickBot="1" x14ac:dyDescent="0.35">
      <c r="A46" s="127" t="s">
        <v>624</v>
      </c>
      <c r="B46" s="127" t="s">
        <v>627</v>
      </c>
      <c r="C46" s="128" t="s">
        <v>626</v>
      </c>
      <c r="D46" s="155" t="s">
        <v>98</v>
      </c>
      <c r="E46" s="129" t="s">
        <v>54</v>
      </c>
      <c r="F46" s="130" t="s">
        <v>95</v>
      </c>
      <c r="G46" s="140">
        <f t="shared" si="0"/>
        <v>23.628281474116783</v>
      </c>
      <c r="H46" s="131">
        <f>SUMPRODUCT(H42:H45,'Parameters, general'!$B$23:$B$26)</f>
        <v>1.5316974121426066E-4</v>
      </c>
      <c r="I46" s="131">
        <f>SUMPRODUCT(I42:I45,'Parameters, general'!$B$23:$B$26)</f>
        <v>3.5544885336366783E-5</v>
      </c>
      <c r="J46" s="131">
        <f>SUMPRODUCT(J42:J45,'Parameters, general'!$B$23:$B$26)</f>
        <v>1.7066533104806247</v>
      </c>
      <c r="K46" s="131">
        <f>SUMPRODUCT(K42:K45,'Parameters, general'!$B$23:$B$26)</f>
        <v>0.1706653310480625</v>
      </c>
      <c r="L46" s="131">
        <f>SUMPRODUCT(L42:L45,'Parameters, general'!$B$23:$B$26)</f>
        <v>2.6353757992601726E-5</v>
      </c>
      <c r="M46" s="131">
        <f>SUMPRODUCT(M42:M45,'Parameters, general'!$B$23:$B$26)</f>
        <v>0</v>
      </c>
      <c r="N46" s="131">
        <f>SUMPRODUCT(N42:N45,'Parameters, general'!$B$23:$B$26)</f>
        <v>2.3862193708551225E-7</v>
      </c>
      <c r="O46" s="131">
        <f>SUMPRODUCT(O42:O45,'Parameters, general'!$B$23:$B$26)</f>
        <v>6.946015451580051E-6</v>
      </c>
      <c r="P46" s="131">
        <f>SUMPRODUCT(P42:P45,'Parameters, general'!$B$23:$B$26)</f>
        <v>2.6485640426863208E-5</v>
      </c>
      <c r="Q46" s="131">
        <f>SUMPRODUCT(Q42:Q45,'Parameters, general'!$B$23:$B$26)</f>
        <v>4.2387315628154261E-5</v>
      </c>
      <c r="R46" s="131">
        <f>SUMPRODUCT(R42:R45,'Parameters, general'!$B$23:$B$26)</f>
        <v>4.2387315628154261E-5</v>
      </c>
      <c r="S46" s="131">
        <f>SUMPRODUCT(S42:S45,'Parameters, general'!$B$23:$B$26)</f>
        <v>17.925311203319502</v>
      </c>
      <c r="T46" s="131">
        <f>SUMPRODUCT(T42:T45,'Parameters, general'!$B$23:$B$26)</f>
        <v>3.8252728785108849</v>
      </c>
      <c r="U46" s="131"/>
      <c r="V46" s="131"/>
      <c r="W46" s="131">
        <f>SUMPRODUCT(W42:W45,'Parameters, general'!$B$23:$B$26)</f>
        <v>4.5237464093125089E-5</v>
      </c>
      <c r="X46" s="131">
        <f>SUMPRODUCT(X42:X45,'Parameters, general'!$B$23:$B$26)</f>
        <v>0</v>
      </c>
      <c r="Z46" s="104">
        <f>SUM(H46:R46)</f>
        <v>1.8776521548223022</v>
      </c>
      <c r="AA46" s="154">
        <f>'CO2 per kg feed'!F146+'CH4 per kg feed'!F146*CF_GWP_CH4_fossil+'N2O per kg feed'!F146*CF_GWP_N2O</f>
        <v>0.4002398552301531</v>
      </c>
    </row>
    <row r="47" spans="1:27" ht="15" thickTop="1" x14ac:dyDescent="0.3">
      <c r="A47" s="132" t="s">
        <v>624</v>
      </c>
      <c r="B47" s="132" t="s">
        <v>627</v>
      </c>
      <c r="C47" s="133" t="s">
        <v>626</v>
      </c>
      <c r="D47" t="s">
        <v>55</v>
      </c>
      <c r="E47" s="16" t="s">
        <v>56</v>
      </c>
      <c r="F47" s="134" t="s">
        <v>91</v>
      </c>
      <c r="G47" s="135">
        <f t="shared" si="0"/>
        <v>3.7922766767626345E-4</v>
      </c>
      <c r="H47" s="355">
        <f>('Production D24m'!$J$5*'Parameters D24m, country spec'!$J$51*'CO2 per kg feed'!G164+('Production D24m'!$J$6+'Production D24m'!$J$7)*'Parameters D24m, country spec'!$J$52*'CO2 per kg feed'!G67)/'Production D24m'!J15</f>
        <v>1.161825726141079E-4</v>
      </c>
      <c r="I47" s="355">
        <f>('Production D24m'!$J$5*'Parameters D24m, country spec'!$J$51*'CO2 per kg feed'!H164+('Production D24m'!$J$6+'Production D24m'!$J$7)*'Parameters D24m, country spec'!$J$52*'CO2 per kg feed'!H67)/'Production D24m'!J15</f>
        <v>3.4471752314075967E-5</v>
      </c>
      <c r="J47" s="355"/>
      <c r="K47" s="355"/>
      <c r="L47" s="355">
        <f>('Production D24m'!$J$5*'Parameters D24m, country spec'!$J$51*'CO2 per kg feed'!K164+('Production D24m'!$J$6+'Production D24m'!$J$7)*'Parameters D24m, country spec'!$J$52*'CO2 per kg feed'!K67)/'Production D24m'!J15</f>
        <v>8.426428343440792E-5</v>
      </c>
      <c r="M47" s="355"/>
      <c r="N47" s="355">
        <f>('Production D24m'!$J$5*'Parameters D24m, country spec'!$J$51*'CO2 per kg feed'!M164+('Production D24m'!$J$6+'Production D24m'!$J$7)*'Parameters D24m, country spec'!$J$52*'CO2 per kg feed'!M67)/'Production D24m'!J15</f>
        <v>2.5534631343759976E-6</v>
      </c>
      <c r="O47" s="355">
        <f>('Production D24m'!$J$5*'Parameters D24m, country spec'!$J$51*'CO2 per kg feed'!N164+('Production D24m'!$J$6+'Production D24m'!$J$7)*'Parameters D24m, country spec'!$J$52*'CO2 per kg feed'!N67)/'Production D24m'!J15</f>
        <v>5.8729652090647945E-5</v>
      </c>
      <c r="P47" s="355">
        <f>('Production D24m'!$J$5*'Parameters D24m, country spec'!$J$51*'CO2 per kg feed'!O164+('Production D24m'!$J$6+'Production D24m'!$J$7)*'Parameters D24m, country spec'!$J$52*'CO2 per kg feed'!O67)/'Production D24m'!J15</f>
        <v>0</v>
      </c>
      <c r="Q47" s="355">
        <f>('Production D24m'!$J$5*'Parameters D24m, country spec'!$J$51*'CO2 per kg feed'!P164+('Production D24m'!$J$6+'Production D24m'!$J$7)*'Parameters D24m, country spec'!$J$52*'CO2 per kg feed'!P67)/'Production D24m'!J15</f>
        <v>0</v>
      </c>
      <c r="R47" s="355">
        <f>('Production D24m'!$J$5*'Parameters D24m, country spec'!$J$51*'CO2 per kg feed'!P164+('Production D24m'!$J$6+'Production D24m'!$J$7)*'Parameters D24m, country spec'!$J$52*'CO2 per kg feed'!P67)/'Production D24m'!J15</f>
        <v>0</v>
      </c>
      <c r="S47" s="137"/>
      <c r="T47" s="122"/>
      <c r="U47" s="136"/>
      <c r="V47" s="136"/>
      <c r="W47" s="137">
        <f>'Production D24m'!$J$5*'Parameters D24m, country spec'!$J$58*EF_el_CO2_PL/'Production D24m'!J15</f>
        <v>8.3025944088647739E-5</v>
      </c>
      <c r="X47" s="356">
        <f>'Production D24m'!$J$12*(Energy_slaughter_el_PL*EF_el_CO2_PL+Energy_slaughter_oil_PL*EF_oil_CO2)/'Production D24m'!J15</f>
        <v>0</v>
      </c>
      <c r="Z47" s="18"/>
      <c r="AA47" s="18"/>
    </row>
    <row r="48" spans="1:27" x14ac:dyDescent="0.3">
      <c r="A48" s="11" t="s">
        <v>624</v>
      </c>
      <c r="B48" s="11" t="s">
        <v>627</v>
      </c>
      <c r="C48" s="15" t="s">
        <v>626</v>
      </c>
      <c r="D48" t="s">
        <v>55</v>
      </c>
      <c r="E48" s="16" t="s">
        <v>56</v>
      </c>
      <c r="F48" s="11" t="s">
        <v>92</v>
      </c>
      <c r="G48" s="18">
        <f t="shared" si="0"/>
        <v>5.9893187093636696E-7</v>
      </c>
      <c r="H48" s="344">
        <f>('Production D24m'!$J$5*'Parameters D24m, country spec'!$J$51*'CH4 per kg feed'!G164+('Production D24m'!$J$6+'Production D24m'!$J$7)*'Parameters D24m, country spec'!$J$52*'CH4 per kg feed'!G67)/'Production D24m'!J15</f>
        <v>2.1704436642195981E-7</v>
      </c>
      <c r="I48" s="344">
        <f>('Production D24m'!$J$5*'Parameters D24m, country spec'!$J$51*'CH4 per kg feed'!H164+('Production D24m'!$J$6+'Production D24m'!$J$7)*'Parameters D24m, country spec'!$J$52*'CH4 per kg feed'!H67)/'Production D24m'!J15</f>
        <v>1.2767315671879988E-7</v>
      </c>
      <c r="J48" s="344"/>
      <c r="K48" s="344"/>
      <c r="L48" s="344">
        <f>('Production D24m'!$J$5*'Parameters D24m, country spec'!$J$51*'CH4 per kg feed'!K164+('Production D24m'!$J$6+'Production D24m'!$J$7)*'Parameters D24m, country spec'!$J$52*'CH4 per kg feed'!K67)/'Production D24m'!J15</f>
        <v>3.7408234918608358E-8</v>
      </c>
      <c r="M48" s="344"/>
      <c r="N48" s="344">
        <f>('Production D24m'!$J$5*'Parameters D24m, country spec'!$J$51*'CH4 per kg feed'!M164+('Production D24m'!$J$6+'Production D24m'!$J$7)*'Parameters D24m, country spec'!$J$52*'CH4 per kg feed'!M67)/'Production D24m'!J15</f>
        <v>8.3242898180657523E-9</v>
      </c>
      <c r="O48" s="344">
        <f>('Production D24m'!$J$5*'Parameters D24m, country spec'!$J$51*'CH4 per kg feed'!N164+('Production D24m'!$J$6+'Production D24m'!$J$7)*'Parameters D24m, country spec'!$J$52*'CH4 per kg feed'!N67)/'Production D24m'!J15</f>
        <v>4.8515799553143955E-8</v>
      </c>
      <c r="P48" s="344">
        <f>('Production D24m'!$J$5*'Parameters D24m, country spec'!$J$51*'CH4 per kg feed'!O164+('Production D24m'!$J$6+'Production D24m'!$J$7)*'Parameters D24m, country spec'!$J$52*'CH4 per kg feed'!O67)/'Production D24m'!J15</f>
        <v>0</v>
      </c>
      <c r="Q48" s="344">
        <f>('Production D24m'!$J$5*'Parameters D24m, country spec'!$J$51*'CH4 per kg feed'!P164+('Production D24m'!$J$6+'Production D24m'!$J$7)*'Parameters D24m, country spec'!$J$52*'CH4 per kg feed'!P67)/'Production D24m'!J15</f>
        <v>0</v>
      </c>
      <c r="R48" s="344">
        <f>('Production D24m'!$J$5*'Parameters D24m, country spec'!$J$51*'CH4 per kg feed'!P164+('Production D24m'!$J$6+'Production D24m'!$J$7)*'Parameters D24m, country spec'!$J$52*'CH4 per kg feed'!P67)/'Production D24m'!J15</f>
        <v>0</v>
      </c>
      <c r="W48" s="4">
        <f>'Production D24m'!$J$5*'Parameters D24m, country spec'!$J$58*EF_el_CH4_PL/'Production D24m'!J15</f>
        <v>1.5996602350578915E-7</v>
      </c>
      <c r="X48" s="42">
        <f>'Production D24m'!$J$12*(Energy_slaughter_el_PL*EF_el_CH4_PL+Energy_slaughter_oil_PL*EF_oil_CH4)/'Production D24m'!J15</f>
        <v>0</v>
      </c>
      <c r="Z48" s="32"/>
      <c r="AA48" s="32"/>
    </row>
    <row r="49" spans="1:27" x14ac:dyDescent="0.3">
      <c r="A49" s="11" t="s">
        <v>624</v>
      </c>
      <c r="B49" s="11" t="s">
        <v>627</v>
      </c>
      <c r="C49" s="15" t="s">
        <v>626</v>
      </c>
      <c r="D49" t="s">
        <v>55</v>
      </c>
      <c r="E49" s="16" t="s">
        <v>56</v>
      </c>
      <c r="F49" s="11" t="s">
        <v>93</v>
      </c>
      <c r="G49" s="18">
        <f>SUM(H49:X49)</f>
        <v>0.77490450933581612</v>
      </c>
      <c r="H49" s="344"/>
      <c r="I49" s="344"/>
      <c r="J49" s="363"/>
      <c r="K49" s="344"/>
      <c r="L49" s="344"/>
      <c r="M49" s="344"/>
      <c r="N49" s="344"/>
      <c r="O49" s="344"/>
      <c r="P49" s="344"/>
      <c r="Q49" s="344"/>
      <c r="R49" s="344"/>
      <c r="S49" s="4">
        <f>('Production D24m'!$J$5*EF_ent_ferm_PL+('Production D24m'!$J$6+'Production D24m'!$J$7)*EF_ent_ferm_PL)/'Production D24m'!J15</f>
        <v>0.66390041493775931</v>
      </c>
      <c r="T49" s="42">
        <f>SUM(U49:V49)</f>
        <v>5.5502047199028369E-2</v>
      </c>
      <c r="U49" s="57">
        <f>Manure!$S$34/'Production D24m'!J15</f>
        <v>5.5502047199028369E-2</v>
      </c>
      <c r="W49" s="4"/>
      <c r="X49" s="42"/>
      <c r="Z49" s="32"/>
      <c r="AA49" s="32"/>
    </row>
    <row r="50" spans="1:27" ht="15" thickBot="1" x14ac:dyDescent="0.35">
      <c r="A50" s="11" t="s">
        <v>624</v>
      </c>
      <c r="B50" s="11" t="s">
        <v>627</v>
      </c>
      <c r="C50" s="15" t="s">
        <v>626</v>
      </c>
      <c r="D50" t="s">
        <v>55</v>
      </c>
      <c r="E50" s="16" t="s">
        <v>56</v>
      </c>
      <c r="F50" s="34" t="s">
        <v>94</v>
      </c>
      <c r="G50" s="18">
        <f t="shared" si="0"/>
        <v>5.6333606033191895E-2</v>
      </c>
      <c r="H50" s="344">
        <f>('Production D24m'!$J$5*'Parameters D24m, country spec'!$J$51*'N2O per kg feed'!G164+('Production D24m'!$J$6+'Production D24m'!$J$7)*'Parameters D24m, country spec'!$J$52*'N2O per kg feed'!G67)/'Production D24m'!J15</f>
        <v>2.5534631343759976E-7</v>
      </c>
      <c r="I50" s="344">
        <f>('Production D24m'!$J$5*'Parameters D24m, country spec'!$J$51*'N2O per kg feed'!H164+('Production D24m'!$J$6+'Production D24m'!$J$7)*'Parameters D24m, country spec'!$J$52*'N2O per kg feed'!H67)/'Production D24m'!J15</f>
        <v>1.2767315671879988E-9</v>
      </c>
      <c r="J50" s="344">
        <f>('Production D24m'!$J$5*'Parameters D24m, country spec'!$J$51*'N2O per kg feed'!I164+('Production D24m'!$J$6+'Production D24m'!$J$7)*'Parameters D24m, country spec'!$J$52*'N2O per kg feed'!I67+Manure!S156)/'Production D24m'!J15</f>
        <v>6.1788657361110605E-3</v>
      </c>
      <c r="K50" s="32">
        <f>J50*EF_indirect_N2O_DK</f>
        <v>6.178865736111061E-4</v>
      </c>
      <c r="L50" s="344">
        <f>('Production D24m'!$J$5*'Parameters D24m, country spec'!$J$51*'N2O per kg feed'!K164+('Production D24m'!$J$6+'Production D24m'!$J$7)*'Parameters D24m, country spec'!$J$52*'N2O per kg feed'!K67)/'Production D24m'!J15</f>
        <v>2.2725821895946377E-9</v>
      </c>
      <c r="M50" s="344"/>
      <c r="N50" s="344">
        <f>('Production D24m'!$J$5*'Parameters D24m, country spec'!$J$51*'N2O per kg feed'!M164+('Production D24m'!$J$6+'Production D24m'!$J$7)*'Parameters D24m, country spec'!$J$52*'N2O per kg feed'!M67)/'Production D24m'!J15</f>
        <v>1.0252154484519629E-10</v>
      </c>
      <c r="O50" s="344">
        <f>('Production D24m'!$J$5*'Parameters D24m, country spec'!$J$51*'N2O per kg feed'!N164+('Production D24m'!$J$6+'Production D24m'!$J$7)*'Parameters D24m, country spec'!$J$52*'N2O per kg feed'!N67)/'Production D24m'!J15</f>
        <v>2.055537823172678E-9</v>
      </c>
      <c r="P50" s="344">
        <f>('Production D24m'!$J$5*'Parameters D24m, country spec'!$J$51*'N2O per kg feed'!O164+('Production D24m'!$J$6+'Production D24m'!$J$7)*'Parameters D24m, country spec'!$J$52*'N2O per kg feed'!O67)/'Production D24m'!J15</f>
        <v>0</v>
      </c>
      <c r="Q50" s="344">
        <f>('Production D24m'!$J$5*'Parameters D24m, country spec'!$J$51*'N2O per kg feed'!P164+('Production D24m'!$J$6+'Production D24m'!$J$7)*'Parameters D24m, country spec'!$J$52*'N2O per kg feed'!P67)/'Production D24m'!J15</f>
        <v>0</v>
      </c>
      <c r="R50" s="344">
        <f>('Production D24m'!$J$5*'Parameters D24m, country spec'!$J$51*'N2O per kg feed'!P164+('Production D24m'!$J$6+'Production D24m'!$J$7)*'Parameters D24m, country spec'!$J$52*'N2O per kg feed'!P67)/'Production D24m'!J15</f>
        <v>0</v>
      </c>
      <c r="S50" s="4"/>
      <c r="T50" s="42">
        <f>SUM(U50:V50)</f>
        <v>2.4768295585854749E-2</v>
      </c>
      <c r="U50" s="188">
        <f>Manure!$S$92*44/28/'Production D24m'!J15</f>
        <v>1.8647331751723541E-2</v>
      </c>
      <c r="V50" s="188">
        <f>Manure!$S$159*17/14*Manure!$R$122/'Production D24m'!J15</f>
        <v>6.1209638341312086E-3</v>
      </c>
      <c r="W50" s="4">
        <f>'Production D24m'!$J$5*'Parameters D24m, country spec'!$J$58*EF_el_N2O_PL/'Production D24m'!J15</f>
        <v>1.4980736682625811E-9</v>
      </c>
      <c r="X50" s="42">
        <f>'Production D24m'!$J$12*(Energy_slaughter_el_PL*EF_el_N2O_PL+Energy_slaughter_oil_PL*EF_oil_N2O)/'Production D24m'!J15</f>
        <v>0</v>
      </c>
      <c r="Z50" s="32"/>
      <c r="AA50" s="32"/>
    </row>
    <row r="51" spans="1:27" ht="15.6" thickTop="1" thickBot="1" x14ac:dyDescent="0.35">
      <c r="A51" s="127" t="s">
        <v>624</v>
      </c>
      <c r="B51" s="127" t="s">
        <v>627</v>
      </c>
      <c r="C51" s="128" t="s">
        <v>626</v>
      </c>
      <c r="D51" s="155" t="s">
        <v>55</v>
      </c>
      <c r="E51" s="37" t="s">
        <v>56</v>
      </c>
      <c r="F51" s="130" t="s">
        <v>95</v>
      </c>
      <c r="G51" s="140">
        <f t="shared" si="0"/>
        <v>28.041593305653738</v>
      </c>
      <c r="H51" s="131">
        <f>SUMPRODUCT(H47:H50,'Parameters, general'!$B$23:$B$26)</f>
        <v>1.9236003830194702E-4</v>
      </c>
      <c r="I51" s="131">
        <f>SUMPRODUCT(I47:I50,'Parameters, general'!$B$23:$B$26)</f>
        <v>3.8624960102138527E-5</v>
      </c>
      <c r="J51" s="131">
        <f>SUMPRODUCT(J47:J50,'Parameters, general'!$B$23:$B$26)</f>
        <v>1.6868303459583196</v>
      </c>
      <c r="K51" s="131">
        <f>SUMPRODUCT(K47:K50,'Parameters, general'!$B$23:$B$26)</f>
        <v>0.16868303459583198</v>
      </c>
      <c r="L51" s="131">
        <f>SUMPRODUCT(L47:L50,'Parameters, general'!$B$23:$B$26)</f>
        <v>8.5999463772741796E-5</v>
      </c>
      <c r="M51" s="131">
        <f>SUMPRODUCT(M47:M50,'Parameters, general'!$B$23:$B$26)</f>
        <v>0</v>
      </c>
      <c r="N51" s="131">
        <f>SUMPRODUCT(N47:N50,'Parameters, general'!$B$23:$B$26)</f>
        <v>2.8295153526970958E-6</v>
      </c>
      <c r="O51" s="131">
        <f>SUMPRODUCT(O47:O50,'Parameters, general'!$B$23:$B$26)</f>
        <v>6.0736584743057776E-5</v>
      </c>
      <c r="P51" s="131">
        <f>SUMPRODUCT(P47:P50,'Parameters, general'!$B$23:$B$26)</f>
        <v>0</v>
      </c>
      <c r="Q51" s="131">
        <f>SUMPRODUCT(Q47:Q50,'Parameters, general'!$B$23:$B$26)</f>
        <v>0</v>
      </c>
      <c r="R51" s="131">
        <f>SUMPRODUCT(R47:R50,'Parameters, general'!$B$23:$B$26)</f>
        <v>0</v>
      </c>
      <c r="S51" s="131">
        <f>SUMPRODUCT(S47:S50,'Parameters, general'!$B$23:$B$26)</f>
        <v>17.925311203319502</v>
      </c>
      <c r="T51" s="131">
        <f>SUMPRODUCT(T47:T50,'Parameters, general'!$B$23:$B$26)</f>
        <v>8.2602999693121113</v>
      </c>
      <c r="U51" s="131"/>
      <c r="V51" s="131"/>
      <c r="W51" s="131">
        <f>SUMPRODUCT(W47:W50,'Parameters, general'!$B$23:$B$26)</f>
        <v>8.820190570055594E-5</v>
      </c>
      <c r="X51" s="131">
        <f>SUMPRODUCT(X47:X50,'Parameters, general'!$B$23:$B$26)</f>
        <v>0</v>
      </c>
      <c r="Z51" s="104">
        <f>SUM(H51:R51)</f>
        <v>1.8558939311164242</v>
      </c>
      <c r="AA51" s="154">
        <f>'CO2 per kg feed'!F164+'CH4 per kg feed'!F164*CF_GWP_CH4_fossil+'N2O per kg feed'!F164*CF_GWP_N2O</f>
        <v>0.27797810222392388</v>
      </c>
    </row>
    <row r="52" spans="1:27" ht="15" thickTop="1" x14ac:dyDescent="0.3">
      <c r="A52" s="132" t="s">
        <v>624</v>
      </c>
      <c r="B52" s="132" t="s">
        <v>627</v>
      </c>
      <c r="C52" s="133" t="s">
        <v>626</v>
      </c>
      <c r="D52" t="s">
        <v>57</v>
      </c>
      <c r="E52" s="123" t="s">
        <v>58</v>
      </c>
      <c r="F52" s="134" t="s">
        <v>91</v>
      </c>
      <c r="G52" s="135">
        <f t="shared" si="0"/>
        <v>1.934549031488439E-4</v>
      </c>
      <c r="H52" s="355">
        <f>('Production D24m'!$K$5*'Parameters D24m, country spec'!$K$51*'CO2 per kg feed'!G182+('Production D24m'!$K$6+'Production D24m'!$K$7)*'Parameters D24m, country spec'!$K$52*'CO2 per kg feed'!G183)/'Production D24m'!K15</f>
        <v>1.7690270189550819E-5</v>
      </c>
      <c r="I52" s="355">
        <f>('Production D24m'!$K$5*'Parameters D24m, country spec'!$K$51*'CO2 per kg feed'!H182+('Production D24m'!$K$6+'Production D24m'!$K$7)*'Parameters D24m, country spec'!$K$52*'CO2 per kg feed'!H183)/'Production D24m'!K15</f>
        <v>3.2595582909307569E-5</v>
      </c>
      <c r="J52" s="355"/>
      <c r="K52" s="355"/>
      <c r="L52" s="355">
        <f>('Production D24m'!$K$5*'Parameters D24m, country spec'!$K$51*'CO2 per kg feed'!K182+('Production D24m'!$K$6+'Production D24m'!$K$7)*'Parameters D24m, country spec'!$K$52*'CO2 per kg feed'!K183)/'Production D24m'!K15</f>
        <v>3.6801661390050673E-5</v>
      </c>
      <c r="M52" s="355"/>
      <c r="N52" s="355">
        <f>('Production D24m'!$K$5*'Parameters D24m, country spec'!$K$51*'CO2 per kg feed'!M182+('Production D24m'!$K$6+'Production D24m'!$K$7)*'Parameters D24m, country spec'!$K$52*'CO2 per kg feed'!M183)/'Production D24m'!K15</f>
        <v>7.5312719274593787E-6</v>
      </c>
      <c r="O52" s="355">
        <f>('Production D24m'!$K$5*'Parameters D24m, country spec'!$K$51*'CO2 per kg feed'!N182+('Production D24m'!$K$6+'Production D24m'!$K$7)*'Parameters D24m, country spec'!$K$52*'CO2 per kg feed'!N183)/'Production D24m'!K15</f>
        <v>1.8271996781098937E-5</v>
      </c>
      <c r="P52" s="355">
        <f>('Production D24m'!$K$5*'Parameters D24m, country spec'!$K$51*'CO2 per kg feed'!O182+('Production D24m'!$K$6+'Production D24m'!$K$7)*'Parameters D24m, country spec'!$K$52*'CO2 per kg feed'!O183)/'Production D24m'!K15</f>
        <v>3.2394772374849186E-5</v>
      </c>
      <c r="Q52" s="355">
        <f>('Production D24m'!$K$5*'Parameters D24m, country spec'!$K$51*'CO2 per kg feed'!P182+('Production D24m'!$K$6+'Production D24m'!$K$7)*'Parameters D24m, country spec'!$K$52*'CO2 per kg feed'!P183)/'Production D24m'!K15</f>
        <v>1.2674307519686161E-5</v>
      </c>
      <c r="R52" s="355">
        <f>('Production D24m'!$K$5*'Parameters D24m, country spec'!$K$51*'CO2 per kg feed'!P182+('Production D24m'!$K$6+'Production D24m'!$K$7)*'Parameters D24m, country spec'!$K$52*'CO2 per kg feed'!P183)/'Production D24m'!K15</f>
        <v>1.2674307519686161E-5</v>
      </c>
      <c r="S52" s="137"/>
      <c r="T52" s="122"/>
      <c r="U52" s="136"/>
      <c r="V52" s="136"/>
      <c r="W52" s="137">
        <f>'Production D24m'!$K$5*'Parameters D24m, country spec'!$K$58*EF_el_CO2_ES/'Production D24m'!K15</f>
        <v>2.2820732537155021E-5</v>
      </c>
      <c r="X52" s="356">
        <f>'Production D24m'!$K$12*(Energy_slaughter_el_ES*EF_el_CO2_ES+Energy_slaughter_oil_ES*EF_oil_CO2)/'Production D24m'!K15</f>
        <v>0</v>
      </c>
      <c r="Z52" s="18"/>
      <c r="AA52" s="18"/>
    </row>
    <row r="53" spans="1:27" x14ac:dyDescent="0.3">
      <c r="A53" s="11" t="s">
        <v>624</v>
      </c>
      <c r="B53" s="11" t="s">
        <v>627</v>
      </c>
      <c r="C53" s="15" t="s">
        <v>626</v>
      </c>
      <c r="D53" t="s">
        <v>57</v>
      </c>
      <c r="E53" s="16" t="s">
        <v>58</v>
      </c>
      <c r="F53" s="11" t="s">
        <v>92</v>
      </c>
      <c r="G53" s="18">
        <f t="shared" si="0"/>
        <v>5.6882720659044006E-7</v>
      </c>
      <c r="H53" s="344">
        <f>('Production D24m'!$K$5*'Parameters D24m, country spec'!$K$51*'CH4 per kg feed'!G182+('Production D24m'!$K$6+'Production D24m'!$K$7)*'Parameters D24m, country spec'!$K$52*'CH4 per kg feed'!G183)/'Production D24m'!K15</f>
        <v>3.2832257305996236E-8</v>
      </c>
      <c r="I53" s="344">
        <f>('Production D24m'!$K$5*'Parameters D24m, country spec'!$K$51*'CH4 per kg feed'!H182+('Production D24m'!$K$6+'Production D24m'!$K$7)*'Parameters D24m, country spec'!$K$52*'CH4 per kg feed'!H183)/'Production D24m'!K15</f>
        <v>1.1662617722741742E-7</v>
      </c>
      <c r="J53" s="344"/>
      <c r="K53" s="344"/>
      <c r="L53" s="344">
        <f>('Production D24m'!$K$5*'Parameters D24m, country spec'!$K$51*'CH4 per kg feed'!K182+('Production D24m'!$K$6+'Production D24m'!$K$7)*'Parameters D24m, country spec'!$K$52*'CH4 per kg feed'!K183)/'Production D24m'!K15</f>
        <v>1.633035068632182E-8</v>
      </c>
      <c r="M53" s="344"/>
      <c r="N53" s="344">
        <f>('Production D24m'!$K$5*'Parameters D24m, country spec'!$K$51*'CH4 per kg feed'!M182+('Production D24m'!$K$6+'Production D24m'!$K$7)*'Parameters D24m, country spec'!$K$52*'CH4 per kg feed'!M183)/'Production D24m'!K15</f>
        <v>2.4821926869379028E-8</v>
      </c>
      <c r="O53" s="344">
        <f>('Production D24m'!$K$5*'Parameters D24m, country spec'!$K$51*'CH4 per kg feed'!N182+('Production D24m'!$K$6+'Production D24m'!$K$7)*'Parameters D24m, country spec'!$K$52*'CH4 per kg feed'!N183)/'Production D24m'!K15</f>
        <v>1.3894848836588489E-8</v>
      </c>
      <c r="P53" s="344">
        <f>('Production D24m'!$K$5*'Parameters D24m, country spec'!$K$51*'CH4 per kg feed'!O182+('Production D24m'!$K$6+'Production D24m'!$K$7)*'Parameters D24m, country spec'!$K$52*'CH4 per kg feed'!O183)/'Production D24m'!K15</f>
        <v>0</v>
      </c>
      <c r="Q53" s="344">
        <f>('Production D24m'!$K$5*'Parameters D24m, country spec'!$K$51*'CH4 per kg feed'!P182+('Production D24m'!$K$6+'Production D24m'!$K$7)*'Parameters D24m, country spec'!$K$52*'CH4 per kg feed'!P183)/'Production D24m'!K15</f>
        <v>1.4688963122492094E-7</v>
      </c>
      <c r="R53" s="344">
        <f>('Production D24m'!$K$5*'Parameters D24m, country spec'!$K$51*'CH4 per kg feed'!P182+('Production D24m'!$K$6+'Production D24m'!$K$7)*'Parameters D24m, country spec'!$K$52*'CH4 per kg feed'!P183)/'Production D24m'!K15</f>
        <v>1.4688963122492094E-7</v>
      </c>
      <c r="W53" s="4">
        <f>'Production D24m'!$K$5*'Parameters D24m, country spec'!$K$58*EF_el_CH4_ES/'Production D24m'!K15</f>
        <v>7.0542383214895207E-8</v>
      </c>
      <c r="X53" s="42">
        <f>'Production D24m'!$K$12*(Energy_slaughter_el_ES*EF_el_CH4_ES+Energy_slaughter_oil_ES*EF_oil_CH4)/'Production D24m'!K15</f>
        <v>0</v>
      </c>
      <c r="Z53" s="32"/>
      <c r="AA53" s="32"/>
    </row>
    <row r="54" spans="1:27" x14ac:dyDescent="0.3">
      <c r="A54" s="11" t="s">
        <v>624</v>
      </c>
      <c r="B54" s="11" t="s">
        <v>627</v>
      </c>
      <c r="C54" s="15" t="s">
        <v>626</v>
      </c>
      <c r="D54" t="s">
        <v>57</v>
      </c>
      <c r="E54" s="16" t="s">
        <v>58</v>
      </c>
      <c r="F54" s="11" t="s">
        <v>93</v>
      </c>
      <c r="G54" s="18">
        <f>SUM(H54:X54)</f>
        <v>0.8285349808139032</v>
      </c>
      <c r="H54" s="344"/>
      <c r="I54" s="344"/>
      <c r="J54" s="363"/>
      <c r="K54" s="344"/>
      <c r="L54" s="344"/>
      <c r="M54" s="344"/>
      <c r="N54" s="344"/>
      <c r="O54" s="344"/>
      <c r="P54" s="344"/>
      <c r="Q54" s="344"/>
      <c r="R54" s="344"/>
      <c r="S54" s="4">
        <f>('Production D24m'!$K$5*EF_ent_ferm_ES+('Production D24m'!$K$6+'Production D24m'!$K$7)*EF_ent_ferm_ES)/'Production D24m'!K15</f>
        <v>0.66390041493775931</v>
      </c>
      <c r="T54" s="42">
        <f>SUM(U54:V54)</f>
        <v>8.2317282938071959E-2</v>
      </c>
      <c r="U54" s="57">
        <f>Manure!$U$34/'Production D24m'!K15</f>
        <v>8.2317282938071959E-2</v>
      </c>
      <c r="W54" s="4"/>
      <c r="X54" s="42"/>
      <c r="Z54" s="32"/>
      <c r="AA54" s="32"/>
    </row>
    <row r="55" spans="1:27" ht="15" thickBot="1" x14ac:dyDescent="0.35">
      <c r="A55" s="11" t="s">
        <v>624</v>
      </c>
      <c r="B55" s="11" t="s">
        <v>627</v>
      </c>
      <c r="C55" s="15" t="s">
        <v>626</v>
      </c>
      <c r="D55" t="s">
        <v>57</v>
      </c>
      <c r="E55" s="16" t="s">
        <v>58</v>
      </c>
      <c r="F55" s="34" t="s">
        <v>94</v>
      </c>
      <c r="G55" s="18">
        <f t="shared" si="0"/>
        <v>3.5723574727509588E-2</v>
      </c>
      <c r="H55" s="344">
        <f>('Production D24m'!$K$5*'Parameters D24m, country spec'!$K$51*'N2O per kg feed'!G182+('Production D24m'!$K$6+'Production D24m'!$K$7)*'Parameters D24m, country spec'!$K$52*'N2O per kg feed'!G183)/'Production D24m'!K15</f>
        <v>3.8931097278911784E-8</v>
      </c>
      <c r="I55" s="344">
        <f>('Production D24m'!$K$5*'Parameters D24m, country spec'!$K$51*'N2O per kg feed'!H182+('Production D24m'!$K$6+'Production D24m'!$K$7)*'Parameters D24m, country spec'!$K$52*'N2O per kg feed'!H183)/'Production D24m'!K15</f>
        <v>1.2892078898191595E-9</v>
      </c>
      <c r="J55" s="344">
        <f>('Production D24m'!$K$5*'Parameters D24m, country spec'!$K$51*'N2O per kg feed'!I182+('Production D24m'!$K$6+'Production D24m'!$K$7)*'Parameters D24m, country spec'!$K$52*'N2O per kg feed'!I183+Manure!U156)/'Production D24m'!K15</f>
        <v>1.0163861954124919E-2</v>
      </c>
      <c r="K55" s="32">
        <f>J55*EF_indirect_N2O_DK</f>
        <v>1.0163861954124919E-3</v>
      </c>
      <c r="L55" s="344">
        <f>('Production D24m'!$K$5*'Parameters D24m, country spec'!$K$51*'N2O per kg feed'!K182+('Production D24m'!$K$6+'Production D24m'!$K$7)*'Parameters D24m, country spec'!$K$52*'N2O per kg feed'!K183)/'Production D24m'!K15</f>
        <v>9.9117960806097636E-10</v>
      </c>
      <c r="M55" s="344"/>
      <c r="N55" s="344">
        <f>('Production D24m'!$K$5*'Parameters D24m, country spec'!$K$51*'N2O per kg feed'!M182+('Production D24m'!$K$6+'Production D24m'!$K$7)*'Parameters D24m, country spec'!$K$52*'N2O per kg feed'!M183)/'Production D24m'!K15</f>
        <v>3.054733612917283E-10</v>
      </c>
      <c r="O55" s="344">
        <f>('Production D24m'!$K$5*'Parameters D24m, country spec'!$K$51*'N2O per kg feed'!N182+('Production D24m'!$K$6+'Production D24m'!$K$7)*'Parameters D24m, country spec'!$K$52*'N2O per kg feed'!N183)/'Production D24m'!K15</f>
        <v>6.7596668123557166E-10</v>
      </c>
      <c r="P55" s="344">
        <f>('Production D24m'!$K$5*'Parameters D24m, country spec'!$K$51*'N2O per kg feed'!O182+('Production D24m'!$K$6+'Production D24m'!$K$7)*'Parameters D24m, country spec'!$K$52*'N2O per kg feed'!O183)/'Production D24m'!K15</f>
        <v>0</v>
      </c>
      <c r="Q55" s="344">
        <f>('Production D24m'!$K$5*'Parameters D24m, country spec'!$K$51*'N2O per kg feed'!P182+('Production D24m'!$K$6+'Production D24m'!$K$7)*'Parameters D24m, country spec'!$K$52*'N2O per kg feed'!P183)/'Production D24m'!K15</f>
        <v>1.4224744139057531E-8</v>
      </c>
      <c r="R55" s="344">
        <f>('Production D24m'!$K$5*'Parameters D24m, country spec'!$K$51*'N2O per kg feed'!P182+('Production D24m'!$K$6+'Production D24m'!$K$7)*'Parameters D24m, country spec'!$K$52*'N2O per kg feed'!P183)/'Production D24m'!K15</f>
        <v>1.4224744139057531E-8</v>
      </c>
      <c r="S55" s="4"/>
      <c r="T55" s="42">
        <f>SUM(U55:V55)</f>
        <v>1.2271627451210038E-2</v>
      </c>
      <c r="U55" s="188">
        <f>Manure!$U$92*44/28/'Production D24m'!K15</f>
        <v>8.509352311903088E-3</v>
      </c>
      <c r="V55" s="188">
        <f>Manure!$U$159*17/14*Manure!$T$122/'Production D24m'!K15</f>
        <v>3.7622751393069499E-3</v>
      </c>
      <c r="W55" s="4">
        <f>'Production D24m'!$K$5*'Parameters D24m, country spec'!$K$58*EF_el_N2O_ES/'Production D24m'!K15</f>
        <v>1.0331390045749547E-9</v>
      </c>
      <c r="X55" s="42">
        <f>'Production D24m'!$K$12*(Energy_slaughter_el_ES*EF_el_N2O_ES+Energy_slaughter_oil_ES*EF_oil_N2O)/'Production D24m'!K15</f>
        <v>0</v>
      </c>
      <c r="Z55" s="32"/>
      <c r="AA55" s="32"/>
    </row>
    <row r="56" spans="1:27" ht="15.6" thickTop="1" thickBot="1" x14ac:dyDescent="0.35">
      <c r="A56" s="127" t="s">
        <v>624</v>
      </c>
      <c r="B56" s="127" t="s">
        <v>627</v>
      </c>
      <c r="C56" s="128" t="s">
        <v>626</v>
      </c>
      <c r="D56" s="155" t="s">
        <v>57</v>
      </c>
      <c r="E56" s="129" t="s">
        <v>58</v>
      </c>
      <c r="F56" s="130" t="s">
        <v>95</v>
      </c>
      <c r="G56" s="140">
        <f>SUM(H56:X56)</f>
        <v>26.550469855031128</v>
      </c>
      <c r="H56" s="131">
        <f>SUMPRODUCT(H52:H55,'Parameters, general'!$B$23:$B$26)</f>
        <v>2.9296861014412422E-5</v>
      </c>
      <c r="I56" s="131">
        <f>SUMPRODUCT(I52:I55,'Parameters, general'!$B$23:$B$26)</f>
        <v>3.642299674460524E-5</v>
      </c>
      <c r="J56" s="131">
        <f>SUMPRODUCT(J52:J55,'Parameters, general'!$B$23:$B$26)</f>
        <v>2.7747343134761029</v>
      </c>
      <c r="K56" s="131">
        <f>SUMPRODUCT(K52:K55,'Parameters, general'!$B$23:$B$26)</f>
        <v>0.27747343134761032</v>
      </c>
      <c r="L56" s="131">
        <f>SUMPRODUCT(L52:L55,'Parameters, general'!$B$23:$B$26)</f>
        <v>3.7558897873503712E-5</v>
      </c>
      <c r="M56" s="131">
        <f>SUMPRODUCT(M52:M55,'Parameters, general'!$B$23:$B$26)</f>
        <v>0</v>
      </c>
      <c r="N56" s="131">
        <f>SUMPRODUCT(N52:N55,'Parameters, general'!$B$23:$B$26)</f>
        <v>8.3543595757995165E-6</v>
      </c>
      <c r="O56" s="131">
        <f>SUMPRODUCT(O52:O55,'Parameters, general'!$B$23:$B$26)</f>
        <v>1.8870602180406584E-5</v>
      </c>
      <c r="P56" s="131">
        <f>SUMPRODUCT(P52:P55,'Parameters, general'!$B$23:$B$26)</f>
        <v>3.2394772374849186E-5</v>
      </c>
      <c r="Q56" s="131">
        <f>SUMPRODUCT(Q52:Q55,'Parameters, general'!$B$23:$B$26)</f>
        <v>2.093497368015151E-5</v>
      </c>
      <c r="R56" s="131">
        <f>SUMPRODUCT(R52:R55,'Parameters, general'!$B$23:$B$26)</f>
        <v>2.093497368015151E-5</v>
      </c>
      <c r="S56" s="131">
        <f>SUMPRODUCT(S52:S55,'Parameters, general'!$B$23:$B$26)</f>
        <v>17.925311203319502</v>
      </c>
      <c r="T56" s="131">
        <f>SUMPRODUCT(T52:T55,'Parameters, general'!$B$23:$B$26)</f>
        <v>5.5727209335082835</v>
      </c>
      <c r="U56" s="131"/>
      <c r="V56" s="131"/>
      <c r="W56" s="131">
        <f>SUMPRODUCT(W52:W55,'Parameters, general'!$B$23:$B$26)</f>
        <v>2.5204942505207863E-5</v>
      </c>
      <c r="X56" s="131">
        <f>SUMPRODUCT(X52:X55,'Parameters, general'!$B$23:$B$26)</f>
        <v>0</v>
      </c>
      <c r="Z56" s="104">
        <f>SUM(H56:R56)</f>
        <v>3.0524125132608364</v>
      </c>
      <c r="AA56" s="154">
        <f>'CO2 per kg feed'!F182+'CH4 per kg feed'!F182*CF_GWP_CH4_fossil+'N2O per kg feed'!F182*CF_GWP_N2O</f>
        <v>0.22254652261043364</v>
      </c>
    </row>
    <row r="57" spans="1:27" ht="15" thickTop="1" x14ac:dyDescent="0.3">
      <c r="A57" s="132" t="s">
        <v>624</v>
      </c>
      <c r="B57" s="132" t="s">
        <v>627</v>
      </c>
      <c r="C57" s="133" t="s">
        <v>626</v>
      </c>
      <c r="D57" s="16" t="s">
        <v>59</v>
      </c>
      <c r="E57" s="16" t="s">
        <v>60</v>
      </c>
      <c r="F57" s="36" t="s">
        <v>91</v>
      </c>
      <c r="G57" s="135">
        <f t="shared" si="0"/>
        <v>3.5361786492455003E-4</v>
      </c>
      <c r="H57" s="364">
        <f>('Production D24m'!$L$5*'Parameters D24m, country spec'!$L$51*'CO2 per kg feed'!G200+('Production D24m'!$L$6+'Production D24m'!$L$7)*'Parameters D24m, country spec'!$L$52*'CO2 per kg feed'!G201)/'Production D24m'!L15</f>
        <v>4.0450735947044023E-5</v>
      </c>
      <c r="I57" s="18">
        <f>('Production D24m'!$L$5*'Parameters D24m, country spec'!$L$51*'CO2 per kg feed'!H200+('Production D24m'!$L$6+'Production D24m'!$L$7)*'Parameters D24m, country spec'!$L$52*'CO2 per kg feed'!H201)/'Production D24m'!L15</f>
        <v>6.8943504628151935E-5</v>
      </c>
      <c r="J57" s="18"/>
      <c r="K57" s="18"/>
      <c r="L57" s="355">
        <f>('Production D24m'!$L$5*'Parameters D24m, country spec'!$L$51*'CO2 per kg feed'!K200+('Production D24m'!$L$6+'Production D24m'!$L$7)*'Parameters D24m, country spec'!$L$52*'CO2 per kg feed'!K201)/'Production D24m'!L15</f>
        <v>6.2808536216955535E-5</v>
      </c>
      <c r="M57" s="355"/>
      <c r="N57" s="355">
        <f>('Production D24m'!$L$5*'Parameters D24m, country spec'!$L$51*'CO2 per kg feed'!M200+('Production D24m'!$L$6+'Production D24m'!$L$7)*'Parameters D24m, country spec'!$L$52*'CO2 per kg feed'!M201)/'Production D24m'!L15</f>
        <v>0</v>
      </c>
      <c r="O57" s="355">
        <f>('Production D24m'!$L$5*'Parameters D24m, country spec'!$L$51*'CO2 per kg feed'!N200+('Production D24m'!$L$6+'Production D24m'!$L$7)*'Parameters D24m, country spec'!$L$52*'CO2 per kg feed'!N201)/'Production D24m'!L15</f>
        <v>0</v>
      </c>
      <c r="P57" s="355">
        <f>('Production D24m'!$L$5*'Parameters D24m, country spec'!$L$51*'CO2 per kg feed'!O200+('Production D24m'!$L$6+'Production D24m'!$L$7)*'Parameters D24m, country spec'!$L$52*'CO2 per kg feed'!O201)/'Production D24m'!L15</f>
        <v>0</v>
      </c>
      <c r="Q57" s="355">
        <f>('Production D24m'!$L$5*'Parameters D24m, country spec'!$L$51*'CO2 per kg feed'!P200+('Production D24m'!$L$6+'Production D24m'!$L$7)*'Parameters D24m, country spec'!$L$52*'CO2 per kg feed'!P201)/'Production D24m'!L15</f>
        <v>8.6943299370871677E-5</v>
      </c>
      <c r="R57" s="355">
        <f>('Production D24m'!$L$5*'Parameters D24m, country spec'!$L$51*'CO2 per kg feed'!P200+('Production D24m'!$L$6+'Production D24m'!$L$7)*'Parameters D24m, country spec'!$L$52*'CO2 per kg feed'!P201)/'Production D24m'!L15</f>
        <v>8.6943299370871677E-5</v>
      </c>
      <c r="S57" s="137"/>
      <c r="U57" s="136"/>
      <c r="V57" s="136"/>
      <c r="W57" s="137">
        <f>'Production D24m'!L5*'Parameters D24m, country spec'!L58*EF_el_CO2_SE/'Production D24m'!L15</f>
        <v>7.5284893906551764E-6</v>
      </c>
      <c r="X57" s="356">
        <f>'Production D24m'!L12*(Energy_slaughter_el_SE*EF_el_CO2_SE+Energy_slaughter_oil_SE*EF_oil_CO2)/'Production D24m'!L15</f>
        <v>0</v>
      </c>
    </row>
    <row r="58" spans="1:27" x14ac:dyDescent="0.3">
      <c r="A58" s="11" t="s">
        <v>624</v>
      </c>
      <c r="B58" s="11" t="s">
        <v>627</v>
      </c>
      <c r="C58" s="15" t="s">
        <v>626</v>
      </c>
      <c r="D58" s="16" t="s">
        <v>59</v>
      </c>
      <c r="E58" s="16" t="s">
        <v>60</v>
      </c>
      <c r="F58" s="11" t="s">
        <v>92</v>
      </c>
      <c r="G58" s="18">
        <f t="shared" si="0"/>
        <v>2.914991177535391E-6</v>
      </c>
      <c r="H58" s="344">
        <f>('Production D24m'!$L$5*'Parameters D24m, country spec'!$L$51*'CH4 per kg feed'!G200+'Production D24m'!$L$6*'Parameters D24m, country spec'!$L$52*'CH4 per kg feed'!G201)/'Production D24m'!L15</f>
        <v>0</v>
      </c>
      <c r="I58" s="33">
        <f>('Production D24m'!$L$5*'Parameters D24m, country spec'!$L$51*'CH4 per kg feed'!H200+('Production D24m'!$L$6+'Production D24m'!$L$7)*'Parameters D24m, country spec'!$L$52*'CH4 per kg feed'!H201)/'Production D24m'!L15</f>
        <v>2.4257899776571975E-7</v>
      </c>
      <c r="J58" s="33"/>
      <c r="K58" s="33"/>
      <c r="L58" s="344">
        <f>('Production D24m'!$L$5*'Parameters D24m, country spec'!$L$51*'CH4 per kg feed'!K200+('Production D24m'!$L$6+'Production D24m'!$L$7)*'Parameters D24m, country spec'!$L$52*'CH4 per kg feed'!K201)/'Production D24m'!L15</f>
        <v>2.7822063658801566E-8</v>
      </c>
      <c r="M58" s="344"/>
      <c r="N58" s="344">
        <f>('Production D24m'!$L$5*'Parameters D24m, country spec'!$L$51*'CH4 per kg feed'!M200+('Production D24m'!$L$6+'Production D24m'!$L$7)*'Parameters D24m, country spec'!$L$52*'CH4 per kg feed'!M201)/'Production D24m'!L15</f>
        <v>0</v>
      </c>
      <c r="O58" s="344">
        <f>('Production D24m'!$L$5*'Parameters D24m, country spec'!$L$51*'CH4 per kg feed'!N200+('Production D24m'!$L$6+'Production D24m'!$L$7)*'Parameters D24m, country spec'!$L$52*'CH4 per kg feed'!N201)/'Production D24m'!L15</f>
        <v>0</v>
      </c>
      <c r="P58" s="344">
        <f>('Production D24m'!$L$5*'Parameters D24m, country spec'!$L$51*'CH4 per kg feed'!O200+('Production D24m'!$L$6+'Production D24m'!$L$7)*'Parameters D24m, country spec'!$L$52*'CH4 per kg feed'!O201)/'Production D24m'!L15</f>
        <v>0</v>
      </c>
      <c r="Q58" s="344">
        <f>('Production D24m'!$L$5*'Parameters D24m, country spec'!$L$51*'CH4 per kg feed'!P200+('Production D24m'!$L$6+'Production D24m'!$L$7)*'Parameters D24m, country spec'!$L$52*'CH4 per kg feed'!P201)/'Production D24m'!L15</f>
        <v>1.3181125472072194E-6</v>
      </c>
      <c r="R58" s="344">
        <f>('Production D24m'!$L$5*'Parameters D24m, country spec'!$L$51*'CH4 per kg feed'!P200+('Production D24m'!$L$6+'Production D24m'!$L$7)*'Parameters D24m, country spec'!$L$52*'CH4 per kg feed'!P201)/'Production D24m'!L15</f>
        <v>1.3181125472072194E-6</v>
      </c>
      <c r="W58" s="4">
        <f>'Production D24m'!L5*'Parameters D24m, country spec'!L58*EF_el_CH4_SE/'Production D24m'!L15</f>
        <v>8.3650216964306837E-9</v>
      </c>
      <c r="X58" s="42">
        <f>'Production D24m'!L12*(Energy_slaughter_el_SE*EF_el_CH4_SE+Energy_slaughter_oil_SE*EF_oil_CH4)/'Production D24m'!L15</f>
        <v>0</v>
      </c>
    </row>
    <row r="59" spans="1:27" x14ac:dyDescent="0.3">
      <c r="A59" s="11" t="s">
        <v>624</v>
      </c>
      <c r="B59" s="11" t="s">
        <v>627</v>
      </c>
      <c r="C59" s="15" t="s">
        <v>626</v>
      </c>
      <c r="D59" s="16" t="s">
        <v>59</v>
      </c>
      <c r="E59" s="16" t="s">
        <v>60</v>
      </c>
      <c r="F59" s="11" t="s">
        <v>93</v>
      </c>
      <c r="G59" s="18">
        <f>SUM(H59:X59)</f>
        <v>0.88947990312202596</v>
      </c>
      <c r="H59" s="344"/>
      <c r="I59" s="33"/>
      <c r="J59" s="33"/>
      <c r="K59" s="33"/>
      <c r="L59" s="344"/>
      <c r="M59" s="344"/>
      <c r="N59" s="344"/>
      <c r="O59" s="344"/>
      <c r="P59" s="344"/>
      <c r="Q59" s="344"/>
      <c r="R59" s="344"/>
      <c r="S59" s="4">
        <f>('Production D24m'!L5*EF_ent_ferm_SE+('Production D24m'!L6+'Production D24m'!L7)*EF_ent_ferm_SE)/'Production D24m'!L15</f>
        <v>0.66390041493775931</v>
      </c>
      <c r="T59" s="100">
        <f>SUM(U59:V59)</f>
        <v>0.11278974409213333</v>
      </c>
      <c r="U59" s="57">
        <f>Manure!W34/'Production D24m'!L15</f>
        <v>0.11278974409213333</v>
      </c>
      <c r="W59" s="4"/>
      <c r="X59" s="42"/>
      <c r="Z59" s="32"/>
      <c r="AA59" s="32"/>
    </row>
    <row r="60" spans="1:27" ht="15" thickBot="1" x14ac:dyDescent="0.35">
      <c r="A60" s="11" t="s">
        <v>624</v>
      </c>
      <c r="B60" s="11" t="s">
        <v>627</v>
      </c>
      <c r="C60" s="15" t="s">
        <v>626</v>
      </c>
      <c r="D60" s="16" t="s">
        <v>59</v>
      </c>
      <c r="E60" s="16" t="s">
        <v>60</v>
      </c>
      <c r="F60" s="34" t="s">
        <v>94</v>
      </c>
      <c r="G60" s="18">
        <f t="shared" si="0"/>
        <v>3.7116433262592861E-2</v>
      </c>
      <c r="H60" s="344">
        <f>('Production D24m'!$L$5*'Parameters D24m, country spec'!$L$51*'N2O per kg feed'!G200+('Production D24m'!$L$6+'Production D24m'!$L$7)*'Parameters D24m, country spec'!$L$52*'N2O per kg feed'!G201)/'Production D24m'!L15</f>
        <v>8.5058626573995821E-8</v>
      </c>
      <c r="I60" s="32">
        <f>('Production D24m'!$L$5*'Parameters D24m, country spec'!$L$51*'N2O per kg feed'!H200+('Production D24m'!$L$6+'Production D24m'!$L$7)*'Parameters D24m, country spec'!$L$52*'N2O per kg feed'!H201)/'Production D24m'!L15</f>
        <v>2.8088094478135972E-9</v>
      </c>
      <c r="J60" s="32">
        <f>('Production D24m'!$L$5*'Parameters D24m, country spec'!$L$51*'N2O per kg feed'!I200+('Production D24m'!$L$6+'Production D24m'!$L$7)*'Parameters D24m, country spec'!$L$52*'N2O per kg feed'!I201+Manure!Y156)/'Production D24m'!L15</f>
        <v>7.5301615413324949E-3</v>
      </c>
      <c r="K60" s="32">
        <f>J60*EF_indirect_N2O_SE</f>
        <v>7.5301615413324958E-4</v>
      </c>
      <c r="L60" s="344">
        <f>('Production D24m'!$L$5*'Parameters D24m, country spec'!$L$51*'N2O per kg feed'!K200+('Production D24m'!$L$6+'Production D24m'!$L$7)*'Parameters D24m, country spec'!$L$52*'N2O per kg feed'!K201)/'Production D24m'!L15</f>
        <v>1.6876898561984892E-9</v>
      </c>
      <c r="M60" s="344"/>
      <c r="N60" s="344">
        <f>('Production D24m'!$L$5*'Parameters D24m, country spec'!$L$51*'N2O per kg feed'!M200+('Production D24m'!$L$6+'Production D24m'!$L$7)*'Parameters D24m, country spec'!$L$52*'N2O per kg feed'!M201)/'Production D24m'!L15</f>
        <v>0</v>
      </c>
      <c r="O60" s="344">
        <f>('Production D24m'!$L$5*'Parameters D24m, country spec'!$L$51*'N2O per kg feed'!N200+('Production D24m'!$L$6+'Production D24m'!$L$7)*'Parameters D24m, country spec'!$L$52*'N2O per kg feed'!N201)/'Production D24m'!L15</f>
        <v>0</v>
      </c>
      <c r="P60" s="344">
        <f>('Production D24m'!$L$5*'Parameters D24m, country spec'!$L$51*'N2O per kg feed'!O200+('Production D24m'!$L$6+'Production D24m'!$L$7)*'Parameters D24m, country spec'!$L$52*'N2O per kg feed'!O201)/'Production D24m'!L15</f>
        <v>0</v>
      </c>
      <c r="Q60" s="344">
        <f>('Production D24m'!$L$5*'Parameters D24m, country spec'!$L$51*'N2O per kg feed'!P200+('Production D24m'!$L$6+'Production D24m'!$L$7)*'Parameters D24m, country spec'!$L$52*'N2O per kg feed'!P201)/'Production D24m'!L15</f>
        <v>1.2678455432882997E-7</v>
      </c>
      <c r="R60" s="344">
        <f>('Production D24m'!$L$5*'Parameters D24m, country spec'!$L$51*'N2O per kg feed'!P200+('Production D24m'!$L$6+'Production D24m'!$L$7)*'Parameters D24m, country spec'!$L$52*'N2O per kg feed'!P201)/'Production D24m'!L15</f>
        <v>1.2678455432882997E-7</v>
      </c>
      <c r="S60" s="4"/>
      <c r="T60" s="42">
        <f>SUM(U60:V60)</f>
        <v>1.4416455873647552E-2</v>
      </c>
      <c r="U60" s="188">
        <f>Manure!W92*44/28/'Production D24m'!L15</f>
        <v>9.8131434710560551E-3</v>
      </c>
      <c r="V60" s="188">
        <f>Manure!W159*17/14*Manure!V122/'Production D24m'!L15</f>
        <v>4.6033124025914975E-3</v>
      </c>
      <c r="W60" s="4">
        <f>'Production D24m'!L5*'Parameters D24m, country spec'!L58*EF_el_N2O_SE/'Production D24m'!L15</f>
        <v>6.9559747377380564E-10</v>
      </c>
      <c r="X60" s="42">
        <f>'Production D24m'!L12*(Energy_slaughter_el_SE*EF_el_N2O_SE+Energy_slaughter_oil_SE*EF_oil_N2O)/'Production D24m'!L15</f>
        <v>0</v>
      </c>
    </row>
    <row r="61" spans="1:27" ht="15" thickTop="1" x14ac:dyDescent="0.3">
      <c r="A61" s="127" t="s">
        <v>624</v>
      </c>
      <c r="B61" s="127" t="s">
        <v>627</v>
      </c>
      <c r="C61" s="128" t="s">
        <v>626</v>
      </c>
      <c r="D61" s="129" t="s">
        <v>59</v>
      </c>
      <c r="E61" s="129" t="s">
        <v>60</v>
      </c>
      <c r="F61" s="130" t="s">
        <v>95</v>
      </c>
      <c r="G61" s="371">
        <f t="shared" si="0"/>
        <v>27.168168605591184</v>
      </c>
      <c r="H61" s="372">
        <f>SUMPRODUCT(H57:H60,'Parameters, general'!$B$23:$B$26)</f>
        <v>6.3671741001744889E-5</v>
      </c>
      <c r="I61" s="131">
        <f>SUMPRODUCT(I57:I60,'Parameters, general'!$B$23:$B$26)</f>
        <v>7.6939163740823488E-5</v>
      </c>
      <c r="J61" s="131">
        <f>SUMPRODUCT(J57:J60,'Parameters, general'!$B$23:$B$26)</f>
        <v>2.0557341007837713</v>
      </c>
      <c r="K61" s="131">
        <f>SUMPRODUCT(K57:K60,'Parameters, general'!$B$23:$B$26)</f>
        <v>0.20557341007837712</v>
      </c>
      <c r="L61" s="131">
        <f>SUMPRODUCT(L57:L60,'Parameters, general'!$B$23:$B$26)</f>
        <v>6.4098373044730003E-5</v>
      </c>
      <c r="M61" s="131">
        <f>SUMPRODUCT(M57:M60,'Parameters, general'!$B$23:$B$26)</f>
        <v>0</v>
      </c>
      <c r="N61" s="131">
        <f>SUMPRODUCT(N57:N60,'Parameters, general'!$B$23:$B$26)</f>
        <v>0</v>
      </c>
      <c r="O61" s="131">
        <f>SUMPRODUCT(O57:O60,'Parameters, general'!$B$23:$B$26)</f>
        <v>0</v>
      </c>
      <c r="P61" s="131">
        <f>SUMPRODUCT(P57:P60,'Parameters, general'!$B$23:$B$26)</f>
        <v>0</v>
      </c>
      <c r="Q61" s="131">
        <f>SUMPRODUCT(Q57:Q60,'Parameters, general'!$B$23:$B$26)</f>
        <v>1.608352366094174E-4</v>
      </c>
      <c r="R61" s="131">
        <f>SUMPRODUCT(R57:R60,'Parameters, general'!$B$23:$B$26)</f>
        <v>1.608352366094174E-4</v>
      </c>
      <c r="S61" s="131">
        <f>SUMPRODUCT(S57:S60,'Parameters, general'!$B$23:$B$26)</f>
        <v>17.925311203319502</v>
      </c>
      <c r="T61" s="131">
        <f>SUMPRODUCT(T57:T60,'Parameters, general'!$B$23:$B$26)</f>
        <v>6.9810155439933812</v>
      </c>
      <c r="U61" s="131"/>
      <c r="V61" s="131"/>
      <c r="W61" s="131">
        <f>SUMPRODUCT(W57:W60,'Parameters, general'!$B$23:$B$26)</f>
        <v>7.9676651475490593E-6</v>
      </c>
      <c r="X61" s="131">
        <f>SUMPRODUCT(X57:X60,'Parameters, general'!$B$23:$B$26)</f>
        <v>0</v>
      </c>
      <c r="Z61" s="104">
        <f>SUM(H61:R61)</f>
        <v>2.2618338906131545</v>
      </c>
      <c r="AA61" s="373">
        <f>'CO2 per kg feed'!F200+'CH4 per kg feed'!F200*CF_GWP_CH4_fossil+'N2O per kg feed'!F200*CF_GWP_N2O</f>
        <v>0.15385554280401909</v>
      </c>
    </row>
    <row r="62" spans="1:27" x14ac:dyDescent="0.3">
      <c r="A62" s="132" t="s">
        <v>624</v>
      </c>
      <c r="B62" s="132" t="s">
        <v>627</v>
      </c>
      <c r="C62" s="133" t="s">
        <v>626</v>
      </c>
      <c r="D62" s="16" t="s">
        <v>59</v>
      </c>
      <c r="E62" s="16" t="s">
        <v>556</v>
      </c>
      <c r="F62" s="36" t="s">
        <v>91</v>
      </c>
      <c r="G62" s="135">
        <f t="shared" ref="G62:G63" si="1">SUM(H62:X62)</f>
        <v>1.9150973507819981E-4</v>
      </c>
      <c r="H62" s="364">
        <f>('Production D24m'!$M$5*'Parameters D24m, country spec'!$M$51*'CO2 per kg feed'!G158+('Production D24m'!$M$6+'Production D24m'!$M$7)*'Parameters D24m, country spec'!$M$52*'CO2 per kg feed'!G159)/'Production D24m'!M15</f>
        <v>5.1069262687519952E-6</v>
      </c>
      <c r="I62" s="18">
        <f>('Production D24m'!$M$5*'Parameters D24m, country spec'!$M$51*'CO2 per kg feed'!H158+('Production D24m'!$M$6+'Production D24m'!$M$7)*'Parameters D24m, country spec'!$M$52*'CO2 per kg feed'!H159)/'Production D24m'!M15</f>
        <v>3.4471752314075967E-5</v>
      </c>
      <c r="J62" s="18"/>
      <c r="K62" s="18"/>
      <c r="L62" s="355">
        <f>('Production D24m'!$M$5*'Parameters D24m, country spec'!$M$51*'CO2 per kg feed'!K158+('Production D24m'!$M$6+'Production D24m'!$M$7)*'Parameters D24m, country spec'!$M$52*'CO2 per kg feed'!K159)/'Production D24m'!M15</f>
        <v>8.426428343440792E-5</v>
      </c>
      <c r="M62" s="355"/>
      <c r="N62" s="355">
        <f>('Production D24m'!$M$5*'Parameters D24m, country spec'!$M$51*'CO2 per kg feed'!M158+('Production D24m'!$M$6+'Production D24m'!$M$7)*'Parameters D24m, country spec'!$M$52*'CO2 per kg feed'!M159)/'Production D24m'!M15</f>
        <v>0</v>
      </c>
      <c r="O62" s="355">
        <f>('Production D24m'!$M$5*'Parameters D24m, country spec'!$M$51*'CO2 per kg feed'!N158+('Production D24m'!$M$6+'Production D24m'!$M$7)*'Parameters D24m, country spec'!$M$52*'CO2 per kg feed'!N159)/'Production D24m'!M15</f>
        <v>6.7666773060963929E-5</v>
      </c>
      <c r="P62" s="355">
        <f>('Production D24m'!$M$5*'Parameters D24m, country spec'!$M$51*'CO2 per kg feed'!O158+('Production D24m'!$M$6+'Production D24m'!$M$7)*'Parameters D24m, country spec'!$M$52*'CO2 per kg feed'!O159)/'Production D24m'!M15</f>
        <v>0</v>
      </c>
      <c r="Q62" s="355">
        <f>('Production D24m'!$M$5*'Parameters D24m, country spec'!$M$51*'CO2 per kg feed'!P158+('Production D24m'!$M$6+'Production D24m'!$M$7)*'Parameters D24m, country spec'!$M$52*'CO2 per kg feed'!P159)/'Production D24m'!M15</f>
        <v>0</v>
      </c>
      <c r="R62" s="355">
        <f>('Production D24m'!$M$5*'Parameters D24m, country spec'!$M$51*'CO2 per kg feed'!P158+('Production D24m'!$M$6+'Production D24m'!$M$7)*'Parameters D24m, country spec'!$M$52*'CO2 per kg feed'!P159)/'Production D24m'!M15</f>
        <v>0</v>
      </c>
      <c r="S62" s="137"/>
      <c r="U62" s="136"/>
      <c r="V62" s="136"/>
      <c r="W62" s="137">
        <f>'Production D24m'!L10*'Parameters D24m, country spec'!L63*EF_el_CO2_SE/'Production D24m'!M15</f>
        <v>0</v>
      </c>
      <c r="X62" s="356">
        <f>'Production D24m'!L17*(Energy_slaughter_el_SE*EF_el_CO2_SE+Energy_slaughter_oil_SE*EF_oil_CO2)/'Production D24m'!M15</f>
        <v>0</v>
      </c>
    </row>
    <row r="63" spans="1:27" x14ac:dyDescent="0.3">
      <c r="A63" s="11" t="s">
        <v>624</v>
      </c>
      <c r="B63" s="11" t="s">
        <v>627</v>
      </c>
      <c r="C63" s="15" t="s">
        <v>626</v>
      </c>
      <c r="D63" s="16" t="s">
        <v>59</v>
      </c>
      <c r="E63" s="16" t="s">
        <v>556</v>
      </c>
      <c r="F63" s="11" t="s">
        <v>92</v>
      </c>
      <c r="G63" s="18">
        <f t="shared" si="1"/>
        <v>2.2917331631024577E-7</v>
      </c>
      <c r="H63" s="344">
        <f>('Production D24m'!$M$5*'Parameters D24m, country spec'!$M$51*'CH4 per kg feed'!G158+'Production D24m'!$M$6*'Parameters D24m, country spec'!$M$52*'CH4 per kg feed'!G159)/'Production D24m'!M15</f>
        <v>0</v>
      </c>
      <c r="I63" s="33">
        <f>('Production D24m'!$M$5*'Parameters D24m, country spec'!$M$51*'CH4 per kg feed'!H158+('Production D24m'!$M$6+'Production D24m'!$M$7)*'Parameters D24m, country spec'!$M$52*'CH4 per kg feed'!H159)/'Production D24m'!M15</f>
        <v>1.2767315671879988E-7</v>
      </c>
      <c r="J63" s="33"/>
      <c r="K63" s="33"/>
      <c r="L63" s="344">
        <f>('Production D24m'!$M$5*'Parameters D24m, country spec'!$M$51*'CH4 per kg feed'!K158+('Production D24m'!$M$6+'Production D24m'!$M$7)*'Parameters D24m, country spec'!$M$52*'CH4 per kg feed'!K159)/'Production D24m'!M15</f>
        <v>3.7535908075327166E-8</v>
      </c>
      <c r="M63" s="344"/>
      <c r="N63" s="344">
        <f>('Production D24m'!$M$5*'Parameters D24m, country spec'!$M$51*'CH4 per kg feed'!M158+('Production D24m'!$M$6+'Production D24m'!$M$7)*'Parameters D24m, country spec'!$M$52*'CH4 per kg feed'!M159)/'Production D24m'!M15</f>
        <v>0</v>
      </c>
      <c r="O63" s="344">
        <f>('Production D24m'!$M$5*'Parameters D24m, country spec'!$M$51*'CH4 per kg feed'!N158+('Production D24m'!$M$6+'Production D24m'!$M$7)*'Parameters D24m, country spec'!$M$52*'CH4 per kg feed'!N159)/'Production D24m'!M15</f>
        <v>6.3964251516118735E-8</v>
      </c>
      <c r="P63" s="344">
        <f>('Production D24m'!$M$5*'Parameters D24m, country spec'!$M$51*'CH4 per kg feed'!O158+('Production D24m'!$M$6+'Production D24m'!$M$7)*'Parameters D24m, country spec'!$M$52*'CH4 per kg feed'!O159)/'Production D24m'!M15</f>
        <v>0</v>
      </c>
      <c r="Q63" s="344">
        <f>('Production D24m'!$M$5*'Parameters D24m, country spec'!$M$51*'CH4 per kg feed'!P158+('Production D24m'!$M$6+'Production D24m'!$M$7)*'Parameters D24m, country spec'!$M$52*'CH4 per kg feed'!P159)/'Production D24m'!M15</f>
        <v>0</v>
      </c>
      <c r="R63" s="344">
        <f>('Production D24m'!$M$5*'Parameters D24m, country spec'!$M$51*'CH4 per kg feed'!P158+('Production D24m'!$M$6+'Production D24m'!$M$7)*'Parameters D24m, country spec'!$M$52*'CH4 per kg feed'!P159)/'Production D24m'!M15</f>
        <v>0</v>
      </c>
      <c r="W63" s="4">
        <f>'Production D24m'!L10*'Parameters D24m, country spec'!L63*EF_el_CH4_SE/'Production D24m'!M15</f>
        <v>0</v>
      </c>
      <c r="X63" s="42">
        <f>'Production D24m'!L17*(Energy_slaughter_el_SE*EF_el_CH4_SE+Energy_slaughter_oil_SE*EF_oil_CH4)/'Production D24m'!M15</f>
        <v>0</v>
      </c>
    </row>
    <row r="64" spans="1:27" x14ac:dyDescent="0.3">
      <c r="A64" s="11" t="s">
        <v>624</v>
      </c>
      <c r="B64" s="11" t="s">
        <v>627</v>
      </c>
      <c r="C64" s="15" t="s">
        <v>626</v>
      </c>
      <c r="D64" s="16" t="s">
        <v>59</v>
      </c>
      <c r="E64" s="16" t="s">
        <v>556</v>
      </c>
      <c r="F64" s="11" t="s">
        <v>93</v>
      </c>
      <c r="G64" s="18">
        <f>SUM(H64:X64)</f>
        <v>0.88947990312202596</v>
      </c>
      <c r="H64" s="344"/>
      <c r="I64" s="33"/>
      <c r="J64" s="33"/>
      <c r="K64" s="33"/>
      <c r="L64" s="344"/>
      <c r="M64" s="344"/>
      <c r="N64" s="344"/>
      <c r="O64" s="344"/>
      <c r="P64" s="344"/>
      <c r="Q64" s="344"/>
      <c r="R64" s="344"/>
      <c r="S64" s="4">
        <f>('Production D24m'!M5*EF_ent_ferm_SE+('Production D24m'!M6+'Production D24m'!M7)*EF_ent_ferm_SE)/'Production D24m'!M15</f>
        <v>0.66390041493775931</v>
      </c>
      <c r="T64" s="100">
        <f>SUM(U64:V64)</f>
        <v>0.11278974409213333</v>
      </c>
      <c r="U64" s="57">
        <f>Manure!Y34/'Production D24m'!M15</f>
        <v>0.11278974409213333</v>
      </c>
      <c r="W64" s="4"/>
      <c r="X64" s="42"/>
      <c r="Z64" s="32"/>
      <c r="AA64" s="32"/>
    </row>
    <row r="65" spans="1:27" ht="15" thickBot="1" x14ac:dyDescent="0.35">
      <c r="A65" s="11" t="s">
        <v>624</v>
      </c>
      <c r="B65" s="11" t="s">
        <v>627</v>
      </c>
      <c r="C65" s="15" t="s">
        <v>626</v>
      </c>
      <c r="D65" s="16" t="s">
        <v>59</v>
      </c>
      <c r="E65" s="16" t="s">
        <v>556</v>
      </c>
      <c r="F65" s="34" t="s">
        <v>94</v>
      </c>
      <c r="G65" s="18">
        <f t="shared" ref="G65:G66" si="2">SUM(H65:X65)</f>
        <v>2.8833374817834521E-2</v>
      </c>
      <c r="H65" s="344">
        <f>('Production D24m'!$M$5*'Parameters D24m, country spec'!$M$51*'N2O per kg feed'!G158+('Production D24m'!$M$6+'Production D24m'!$M$7)*'Parameters D24m, country spec'!$M$52*'N2O per kg feed'!G159)/'Production D24m'!M15</f>
        <v>1.0979891477816791E-8</v>
      </c>
      <c r="I65" s="32">
        <f>('Production D24m'!$M$5*'Parameters D24m, country spec'!$M$51*'N2O per kg feed'!H158+('Production D24m'!$M$6+'Production D24m'!$M$7)*'Parameters D24m, country spec'!$M$52*'N2O per kg feed'!H159)/'Production D24m'!M15</f>
        <v>1.2767315671879988E-9</v>
      </c>
      <c r="J65" s="32">
        <f>('Production D24m'!$M$5*'Parameters D24m, country spec'!$M$51*'N2O per kg feed'!I158+('Production D24m'!$M$6+'Production D24m'!$M$7)*'Parameters D24m, country spec'!$M$52*'N2O per kg feed'!I159+Manure!Y161)/'Production D24m'!M15</f>
        <v>4.060006383657836E-7</v>
      </c>
      <c r="K65" s="32">
        <f>J65*EF_indirect_N2O_SE</f>
        <v>4.060006383657836E-8</v>
      </c>
      <c r="L65" s="344">
        <f>('Production D24m'!$M$5*'Parameters D24m, country spec'!$M$51*'N2O per kg feed'!K158+('Production D24m'!$M$6+'Production D24m'!$M$7)*'Parameters D24m, country spec'!$M$52*'N2O per kg feed'!K159)/'Production D24m'!M15</f>
        <v>2.2725821895946377E-9</v>
      </c>
      <c r="M65" s="344"/>
      <c r="N65" s="344">
        <f>('Production D24m'!$M$5*'Parameters D24m, country spec'!$M$51*'N2O per kg feed'!M158+('Production D24m'!$M$6+'Production D24m'!$M$7)*'Parameters D24m, country spec'!$M$52*'N2O per kg feed'!M159)/'Production D24m'!M15</f>
        <v>0</v>
      </c>
      <c r="O65" s="344">
        <f>('Production D24m'!$M$5*'Parameters D24m, country spec'!$M$51*'N2O per kg feed'!N158+('Production D24m'!$M$6+'Production D24m'!$M$7)*'Parameters D24m, country spec'!$M$52*'N2O per kg feed'!N159)/'Production D24m'!M15</f>
        <v>1.9406319821257581E-9</v>
      </c>
      <c r="P65" s="344">
        <f>('Production D24m'!$M$5*'Parameters D24m, country spec'!$M$51*'N2O per kg feed'!O158+('Production D24m'!$M$6+'Production D24m'!$M$7)*'Parameters D24m, country spec'!$M$52*'N2O per kg feed'!O159)/'Production D24m'!M15</f>
        <v>0</v>
      </c>
      <c r="Q65" s="344">
        <f>('Production D24m'!$M$5*'Parameters D24m, country spec'!$M$51*'N2O per kg feed'!P158+('Production D24m'!$M$6+'Production D24m'!$M$7)*'Parameters D24m, country spec'!$M$52*'N2O per kg feed'!P159)/'Production D24m'!M15</f>
        <v>0</v>
      </c>
      <c r="R65" s="344">
        <f>('Production D24m'!$M$5*'Parameters D24m, country spec'!$M$51*'N2O per kg feed'!P158+('Production D24m'!$M$6+'Production D24m'!$M$7)*'Parameters D24m, country spec'!$M$52*'N2O per kg feed'!P159)/'Production D24m'!M15</f>
        <v>0</v>
      </c>
      <c r="S65" s="4"/>
      <c r="T65" s="42">
        <f>SUM(U65:V65)</f>
        <v>1.4416455873647552E-2</v>
      </c>
      <c r="U65" s="188">
        <f>Manure!Y92*44/28/'Production D24m'!M15</f>
        <v>9.8131434710560551E-3</v>
      </c>
      <c r="V65" s="188">
        <f>Manure!Y159*17/14*Manure!X122/'Production D24m'!M15</f>
        <v>4.6033124025914975E-3</v>
      </c>
      <c r="W65" s="4">
        <f>'Production D24m'!L10*'Parameters D24m, country spec'!L63*EF_el_N2O_SE/'Production D24m'!M15</f>
        <v>0</v>
      </c>
      <c r="X65" s="42">
        <f>'Production D24m'!L17*(Energy_slaughter_el_SE*EF_el_N2O_SE+Energy_slaughter_oil_SE*EF_oil_N2O)/'Production D24m'!M15</f>
        <v>0</v>
      </c>
    </row>
    <row r="66" spans="1:27" ht="15" thickTop="1" x14ac:dyDescent="0.3">
      <c r="A66" s="127" t="s">
        <v>624</v>
      </c>
      <c r="B66" s="127" t="s">
        <v>627</v>
      </c>
      <c r="C66" s="128" t="s">
        <v>626</v>
      </c>
      <c r="D66" s="129" t="s">
        <v>59</v>
      </c>
      <c r="E66" s="129" t="s">
        <v>556</v>
      </c>
      <c r="F66" s="130" t="s">
        <v>95</v>
      </c>
      <c r="G66" s="371">
        <f t="shared" si="2"/>
        <v>24.906651504670052</v>
      </c>
      <c r="H66" s="372">
        <f>SUMPRODUCT(H62:H65,'Parameters, general'!$B$23:$B$26)</f>
        <v>8.1044366421959793E-6</v>
      </c>
      <c r="I66" s="131">
        <f>SUMPRODUCT(I62:I65,'Parameters, general'!$B$23:$B$26)</f>
        <v>3.8624960102138527E-5</v>
      </c>
      <c r="J66" s="131">
        <f>SUMPRODUCT(J62:J65,'Parameters, general'!$B$23:$B$26)</f>
        <v>1.1083817427385892E-4</v>
      </c>
      <c r="K66" s="131">
        <f>SUMPRODUCT(K62:K65,'Parameters, general'!$B$23:$B$26)</f>
        <v>1.1083817427385892E-5</v>
      </c>
      <c r="L66" s="131">
        <f>SUMPRODUCT(L62:L65,'Parameters, general'!$B$23:$B$26)</f>
        <v>8.6003268432812013E-5</v>
      </c>
      <c r="M66" s="131">
        <f>SUMPRODUCT(M62:M65,'Parameters, general'!$B$23:$B$26)</f>
        <v>0</v>
      </c>
      <c r="N66" s="131">
        <f>SUMPRODUCT(N62:N65,'Parameters, general'!$B$23:$B$26)</f>
        <v>0</v>
      </c>
      <c r="O66" s="131">
        <f>SUMPRODUCT(O62:O65,'Parameters, general'!$B$23:$B$26)</f>
        <v>7.0102700287264592E-5</v>
      </c>
      <c r="P66" s="131">
        <f>SUMPRODUCT(P62:P65,'Parameters, general'!$B$23:$B$26)</f>
        <v>0</v>
      </c>
      <c r="Q66" s="131">
        <f>SUMPRODUCT(Q62:Q65,'Parameters, general'!$B$23:$B$26)</f>
        <v>0</v>
      </c>
      <c r="R66" s="131">
        <f>SUMPRODUCT(R62:R65,'Parameters, general'!$B$23:$B$26)</f>
        <v>0</v>
      </c>
      <c r="S66" s="131">
        <f>SUMPRODUCT(S62:S65,'Parameters, general'!$B$23:$B$26)</f>
        <v>17.925311203319502</v>
      </c>
      <c r="T66" s="131">
        <f>SUMPRODUCT(T62:T65,'Parameters, general'!$B$23:$B$26)</f>
        <v>6.9810155439933812</v>
      </c>
      <c r="U66" s="131"/>
      <c r="V66" s="131"/>
      <c r="W66" s="131">
        <f>SUMPRODUCT(W62:W65,'Parameters, general'!$B$23:$B$26)</f>
        <v>0</v>
      </c>
      <c r="X66" s="131">
        <f>SUMPRODUCT(X62:X65,'Parameters, general'!$B$23:$B$26)</f>
        <v>0</v>
      </c>
      <c r="Z66" s="104">
        <f>SUM(H66:R66)</f>
        <v>3.2475735716565595E-4</v>
      </c>
      <c r="AA66" s="373">
        <f>'CO2 per kg feed'!F207+'CH4 per kg feed'!F207*CF_GWP_CH4_fossil+'N2O per kg feed'!F207*CF_GWP_N2O</f>
        <v>0.40300218579637281</v>
      </c>
    </row>
    <row r="67" spans="1:27" x14ac:dyDescent="0.3">
      <c r="T67" s="42"/>
      <c r="U67" s="42"/>
    </row>
    <row r="68" spans="1:27" x14ac:dyDescent="0.3">
      <c r="T68" s="42"/>
      <c r="U68" s="42"/>
    </row>
    <row r="69" spans="1:27" x14ac:dyDescent="0.3">
      <c r="T69" s="42"/>
      <c r="U69" s="42"/>
    </row>
    <row r="70" spans="1:27" x14ac:dyDescent="0.3">
      <c r="T70" s="42"/>
      <c r="U70" s="42"/>
    </row>
    <row r="71" spans="1:27" x14ac:dyDescent="0.3">
      <c r="T71" s="42"/>
      <c r="U71" s="42"/>
    </row>
    <row r="72" spans="1:27" x14ac:dyDescent="0.3">
      <c r="T72" s="42"/>
      <c r="U72" s="42"/>
    </row>
    <row r="73" spans="1:27" x14ac:dyDescent="0.3">
      <c r="T73" s="42"/>
      <c r="U73" s="42"/>
    </row>
    <row r="74" spans="1:27" x14ac:dyDescent="0.3">
      <c r="T74" s="42"/>
      <c r="U74" s="42"/>
    </row>
    <row r="75" spans="1:27" x14ac:dyDescent="0.3">
      <c r="T75" s="42"/>
      <c r="U75" s="42"/>
    </row>
    <row r="76" spans="1:27" x14ac:dyDescent="0.3">
      <c r="T76" s="42"/>
      <c r="U76" s="42"/>
    </row>
    <row r="77" spans="1:27" x14ac:dyDescent="0.3">
      <c r="T77" s="42"/>
      <c r="U77" s="42"/>
    </row>
    <row r="78" spans="1:27" x14ac:dyDescent="0.3">
      <c r="T78" s="42"/>
      <c r="U78" s="42"/>
    </row>
    <row r="79" spans="1:27" x14ac:dyDescent="0.3">
      <c r="T79" s="42"/>
      <c r="U79" s="42"/>
    </row>
    <row r="80" spans="1:27" x14ac:dyDescent="0.3">
      <c r="T80" s="42"/>
      <c r="U80" s="42"/>
    </row>
    <row r="81" spans="20:21" x14ac:dyDescent="0.3">
      <c r="T81" s="42"/>
      <c r="U81" s="42"/>
    </row>
    <row r="82" spans="20:21" x14ac:dyDescent="0.3">
      <c r="T82" s="42"/>
      <c r="U82" s="42"/>
    </row>
    <row r="83" spans="20:21" x14ac:dyDescent="0.3">
      <c r="T83" s="42"/>
      <c r="U83" s="42"/>
    </row>
    <row r="84" spans="20:21" x14ac:dyDescent="0.3">
      <c r="T84" s="42"/>
      <c r="U84" s="42"/>
    </row>
    <row r="85" spans="20:21" x14ac:dyDescent="0.3">
      <c r="T85" s="42"/>
      <c r="U85" s="42"/>
    </row>
    <row r="86" spans="20:21" x14ac:dyDescent="0.3">
      <c r="T86" s="42"/>
      <c r="U86" s="42"/>
    </row>
    <row r="87" spans="20:21" x14ac:dyDescent="0.3">
      <c r="T87" s="42"/>
      <c r="U87" s="42"/>
    </row>
    <row r="88" spans="20:21" x14ac:dyDescent="0.3">
      <c r="T88" s="42"/>
      <c r="U88" s="42"/>
    </row>
    <row r="89" spans="20:21" x14ac:dyDescent="0.3">
      <c r="T89" s="42"/>
      <c r="U89" s="42"/>
    </row>
    <row r="90" spans="20:21" x14ac:dyDescent="0.3">
      <c r="T90" s="42"/>
      <c r="U90" s="42"/>
    </row>
    <row r="91" spans="20:21" x14ac:dyDescent="0.3">
      <c r="T91" s="42"/>
      <c r="U91" s="42"/>
    </row>
    <row r="92" spans="20:21" x14ac:dyDescent="0.3">
      <c r="T92" s="42"/>
      <c r="U92" s="42"/>
    </row>
    <row r="93" spans="20:21" x14ac:dyDescent="0.3">
      <c r="T93" s="42"/>
      <c r="U93" s="42"/>
    </row>
    <row r="94" spans="20:21" x14ac:dyDescent="0.3">
      <c r="T94" s="42"/>
      <c r="U94" s="42"/>
    </row>
    <row r="95" spans="20:21" x14ac:dyDescent="0.3">
      <c r="T95" s="42"/>
      <c r="U95" s="42"/>
    </row>
    <row r="96" spans="20:21" x14ac:dyDescent="0.3">
      <c r="T96" s="42"/>
      <c r="U96" s="42"/>
    </row>
    <row r="97" spans="20:21" x14ac:dyDescent="0.3">
      <c r="T97" s="42"/>
      <c r="U97" s="42"/>
    </row>
    <row r="98" spans="20:21" x14ac:dyDescent="0.3">
      <c r="T98" s="42"/>
      <c r="U98" s="42"/>
    </row>
    <row r="99" spans="20:21" x14ac:dyDescent="0.3">
      <c r="T99" s="42"/>
      <c r="U99" s="42"/>
    </row>
    <row r="100" spans="20:21" x14ac:dyDescent="0.3">
      <c r="T100" s="42"/>
      <c r="U100" s="42"/>
    </row>
    <row r="101" spans="20:21" x14ac:dyDescent="0.3">
      <c r="T101" s="42"/>
      <c r="U101" s="42"/>
    </row>
    <row r="102" spans="20:21" x14ac:dyDescent="0.3">
      <c r="T102" s="42"/>
      <c r="U102" s="42"/>
    </row>
    <row r="103" spans="20:21" x14ac:dyDescent="0.3">
      <c r="T103" s="42"/>
      <c r="U103" s="42"/>
    </row>
    <row r="104" spans="20:21" x14ac:dyDescent="0.3">
      <c r="T104" s="42"/>
      <c r="U104" s="42"/>
    </row>
    <row r="105" spans="20:21" x14ac:dyDescent="0.3">
      <c r="T105" s="42"/>
      <c r="U105" s="42"/>
    </row>
    <row r="106" spans="20:21" x14ac:dyDescent="0.3">
      <c r="T106" s="42"/>
      <c r="U106" s="42"/>
    </row>
    <row r="107" spans="20:21" x14ac:dyDescent="0.3">
      <c r="T107" s="42"/>
      <c r="U107" s="42"/>
    </row>
    <row r="108" spans="20:21" x14ac:dyDescent="0.3">
      <c r="T108" s="42"/>
      <c r="U108" s="42"/>
    </row>
    <row r="109" spans="20:21" x14ac:dyDescent="0.3">
      <c r="T109" s="42"/>
      <c r="U109" s="42"/>
    </row>
    <row r="110" spans="20:21" x14ac:dyDescent="0.3">
      <c r="T110" s="42"/>
      <c r="U110" s="42"/>
    </row>
    <row r="111" spans="20:21" x14ac:dyDescent="0.3">
      <c r="T111" s="42"/>
      <c r="U111" s="42"/>
    </row>
    <row r="112" spans="20:21" x14ac:dyDescent="0.3">
      <c r="T112" s="42"/>
      <c r="U112" s="42"/>
    </row>
    <row r="113" spans="20:21" x14ac:dyDescent="0.3">
      <c r="T113" s="42"/>
      <c r="U113" s="42"/>
    </row>
    <row r="114" spans="20:21" x14ac:dyDescent="0.3">
      <c r="T114" s="42"/>
      <c r="U114" s="42"/>
    </row>
    <row r="115" spans="20:21" x14ac:dyDescent="0.3">
      <c r="T115" s="42"/>
      <c r="U115" s="42"/>
    </row>
    <row r="116" spans="20:21" x14ac:dyDescent="0.3">
      <c r="T116" s="42"/>
      <c r="U116" s="42"/>
    </row>
    <row r="117" spans="20:21" x14ac:dyDescent="0.3">
      <c r="T117" s="42"/>
      <c r="U117" s="42"/>
    </row>
    <row r="118" spans="20:21" x14ac:dyDescent="0.3">
      <c r="T118" s="42"/>
      <c r="U118" s="42"/>
    </row>
    <row r="119" spans="20:21" x14ac:dyDescent="0.3">
      <c r="T119" s="42"/>
      <c r="U119" s="42"/>
    </row>
    <row r="120" spans="20:21" x14ac:dyDescent="0.3">
      <c r="T120" s="42"/>
      <c r="U120" s="42"/>
    </row>
    <row r="121" spans="20:21" x14ac:dyDescent="0.3">
      <c r="T121" s="42"/>
      <c r="U121" s="42"/>
    </row>
    <row r="122" spans="20:21" x14ac:dyDescent="0.3">
      <c r="T122" s="42"/>
      <c r="U122" s="42"/>
    </row>
    <row r="123" spans="20:21" x14ac:dyDescent="0.3">
      <c r="T123" s="42"/>
      <c r="U123" s="42"/>
    </row>
    <row r="124" spans="20:21" x14ac:dyDescent="0.3">
      <c r="T124" s="42"/>
      <c r="U124" s="42"/>
    </row>
    <row r="125" spans="20:21" x14ac:dyDescent="0.3">
      <c r="T125" s="42"/>
      <c r="U125" s="42"/>
    </row>
    <row r="126" spans="20:21" x14ac:dyDescent="0.3">
      <c r="T126" s="42"/>
      <c r="U126" s="42"/>
    </row>
    <row r="127" spans="20:21" x14ac:dyDescent="0.3">
      <c r="T127" s="42"/>
      <c r="U127" s="42"/>
    </row>
    <row r="128" spans="20:21" x14ac:dyDescent="0.3">
      <c r="T128" s="42"/>
      <c r="U128" s="42"/>
    </row>
    <row r="129" spans="20:21" x14ac:dyDescent="0.3">
      <c r="T129" s="42"/>
      <c r="U129" s="42"/>
    </row>
    <row r="130" spans="20:21" x14ac:dyDescent="0.3">
      <c r="T130" s="42"/>
      <c r="U130" s="42"/>
    </row>
    <row r="131" spans="20:21" x14ac:dyDescent="0.3">
      <c r="T131" s="42"/>
      <c r="U131" s="42"/>
    </row>
    <row r="132" spans="20:21" x14ac:dyDescent="0.3">
      <c r="T132" s="42"/>
      <c r="U132" s="42"/>
    </row>
    <row r="133" spans="20:21" x14ac:dyDescent="0.3">
      <c r="T133" s="42"/>
      <c r="U133" s="42"/>
    </row>
    <row r="134" spans="20:21" x14ac:dyDescent="0.3">
      <c r="T134" s="42"/>
      <c r="U134" s="42"/>
    </row>
    <row r="135" spans="20:21" x14ac:dyDescent="0.3">
      <c r="T135" s="42"/>
      <c r="U135" s="42"/>
    </row>
    <row r="136" spans="20:21" x14ac:dyDescent="0.3">
      <c r="T136" s="42"/>
      <c r="U136" s="42"/>
    </row>
    <row r="137" spans="20:21" x14ac:dyDescent="0.3">
      <c r="T137" s="42"/>
      <c r="U137" s="42"/>
    </row>
    <row r="138" spans="20:21" x14ac:dyDescent="0.3">
      <c r="T138" s="42"/>
      <c r="U138" s="42"/>
    </row>
    <row r="139" spans="20:21" x14ac:dyDescent="0.3">
      <c r="T139" s="42"/>
      <c r="U139" s="42"/>
    </row>
    <row r="140" spans="20:21" x14ac:dyDescent="0.3">
      <c r="T140" s="42"/>
      <c r="U140" s="42"/>
    </row>
    <row r="141" spans="20:21" x14ac:dyDescent="0.3">
      <c r="T141" s="42"/>
      <c r="U141" s="42"/>
    </row>
    <row r="142" spans="20:21" x14ac:dyDescent="0.3">
      <c r="T142" s="42"/>
      <c r="U142" s="42"/>
    </row>
    <row r="143" spans="20:21" x14ac:dyDescent="0.3">
      <c r="T143" s="42"/>
      <c r="U143" s="42"/>
    </row>
    <row r="144" spans="20:21" x14ac:dyDescent="0.3">
      <c r="T144" s="42"/>
      <c r="U144" s="42"/>
    </row>
    <row r="145" spans="20:21" x14ac:dyDescent="0.3">
      <c r="T145" s="42"/>
      <c r="U145" s="42"/>
    </row>
    <row r="146" spans="20:21" x14ac:dyDescent="0.3">
      <c r="T146" s="42"/>
      <c r="U146" s="42"/>
    </row>
    <row r="147" spans="20:21" x14ac:dyDescent="0.3">
      <c r="T147" s="42"/>
      <c r="U147" s="42"/>
    </row>
    <row r="148" spans="20:21" x14ac:dyDescent="0.3">
      <c r="T148" s="42"/>
      <c r="U148" s="42"/>
    </row>
    <row r="149" spans="20:21" x14ac:dyDescent="0.3">
      <c r="T149" s="42"/>
      <c r="U149" s="42"/>
    </row>
    <row r="150" spans="20:21" x14ac:dyDescent="0.3">
      <c r="T150" s="42"/>
      <c r="U150" s="42"/>
    </row>
    <row r="151" spans="20:21" x14ac:dyDescent="0.3">
      <c r="T151" s="42"/>
      <c r="U151" s="42"/>
    </row>
    <row r="152" spans="20:21" x14ac:dyDescent="0.3">
      <c r="T152" s="42"/>
      <c r="U152" s="42"/>
    </row>
    <row r="153" spans="20:21" x14ac:dyDescent="0.3">
      <c r="T153" s="42"/>
      <c r="U153" s="42"/>
    </row>
    <row r="154" spans="20:21" x14ac:dyDescent="0.3">
      <c r="T154" s="42"/>
      <c r="U154" s="42"/>
    </row>
    <row r="155" spans="20:21" x14ac:dyDescent="0.3">
      <c r="T155" s="42"/>
      <c r="U155" s="42"/>
    </row>
    <row r="156" spans="20:21" x14ac:dyDescent="0.3">
      <c r="T156" s="42"/>
      <c r="U156" s="42"/>
    </row>
    <row r="157" spans="20:21" x14ac:dyDescent="0.3">
      <c r="T157" s="42"/>
      <c r="U157" s="42"/>
    </row>
    <row r="158" spans="20:21" x14ac:dyDescent="0.3">
      <c r="T158" s="42"/>
      <c r="U158" s="42"/>
    </row>
    <row r="159" spans="20:21" x14ac:dyDescent="0.3">
      <c r="T159" s="42"/>
      <c r="U159" s="42"/>
    </row>
    <row r="160" spans="20:21" x14ac:dyDescent="0.3">
      <c r="T160" s="42"/>
      <c r="U160" s="42"/>
    </row>
    <row r="161" spans="20:21" x14ac:dyDescent="0.3">
      <c r="T161" s="42"/>
      <c r="U161" s="42"/>
    </row>
    <row r="162" spans="20:21" x14ac:dyDescent="0.3">
      <c r="T162" s="42"/>
      <c r="U162" s="42"/>
    </row>
    <row r="163" spans="20:21" x14ac:dyDescent="0.3">
      <c r="T163" s="42"/>
      <c r="U163" s="42"/>
    </row>
    <row r="164" spans="20:21" x14ac:dyDescent="0.3">
      <c r="T164" s="42"/>
      <c r="U164" s="42"/>
    </row>
    <row r="165" spans="20:21" x14ac:dyDescent="0.3">
      <c r="T165" s="42"/>
      <c r="U165" s="42"/>
    </row>
    <row r="166" spans="20:21" x14ac:dyDescent="0.3">
      <c r="T166" s="42"/>
      <c r="U166" s="42"/>
    </row>
    <row r="167" spans="20:21" x14ac:dyDescent="0.3">
      <c r="T167" s="42"/>
      <c r="U167" s="42"/>
    </row>
    <row r="168" spans="20:21" x14ac:dyDescent="0.3">
      <c r="T168" s="42"/>
      <c r="U168" s="42"/>
    </row>
    <row r="169" spans="20:21" x14ac:dyDescent="0.3">
      <c r="T169" s="42"/>
      <c r="U169" s="42"/>
    </row>
    <row r="170" spans="20:21" x14ac:dyDescent="0.3">
      <c r="T170" s="42"/>
      <c r="U170" s="42"/>
    </row>
    <row r="171" spans="20:21" x14ac:dyDescent="0.3">
      <c r="T171" s="42"/>
      <c r="U171" s="42"/>
    </row>
    <row r="172" spans="20:21" x14ac:dyDescent="0.3">
      <c r="T172" s="42"/>
      <c r="U172" s="42"/>
    </row>
    <row r="173" spans="20:21" x14ac:dyDescent="0.3">
      <c r="T173" s="42"/>
      <c r="U173" s="42"/>
    </row>
    <row r="174" spans="20:21" x14ac:dyDescent="0.3">
      <c r="T174" s="42"/>
      <c r="U174" s="42"/>
    </row>
    <row r="175" spans="20:21" x14ac:dyDescent="0.3">
      <c r="T175" s="42"/>
      <c r="U175" s="42"/>
    </row>
    <row r="176" spans="20:21" x14ac:dyDescent="0.3">
      <c r="T176" s="42"/>
      <c r="U176" s="42"/>
    </row>
    <row r="177" spans="20:21" x14ac:dyDescent="0.3">
      <c r="T177" s="42"/>
      <c r="U177" s="42"/>
    </row>
    <row r="178" spans="20:21" x14ac:dyDescent="0.3">
      <c r="T178" s="42"/>
      <c r="U178" s="42"/>
    </row>
    <row r="179" spans="20:21" x14ac:dyDescent="0.3">
      <c r="T179" s="42"/>
      <c r="U179" s="42"/>
    </row>
    <row r="180" spans="20:21" x14ac:dyDescent="0.3">
      <c r="T180" s="42"/>
      <c r="U180" s="42"/>
    </row>
    <row r="181" spans="20:21" x14ac:dyDescent="0.3">
      <c r="T181" s="42"/>
      <c r="U181" s="42"/>
    </row>
    <row r="182" spans="20:21" x14ac:dyDescent="0.3">
      <c r="T182" s="42"/>
      <c r="U182" s="42"/>
    </row>
    <row r="183" spans="20:21" x14ac:dyDescent="0.3">
      <c r="T183" s="42"/>
      <c r="U183" s="42"/>
    </row>
    <row r="184" spans="20:21" x14ac:dyDescent="0.3">
      <c r="T184" s="42"/>
      <c r="U184" s="42"/>
    </row>
    <row r="185" spans="20:21" x14ac:dyDescent="0.3">
      <c r="T185" s="42"/>
      <c r="U185" s="42"/>
    </row>
    <row r="186" spans="20:21" x14ac:dyDescent="0.3">
      <c r="T186" s="42"/>
      <c r="U186" s="42"/>
    </row>
    <row r="187" spans="20:21" x14ac:dyDescent="0.3">
      <c r="T187" s="42"/>
      <c r="U187" s="42"/>
    </row>
    <row r="188" spans="20:21" x14ac:dyDescent="0.3">
      <c r="T188" s="42"/>
      <c r="U188" s="42"/>
    </row>
    <row r="189" spans="20:21" x14ac:dyDescent="0.3">
      <c r="T189" s="42"/>
      <c r="U189" s="42"/>
    </row>
    <row r="190" spans="20:21" x14ac:dyDescent="0.3">
      <c r="T190" s="42"/>
      <c r="U190" s="42"/>
    </row>
    <row r="191" spans="20:21" x14ac:dyDescent="0.3">
      <c r="T191" s="42"/>
      <c r="U191" s="42"/>
    </row>
    <row r="192" spans="20:21" x14ac:dyDescent="0.3">
      <c r="T192" s="42"/>
      <c r="U192" s="42"/>
    </row>
    <row r="193" spans="20:21" x14ac:dyDescent="0.3">
      <c r="T193" s="42"/>
      <c r="U193" s="42"/>
    </row>
    <row r="194" spans="20:21" x14ac:dyDescent="0.3">
      <c r="T194" s="42"/>
      <c r="U194" s="42"/>
    </row>
    <row r="195" spans="20:21" x14ac:dyDescent="0.3">
      <c r="T195" s="42"/>
      <c r="U195" s="42"/>
    </row>
    <row r="196" spans="20:21" x14ac:dyDescent="0.3">
      <c r="T196" s="42"/>
      <c r="U196" s="42"/>
    </row>
    <row r="197" spans="20:21" x14ac:dyDescent="0.3">
      <c r="T197" s="42"/>
      <c r="U197" s="42"/>
    </row>
    <row r="198" spans="20:21" x14ac:dyDescent="0.3">
      <c r="T198" s="42"/>
      <c r="U198" s="42"/>
    </row>
    <row r="199" spans="20:21" x14ac:dyDescent="0.3">
      <c r="T199" s="42"/>
      <c r="U199" s="42"/>
    </row>
    <row r="200" spans="20:21" x14ac:dyDescent="0.3">
      <c r="T200" s="42"/>
      <c r="U200" s="42"/>
    </row>
    <row r="201" spans="20:21" x14ac:dyDescent="0.3">
      <c r="T201" s="42"/>
      <c r="U201" s="42"/>
    </row>
    <row r="202" spans="20:21" x14ac:dyDescent="0.3">
      <c r="T202" s="42"/>
      <c r="U202" s="42"/>
    </row>
    <row r="203" spans="20:21" x14ac:dyDescent="0.3">
      <c r="T203" s="42"/>
      <c r="U203" s="42"/>
    </row>
    <row r="204" spans="20:21" x14ac:dyDescent="0.3">
      <c r="T204" s="42"/>
      <c r="U204" s="42"/>
    </row>
    <row r="205" spans="20:21" x14ac:dyDescent="0.3">
      <c r="T205" s="42"/>
      <c r="U205" s="42"/>
    </row>
    <row r="206" spans="20:21" x14ac:dyDescent="0.3">
      <c r="T206" s="42"/>
      <c r="U206" s="42"/>
    </row>
    <row r="207" spans="20:21" x14ac:dyDescent="0.3">
      <c r="T207" s="42"/>
      <c r="U207" s="42"/>
    </row>
    <row r="208" spans="20:21" x14ac:dyDescent="0.3">
      <c r="T208" s="42"/>
      <c r="U208" s="42"/>
    </row>
    <row r="209" spans="20:21" x14ac:dyDescent="0.3">
      <c r="T209" s="42"/>
      <c r="U209" s="42"/>
    </row>
    <row r="210" spans="20:21" x14ac:dyDescent="0.3">
      <c r="T210" s="42"/>
      <c r="U210" s="42"/>
    </row>
    <row r="211" spans="20:21" x14ac:dyDescent="0.3">
      <c r="T211" s="42"/>
      <c r="U211" s="42"/>
    </row>
    <row r="212" spans="20:21" x14ac:dyDescent="0.3">
      <c r="T212" s="42"/>
      <c r="U212" s="42"/>
    </row>
    <row r="213" spans="20:21" x14ac:dyDescent="0.3">
      <c r="T213" s="42"/>
      <c r="U213" s="42"/>
    </row>
    <row r="214" spans="20:21" x14ac:dyDescent="0.3">
      <c r="T214" s="42"/>
      <c r="U214" s="42"/>
    </row>
    <row r="215" spans="20:21" x14ac:dyDescent="0.3">
      <c r="T215" s="42"/>
      <c r="U215" s="42"/>
    </row>
    <row r="216" spans="20:21" x14ac:dyDescent="0.3">
      <c r="T216" s="42"/>
      <c r="U216" s="42"/>
    </row>
    <row r="217" spans="20:21" x14ac:dyDescent="0.3">
      <c r="T217" s="42"/>
      <c r="U217" s="42"/>
    </row>
    <row r="218" spans="20:21" x14ac:dyDescent="0.3">
      <c r="T218" s="42"/>
      <c r="U218" s="42"/>
    </row>
    <row r="219" spans="20:21" x14ac:dyDescent="0.3">
      <c r="T219" s="42"/>
      <c r="U219" s="42"/>
    </row>
    <row r="220" spans="20:21" x14ac:dyDescent="0.3">
      <c r="T220" s="42"/>
      <c r="U220" s="42"/>
    </row>
    <row r="221" spans="20:21" x14ac:dyDescent="0.3">
      <c r="T221" s="42"/>
      <c r="U221" s="42"/>
    </row>
    <row r="222" spans="20:21" x14ac:dyDescent="0.3">
      <c r="T222" s="42"/>
      <c r="U222" s="42"/>
    </row>
    <row r="223" spans="20:21" x14ac:dyDescent="0.3">
      <c r="T223" s="42"/>
      <c r="U223" s="42"/>
    </row>
    <row r="224" spans="20:21" x14ac:dyDescent="0.3">
      <c r="T224" s="42"/>
      <c r="U224" s="42"/>
    </row>
    <row r="225" spans="20:21" x14ac:dyDescent="0.3">
      <c r="T225" s="42"/>
      <c r="U225" s="42"/>
    </row>
    <row r="226" spans="20:21" x14ac:dyDescent="0.3">
      <c r="T226" s="42"/>
      <c r="U226" s="42"/>
    </row>
    <row r="227" spans="20:21" x14ac:dyDescent="0.3">
      <c r="T227" s="42"/>
      <c r="U227" s="42"/>
    </row>
    <row r="228" spans="20:21" x14ac:dyDescent="0.3">
      <c r="T228" s="42"/>
      <c r="U228" s="42"/>
    </row>
    <row r="229" spans="20:21" x14ac:dyDescent="0.3">
      <c r="T229" s="42"/>
      <c r="U229" s="42"/>
    </row>
    <row r="230" spans="20:21" x14ac:dyDescent="0.3">
      <c r="T230" s="42"/>
      <c r="U230" s="42"/>
    </row>
    <row r="231" spans="20:21" x14ac:dyDescent="0.3">
      <c r="T231" s="42"/>
      <c r="U231" s="42"/>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V21"/>
  <sheetViews>
    <sheetView zoomScale="92" zoomScaleNormal="110" workbookViewId="0">
      <selection activeCell="D28" sqref="D28"/>
    </sheetView>
  </sheetViews>
  <sheetFormatPr defaultColWidth="8.6640625" defaultRowHeight="14.4" x14ac:dyDescent="0.3"/>
  <cols>
    <col min="1" max="1" width="59.44140625" customWidth="1"/>
    <col min="2" max="11" width="10.6640625" customWidth="1"/>
    <col min="12" max="12" width="10.6640625" style="175" customWidth="1"/>
  </cols>
  <sheetData>
    <row r="2" spans="1:22" ht="18" x14ac:dyDescent="0.35">
      <c r="A2" s="1" t="s">
        <v>99</v>
      </c>
      <c r="B2" t="s">
        <v>40</v>
      </c>
      <c r="C2" t="s">
        <v>42</v>
      </c>
      <c r="D2" t="s">
        <v>44</v>
      </c>
      <c r="E2" t="s">
        <v>46</v>
      </c>
      <c r="F2" t="s">
        <v>48</v>
      </c>
      <c r="G2" t="s">
        <v>50</v>
      </c>
      <c r="H2" t="s">
        <v>52</v>
      </c>
      <c r="I2" t="s">
        <v>54</v>
      </c>
      <c r="J2" t="s">
        <v>56</v>
      </c>
      <c r="K2" t="s">
        <v>58</v>
      </c>
      <c r="L2" s="184" t="s">
        <v>60</v>
      </c>
      <c r="M2" s="184" t="s">
        <v>560</v>
      </c>
      <c r="N2" s="184"/>
    </row>
    <row r="3" spans="1:22" ht="18" x14ac:dyDescent="0.35">
      <c r="A3" s="1"/>
      <c r="B3" s="119" t="s">
        <v>39</v>
      </c>
      <c r="C3" s="119" t="s">
        <v>41</v>
      </c>
      <c r="D3" s="119" t="s">
        <v>43</v>
      </c>
      <c r="E3" s="119" t="s">
        <v>45</v>
      </c>
      <c r="F3" s="119" t="s">
        <v>47</v>
      </c>
      <c r="G3" s="119" t="s">
        <v>49</v>
      </c>
      <c r="H3" s="119" t="s">
        <v>51</v>
      </c>
      <c r="I3" s="119" t="s">
        <v>53</v>
      </c>
      <c r="J3" s="119" t="s">
        <v>55</v>
      </c>
      <c r="K3" s="119" t="s">
        <v>57</v>
      </c>
      <c r="L3" s="190" t="s">
        <v>59</v>
      </c>
      <c r="M3" s="190" t="s">
        <v>556</v>
      </c>
      <c r="N3" s="15"/>
      <c r="V3" s="189"/>
    </row>
    <row r="4" spans="1:22" x14ac:dyDescent="0.3">
      <c r="A4" s="109" t="s">
        <v>100</v>
      </c>
      <c r="B4" s="126"/>
      <c r="C4" s="126"/>
      <c r="D4" s="126"/>
      <c r="E4" s="126"/>
      <c r="F4" s="126"/>
      <c r="G4" s="126"/>
      <c r="H4" s="126"/>
      <c r="I4" s="126"/>
      <c r="J4" s="126"/>
      <c r="K4" s="126"/>
      <c r="L4" s="185"/>
      <c r="M4" s="185"/>
      <c r="N4" s="169"/>
      <c r="V4" s="189"/>
    </row>
    <row r="5" spans="1:22" x14ac:dyDescent="0.3">
      <c r="A5" s="3" t="s">
        <v>585</v>
      </c>
      <c r="B5" s="187">
        <v>10</v>
      </c>
      <c r="C5" s="187">
        <v>10</v>
      </c>
      <c r="D5" s="187">
        <v>10</v>
      </c>
      <c r="E5" s="187">
        <v>10</v>
      </c>
      <c r="F5" s="187">
        <v>10</v>
      </c>
      <c r="G5" s="187">
        <v>10</v>
      </c>
      <c r="H5" s="187">
        <v>10</v>
      </c>
      <c r="I5" s="187">
        <v>10</v>
      </c>
      <c r="J5" s="187">
        <v>10</v>
      </c>
      <c r="K5" s="187">
        <v>10</v>
      </c>
      <c r="L5" s="187">
        <v>10</v>
      </c>
      <c r="M5" s="187">
        <v>10</v>
      </c>
      <c r="N5" s="187"/>
      <c r="O5" s="88" t="s">
        <v>587</v>
      </c>
      <c r="V5" s="189"/>
    </row>
    <row r="6" spans="1:22" x14ac:dyDescent="0.3">
      <c r="A6" s="3" t="s">
        <v>291</v>
      </c>
      <c r="B6" s="169">
        <f>B5*'Parameters SH, country spec'!B5/100*2</f>
        <v>3.6</v>
      </c>
      <c r="C6" s="169">
        <f>C5*'Parameters SH, country spec'!C5/100*2</f>
        <v>3.6</v>
      </c>
      <c r="D6" s="169">
        <f>D5*'Parameters SH, country spec'!D5/100*2</f>
        <v>3.6</v>
      </c>
      <c r="E6" s="169">
        <f>E5*'Parameters SH, country spec'!E5/100*2</f>
        <v>3.6</v>
      </c>
      <c r="F6" s="169">
        <f>F5*'Parameters SH, country spec'!F5/100*2</f>
        <v>3.6</v>
      </c>
      <c r="G6" s="169">
        <f>G5*'Parameters SH, country spec'!G5/100*2</f>
        <v>3.6</v>
      </c>
      <c r="H6" s="169">
        <f>H5*'Parameters SH, country spec'!H5/100*2</f>
        <v>3.6</v>
      </c>
      <c r="I6" s="169">
        <f>I5*'Parameters SH, country spec'!I5/100*2</f>
        <v>3.6</v>
      </c>
      <c r="J6" s="169">
        <f>J5*'Parameters SH, country spec'!J5/100*2</f>
        <v>3.6</v>
      </c>
      <c r="K6" s="169">
        <f>K5*'Parameters SH, country spec'!K5/100*2</f>
        <v>3.6</v>
      </c>
      <c r="L6" s="169">
        <f>L5*'Parameters SH, country spec'!L5/100*2</f>
        <v>3.6</v>
      </c>
      <c r="M6" s="169">
        <f>M5*'Parameters SH, country spec'!M5/100*2</f>
        <v>3.6</v>
      </c>
      <c r="N6" s="169"/>
      <c r="O6" s="88" t="s">
        <v>588</v>
      </c>
      <c r="V6" s="189"/>
    </row>
    <row r="7" spans="1:22" x14ac:dyDescent="0.3">
      <c r="A7" s="3" t="s">
        <v>586</v>
      </c>
      <c r="B7" s="169">
        <f>(B5*'Parameters SH, country spec'!B6/100-B6/2)*2</f>
        <v>15.479999999999999</v>
      </c>
      <c r="C7" s="169">
        <f>(C5*'Parameters SH, country spec'!C6/100-C6/2)*2</f>
        <v>15.479999999999999</v>
      </c>
      <c r="D7" s="169">
        <f>(D5*'Parameters SH, country spec'!D6/100-D6/2)*2</f>
        <v>15.479999999999999</v>
      </c>
      <c r="E7" s="169">
        <f>(E5*'Parameters SH, country spec'!E6/100-E6/2)*2</f>
        <v>15.479999999999999</v>
      </c>
      <c r="F7" s="169">
        <f>(F5*'Parameters SH, country spec'!F6/100-F6/2)*2</f>
        <v>15.479999999999999</v>
      </c>
      <c r="G7" s="169">
        <f>(G5*'Parameters SH, country spec'!G6/100-G6/2)*2</f>
        <v>15.479999999999999</v>
      </c>
      <c r="H7" s="169">
        <f>(H5*'Parameters SH, country spec'!H6/100-H6/2)*2</f>
        <v>15.479999999999999</v>
      </c>
      <c r="I7" s="169">
        <f>(I5*'Parameters SH, country spec'!I6/100-I6/2)*2</f>
        <v>15.479999999999999</v>
      </c>
      <c r="J7" s="169">
        <f>(J5*'Parameters SH, country spec'!J6/100-J6/2)*2</f>
        <v>15.479999999999999</v>
      </c>
      <c r="K7" s="169">
        <f>(K5*'Parameters SH, country spec'!K6/100-K6/2)*2</f>
        <v>15.479999999999999</v>
      </c>
      <c r="L7" s="169">
        <f>(L5*'Parameters SH, country spec'!L6/100-L6/2)*2</f>
        <v>15.479999999999999</v>
      </c>
      <c r="M7" s="169">
        <f>(M5*'Parameters SH, country spec'!M6/100-M6/2)*2</f>
        <v>15.479999999999999</v>
      </c>
      <c r="N7" s="169"/>
      <c r="O7" s="88" t="s">
        <v>589</v>
      </c>
      <c r="V7" s="189"/>
    </row>
    <row r="8" spans="1:22" x14ac:dyDescent="0.3">
      <c r="A8" s="109" t="s">
        <v>101</v>
      </c>
      <c r="B8" s="66"/>
      <c r="C8" s="66"/>
      <c r="D8" s="66"/>
      <c r="E8" s="66"/>
      <c r="F8" s="66"/>
      <c r="G8" s="66"/>
      <c r="H8" s="66"/>
      <c r="I8" s="66"/>
      <c r="J8" s="66"/>
      <c r="K8" s="66"/>
      <c r="L8" s="66"/>
      <c r="M8" s="66"/>
      <c r="N8" s="15"/>
      <c r="O8" s="88"/>
      <c r="V8" s="189"/>
    </row>
    <row r="9" spans="1:22" x14ac:dyDescent="0.3">
      <c r="A9" s="3" t="s">
        <v>585</v>
      </c>
      <c r="B9" s="187">
        <f>B6/2*(100-'Parameters SH, country spec'!B11)/100</f>
        <v>1.764</v>
      </c>
      <c r="C9" s="187">
        <f>C6/2*(100-'Parameters SH, country spec'!C11)/100</f>
        <v>1.764</v>
      </c>
      <c r="D9" s="187">
        <f>D6/2*(100-'Parameters SH, country spec'!D11)/100</f>
        <v>1.764</v>
      </c>
      <c r="E9" s="187">
        <f>E6/2*(100-'Parameters SH, country spec'!E11)/100</f>
        <v>1.764</v>
      </c>
      <c r="F9" s="187">
        <f>F6/2*(100-'Parameters SH, country spec'!F11)/100</f>
        <v>1.764</v>
      </c>
      <c r="G9" s="187">
        <f>G6/2*(100-'Parameters SH, country spec'!G11)/100</f>
        <v>1.764</v>
      </c>
      <c r="H9" s="187">
        <f>H6/2*(100-'Parameters SH, country spec'!H11)/100</f>
        <v>1.764</v>
      </c>
      <c r="I9" s="187">
        <f>I6/2*(100-'Parameters SH, country spec'!I11)/100</f>
        <v>1.764</v>
      </c>
      <c r="J9" s="187">
        <f>J6/2*(100-'Parameters SH, country spec'!J11)/100</f>
        <v>1.764</v>
      </c>
      <c r="K9" s="187">
        <f>K6/2*(100-'Parameters SH, country spec'!K11)/100</f>
        <v>1.764</v>
      </c>
      <c r="L9" s="187">
        <f>L6/2*(100-'Parameters SH, country spec'!L11)/100</f>
        <v>1.764</v>
      </c>
      <c r="M9" s="187">
        <f>M6/2*(100-'Parameters SH, country spec'!M11)/100</f>
        <v>1.764</v>
      </c>
      <c r="N9" s="187"/>
      <c r="O9" s="182" t="s">
        <v>590</v>
      </c>
      <c r="V9" s="189"/>
    </row>
    <row r="10" spans="1:22" x14ac:dyDescent="0.3">
      <c r="A10" s="3" t="s">
        <v>586</v>
      </c>
      <c r="B10" s="187">
        <f>B7/2</f>
        <v>7.7399999999999993</v>
      </c>
      <c r="C10" s="187">
        <f t="shared" ref="C10:L10" si="0">C7/2</f>
        <v>7.7399999999999993</v>
      </c>
      <c r="D10" s="187">
        <f t="shared" si="0"/>
        <v>7.7399999999999993</v>
      </c>
      <c r="E10" s="187">
        <f t="shared" si="0"/>
        <v>7.7399999999999993</v>
      </c>
      <c r="F10" s="187">
        <f t="shared" si="0"/>
        <v>7.7399999999999993</v>
      </c>
      <c r="G10" s="187">
        <f t="shared" si="0"/>
        <v>7.7399999999999993</v>
      </c>
      <c r="H10" s="187">
        <f t="shared" si="0"/>
        <v>7.7399999999999993</v>
      </c>
      <c r="I10" s="187">
        <f t="shared" si="0"/>
        <v>7.7399999999999993</v>
      </c>
      <c r="J10" s="187">
        <f t="shared" si="0"/>
        <v>7.7399999999999993</v>
      </c>
      <c r="K10" s="187">
        <f t="shared" si="0"/>
        <v>7.7399999999999993</v>
      </c>
      <c r="L10" s="187">
        <f t="shared" si="0"/>
        <v>7.7399999999999993</v>
      </c>
      <c r="M10" s="187">
        <f t="shared" ref="M10" si="1">M7/2</f>
        <v>7.7399999999999993</v>
      </c>
      <c r="N10" s="187"/>
      <c r="O10" s="182" t="s">
        <v>591</v>
      </c>
      <c r="V10" s="189"/>
    </row>
    <row r="11" spans="1:22" x14ac:dyDescent="0.3">
      <c r="A11" s="109" t="s">
        <v>102</v>
      </c>
      <c r="B11" s="186"/>
      <c r="C11" s="186"/>
      <c r="D11" s="186"/>
      <c r="E11" s="186"/>
      <c r="F11" s="186"/>
      <c r="G11" s="186"/>
      <c r="H11" s="186"/>
      <c r="I11" s="186"/>
      <c r="J11" s="186"/>
      <c r="K11" s="186"/>
      <c r="L11" s="186"/>
      <c r="M11" s="186"/>
      <c r="N11" s="184"/>
      <c r="O11" s="88"/>
    </row>
    <row r="12" spans="1:22" x14ac:dyDescent="0.3">
      <c r="A12" s="3" t="s">
        <v>585</v>
      </c>
      <c r="B12" s="184">
        <f>B9*'Parameters SH, country spec'!B8</f>
        <v>661.5</v>
      </c>
      <c r="C12" s="184">
        <f>C9*'Parameters SH, country spec'!C8</f>
        <v>661.5</v>
      </c>
      <c r="D12" s="184">
        <f>D9*'Parameters SH, country spec'!D8</f>
        <v>661.5</v>
      </c>
      <c r="E12" s="184">
        <f>E9*'Parameters SH, country spec'!E8</f>
        <v>661.5</v>
      </c>
      <c r="F12" s="184">
        <f>F9*'Parameters SH, country spec'!F8</f>
        <v>661.5</v>
      </c>
      <c r="G12" s="184">
        <f>G9*'Parameters SH, country spec'!G8</f>
        <v>661.5</v>
      </c>
      <c r="H12" s="184">
        <f>H9*'Parameters SH, country spec'!H8</f>
        <v>661.5</v>
      </c>
      <c r="I12" s="184">
        <f>I9*'Parameters SH, country spec'!I8</f>
        <v>661.5</v>
      </c>
      <c r="J12" s="184">
        <f>J9*'Parameters SH, country spec'!J8</f>
        <v>661.5</v>
      </c>
      <c r="K12" s="184">
        <f>K9*'Parameters SH, country spec'!K8</f>
        <v>661.5</v>
      </c>
      <c r="L12" s="184">
        <f>L9*'Parameters SH, country spec'!L8</f>
        <v>661.5</v>
      </c>
      <c r="M12" s="184">
        <f>M9*'Parameters SH, country spec'!M8</f>
        <v>661.5</v>
      </c>
      <c r="N12" s="184"/>
      <c r="O12" s="88" t="s">
        <v>298</v>
      </c>
    </row>
    <row r="13" spans="1:22" x14ac:dyDescent="0.3">
      <c r="A13" s="3" t="s">
        <v>586</v>
      </c>
      <c r="B13" s="184">
        <f>B10*'Parameters SH, country spec'!B9</f>
        <v>2554.1999999999998</v>
      </c>
      <c r="C13" s="184">
        <f>C10*'Parameters SH, country spec'!C9</f>
        <v>2554.1999999999998</v>
      </c>
      <c r="D13" s="184">
        <f>D10*'Parameters SH, country spec'!D9</f>
        <v>2554.1999999999998</v>
      </c>
      <c r="E13" s="184">
        <f>E10*'Parameters SH, country spec'!E9</f>
        <v>2554.1999999999998</v>
      </c>
      <c r="F13" s="184">
        <f>F10*'Parameters SH, country spec'!F9</f>
        <v>2554.1999999999998</v>
      </c>
      <c r="G13" s="184">
        <f>G10*'Parameters SH, country spec'!G9</f>
        <v>2554.1999999999998</v>
      </c>
      <c r="H13" s="184">
        <f>H10*'Parameters SH, country spec'!H9</f>
        <v>2554.1999999999998</v>
      </c>
      <c r="I13" s="184">
        <f>I10*'Parameters SH, country spec'!I9</f>
        <v>2554.1999999999998</v>
      </c>
      <c r="J13" s="184">
        <f>J10*'Parameters SH, country spec'!J9</f>
        <v>2554.1999999999998</v>
      </c>
      <c r="K13" s="184">
        <f>K10*'Parameters SH, country spec'!K9</f>
        <v>2554.1999999999998</v>
      </c>
      <c r="L13" s="184">
        <f>L10*'Parameters SH, country spec'!L9</f>
        <v>2554.1999999999998</v>
      </c>
      <c r="M13" s="184">
        <f>M10*'Parameters SH, country spec'!M9</f>
        <v>2554.1999999999998</v>
      </c>
      <c r="N13" s="184"/>
      <c r="O13" s="88"/>
    </row>
    <row r="14" spans="1:22" x14ac:dyDescent="0.3">
      <c r="A14" s="109" t="s">
        <v>103</v>
      </c>
      <c r="B14" s="185"/>
      <c r="C14" s="185"/>
      <c r="D14" s="185"/>
      <c r="E14" s="185"/>
      <c r="F14" s="185"/>
      <c r="G14" s="185"/>
      <c r="H14" s="185"/>
      <c r="I14" s="185"/>
      <c r="J14" s="185"/>
      <c r="K14" s="185"/>
      <c r="L14" s="185"/>
      <c r="M14" s="185"/>
      <c r="N14" s="169"/>
    </row>
    <row r="15" spans="1:22" x14ac:dyDescent="0.3">
      <c r="A15" s="3" t="s">
        <v>585</v>
      </c>
      <c r="B15" s="184">
        <f>B12*'Parameters SH, country spec'!B7</f>
        <v>459.74249999999995</v>
      </c>
      <c r="C15" s="184">
        <f>C12*'Parameters SH, country spec'!C7</f>
        <v>459.74249999999995</v>
      </c>
      <c r="D15" s="184">
        <f>D12*'Parameters SH, country spec'!D7</f>
        <v>459.74249999999995</v>
      </c>
      <c r="E15" s="184">
        <f>E12*'Parameters SH, country spec'!E7</f>
        <v>459.74249999999995</v>
      </c>
      <c r="F15" s="184">
        <f>F12*'Parameters SH, country spec'!F7</f>
        <v>459.74249999999995</v>
      </c>
      <c r="G15" s="184">
        <f>G12*'Parameters SH, country spec'!G7</f>
        <v>459.74249999999995</v>
      </c>
      <c r="H15" s="184">
        <f>H12*'Parameters SH, country spec'!H7</f>
        <v>459.74249999999995</v>
      </c>
      <c r="I15" s="184">
        <f>I12*'Parameters SH, country spec'!I7</f>
        <v>459.74249999999995</v>
      </c>
      <c r="J15" s="184">
        <f>J12*'Parameters SH, country spec'!J7</f>
        <v>459.74249999999995</v>
      </c>
      <c r="K15" s="184">
        <f>K12*'Parameters SH, country spec'!K7</f>
        <v>459.74249999999995</v>
      </c>
      <c r="L15" s="184">
        <f>L12*'Parameters SH, country spec'!L7</f>
        <v>459.74249999999995</v>
      </c>
      <c r="M15" s="184">
        <f>M12*'Parameters SH, country spec'!M7</f>
        <v>459.74249999999995</v>
      </c>
      <c r="N15" s="184"/>
    </row>
    <row r="16" spans="1:22" x14ac:dyDescent="0.3">
      <c r="A16" s="3" t="s">
        <v>586</v>
      </c>
      <c r="B16" s="184">
        <f>B13*'Parameters SH, country spec'!B7</f>
        <v>1775.1689999999996</v>
      </c>
      <c r="C16" s="184">
        <f>C13*'Parameters SH, country spec'!C7</f>
        <v>1775.1689999999996</v>
      </c>
      <c r="D16" s="184">
        <f>D13*'Parameters SH, country spec'!D7</f>
        <v>1775.1689999999996</v>
      </c>
      <c r="E16" s="184">
        <f>E13*'Parameters SH, country spec'!E7</f>
        <v>1775.1689999999996</v>
      </c>
      <c r="F16" s="184">
        <f>F13*'Parameters SH, country spec'!F7</f>
        <v>1775.1689999999996</v>
      </c>
      <c r="G16" s="184">
        <f>G13*'Parameters SH, country spec'!G7</f>
        <v>1775.1689999999996</v>
      </c>
      <c r="H16" s="184">
        <f>H13*'Parameters SH, country spec'!H7</f>
        <v>1775.1689999999996</v>
      </c>
      <c r="I16" s="184">
        <f>I13*'Parameters SH, country spec'!I7</f>
        <v>1775.1689999999996</v>
      </c>
      <c r="J16" s="184">
        <f>J13*'Parameters SH, country spec'!J7</f>
        <v>1775.1689999999996</v>
      </c>
      <c r="K16" s="184">
        <f>K13*'Parameters SH, country spec'!K7</f>
        <v>1775.1689999999996</v>
      </c>
      <c r="L16" s="184">
        <f>L13*'Parameters SH, country spec'!L7</f>
        <v>1775.1689999999996</v>
      </c>
      <c r="M16" s="184">
        <f>M13*'Parameters SH, country spec'!M7</f>
        <v>1775.1689999999996</v>
      </c>
      <c r="N16" s="184"/>
    </row>
    <row r="17" spans="1:14" x14ac:dyDescent="0.3">
      <c r="A17" s="109" t="s">
        <v>104</v>
      </c>
      <c r="B17" s="185"/>
      <c r="C17" s="185"/>
      <c r="D17" s="185"/>
      <c r="E17" s="185"/>
      <c r="F17" s="185"/>
      <c r="G17" s="185"/>
      <c r="H17" s="185"/>
      <c r="I17" s="185"/>
      <c r="J17" s="185"/>
      <c r="K17" s="185"/>
      <c r="L17" s="185"/>
      <c r="M17" s="185"/>
      <c r="N17" s="169"/>
    </row>
    <row r="18" spans="1:14" x14ac:dyDescent="0.3">
      <c r="A18" s="3" t="s">
        <v>585</v>
      </c>
      <c r="B18" s="187">
        <f>B9*'Parameters SH, country spec'!B10</f>
        <v>9.9224999999999994</v>
      </c>
      <c r="C18" s="187">
        <f>C9*'Parameters SH, country spec'!C10</f>
        <v>9.9224999999999994</v>
      </c>
      <c r="D18" s="187">
        <f>D9*'Parameters SH, country spec'!D10</f>
        <v>9.9224999999999994</v>
      </c>
      <c r="E18" s="187">
        <f>E9*'Parameters SH, country spec'!E10</f>
        <v>9.9224999999999994</v>
      </c>
      <c r="F18" s="187">
        <f>F9*'Parameters SH, country spec'!F10</f>
        <v>9.9224999999999994</v>
      </c>
      <c r="G18" s="187">
        <f>G9*'Parameters SH, country spec'!G10</f>
        <v>9.9224999999999994</v>
      </c>
      <c r="H18" s="187">
        <f>H9*'Parameters SH, country spec'!H10</f>
        <v>9.9224999999999994</v>
      </c>
      <c r="I18" s="187">
        <f>I9*'Parameters SH, country spec'!I10</f>
        <v>9.9224999999999994</v>
      </c>
      <c r="J18" s="187">
        <f>J9*'Parameters SH, country spec'!J10</f>
        <v>9.9224999999999994</v>
      </c>
      <c r="K18" s="187">
        <f>K9*'Parameters SH, country spec'!K10</f>
        <v>9.9224999999999994</v>
      </c>
      <c r="L18" s="187">
        <f>L9*'Parameters SH, country spec'!L10</f>
        <v>9.9224999999999994</v>
      </c>
      <c r="M18" s="187">
        <f>M9*'Parameters SH, country spec'!M10</f>
        <v>9.9224999999999994</v>
      </c>
      <c r="N18" s="187"/>
    </row>
    <row r="19" spans="1:14" x14ac:dyDescent="0.3">
      <c r="A19" s="3" t="s">
        <v>586</v>
      </c>
      <c r="B19" s="187">
        <f>B10*'Parameters SH, country spec'!B10</f>
        <v>43.537499999999994</v>
      </c>
      <c r="C19" s="187">
        <f>C10*'Parameters SH, country spec'!C10</f>
        <v>43.537499999999994</v>
      </c>
      <c r="D19" s="187">
        <f>D10*'Parameters SH, country spec'!D10</f>
        <v>43.537499999999994</v>
      </c>
      <c r="E19" s="187">
        <f>E10*'Parameters SH, country spec'!E10</f>
        <v>43.537499999999994</v>
      </c>
      <c r="F19" s="187">
        <f>F10*'Parameters SH, country spec'!F10</f>
        <v>43.537499999999994</v>
      </c>
      <c r="G19" s="187">
        <f>G10*'Parameters SH, country spec'!G10</f>
        <v>43.537499999999994</v>
      </c>
      <c r="H19" s="187">
        <f>H10*'Parameters SH, country spec'!H10</f>
        <v>43.537499999999994</v>
      </c>
      <c r="I19" s="187">
        <f>I10*'Parameters SH, country spec'!I10</f>
        <v>43.537499999999994</v>
      </c>
      <c r="J19" s="187">
        <f>J10*'Parameters SH, country spec'!J10</f>
        <v>43.537499999999994</v>
      </c>
      <c r="K19" s="187">
        <f>K10*'Parameters SH, country spec'!K10</f>
        <v>43.537499999999994</v>
      </c>
      <c r="L19" s="187">
        <f>L10*'Parameters SH, country spec'!L10</f>
        <v>43.537499999999994</v>
      </c>
      <c r="M19" s="187">
        <f>M10*'Parameters SH, country spec'!M10</f>
        <v>43.537499999999994</v>
      </c>
      <c r="N19" s="187"/>
    </row>
    <row r="20" spans="1:14" x14ac:dyDescent="0.3">
      <c r="A20" s="109" t="s">
        <v>105</v>
      </c>
      <c r="B20" s="185"/>
      <c r="C20" s="185"/>
      <c r="D20" s="185"/>
      <c r="E20" s="185"/>
      <c r="F20" s="185"/>
      <c r="G20" s="185"/>
      <c r="H20" s="185"/>
      <c r="I20" s="185"/>
      <c r="J20" s="185"/>
      <c r="K20" s="185"/>
      <c r="L20" s="185"/>
      <c r="M20" s="185"/>
      <c r="N20" s="169"/>
    </row>
    <row r="21" spans="1:14" x14ac:dyDescent="0.3">
      <c r="A21" s="3" t="s">
        <v>171</v>
      </c>
      <c r="B21" s="184">
        <f>SUM(B15:B19)</f>
        <v>2288.3714999999997</v>
      </c>
      <c r="C21" s="184">
        <f t="shared" ref="C21:L21" si="2">SUM(C15:C19)</f>
        <v>2288.3714999999997</v>
      </c>
      <c r="D21" s="184">
        <f t="shared" si="2"/>
        <v>2288.3714999999997</v>
      </c>
      <c r="E21" s="184">
        <f t="shared" si="2"/>
        <v>2288.3714999999997</v>
      </c>
      <c r="F21" s="184">
        <f t="shared" si="2"/>
        <v>2288.3714999999997</v>
      </c>
      <c r="G21" s="184">
        <f t="shared" si="2"/>
        <v>2288.3714999999997</v>
      </c>
      <c r="H21" s="184">
        <f t="shared" si="2"/>
        <v>2288.3714999999997</v>
      </c>
      <c r="I21" s="184">
        <f t="shared" si="2"/>
        <v>2288.3714999999997</v>
      </c>
      <c r="J21" s="184">
        <f t="shared" si="2"/>
        <v>2288.3714999999997</v>
      </c>
      <c r="K21" s="184">
        <f t="shared" si="2"/>
        <v>2288.3714999999997</v>
      </c>
      <c r="L21" s="184">
        <f t="shared" si="2"/>
        <v>2288.3714999999997</v>
      </c>
      <c r="M21" s="184">
        <f t="shared" ref="M21" si="3">SUM(M15:M19)</f>
        <v>2288.3714999999997</v>
      </c>
      <c r="N21" s="184"/>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C2908-3B8F-4099-BF7B-DDD86229784E}">
  <dimension ref="A2:V15"/>
  <sheetViews>
    <sheetView zoomScale="92" zoomScaleNormal="110" workbookViewId="0">
      <selection activeCell="A3" sqref="A3"/>
    </sheetView>
  </sheetViews>
  <sheetFormatPr defaultColWidth="8.6640625" defaultRowHeight="14.4" x14ac:dyDescent="0.3"/>
  <cols>
    <col min="1" max="1" width="69.21875" customWidth="1"/>
    <col min="2" max="11" width="10.6640625" customWidth="1"/>
    <col min="12" max="12" width="10.6640625" style="175" customWidth="1"/>
  </cols>
  <sheetData>
    <row r="2" spans="1:22" ht="18" x14ac:dyDescent="0.35">
      <c r="A2" s="1" t="s">
        <v>639</v>
      </c>
      <c r="B2" t="s">
        <v>40</v>
      </c>
      <c r="C2" t="s">
        <v>42</v>
      </c>
      <c r="D2" t="s">
        <v>44</v>
      </c>
      <c r="E2" t="s">
        <v>46</v>
      </c>
      <c r="F2" t="s">
        <v>48</v>
      </c>
      <c r="G2" t="s">
        <v>50</v>
      </c>
      <c r="H2" t="s">
        <v>52</v>
      </c>
      <c r="I2" t="s">
        <v>54</v>
      </c>
      <c r="J2" t="s">
        <v>56</v>
      </c>
      <c r="K2" t="s">
        <v>58</v>
      </c>
      <c r="L2" s="184" t="s">
        <v>60</v>
      </c>
      <c r="M2" s="184" t="s">
        <v>560</v>
      </c>
      <c r="N2" s="184"/>
    </row>
    <row r="3" spans="1:22" ht="18" x14ac:dyDescent="0.35">
      <c r="A3" s="1"/>
      <c r="B3" s="119" t="s">
        <v>39</v>
      </c>
      <c r="C3" s="119" t="s">
        <v>41</v>
      </c>
      <c r="D3" s="119" t="s">
        <v>43</v>
      </c>
      <c r="E3" s="119" t="s">
        <v>45</v>
      </c>
      <c r="F3" s="119" t="s">
        <v>47</v>
      </c>
      <c r="G3" s="119" t="s">
        <v>49</v>
      </c>
      <c r="H3" s="119" t="s">
        <v>51</v>
      </c>
      <c r="I3" s="119" t="s">
        <v>53</v>
      </c>
      <c r="J3" s="119" t="s">
        <v>55</v>
      </c>
      <c r="K3" s="119" t="s">
        <v>57</v>
      </c>
      <c r="L3" s="190" t="s">
        <v>59</v>
      </c>
      <c r="M3" s="190" t="s">
        <v>556</v>
      </c>
      <c r="N3" s="15"/>
      <c r="V3" s="189"/>
    </row>
    <row r="4" spans="1:22" x14ac:dyDescent="0.3">
      <c r="A4" s="109" t="s">
        <v>100</v>
      </c>
      <c r="B4" s="126"/>
      <c r="C4" s="126"/>
      <c r="D4" s="126"/>
      <c r="E4" s="126"/>
      <c r="F4" s="126"/>
      <c r="G4" s="126"/>
      <c r="H4" s="126"/>
      <c r="I4" s="126"/>
      <c r="J4" s="126"/>
      <c r="K4" s="126"/>
      <c r="L4" s="185"/>
      <c r="M4" s="185"/>
      <c r="N4" s="169"/>
      <c r="V4" s="189"/>
    </row>
    <row r="5" spans="1:22" x14ac:dyDescent="0.3">
      <c r="A5" s="3" t="s">
        <v>586</v>
      </c>
      <c r="B5" s="169">
        <v>10</v>
      </c>
      <c r="C5" s="169">
        <v>10</v>
      </c>
      <c r="D5" s="169">
        <v>10</v>
      </c>
      <c r="E5" s="169">
        <v>10</v>
      </c>
      <c r="F5" s="169">
        <v>10</v>
      </c>
      <c r="G5" s="169">
        <v>10</v>
      </c>
      <c r="H5" s="169">
        <v>10</v>
      </c>
      <c r="I5" s="169">
        <v>10</v>
      </c>
      <c r="J5" s="169">
        <v>10</v>
      </c>
      <c r="K5" s="169">
        <v>10</v>
      </c>
      <c r="L5" s="169">
        <v>10</v>
      </c>
      <c r="M5" s="169">
        <v>10</v>
      </c>
      <c r="N5" s="169"/>
      <c r="O5" s="88" t="s">
        <v>637</v>
      </c>
      <c r="V5" s="189"/>
    </row>
    <row r="6" spans="1:22" x14ac:dyDescent="0.3">
      <c r="A6" s="109" t="s">
        <v>101</v>
      </c>
      <c r="B6" s="66"/>
      <c r="C6" s="66"/>
      <c r="D6" s="66"/>
      <c r="E6" s="66"/>
      <c r="F6" s="66"/>
      <c r="G6" s="66"/>
      <c r="H6" s="66"/>
      <c r="I6" s="66"/>
      <c r="J6" s="66"/>
      <c r="K6" s="66"/>
      <c r="L6" s="66"/>
      <c r="M6" s="66"/>
      <c r="N6" s="15"/>
      <c r="O6" s="88"/>
      <c r="V6" s="189"/>
    </row>
    <row r="7" spans="1:22" x14ac:dyDescent="0.3">
      <c r="A7" s="3" t="s">
        <v>586</v>
      </c>
      <c r="B7" s="187">
        <f t="shared" ref="B7:M7" si="0">B5/2</f>
        <v>5</v>
      </c>
      <c r="C7" s="187">
        <f t="shared" si="0"/>
        <v>5</v>
      </c>
      <c r="D7" s="187">
        <f t="shared" si="0"/>
        <v>5</v>
      </c>
      <c r="E7" s="187">
        <f t="shared" si="0"/>
        <v>5</v>
      </c>
      <c r="F7" s="187">
        <f t="shared" si="0"/>
        <v>5</v>
      </c>
      <c r="G7" s="187">
        <f t="shared" si="0"/>
        <v>5</v>
      </c>
      <c r="H7" s="187">
        <f t="shared" si="0"/>
        <v>5</v>
      </c>
      <c r="I7" s="187">
        <f t="shared" si="0"/>
        <v>5</v>
      </c>
      <c r="J7" s="187">
        <f t="shared" si="0"/>
        <v>5</v>
      </c>
      <c r="K7" s="187">
        <f t="shared" si="0"/>
        <v>5</v>
      </c>
      <c r="L7" s="187">
        <f t="shared" si="0"/>
        <v>5</v>
      </c>
      <c r="M7" s="187">
        <f t="shared" si="0"/>
        <v>5</v>
      </c>
      <c r="N7" s="187"/>
      <c r="O7" s="182" t="s">
        <v>638</v>
      </c>
      <c r="V7" s="189"/>
    </row>
    <row r="8" spans="1:22" x14ac:dyDescent="0.3">
      <c r="A8" s="109" t="s">
        <v>102</v>
      </c>
      <c r="B8" s="186"/>
      <c r="C8" s="186"/>
      <c r="D8" s="186"/>
      <c r="E8" s="186"/>
      <c r="F8" s="186"/>
      <c r="G8" s="186"/>
      <c r="H8" s="186"/>
      <c r="I8" s="186"/>
      <c r="J8" s="186"/>
      <c r="K8" s="186"/>
      <c r="L8" s="186"/>
      <c r="M8" s="186"/>
      <c r="N8" s="184"/>
      <c r="O8" s="88"/>
    </row>
    <row r="9" spans="1:22" x14ac:dyDescent="0.3">
      <c r="A9" s="3" t="s">
        <v>586</v>
      </c>
      <c r="B9" s="184">
        <f>B7*'Parameters D24m, country spec'!B6</f>
        <v>1650</v>
      </c>
      <c r="C9" s="184">
        <f>C7*'Parameters D24m, country spec'!C6</f>
        <v>1650</v>
      </c>
      <c r="D9" s="184">
        <f>D7*'Parameters D24m, country spec'!D6</f>
        <v>1650</v>
      </c>
      <c r="E9" s="184">
        <f>E7*'Parameters D24m, country spec'!E6</f>
        <v>1650</v>
      </c>
      <c r="F9" s="184">
        <f>F7*'Parameters D24m, country spec'!F6</f>
        <v>1650</v>
      </c>
      <c r="G9" s="184">
        <f>G7*'Parameters D24m, country spec'!G6</f>
        <v>1650</v>
      </c>
      <c r="H9" s="184">
        <f>H7*'Parameters D24m, country spec'!H6</f>
        <v>1650</v>
      </c>
      <c r="I9" s="184">
        <f>I7*'Parameters D24m, country spec'!I6</f>
        <v>1650</v>
      </c>
      <c r="J9" s="184">
        <f>J7*'Parameters D24m, country spec'!J6</f>
        <v>1650</v>
      </c>
      <c r="K9" s="184">
        <f>K7*'Parameters D24m, country spec'!K6</f>
        <v>1650</v>
      </c>
      <c r="L9" s="184">
        <f>L7*'Parameters D24m, country spec'!L6</f>
        <v>1650</v>
      </c>
      <c r="M9" s="184">
        <f>M7*'Parameters D24m, country spec'!M6</f>
        <v>1650</v>
      </c>
      <c r="N9" s="184"/>
      <c r="O9" s="88"/>
    </row>
    <row r="10" spans="1:22" x14ac:dyDescent="0.3">
      <c r="A10" s="109" t="s">
        <v>103</v>
      </c>
      <c r="B10" s="185"/>
      <c r="C10" s="185"/>
      <c r="D10" s="185"/>
      <c r="E10" s="185"/>
      <c r="F10" s="185"/>
      <c r="G10" s="185"/>
      <c r="H10" s="185"/>
      <c r="I10" s="185"/>
      <c r="J10" s="185"/>
      <c r="K10" s="185"/>
      <c r="L10" s="185"/>
      <c r="M10" s="185"/>
      <c r="N10" s="169"/>
    </row>
    <row r="11" spans="1:22" x14ac:dyDescent="0.3">
      <c r="A11" s="3" t="s">
        <v>586</v>
      </c>
      <c r="B11" s="184">
        <f>B9*'Parameters SH, country spec'!B7</f>
        <v>1146.75</v>
      </c>
      <c r="C11" s="184">
        <f>C9*'Parameters SH, country spec'!C7</f>
        <v>1146.75</v>
      </c>
      <c r="D11" s="184">
        <f>D9*'Parameters SH, country spec'!D7</f>
        <v>1146.75</v>
      </c>
      <c r="E11" s="184">
        <f>E9*'Parameters SH, country spec'!E7</f>
        <v>1146.75</v>
      </c>
      <c r="F11" s="184">
        <f>F9*'Parameters SH, country spec'!F7</f>
        <v>1146.75</v>
      </c>
      <c r="G11" s="184">
        <f>G9*'Parameters SH, country spec'!G7</f>
        <v>1146.75</v>
      </c>
      <c r="H11" s="184">
        <f>H9*'Parameters SH, country spec'!H7</f>
        <v>1146.75</v>
      </c>
      <c r="I11" s="184">
        <f>I9*'Parameters SH, country spec'!I7</f>
        <v>1146.75</v>
      </c>
      <c r="J11" s="184">
        <f>J9*'Parameters SH, country spec'!J7</f>
        <v>1146.75</v>
      </c>
      <c r="K11" s="184">
        <f>K9*'Parameters SH, country spec'!K7</f>
        <v>1146.75</v>
      </c>
      <c r="L11" s="184">
        <f>L9*'Parameters SH, country spec'!L7</f>
        <v>1146.75</v>
      </c>
      <c r="M11" s="184">
        <f>M9*'Parameters SH, country spec'!M7</f>
        <v>1146.75</v>
      </c>
      <c r="N11" s="184"/>
    </row>
    <row r="12" spans="1:22" x14ac:dyDescent="0.3">
      <c r="A12" s="109" t="s">
        <v>104</v>
      </c>
      <c r="B12" s="185"/>
      <c r="C12" s="185"/>
      <c r="D12" s="185"/>
      <c r="E12" s="185"/>
      <c r="F12" s="185"/>
      <c r="G12" s="185"/>
      <c r="H12" s="185"/>
      <c r="I12" s="185"/>
      <c r="J12" s="185"/>
      <c r="K12" s="185"/>
      <c r="L12" s="185"/>
      <c r="M12" s="185"/>
      <c r="N12" s="169"/>
    </row>
    <row r="13" spans="1:22" x14ac:dyDescent="0.3">
      <c r="A13" s="3" t="s">
        <v>586</v>
      </c>
      <c r="B13" s="187">
        <f>B7*'Parameters SH, country spec'!B10</f>
        <v>28.125</v>
      </c>
      <c r="C13" s="187">
        <f>C7*'Parameters SH, country spec'!C10</f>
        <v>28.125</v>
      </c>
      <c r="D13" s="187">
        <f>D7*'Parameters SH, country spec'!D10</f>
        <v>28.125</v>
      </c>
      <c r="E13" s="187">
        <f>E7*'Parameters SH, country spec'!E10</f>
        <v>28.125</v>
      </c>
      <c r="F13" s="187">
        <f>F7*'Parameters SH, country spec'!F10</f>
        <v>28.125</v>
      </c>
      <c r="G13" s="187">
        <f>G7*'Parameters SH, country spec'!G10</f>
        <v>28.125</v>
      </c>
      <c r="H13" s="187">
        <f>H7*'Parameters SH, country spec'!H10</f>
        <v>28.125</v>
      </c>
      <c r="I13" s="187">
        <f>I7*'Parameters SH, country spec'!I10</f>
        <v>28.125</v>
      </c>
      <c r="J13" s="187">
        <f>J7*'Parameters SH, country spec'!J10</f>
        <v>28.125</v>
      </c>
      <c r="K13" s="187">
        <f>K7*'Parameters SH, country spec'!K10</f>
        <v>28.125</v>
      </c>
      <c r="L13" s="187">
        <f>L7*'Parameters SH, country spec'!L10</f>
        <v>28.125</v>
      </c>
      <c r="M13" s="187">
        <f>M7*'Parameters SH, country spec'!M10</f>
        <v>28.125</v>
      </c>
      <c r="N13" s="187"/>
    </row>
    <row r="14" spans="1:22" x14ac:dyDescent="0.3">
      <c r="A14" s="109" t="s">
        <v>105</v>
      </c>
      <c r="B14" s="185"/>
      <c r="C14" s="185"/>
      <c r="D14" s="185"/>
      <c r="E14" s="185"/>
      <c r="F14" s="185"/>
      <c r="G14" s="185"/>
      <c r="H14" s="185"/>
      <c r="I14" s="185"/>
      <c r="J14" s="185"/>
      <c r="K14" s="185"/>
      <c r="L14" s="185"/>
      <c r="M14" s="185"/>
      <c r="N14" s="169"/>
    </row>
    <row r="15" spans="1:22" x14ac:dyDescent="0.3">
      <c r="A15" s="3" t="s">
        <v>171</v>
      </c>
      <c r="B15" s="184">
        <f t="shared" ref="B15:M15" si="1">SUM(B11:B13)</f>
        <v>1174.875</v>
      </c>
      <c r="C15" s="184">
        <f t="shared" si="1"/>
        <v>1174.875</v>
      </c>
      <c r="D15" s="184">
        <f t="shared" si="1"/>
        <v>1174.875</v>
      </c>
      <c r="E15" s="184">
        <f t="shared" si="1"/>
        <v>1174.875</v>
      </c>
      <c r="F15" s="184">
        <f t="shared" si="1"/>
        <v>1174.875</v>
      </c>
      <c r="G15" s="184">
        <f t="shared" si="1"/>
        <v>1174.875</v>
      </c>
      <c r="H15" s="184">
        <f t="shared" si="1"/>
        <v>1174.875</v>
      </c>
      <c r="I15" s="184">
        <f t="shared" si="1"/>
        <v>1174.875</v>
      </c>
      <c r="J15" s="184">
        <f t="shared" si="1"/>
        <v>1174.875</v>
      </c>
      <c r="K15" s="184">
        <f t="shared" si="1"/>
        <v>1174.875</v>
      </c>
      <c r="L15" s="184">
        <f t="shared" si="1"/>
        <v>1174.875</v>
      </c>
      <c r="M15" s="184">
        <f t="shared" si="1"/>
        <v>1174.875</v>
      </c>
      <c r="N15" s="184"/>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tabColor theme="4" tint="0.39997558519241921"/>
  </sheetPr>
  <dimension ref="A2:W101"/>
  <sheetViews>
    <sheetView topLeftCell="A50" zoomScale="87" zoomScaleNormal="80" workbookViewId="0">
      <selection activeCell="M81" sqref="M81"/>
    </sheetView>
  </sheetViews>
  <sheetFormatPr defaultColWidth="8.6640625" defaultRowHeight="14.4" x14ac:dyDescent="0.3"/>
  <cols>
    <col min="1" max="1" width="55.6640625" customWidth="1"/>
    <col min="2" max="11" width="10.6640625" customWidth="1"/>
    <col min="12" max="13" width="10.6640625" style="175" customWidth="1"/>
    <col min="15" max="15" width="29.33203125" customWidth="1"/>
    <col min="16" max="16" width="24.33203125" customWidth="1"/>
  </cols>
  <sheetData>
    <row r="2" spans="1:19" ht="18" x14ac:dyDescent="0.35">
      <c r="A2" s="1" t="s">
        <v>106</v>
      </c>
      <c r="D2" s="6"/>
    </row>
    <row r="3" spans="1:19" x14ac:dyDescent="0.3">
      <c r="B3" t="s">
        <v>40</v>
      </c>
      <c r="C3" t="s">
        <v>42</v>
      </c>
      <c r="D3" t="s">
        <v>44</v>
      </c>
      <c r="E3" t="s">
        <v>46</v>
      </c>
      <c r="F3" t="s">
        <v>48</v>
      </c>
      <c r="G3" t="s">
        <v>50</v>
      </c>
      <c r="H3" t="s">
        <v>52</v>
      </c>
      <c r="I3" t="s">
        <v>54</v>
      </c>
      <c r="J3" t="s">
        <v>56</v>
      </c>
      <c r="K3" t="s">
        <v>58</v>
      </c>
      <c r="L3" s="16" t="s">
        <v>60</v>
      </c>
      <c r="M3" s="16" t="s">
        <v>560</v>
      </c>
    </row>
    <row r="4" spans="1:19" x14ac:dyDescent="0.3">
      <c r="A4" s="125" t="s">
        <v>107</v>
      </c>
      <c r="B4" s="125" t="s">
        <v>39</v>
      </c>
      <c r="C4" s="125" t="s">
        <v>41</v>
      </c>
      <c r="D4" s="125" t="s">
        <v>43</v>
      </c>
      <c r="E4" s="125" t="s">
        <v>45</v>
      </c>
      <c r="F4" s="125" t="s">
        <v>47</v>
      </c>
      <c r="G4" s="125" t="s">
        <v>49</v>
      </c>
      <c r="H4" s="125" t="s">
        <v>51</v>
      </c>
      <c r="I4" s="125" t="s">
        <v>53</v>
      </c>
      <c r="J4" s="125" t="s">
        <v>55</v>
      </c>
      <c r="K4" s="125" t="s">
        <v>57</v>
      </c>
      <c r="L4" s="125" t="s">
        <v>59</v>
      </c>
      <c r="M4" s="125" t="s">
        <v>556</v>
      </c>
      <c r="O4" s="125" t="s">
        <v>108</v>
      </c>
      <c r="P4" s="125"/>
      <c r="Q4" s="125"/>
    </row>
    <row r="5" spans="1:19" x14ac:dyDescent="0.3">
      <c r="A5" s="3" t="s">
        <v>112</v>
      </c>
      <c r="B5" s="13">
        <v>18</v>
      </c>
      <c r="C5" s="13">
        <v>18</v>
      </c>
      <c r="D5" s="13">
        <v>18</v>
      </c>
      <c r="E5" s="13">
        <v>18</v>
      </c>
      <c r="F5" s="13">
        <v>18</v>
      </c>
      <c r="G5" s="13">
        <v>18</v>
      </c>
      <c r="H5" s="13">
        <v>18</v>
      </c>
      <c r="I5" s="13">
        <v>18</v>
      </c>
      <c r="J5" s="13">
        <v>18</v>
      </c>
      <c r="K5" s="13">
        <v>18</v>
      </c>
      <c r="L5" s="13">
        <v>18</v>
      </c>
      <c r="M5" s="13">
        <v>18</v>
      </c>
      <c r="O5" s="88" t="s">
        <v>579</v>
      </c>
      <c r="P5" s="87"/>
    </row>
    <row r="6" spans="1:19" x14ac:dyDescent="0.3">
      <c r="A6" s="3" t="s">
        <v>292</v>
      </c>
      <c r="B6" s="12">
        <v>95.4</v>
      </c>
      <c r="C6" s="12">
        <v>95.4</v>
      </c>
      <c r="D6" s="12">
        <v>95.4</v>
      </c>
      <c r="E6" s="12">
        <v>95.4</v>
      </c>
      <c r="F6" s="12">
        <v>95.4</v>
      </c>
      <c r="G6" s="12">
        <v>95.4</v>
      </c>
      <c r="H6" s="12">
        <v>95.4</v>
      </c>
      <c r="I6" s="12">
        <v>95.4</v>
      </c>
      <c r="J6" s="12">
        <v>95.4</v>
      </c>
      <c r="K6" s="12">
        <v>95.4</v>
      </c>
      <c r="L6" s="12">
        <v>95.4</v>
      </c>
      <c r="M6" s="12">
        <v>95.4</v>
      </c>
      <c r="N6" s="12"/>
      <c r="O6" s="88" t="s">
        <v>579</v>
      </c>
      <c r="P6" s="87"/>
    </row>
    <row r="7" spans="1:19" x14ac:dyDescent="0.3">
      <c r="A7" s="3" t="s">
        <v>109</v>
      </c>
      <c r="B7" s="12">
        <v>0.69499999999999995</v>
      </c>
      <c r="C7" s="12">
        <v>0.69499999999999995</v>
      </c>
      <c r="D7" s="12">
        <v>0.69499999999999995</v>
      </c>
      <c r="E7" s="12">
        <v>0.69499999999999995</v>
      </c>
      <c r="F7" s="12">
        <v>0.69499999999999995</v>
      </c>
      <c r="G7" s="12">
        <v>0.69499999999999995</v>
      </c>
      <c r="H7" s="12">
        <v>0.69499999999999995</v>
      </c>
      <c r="I7" s="12">
        <v>0.69499999999999995</v>
      </c>
      <c r="J7" s="12">
        <v>0.69499999999999995</v>
      </c>
      <c r="K7" s="12">
        <v>0.69499999999999995</v>
      </c>
      <c r="L7" s="12">
        <v>0.69499999999999995</v>
      </c>
      <c r="M7" s="12">
        <v>0.69499999999999995</v>
      </c>
      <c r="O7" s="88" t="s">
        <v>293</v>
      </c>
      <c r="P7" s="87"/>
    </row>
    <row r="8" spans="1:19" x14ac:dyDescent="0.3">
      <c r="A8" s="3" t="s">
        <v>561</v>
      </c>
      <c r="B8" s="13">
        <v>375</v>
      </c>
      <c r="C8" s="13">
        <v>375</v>
      </c>
      <c r="D8" s="13">
        <v>375</v>
      </c>
      <c r="E8" s="13">
        <v>375</v>
      </c>
      <c r="F8" s="13">
        <v>375</v>
      </c>
      <c r="G8" s="13">
        <v>375</v>
      </c>
      <c r="H8" s="13">
        <v>375</v>
      </c>
      <c r="I8" s="13">
        <v>375</v>
      </c>
      <c r="J8" s="13">
        <v>375</v>
      </c>
      <c r="K8" s="13">
        <v>375</v>
      </c>
      <c r="L8" s="13">
        <v>375</v>
      </c>
      <c r="M8" s="13">
        <v>375</v>
      </c>
      <c r="O8" s="88" t="s">
        <v>562</v>
      </c>
      <c r="P8" s="87"/>
    </row>
    <row r="9" spans="1:19" x14ac:dyDescent="0.3">
      <c r="A9" s="3" t="s">
        <v>570</v>
      </c>
      <c r="B9" s="13">
        <v>330</v>
      </c>
      <c r="C9" s="13">
        <v>330</v>
      </c>
      <c r="D9" s="13">
        <v>330</v>
      </c>
      <c r="E9" s="13">
        <v>330</v>
      </c>
      <c r="F9" s="13">
        <v>330</v>
      </c>
      <c r="G9" s="13">
        <v>330</v>
      </c>
      <c r="H9" s="13">
        <v>330</v>
      </c>
      <c r="I9" s="13">
        <v>330</v>
      </c>
      <c r="J9" s="13">
        <v>330</v>
      </c>
      <c r="K9" s="13">
        <v>330</v>
      </c>
      <c r="L9" s="13">
        <v>330</v>
      </c>
      <c r="M9" s="13">
        <v>330</v>
      </c>
      <c r="O9" s="88" t="s">
        <v>571</v>
      </c>
      <c r="P9" s="87"/>
    </row>
    <row r="10" spans="1:19" x14ac:dyDescent="0.3">
      <c r="A10" s="3" t="s">
        <v>110</v>
      </c>
      <c r="B10" s="13">
        <f t="shared" ref="B10:M10" si="0">B8*0.015</f>
        <v>5.625</v>
      </c>
      <c r="C10" s="13">
        <f t="shared" si="0"/>
        <v>5.625</v>
      </c>
      <c r="D10" s="13">
        <f t="shared" si="0"/>
        <v>5.625</v>
      </c>
      <c r="E10" s="13">
        <f t="shared" si="0"/>
        <v>5.625</v>
      </c>
      <c r="F10" s="13">
        <f t="shared" si="0"/>
        <v>5.625</v>
      </c>
      <c r="G10" s="13">
        <f t="shared" si="0"/>
        <v>5.625</v>
      </c>
      <c r="H10" s="13">
        <f t="shared" si="0"/>
        <v>5.625</v>
      </c>
      <c r="I10" s="13">
        <f t="shared" si="0"/>
        <v>5.625</v>
      </c>
      <c r="J10" s="13">
        <f t="shared" si="0"/>
        <v>5.625</v>
      </c>
      <c r="K10" s="13">
        <f t="shared" si="0"/>
        <v>5.625</v>
      </c>
      <c r="L10" s="13">
        <f t="shared" si="0"/>
        <v>5.625</v>
      </c>
      <c r="M10" s="13">
        <f t="shared" si="0"/>
        <v>5.625</v>
      </c>
      <c r="O10" s="176" t="s">
        <v>111</v>
      </c>
      <c r="P10" s="300"/>
    </row>
    <row r="11" spans="1:19" x14ac:dyDescent="0.3">
      <c r="A11" s="3" t="s">
        <v>295</v>
      </c>
      <c r="B11" s="13">
        <v>2</v>
      </c>
      <c r="C11" s="13">
        <v>2</v>
      </c>
      <c r="D11" s="13">
        <v>2</v>
      </c>
      <c r="E11" s="13">
        <v>2</v>
      </c>
      <c r="F11" s="13">
        <v>2</v>
      </c>
      <c r="G11" s="13">
        <v>2</v>
      </c>
      <c r="H11" s="13">
        <v>2</v>
      </c>
      <c r="I11" s="13">
        <v>2</v>
      </c>
      <c r="J11" s="13">
        <v>2</v>
      </c>
      <c r="K11" s="13">
        <v>2</v>
      </c>
      <c r="L11" s="13">
        <v>2</v>
      </c>
      <c r="M11" s="13">
        <v>2</v>
      </c>
      <c r="N11" s="13"/>
      <c r="O11" s="88" t="s">
        <v>579</v>
      </c>
      <c r="P11" s="87"/>
    </row>
    <row r="12" spans="1:19" x14ac:dyDescent="0.3">
      <c r="A12" s="3" t="s">
        <v>294</v>
      </c>
      <c r="B12" s="13">
        <v>4</v>
      </c>
      <c r="C12" s="13">
        <v>4</v>
      </c>
      <c r="D12" s="13">
        <v>4</v>
      </c>
      <c r="E12" s="13">
        <v>4</v>
      </c>
      <c r="F12" s="13">
        <v>4</v>
      </c>
      <c r="G12" s="13">
        <v>4</v>
      </c>
      <c r="H12" s="13">
        <v>4</v>
      </c>
      <c r="I12" s="13">
        <v>4</v>
      </c>
      <c r="J12" s="13">
        <v>4</v>
      </c>
      <c r="K12" s="13">
        <v>4</v>
      </c>
      <c r="L12" s="13">
        <v>4</v>
      </c>
      <c r="M12" s="13">
        <v>4</v>
      </c>
      <c r="O12" s="176" t="s">
        <v>111</v>
      </c>
      <c r="P12" s="87"/>
    </row>
    <row r="13" spans="1:19" x14ac:dyDescent="0.3">
      <c r="O13" s="88"/>
      <c r="P13" s="87"/>
    </row>
    <row r="14" spans="1:19" x14ac:dyDescent="0.3">
      <c r="A14" s="125" t="s">
        <v>563</v>
      </c>
      <c r="B14" s="125" t="s">
        <v>39</v>
      </c>
      <c r="C14" s="125" t="s">
        <v>41</v>
      </c>
      <c r="D14" s="125" t="s">
        <v>43</v>
      </c>
      <c r="E14" s="125" t="s">
        <v>45</v>
      </c>
      <c r="F14" s="125" t="s">
        <v>47</v>
      </c>
      <c r="G14" s="125" t="s">
        <v>49</v>
      </c>
      <c r="H14" s="125" t="s">
        <v>51</v>
      </c>
      <c r="I14" s="125" t="s">
        <v>53</v>
      </c>
      <c r="J14" s="125" t="s">
        <v>55</v>
      </c>
      <c r="K14" s="125" t="s">
        <v>57</v>
      </c>
      <c r="L14" s="125" t="s">
        <v>59</v>
      </c>
      <c r="M14" s="125" t="s">
        <v>556</v>
      </c>
      <c r="O14" s="88"/>
      <c r="P14" s="87"/>
    </row>
    <row r="15" spans="1:19" x14ac:dyDescent="0.3">
      <c r="A15" s="84" t="s">
        <v>299</v>
      </c>
      <c r="B15" s="421">
        <v>1.3213875800981024E-2</v>
      </c>
      <c r="C15" s="421">
        <v>0.18889688285610365</v>
      </c>
      <c r="D15" s="421">
        <v>0.26457370102986028</v>
      </c>
      <c r="E15" s="421">
        <v>0.3707697249953647</v>
      </c>
      <c r="F15" s="421">
        <v>7.7439143939213403E-2</v>
      </c>
      <c r="G15" s="421">
        <v>0.75114991922794239</v>
      </c>
      <c r="H15" s="421">
        <v>0.40067105954621879</v>
      </c>
      <c r="I15" s="421">
        <v>0.47949543012015922</v>
      </c>
      <c r="J15" s="421">
        <v>0.26557017524746096</v>
      </c>
      <c r="K15" s="421">
        <v>0.42695226222969923</v>
      </c>
      <c r="L15" s="374">
        <f>R18/100</f>
        <v>0.51738911290322576</v>
      </c>
      <c r="M15" s="421">
        <v>0.74946751429338065</v>
      </c>
      <c r="O15" s="88" t="s">
        <v>524</v>
      </c>
      <c r="P15" s="87"/>
    </row>
    <row r="16" spans="1:19" x14ac:dyDescent="0.3">
      <c r="A16" s="84" t="s">
        <v>300</v>
      </c>
      <c r="B16" s="421">
        <v>0.2760369962266197</v>
      </c>
      <c r="C16" s="421">
        <v>0.36965765773619236</v>
      </c>
      <c r="D16" s="421">
        <v>0.47771254487501524</v>
      </c>
      <c r="E16" s="421">
        <v>0.13544388222799708</v>
      </c>
      <c r="F16" s="421">
        <v>0.38082943222890436</v>
      </c>
      <c r="G16" s="421">
        <v>1.9608947623101922E-2</v>
      </c>
      <c r="H16" s="421">
        <v>0.27744597499526535</v>
      </c>
      <c r="I16" s="421">
        <v>0.16379583021525312</v>
      </c>
      <c r="J16" s="421">
        <v>0.3089723847114122</v>
      </c>
      <c r="K16" s="421">
        <v>8.4238508213965613E-2</v>
      </c>
      <c r="L16" s="374">
        <v>0</v>
      </c>
      <c r="M16" s="421">
        <v>6.8994040926595557E-2</v>
      </c>
      <c r="O16" s="88" t="s">
        <v>564</v>
      </c>
      <c r="P16" s="422"/>
      <c r="Q16" s="423" t="s">
        <v>569</v>
      </c>
      <c r="R16" s="423"/>
      <c r="S16" s="424"/>
    </row>
    <row r="17" spans="1:23" x14ac:dyDescent="0.3">
      <c r="A17" s="84" t="s">
        <v>357</v>
      </c>
      <c r="B17" s="421">
        <v>0.61590538837145792</v>
      </c>
      <c r="C17" s="421">
        <v>0.23243726980023638</v>
      </c>
      <c r="D17" s="421">
        <v>0.13883749692306407</v>
      </c>
      <c r="E17" s="421">
        <v>3.5518223853143398E-2</v>
      </c>
      <c r="F17" s="421">
        <v>0.18201404564523588</v>
      </c>
      <c r="G17" s="421">
        <v>4.011237421254237E-4</v>
      </c>
      <c r="H17" s="421">
        <v>7.1895313213819118E-2</v>
      </c>
      <c r="I17" s="421">
        <v>0.1711074910334601</v>
      </c>
      <c r="J17" s="421">
        <v>0.15280804679497859</v>
      </c>
      <c r="K17" s="421">
        <v>6.2955748563960065E-2</v>
      </c>
      <c r="L17" s="374">
        <f>R17/100</f>
        <v>0.48261088709677419</v>
      </c>
      <c r="M17" s="421">
        <v>3.2584598647782959E-3</v>
      </c>
      <c r="P17" s="425" t="s">
        <v>566</v>
      </c>
      <c r="Q17">
        <f>1254+299+362</f>
        <v>1915</v>
      </c>
      <c r="R17" s="118">
        <f>Q17/Q19*100</f>
        <v>48.261088709677416</v>
      </c>
      <c r="S17" s="196" t="s">
        <v>568</v>
      </c>
    </row>
    <row r="18" spans="1:23" x14ac:dyDescent="0.3">
      <c r="A18" s="83" t="s">
        <v>113</v>
      </c>
      <c r="B18" s="421">
        <v>5.1639112390513857E-3</v>
      </c>
      <c r="C18" s="421">
        <v>9.8050025013408561E-3</v>
      </c>
      <c r="D18" s="421">
        <v>1.298916356294802E-3</v>
      </c>
      <c r="E18" s="421">
        <v>6.7240073264057107E-2</v>
      </c>
      <c r="F18" s="421">
        <v>1.3777713958130216E-2</v>
      </c>
      <c r="G18" s="421">
        <v>9.7140944486754449E-2</v>
      </c>
      <c r="H18" s="421">
        <v>3.0038264722936558E-3</v>
      </c>
      <c r="I18" s="421">
        <v>3.7649623151768418E-3</v>
      </c>
      <c r="J18" s="421">
        <v>1.4852072857038275E-2</v>
      </c>
      <c r="K18" s="421">
        <v>7.4482644340220033E-2</v>
      </c>
      <c r="L18" s="374">
        <v>0</v>
      </c>
      <c r="M18" s="421">
        <v>1.3909861729922528E-2</v>
      </c>
      <c r="P18" s="195" t="s">
        <v>567</v>
      </c>
      <c r="Q18">
        <v>2053</v>
      </c>
      <c r="R18" s="118">
        <f>Q18/Q19*100</f>
        <v>51.738911290322577</v>
      </c>
      <c r="S18" s="196" t="s">
        <v>568</v>
      </c>
    </row>
    <row r="19" spans="1:23" x14ac:dyDescent="0.3">
      <c r="A19" s="84" t="s">
        <v>114</v>
      </c>
      <c r="B19" s="421">
        <v>3.1075970320211814E-4</v>
      </c>
      <c r="C19" s="421">
        <v>1.6126916347682995E-2</v>
      </c>
      <c r="D19" s="421">
        <v>1.9338522642940996E-3</v>
      </c>
      <c r="E19" s="421">
        <v>0.20110909949687941</v>
      </c>
      <c r="F19" s="421">
        <v>8.1721304315358359E-2</v>
      </c>
      <c r="G19" s="421">
        <v>2.6773939262145888E-2</v>
      </c>
      <c r="H19" s="421">
        <v>1.964163410545296E-2</v>
      </c>
      <c r="I19" s="421">
        <v>1.1306927408010266E-2</v>
      </c>
      <c r="J19" s="421">
        <v>2.0345709016517825E-2</v>
      </c>
      <c r="K19" s="421">
        <v>9.8235935846622865E-2</v>
      </c>
      <c r="L19" s="374">
        <v>3.1697869732220848E-4</v>
      </c>
      <c r="M19" s="421">
        <v>6.5309995773990038E-4</v>
      </c>
      <c r="P19" s="231" t="s">
        <v>565</v>
      </c>
      <c r="Q19" s="232">
        <f>SUM(Q17:Q18)</f>
        <v>3968</v>
      </c>
      <c r="R19" s="232" t="s">
        <v>575</v>
      </c>
      <c r="S19" s="233"/>
    </row>
    <row r="20" spans="1:23" x14ac:dyDescent="0.3">
      <c r="A20" s="84" t="s">
        <v>115</v>
      </c>
      <c r="B20" s="421">
        <v>8.6733359151412953E-5</v>
      </c>
      <c r="C20" s="421">
        <v>1.1110741938309403E-3</v>
      </c>
      <c r="D20" s="421">
        <v>2.5855421185781316E-7</v>
      </c>
      <c r="E20" s="421">
        <v>1.8273719871874414E-2</v>
      </c>
      <c r="F20" s="421">
        <v>7.3794391499110061E-3</v>
      </c>
      <c r="G20" s="421">
        <v>5.5992035288690246E-3</v>
      </c>
      <c r="H20" s="421">
        <v>6.238152652520509E-4</v>
      </c>
      <c r="I20" s="421">
        <v>1.2367044164683077E-4</v>
      </c>
      <c r="J20" s="421">
        <v>4.4481071240192398E-4</v>
      </c>
      <c r="K20" s="421">
        <v>1.1613149284971752E-2</v>
      </c>
      <c r="L20" s="374">
        <v>0</v>
      </c>
      <c r="M20" s="421">
        <v>1.5338046639374065E-3</v>
      </c>
    </row>
    <row r="21" spans="1:23" x14ac:dyDescent="0.3">
      <c r="A21" s="84" t="s">
        <v>116</v>
      </c>
      <c r="B21" s="421">
        <v>6.2924072151971947E-5</v>
      </c>
      <c r="C21" s="421">
        <v>1.7062794715375247E-4</v>
      </c>
      <c r="D21" s="421">
        <v>2.1217635552166355E-4</v>
      </c>
      <c r="E21" s="421">
        <v>4.0305382311056149E-3</v>
      </c>
      <c r="F21" s="421">
        <v>2.8681330795635538E-3</v>
      </c>
      <c r="G21" s="421">
        <v>0</v>
      </c>
      <c r="H21" s="421">
        <v>4.9703321891174883E-5</v>
      </c>
      <c r="I21" s="421">
        <v>4.6537012747958835E-4</v>
      </c>
      <c r="J21" s="421">
        <v>5.8075964903519491E-3</v>
      </c>
      <c r="K21" s="421">
        <v>3.0653721191027461E-3</v>
      </c>
      <c r="L21" s="374">
        <v>4.9002790875207444E-6</v>
      </c>
      <c r="M21" s="421">
        <v>7.2745448066960375E-5</v>
      </c>
    </row>
    <row r="22" spans="1:23" x14ac:dyDescent="0.3">
      <c r="A22" s="85" t="s">
        <v>117</v>
      </c>
      <c r="B22" s="421">
        <v>5.3306026591199238E-3</v>
      </c>
      <c r="C22" s="421">
        <v>2.3886940717374589E-2</v>
      </c>
      <c r="D22" s="421">
        <v>4.3386015699034622E-3</v>
      </c>
      <c r="E22" s="421">
        <v>2.8904067051552513E-3</v>
      </c>
      <c r="F22" s="421">
        <v>1.2902756316192223E-2</v>
      </c>
      <c r="G22" s="421">
        <v>4.1722075562431273E-2</v>
      </c>
      <c r="H22" s="421">
        <v>2.8451429826063719E-3</v>
      </c>
      <c r="I22" s="421">
        <v>1.2739490248206042E-2</v>
      </c>
      <c r="J22" s="421">
        <v>2.3351211772125756E-2</v>
      </c>
      <c r="K22" s="421">
        <v>6.309442770624088E-2</v>
      </c>
      <c r="L22" s="374">
        <v>0</v>
      </c>
      <c r="M22" s="421">
        <v>2.0790459475885831E-2</v>
      </c>
    </row>
    <row r="23" spans="1:23" x14ac:dyDescent="0.3">
      <c r="A23" s="84" t="s">
        <v>118</v>
      </c>
      <c r="B23" s="421">
        <v>2.439015630520557E-4</v>
      </c>
      <c r="C23" s="421">
        <v>0</v>
      </c>
      <c r="D23" s="421">
        <v>2.7051994141606358E-4</v>
      </c>
      <c r="E23" s="421">
        <v>2.7727022810161413E-4</v>
      </c>
      <c r="F23" s="421">
        <v>9.2331122908701521E-4</v>
      </c>
      <c r="G23" s="421">
        <v>8.7938670638632881E-5</v>
      </c>
      <c r="H23" s="421">
        <v>7.8267619629308958E-4</v>
      </c>
      <c r="I23" s="421">
        <v>0</v>
      </c>
      <c r="J23" s="421">
        <v>2.6962503550840627E-3</v>
      </c>
      <c r="K23" s="421">
        <v>2.7198099192756071E-3</v>
      </c>
      <c r="L23" s="374">
        <v>1.4784950076098704E-3</v>
      </c>
      <c r="M23" s="421">
        <v>6.5340906393272433E-4</v>
      </c>
    </row>
    <row r="24" spans="1:23" x14ac:dyDescent="0.3">
      <c r="A24" s="84" t="s">
        <v>119</v>
      </c>
      <c r="B24" s="421">
        <v>2.3959170998341588E-4</v>
      </c>
      <c r="C24" s="421">
        <v>0</v>
      </c>
      <c r="D24" s="421">
        <v>2.6573972962751311E-4</v>
      </c>
      <c r="E24" s="421">
        <v>2.7237073543292042E-4</v>
      </c>
      <c r="F24" s="421">
        <v>9.0699589423403552E-4</v>
      </c>
      <c r="G24" s="421">
        <v>8.6384753409677397E-5</v>
      </c>
      <c r="H24" s="421">
        <v>7.6884594730627475E-4</v>
      </c>
      <c r="I24" s="421">
        <v>0</v>
      </c>
      <c r="J24" s="421">
        <v>2.6486063692714159E-3</v>
      </c>
      <c r="K24" s="421">
        <v>2.67174962512282E-3</v>
      </c>
      <c r="L24" s="374">
        <v>1.4523693197724004E-3</v>
      </c>
      <c r="M24" s="421">
        <v>6.4186302502542813E-4</v>
      </c>
    </row>
    <row r="25" spans="1:23" x14ac:dyDescent="0.3">
      <c r="A25" s="84" t="s">
        <v>120</v>
      </c>
      <c r="B25" s="421">
        <v>1.5312279516773717E-2</v>
      </c>
      <c r="C25" s="421">
        <v>3.0917251771110446E-2</v>
      </c>
      <c r="D25" s="421">
        <v>2.7355781220453596E-2</v>
      </c>
      <c r="E25" s="421">
        <v>3.0258775338687637E-4</v>
      </c>
      <c r="F25" s="421">
        <v>3.9849321881062677E-4</v>
      </c>
      <c r="G25" s="421">
        <v>4.7080431031984718E-3</v>
      </c>
      <c r="H25" s="421">
        <v>1.3183641649379223E-3</v>
      </c>
      <c r="I25" s="421">
        <v>4.3197597637154396E-2</v>
      </c>
      <c r="J25" s="421">
        <v>1.9433337380001321E-2</v>
      </c>
      <c r="K25" s="421">
        <v>7.8768273776592904E-3</v>
      </c>
      <c r="L25" s="374">
        <v>0</v>
      </c>
      <c r="M25" s="421">
        <v>1.0151950508744787E-2</v>
      </c>
    </row>
    <row r="26" spans="1:23" x14ac:dyDescent="0.3">
      <c r="A26" s="84" t="s">
        <v>121</v>
      </c>
      <c r="B26" s="421">
        <v>3.7726798982461625E-2</v>
      </c>
      <c r="C26" s="421">
        <v>2.7855163642864746E-2</v>
      </c>
      <c r="D26" s="421">
        <v>2.6285117627784533E-2</v>
      </c>
      <c r="E26" s="421">
        <v>5.3317910590755316E-2</v>
      </c>
      <c r="F26" s="421">
        <v>7.5984876674379837E-2</v>
      </c>
      <c r="G26" s="421">
        <v>8.9589881795904755E-3</v>
      </c>
      <c r="H26" s="421">
        <v>3.2548889626891842E-2</v>
      </c>
      <c r="I26" s="421">
        <v>5.5787586237705654E-2</v>
      </c>
      <c r="J26" s="421">
        <v>6.7782810502236002E-2</v>
      </c>
      <c r="K26" s="421">
        <v>6.7333865050956468E-2</v>
      </c>
      <c r="L26" s="374">
        <v>0</v>
      </c>
      <c r="M26" s="421">
        <v>1.9990823703774308E-2</v>
      </c>
    </row>
    <row r="27" spans="1:23" x14ac:dyDescent="0.3">
      <c r="A27" s="84" t="s">
        <v>122</v>
      </c>
      <c r="B27" s="421">
        <v>1.6611298610472246E-2</v>
      </c>
      <c r="C27" s="421">
        <v>5.6499694118849607E-2</v>
      </c>
      <c r="D27" s="421">
        <v>4.2051693837096289E-2</v>
      </c>
      <c r="E27" s="421">
        <v>4.6947510766466367E-2</v>
      </c>
      <c r="F27" s="421">
        <v>9.4871367549450719E-2</v>
      </c>
      <c r="G27" s="421">
        <v>1.7413738591251369E-2</v>
      </c>
      <c r="H27" s="421">
        <v>7.1183592363716075E-2</v>
      </c>
      <c r="I27" s="421">
        <v>3.963187482955613E-2</v>
      </c>
      <c r="J27" s="421">
        <v>4.7732591070968847E-2</v>
      </c>
      <c r="K27" s="421">
        <v>6.255642502619195E-2</v>
      </c>
      <c r="L27" s="374">
        <v>0</v>
      </c>
      <c r="M27" s="421">
        <v>8.0060070909469844E-2</v>
      </c>
    </row>
    <row r="28" spans="1:23" x14ac:dyDescent="0.3">
      <c r="A28" s="84" t="s">
        <v>123</v>
      </c>
      <c r="B28" s="421">
        <v>1.3754938185521381E-2</v>
      </c>
      <c r="C28" s="421">
        <v>4.2635518367259616E-2</v>
      </c>
      <c r="D28" s="421">
        <v>1.4863599715456545E-2</v>
      </c>
      <c r="E28" s="421">
        <v>6.3606681280279728E-2</v>
      </c>
      <c r="F28" s="421">
        <v>6.7982986801529061E-2</v>
      </c>
      <c r="G28" s="421">
        <v>2.6348753268541039E-2</v>
      </c>
      <c r="H28" s="421">
        <v>0.11722116179805527</v>
      </c>
      <c r="I28" s="421">
        <v>1.8583769386191842E-2</v>
      </c>
      <c r="J28" s="421">
        <v>6.7554396720150997E-2</v>
      </c>
      <c r="K28" s="421">
        <v>3.220327469601051E-2</v>
      </c>
      <c r="L28" s="374">
        <v>0</v>
      </c>
      <c r="M28" s="421">
        <v>2.9821896428745772E-2</v>
      </c>
    </row>
    <row r="29" spans="1:23" x14ac:dyDescent="0.3">
      <c r="A29" s="3"/>
      <c r="B29" s="12"/>
      <c r="C29" s="12"/>
      <c r="D29" s="12"/>
      <c r="E29" s="12"/>
      <c r="F29" s="12"/>
      <c r="G29" s="12"/>
      <c r="H29" s="12"/>
      <c r="I29" s="12"/>
      <c r="J29" s="12"/>
      <c r="K29" s="12"/>
      <c r="W29" s="87" t="s">
        <v>358</v>
      </c>
    </row>
    <row r="30" spans="1:23" x14ac:dyDescent="0.3">
      <c r="A30" s="84" t="s">
        <v>356</v>
      </c>
      <c r="B30" s="10">
        <f>SUM(B15:B17)</f>
        <v>0.90515626039905861</v>
      </c>
      <c r="C30" s="10">
        <f t="shared" ref="C30:K30" si="1">SUM(C15:C17)</f>
        <v>0.79099181039253241</v>
      </c>
      <c r="D30" s="10">
        <f t="shared" si="1"/>
        <v>0.8811237428279397</v>
      </c>
      <c r="E30" s="10">
        <f t="shared" si="1"/>
        <v>0.54173183107650524</v>
      </c>
      <c r="F30" s="10">
        <f t="shared" si="1"/>
        <v>0.64028262181335371</v>
      </c>
      <c r="G30" s="10">
        <f t="shared" si="1"/>
        <v>0.77115999059316975</v>
      </c>
      <c r="H30" s="10">
        <f t="shared" si="1"/>
        <v>0.75001234775530334</v>
      </c>
      <c r="I30" s="10">
        <f t="shared" si="1"/>
        <v>0.81439875136887252</v>
      </c>
      <c r="J30" s="10">
        <f t="shared" si="1"/>
        <v>0.72735060675385177</v>
      </c>
      <c r="K30" s="10">
        <f t="shared" si="1"/>
        <v>0.57414651900762492</v>
      </c>
      <c r="L30" s="10">
        <f>SUM(L15:L17)</f>
        <v>1</v>
      </c>
      <c r="M30" s="10">
        <f>SUM(M15:M17)</f>
        <v>0.82172001508475456</v>
      </c>
    </row>
    <row r="31" spans="1:23" x14ac:dyDescent="0.3">
      <c r="L31"/>
      <c r="M31"/>
      <c r="Q31" s="5"/>
    </row>
    <row r="32" spans="1:23" x14ac:dyDescent="0.3">
      <c r="A32" s="125" t="s">
        <v>572</v>
      </c>
      <c r="B32" s="125" t="s">
        <v>39</v>
      </c>
      <c r="C32" s="125" t="s">
        <v>41</v>
      </c>
      <c r="D32" s="125" t="s">
        <v>43</v>
      </c>
      <c r="E32" s="125" t="s">
        <v>45</v>
      </c>
      <c r="F32" s="125" t="s">
        <v>47</v>
      </c>
      <c r="G32" s="125" t="s">
        <v>49</v>
      </c>
      <c r="H32" s="125" t="s">
        <v>51</v>
      </c>
      <c r="I32" s="125" t="s">
        <v>53</v>
      </c>
      <c r="J32" s="125" t="s">
        <v>55</v>
      </c>
      <c r="K32" s="125" t="s">
        <v>57</v>
      </c>
      <c r="L32" s="125" t="s">
        <v>59</v>
      </c>
      <c r="M32" s="125" t="s">
        <v>556</v>
      </c>
      <c r="O32" s="88"/>
      <c r="P32" s="87"/>
    </row>
    <row r="33" spans="1:23" x14ac:dyDescent="0.3">
      <c r="A33" s="84" t="s">
        <v>299</v>
      </c>
      <c r="B33" s="421">
        <v>1.3213875800981E-2</v>
      </c>
      <c r="C33" s="421">
        <v>0.18889688285610365</v>
      </c>
      <c r="D33" s="421">
        <v>0.26457370102986028</v>
      </c>
      <c r="E33" s="421">
        <v>0.3707697249953647</v>
      </c>
      <c r="F33" s="421">
        <v>7.7439143939213403E-2</v>
      </c>
      <c r="G33" s="421">
        <v>0.75114991922794239</v>
      </c>
      <c r="H33" s="421">
        <v>0.40067105954621879</v>
      </c>
      <c r="I33" s="421">
        <v>0.47949543012015922</v>
      </c>
      <c r="J33" s="421">
        <v>0.26557017524746096</v>
      </c>
      <c r="K33" s="421">
        <v>0.42695226222969923</v>
      </c>
      <c r="L33" s="374">
        <f>R36/100</f>
        <v>0.2708957255649333</v>
      </c>
      <c r="M33" s="421">
        <v>0.74946751429338065</v>
      </c>
      <c r="O33" s="88" t="s">
        <v>524</v>
      </c>
      <c r="P33" s="87"/>
    </row>
    <row r="34" spans="1:23" x14ac:dyDescent="0.3">
      <c r="A34" s="84" t="s">
        <v>300</v>
      </c>
      <c r="B34" s="421">
        <v>0.2760369962266197</v>
      </c>
      <c r="C34" s="421">
        <v>0.36965765773619236</v>
      </c>
      <c r="D34" s="421">
        <v>0.47771254487501524</v>
      </c>
      <c r="E34" s="421">
        <v>0.13544388222799708</v>
      </c>
      <c r="F34" s="421">
        <v>0.38082943222890436</v>
      </c>
      <c r="G34" s="421">
        <v>1.9608947623101922E-2</v>
      </c>
      <c r="H34" s="421">
        <v>0.27744597499526535</v>
      </c>
      <c r="I34" s="421">
        <v>0.16379583021525312</v>
      </c>
      <c r="J34" s="421">
        <v>0.3089723847114122</v>
      </c>
      <c r="K34" s="421">
        <v>8.4238508213965613E-2</v>
      </c>
      <c r="L34" s="374">
        <v>0</v>
      </c>
      <c r="M34" s="421">
        <v>6.8994040926595557E-2</v>
      </c>
      <c r="O34" s="88" t="s">
        <v>573</v>
      </c>
      <c r="P34" s="422"/>
      <c r="Q34" s="423" t="s">
        <v>574</v>
      </c>
      <c r="R34" s="423"/>
      <c r="S34" s="424"/>
    </row>
    <row r="35" spans="1:23" x14ac:dyDescent="0.3">
      <c r="A35" s="84" t="s">
        <v>357</v>
      </c>
      <c r="B35" s="421">
        <v>0.61590538837145792</v>
      </c>
      <c r="C35" s="421">
        <v>0.23243726980023638</v>
      </c>
      <c r="D35" s="421">
        <v>0.13883749692306407</v>
      </c>
      <c r="E35" s="421">
        <v>3.5518223853143398E-2</v>
      </c>
      <c r="F35" s="421">
        <v>0.18201404564523588</v>
      </c>
      <c r="G35" s="421">
        <v>4.011237421254237E-4</v>
      </c>
      <c r="H35" s="421">
        <v>7.1895313213819118E-2</v>
      </c>
      <c r="I35" s="421">
        <v>0.1711074910334601</v>
      </c>
      <c r="J35" s="421">
        <v>0.15280804679497859</v>
      </c>
      <c r="K35" s="421">
        <v>6.2955748563960065E-2</v>
      </c>
      <c r="L35" s="374">
        <f>R35/100</f>
        <v>0.72910427443506676</v>
      </c>
      <c r="M35" s="421">
        <v>3.2584598647782959E-3</v>
      </c>
      <c r="P35" s="425" t="s">
        <v>578</v>
      </c>
      <c r="Q35">
        <f>2502+176</f>
        <v>2678</v>
      </c>
      <c r="R35" s="118">
        <f>Q35/Q37*100</f>
        <v>72.910427443506677</v>
      </c>
      <c r="S35" s="196" t="s">
        <v>568</v>
      </c>
    </row>
    <row r="36" spans="1:23" x14ac:dyDescent="0.3">
      <c r="A36" s="83" t="s">
        <v>113</v>
      </c>
      <c r="B36" s="421">
        <v>5.1639112390513857E-3</v>
      </c>
      <c r="C36" s="421">
        <v>9.8050025013408561E-3</v>
      </c>
      <c r="D36" s="421">
        <v>1.298916356294802E-3</v>
      </c>
      <c r="E36" s="421">
        <v>6.7240073264057107E-2</v>
      </c>
      <c r="F36" s="421">
        <v>1.3777713958130216E-2</v>
      </c>
      <c r="G36" s="421">
        <v>9.7140944486754449E-2</v>
      </c>
      <c r="H36" s="421">
        <v>3.0038264722936558E-3</v>
      </c>
      <c r="I36" s="421">
        <v>3.7649623151768418E-3</v>
      </c>
      <c r="J36" s="421">
        <v>1.4852072857038275E-2</v>
      </c>
      <c r="K36" s="421">
        <v>7.4482644340220033E-2</v>
      </c>
      <c r="L36" s="374">
        <v>0</v>
      </c>
      <c r="M36" s="421">
        <v>1.3909861729922528E-2</v>
      </c>
      <c r="P36" s="195" t="s">
        <v>577</v>
      </c>
      <c r="Q36">
        <v>995</v>
      </c>
      <c r="R36" s="118">
        <f>Q36/Q37*100</f>
        <v>27.08957255649333</v>
      </c>
      <c r="S36" s="196" t="s">
        <v>568</v>
      </c>
    </row>
    <row r="37" spans="1:23" x14ac:dyDescent="0.3">
      <c r="A37" s="84" t="s">
        <v>114</v>
      </c>
      <c r="B37" s="421">
        <v>3.1075970320211814E-4</v>
      </c>
      <c r="C37" s="421">
        <v>1.6126916347682995E-2</v>
      </c>
      <c r="D37" s="421">
        <v>1.9338522642940996E-3</v>
      </c>
      <c r="E37" s="421">
        <v>0.20110909949687941</v>
      </c>
      <c r="F37" s="421">
        <v>8.1721304315358359E-2</v>
      </c>
      <c r="G37" s="421">
        <v>2.6773939262145888E-2</v>
      </c>
      <c r="H37" s="421">
        <v>1.964163410545296E-2</v>
      </c>
      <c r="I37" s="421">
        <v>1.1306927408010266E-2</v>
      </c>
      <c r="J37" s="421">
        <v>2.0345709016517825E-2</v>
      </c>
      <c r="K37" s="421">
        <v>9.8235935846622865E-2</v>
      </c>
      <c r="L37" s="374">
        <v>0</v>
      </c>
      <c r="M37" s="421">
        <v>6.5309995773990038E-4</v>
      </c>
      <c r="P37" s="231" t="s">
        <v>565</v>
      </c>
      <c r="Q37" s="232">
        <f>SUM(Q35:Q36)</f>
        <v>3673</v>
      </c>
      <c r="R37" s="232" t="s">
        <v>576</v>
      </c>
      <c r="S37" s="233"/>
    </row>
    <row r="38" spans="1:23" x14ac:dyDescent="0.3">
      <c r="A38" s="84" t="s">
        <v>115</v>
      </c>
      <c r="B38" s="421">
        <v>8.6733359151412953E-5</v>
      </c>
      <c r="C38" s="421">
        <v>1.1110741938309403E-3</v>
      </c>
      <c r="D38" s="421">
        <v>2.5855421185781316E-7</v>
      </c>
      <c r="E38" s="421">
        <v>1.8273719871874414E-2</v>
      </c>
      <c r="F38" s="421">
        <v>7.3794391499110061E-3</v>
      </c>
      <c r="G38" s="421">
        <v>5.5992035288690246E-3</v>
      </c>
      <c r="H38" s="421">
        <v>6.238152652520509E-4</v>
      </c>
      <c r="I38" s="421">
        <v>1.2367044164683077E-4</v>
      </c>
      <c r="J38" s="421">
        <v>4.4481071240192398E-4</v>
      </c>
      <c r="K38" s="421">
        <v>1.1613149284971752E-2</v>
      </c>
      <c r="L38" s="374">
        <v>0</v>
      </c>
      <c r="M38" s="421">
        <v>1.5338046639374065E-3</v>
      </c>
    </row>
    <row r="39" spans="1:23" x14ac:dyDescent="0.3">
      <c r="A39" s="84" t="s">
        <v>116</v>
      </c>
      <c r="B39" s="421">
        <v>6.2924072151971947E-5</v>
      </c>
      <c r="C39" s="421">
        <v>1.7062794715375247E-4</v>
      </c>
      <c r="D39" s="421">
        <v>2.1217635552166355E-4</v>
      </c>
      <c r="E39" s="421">
        <v>4.0305382311056149E-3</v>
      </c>
      <c r="F39" s="421">
        <v>2.8681330795635538E-3</v>
      </c>
      <c r="G39" s="421">
        <v>0</v>
      </c>
      <c r="H39" s="421">
        <v>4.9703321891174883E-5</v>
      </c>
      <c r="I39" s="421">
        <v>4.6537012747958835E-4</v>
      </c>
      <c r="J39" s="421">
        <v>5.8075964903519491E-3</v>
      </c>
      <c r="K39" s="421">
        <v>3.0653721191027461E-3</v>
      </c>
      <c r="L39" s="374">
        <v>0</v>
      </c>
      <c r="M39" s="421">
        <v>7.2745448066960375E-5</v>
      </c>
      <c r="P39" s="381"/>
      <c r="Q39" s="381"/>
      <c r="R39" s="381"/>
      <c r="S39" s="381"/>
    </row>
    <row r="40" spans="1:23" x14ac:dyDescent="0.3">
      <c r="A40" s="85" t="s">
        <v>117</v>
      </c>
      <c r="B40" s="421">
        <v>5.3306026591199238E-3</v>
      </c>
      <c r="C40" s="421">
        <v>2.3886940717374589E-2</v>
      </c>
      <c r="D40" s="421">
        <v>4.3386015699034622E-3</v>
      </c>
      <c r="E40" s="421">
        <v>2.8904067051552513E-3</v>
      </c>
      <c r="F40" s="421">
        <v>1.2902756316192223E-2</v>
      </c>
      <c r="G40" s="421">
        <v>4.1722075562431273E-2</v>
      </c>
      <c r="H40" s="421">
        <v>2.8451429826063719E-3</v>
      </c>
      <c r="I40" s="421">
        <v>1.2739490248206042E-2</v>
      </c>
      <c r="J40" s="421">
        <v>2.3351211772125756E-2</v>
      </c>
      <c r="K40" s="421">
        <v>6.309442770624088E-2</v>
      </c>
      <c r="L40" s="374">
        <v>0</v>
      </c>
      <c r="M40" s="421">
        <v>2.0790459475885831E-2</v>
      </c>
      <c r="P40" s="379"/>
      <c r="Q40" s="379"/>
      <c r="R40" s="379"/>
      <c r="S40" s="379"/>
    </row>
    <row r="41" spans="1:23" x14ac:dyDescent="0.3">
      <c r="A41" s="84" t="s">
        <v>118</v>
      </c>
      <c r="B41" s="421">
        <v>2.439015630520557E-4</v>
      </c>
      <c r="C41" s="421">
        <v>0</v>
      </c>
      <c r="D41" s="421">
        <v>2.7051994141606358E-4</v>
      </c>
      <c r="E41" s="421">
        <v>2.7727022810161413E-4</v>
      </c>
      <c r="F41" s="421">
        <v>9.2331122908701521E-4</v>
      </c>
      <c r="G41" s="421">
        <v>8.7938670638632881E-5</v>
      </c>
      <c r="H41" s="421">
        <v>7.8267619629308958E-4</v>
      </c>
      <c r="I41" s="421">
        <v>0</v>
      </c>
      <c r="J41" s="421">
        <v>2.6962503550840627E-3</v>
      </c>
      <c r="K41" s="421">
        <v>2.7198099192756071E-3</v>
      </c>
      <c r="L41" s="374">
        <v>0</v>
      </c>
      <c r="M41" s="421">
        <v>6.5340906393272433E-4</v>
      </c>
    </row>
    <row r="42" spans="1:23" x14ac:dyDescent="0.3">
      <c r="A42" s="84" t="s">
        <v>119</v>
      </c>
      <c r="B42" s="421">
        <v>2.3959170998341588E-4</v>
      </c>
      <c r="C42" s="421">
        <v>0</v>
      </c>
      <c r="D42" s="421">
        <v>2.6573972962751311E-4</v>
      </c>
      <c r="E42" s="421">
        <v>2.7237073543292042E-4</v>
      </c>
      <c r="F42" s="421">
        <v>9.0699589423403552E-4</v>
      </c>
      <c r="G42" s="421">
        <v>8.6384753409677397E-5</v>
      </c>
      <c r="H42" s="421">
        <v>7.6884594730627475E-4</v>
      </c>
      <c r="I42" s="421">
        <v>0</v>
      </c>
      <c r="J42" s="421">
        <v>2.6486063692714159E-3</v>
      </c>
      <c r="K42" s="421">
        <v>2.67174962512282E-3</v>
      </c>
      <c r="L42" s="374">
        <v>0</v>
      </c>
      <c r="M42" s="421">
        <v>6.4186302502542813E-4</v>
      </c>
    </row>
    <row r="43" spans="1:23" x14ac:dyDescent="0.3">
      <c r="A43" s="84" t="s">
        <v>120</v>
      </c>
      <c r="B43" s="421">
        <v>1.5312279516773717E-2</v>
      </c>
      <c r="C43" s="421">
        <v>3.0917251771110446E-2</v>
      </c>
      <c r="D43" s="421">
        <v>2.7355781220453596E-2</v>
      </c>
      <c r="E43" s="421">
        <v>3.0258775338687637E-4</v>
      </c>
      <c r="F43" s="421">
        <v>3.9849321881062677E-4</v>
      </c>
      <c r="G43" s="421">
        <v>4.7080431031984718E-3</v>
      </c>
      <c r="H43" s="421">
        <v>1.3183641649379223E-3</v>
      </c>
      <c r="I43" s="421">
        <v>4.3197597637154396E-2</v>
      </c>
      <c r="J43" s="421">
        <v>1.9433337380001321E-2</v>
      </c>
      <c r="K43" s="421">
        <v>7.8768273776592904E-3</v>
      </c>
      <c r="L43" s="374">
        <v>0</v>
      </c>
      <c r="M43" s="421">
        <v>1.0151950508744787E-2</v>
      </c>
      <c r="P43" s="116"/>
      <c r="Q43" s="379"/>
      <c r="R43" s="379"/>
      <c r="S43" s="379"/>
      <c r="T43" s="379"/>
    </row>
    <row r="44" spans="1:23" x14ac:dyDescent="0.3">
      <c r="A44" s="84" t="s">
        <v>121</v>
      </c>
      <c r="B44" s="421">
        <v>3.7726798982461625E-2</v>
      </c>
      <c r="C44" s="421">
        <v>2.7855163642864746E-2</v>
      </c>
      <c r="D44" s="421">
        <v>2.6285117627784533E-2</v>
      </c>
      <c r="E44" s="421">
        <v>5.3317910590755316E-2</v>
      </c>
      <c r="F44" s="421">
        <v>7.5984876674379837E-2</v>
      </c>
      <c r="G44" s="421">
        <v>8.9589881795904755E-3</v>
      </c>
      <c r="H44" s="421">
        <v>3.2548889626891842E-2</v>
      </c>
      <c r="I44" s="421">
        <v>5.5787586237705654E-2</v>
      </c>
      <c r="J44" s="421">
        <v>6.7782810502236002E-2</v>
      </c>
      <c r="K44" s="421">
        <v>6.7333865050956468E-2</v>
      </c>
      <c r="L44" s="374">
        <v>0</v>
      </c>
      <c r="M44" s="421">
        <v>1.9990823703774308E-2</v>
      </c>
    </row>
    <row r="45" spans="1:23" x14ac:dyDescent="0.3">
      <c r="A45" s="84" t="s">
        <v>122</v>
      </c>
      <c r="B45" s="421">
        <v>1.6611298610472246E-2</v>
      </c>
      <c r="C45" s="421">
        <v>5.6499694118849607E-2</v>
      </c>
      <c r="D45" s="421">
        <v>4.2051693837096289E-2</v>
      </c>
      <c r="E45" s="421">
        <v>4.6947510766466367E-2</v>
      </c>
      <c r="F45" s="421">
        <v>9.4871367549450719E-2</v>
      </c>
      <c r="G45" s="421">
        <v>1.7413738591251369E-2</v>
      </c>
      <c r="H45" s="421">
        <v>7.1183592363716075E-2</v>
      </c>
      <c r="I45" s="421">
        <v>3.963187482955613E-2</v>
      </c>
      <c r="J45" s="421">
        <v>4.7732591070968847E-2</v>
      </c>
      <c r="K45" s="421">
        <v>6.255642502619195E-2</v>
      </c>
      <c r="L45" s="374">
        <v>0</v>
      </c>
      <c r="M45" s="421">
        <v>8.0060070909469844E-2</v>
      </c>
    </row>
    <row r="46" spans="1:23" x14ac:dyDescent="0.3">
      <c r="A46" s="84" t="s">
        <v>123</v>
      </c>
      <c r="B46" s="421">
        <v>1.3754938185521381E-2</v>
      </c>
      <c r="C46" s="421">
        <v>4.2635518367259616E-2</v>
      </c>
      <c r="D46" s="421">
        <v>1.4863599715456545E-2</v>
      </c>
      <c r="E46" s="421">
        <v>6.3606681280279728E-2</v>
      </c>
      <c r="F46" s="421">
        <v>6.7982986801529061E-2</v>
      </c>
      <c r="G46" s="421">
        <v>2.6348753268541039E-2</v>
      </c>
      <c r="H46" s="421">
        <v>0.11722116179805527</v>
      </c>
      <c r="I46" s="421">
        <v>1.8583769386191842E-2</v>
      </c>
      <c r="J46" s="421">
        <v>6.7554396720150997E-2</v>
      </c>
      <c r="K46" s="421">
        <v>3.220327469601051E-2</v>
      </c>
      <c r="L46" s="374">
        <v>0</v>
      </c>
      <c r="M46" s="421">
        <v>2.9821896428745772E-2</v>
      </c>
    </row>
    <row r="47" spans="1:23" x14ac:dyDescent="0.3">
      <c r="A47" s="3"/>
      <c r="B47" s="12"/>
      <c r="C47" s="12"/>
      <c r="D47" s="12"/>
      <c r="E47" s="12"/>
      <c r="F47" s="12"/>
      <c r="G47" s="12"/>
      <c r="H47" s="12"/>
      <c r="I47" s="12"/>
      <c r="J47" s="12"/>
      <c r="K47" s="12"/>
      <c r="W47" s="87" t="s">
        <v>358</v>
      </c>
    </row>
    <row r="48" spans="1:23" x14ac:dyDescent="0.3">
      <c r="A48" s="84" t="s">
        <v>356</v>
      </c>
      <c r="B48" s="10">
        <f>SUM(B33:B35)</f>
        <v>0.90515626039905861</v>
      </c>
      <c r="C48" s="10">
        <f t="shared" ref="C48:L48" si="2">SUM(C33:C35)</f>
        <v>0.79099181039253241</v>
      </c>
      <c r="D48" s="10">
        <f t="shared" si="2"/>
        <v>0.8811237428279397</v>
      </c>
      <c r="E48" s="10">
        <f t="shared" si="2"/>
        <v>0.54173183107650524</v>
      </c>
      <c r="F48" s="10">
        <f t="shared" si="2"/>
        <v>0.64028262181335371</v>
      </c>
      <c r="G48" s="10">
        <f t="shared" si="2"/>
        <v>0.77115999059316975</v>
      </c>
      <c r="H48" s="10">
        <f t="shared" si="2"/>
        <v>0.75001234775530334</v>
      </c>
      <c r="I48" s="10">
        <f t="shared" si="2"/>
        <v>0.81439875136887252</v>
      </c>
      <c r="J48" s="10">
        <f t="shared" si="2"/>
        <v>0.72735060675385177</v>
      </c>
      <c r="K48" s="10">
        <f t="shared" si="2"/>
        <v>0.57414651900762492</v>
      </c>
      <c r="L48" s="10">
        <f t="shared" si="2"/>
        <v>1</v>
      </c>
      <c r="M48" s="10">
        <f>SUM(M33:M35)</f>
        <v>0.82172001508475456</v>
      </c>
    </row>
    <row r="49" spans="1:19" x14ac:dyDescent="0.3">
      <c r="L49" s="177"/>
      <c r="M49" s="177"/>
    </row>
    <row r="50" spans="1:19" x14ac:dyDescent="0.3">
      <c r="A50" s="125" t="s">
        <v>124</v>
      </c>
      <c r="B50" s="125"/>
      <c r="C50" s="125"/>
      <c r="D50" s="125"/>
      <c r="E50" s="125"/>
      <c r="F50" s="125"/>
      <c r="G50" s="125"/>
      <c r="H50" s="125"/>
      <c r="I50" s="125"/>
      <c r="J50" s="125"/>
      <c r="K50" s="125"/>
      <c r="L50" s="179"/>
      <c r="M50" s="179"/>
      <c r="O50" s="178" t="s">
        <v>125</v>
      </c>
      <c r="P50" s="178" t="s">
        <v>126</v>
      </c>
      <c r="Q50" s="5"/>
    </row>
    <row r="51" spans="1:19" x14ac:dyDescent="0.3">
      <c r="A51" s="3" t="s">
        <v>580</v>
      </c>
      <c r="B51" s="118">
        <f>$L$51</f>
        <v>4408.8888888888887</v>
      </c>
      <c r="C51" s="118">
        <f t="shared" ref="C51:M51" si="3">$L$51</f>
        <v>4408.8888888888887</v>
      </c>
      <c r="D51" s="118">
        <f t="shared" si="3"/>
        <v>4408.8888888888887</v>
      </c>
      <c r="E51" s="118">
        <f t="shared" si="3"/>
        <v>4408.8888888888887</v>
      </c>
      <c r="F51" s="118">
        <f t="shared" si="3"/>
        <v>4408.8888888888887</v>
      </c>
      <c r="G51" s="118">
        <f t="shared" si="3"/>
        <v>4408.8888888888887</v>
      </c>
      <c r="H51" s="118">
        <f t="shared" si="3"/>
        <v>4408.8888888888887</v>
      </c>
      <c r="I51" s="118">
        <f t="shared" si="3"/>
        <v>4408.8888888888887</v>
      </c>
      <c r="J51" s="118">
        <f t="shared" si="3"/>
        <v>4408.8888888888887</v>
      </c>
      <c r="K51" s="118">
        <f t="shared" si="3"/>
        <v>4408.8888888888887</v>
      </c>
      <c r="L51" s="301">
        <f>Q19/0.9</f>
        <v>4408.8888888888887</v>
      </c>
      <c r="M51" s="118">
        <f t="shared" si="3"/>
        <v>4408.8888888888887</v>
      </c>
      <c r="O51" s="88" t="s">
        <v>609</v>
      </c>
      <c r="P51" s="88" t="s">
        <v>610</v>
      </c>
      <c r="Q51" s="5"/>
    </row>
    <row r="52" spans="1:19" x14ac:dyDescent="0.3">
      <c r="A52" s="3" t="s">
        <v>592</v>
      </c>
      <c r="B52" s="121">
        <f>$L$52</f>
        <v>2040.5555555555554</v>
      </c>
      <c r="C52" s="121">
        <f t="shared" ref="C52:M52" si="4">$L$52</f>
        <v>2040.5555555555554</v>
      </c>
      <c r="D52" s="121">
        <f t="shared" si="4"/>
        <v>2040.5555555555554</v>
      </c>
      <c r="E52" s="121">
        <f t="shared" si="4"/>
        <v>2040.5555555555554</v>
      </c>
      <c r="F52" s="121">
        <f t="shared" si="4"/>
        <v>2040.5555555555554</v>
      </c>
      <c r="G52" s="121">
        <f t="shared" si="4"/>
        <v>2040.5555555555554</v>
      </c>
      <c r="H52" s="121">
        <f t="shared" si="4"/>
        <v>2040.5555555555554</v>
      </c>
      <c r="I52" s="121">
        <f t="shared" si="4"/>
        <v>2040.5555555555554</v>
      </c>
      <c r="J52" s="121">
        <f t="shared" si="4"/>
        <v>2040.5555555555554</v>
      </c>
      <c r="K52" s="121">
        <f t="shared" si="4"/>
        <v>2040.5555555555554</v>
      </c>
      <c r="L52" s="301">
        <f>Q37/2/0.9</f>
        <v>2040.5555555555554</v>
      </c>
      <c r="M52" s="121">
        <f t="shared" si="4"/>
        <v>2040.5555555555554</v>
      </c>
      <c r="O52" s="88" t="s">
        <v>609</v>
      </c>
      <c r="P52" s="88" t="s">
        <v>610</v>
      </c>
      <c r="Q52" s="5"/>
    </row>
    <row r="53" spans="1:19" x14ac:dyDescent="0.3">
      <c r="L53" s="177"/>
      <c r="M53" s="177"/>
      <c r="O53" s="88"/>
      <c r="P53" s="88"/>
    </row>
    <row r="54" spans="1:19" x14ac:dyDescent="0.3">
      <c r="A54" s="125" t="s">
        <v>127</v>
      </c>
      <c r="B54" s="125"/>
      <c r="C54" s="125"/>
      <c r="D54" s="125"/>
      <c r="E54" s="125"/>
      <c r="F54" s="125"/>
      <c r="G54" s="125"/>
      <c r="H54" s="125"/>
      <c r="I54" s="125"/>
      <c r="J54" s="125"/>
      <c r="K54" s="125"/>
      <c r="L54" s="179"/>
      <c r="M54" s="179"/>
      <c r="O54" s="88"/>
    </row>
    <row r="55" spans="1:19" x14ac:dyDescent="0.3">
      <c r="A55" s="3" t="s">
        <v>582</v>
      </c>
      <c r="B55" s="118">
        <v>52</v>
      </c>
      <c r="C55" s="118">
        <v>52</v>
      </c>
      <c r="D55" s="118">
        <v>52</v>
      </c>
      <c r="E55" s="118">
        <v>52</v>
      </c>
      <c r="F55" s="118">
        <v>52</v>
      </c>
      <c r="G55" s="118">
        <v>52</v>
      </c>
      <c r="H55" s="118">
        <v>52</v>
      </c>
      <c r="I55" s="118">
        <v>52</v>
      </c>
      <c r="J55" s="118">
        <v>52</v>
      </c>
      <c r="K55" s="118">
        <v>52</v>
      </c>
      <c r="L55" s="118">
        <v>52</v>
      </c>
      <c r="M55" s="118">
        <v>52</v>
      </c>
      <c r="O55" s="88" t="s">
        <v>581</v>
      </c>
      <c r="P55" s="88"/>
    </row>
    <row r="56" spans="1:19" x14ac:dyDescent="0.3">
      <c r="L56" s="16"/>
      <c r="M56" s="16"/>
      <c r="O56" s="88"/>
      <c r="P56" s="88"/>
      <c r="Q56" s="88"/>
      <c r="S56" s="88"/>
    </row>
    <row r="57" spans="1:19" x14ac:dyDescent="0.3">
      <c r="A57" s="125" t="s">
        <v>128</v>
      </c>
      <c r="B57" s="125"/>
      <c r="C57" s="125"/>
      <c r="D57" s="125"/>
      <c r="E57" s="125"/>
      <c r="F57" s="125"/>
      <c r="G57" s="125"/>
      <c r="H57" s="125"/>
      <c r="I57" s="125"/>
      <c r="J57" s="125"/>
      <c r="K57" s="125"/>
      <c r="L57" s="179"/>
      <c r="M57" s="179"/>
      <c r="O57" s="88"/>
    </row>
    <row r="58" spans="1:19" x14ac:dyDescent="0.3">
      <c r="A58" s="3" t="s">
        <v>526</v>
      </c>
      <c r="B58" s="15">
        <f>$L$58</f>
        <v>1300</v>
      </c>
      <c r="C58" s="15">
        <f t="shared" ref="C58:K58" si="5">$L$58</f>
        <v>1300</v>
      </c>
      <c r="D58" s="15">
        <f t="shared" si="5"/>
        <v>1300</v>
      </c>
      <c r="E58" s="15">
        <f t="shared" si="5"/>
        <v>1300</v>
      </c>
      <c r="F58" s="15">
        <f t="shared" si="5"/>
        <v>1300</v>
      </c>
      <c r="G58" s="15">
        <f t="shared" si="5"/>
        <v>1300</v>
      </c>
      <c r="H58" s="15">
        <f t="shared" si="5"/>
        <v>1300</v>
      </c>
      <c r="I58" s="15">
        <f t="shared" si="5"/>
        <v>1300</v>
      </c>
      <c r="J58" s="15">
        <f t="shared" si="5"/>
        <v>1300</v>
      </c>
      <c r="K58" s="15">
        <f t="shared" si="5"/>
        <v>1300</v>
      </c>
      <c r="L58" s="12">
        <f>1300</f>
        <v>1300</v>
      </c>
      <c r="M58" s="12">
        <f>1300</f>
        <v>1300</v>
      </c>
      <c r="O58" s="176" t="s">
        <v>359</v>
      </c>
    </row>
    <row r="59" spans="1:19" x14ac:dyDescent="0.3">
      <c r="O59" s="88"/>
    </row>
    <row r="60" spans="1:19" x14ac:dyDescent="0.3">
      <c r="A60" s="125" t="s">
        <v>129</v>
      </c>
      <c r="B60" s="125"/>
      <c r="C60" s="125"/>
      <c r="D60" s="125"/>
      <c r="E60" s="125"/>
      <c r="F60" s="125"/>
      <c r="G60" s="125"/>
      <c r="H60" s="125"/>
      <c r="I60" s="125"/>
      <c r="J60" s="125"/>
      <c r="K60" s="125"/>
      <c r="L60" s="179"/>
      <c r="M60" s="179"/>
    </row>
    <row r="61" spans="1:19" x14ac:dyDescent="0.3">
      <c r="A61" s="3" t="s">
        <v>278</v>
      </c>
      <c r="B61" s="13">
        <v>1.1000000000000001</v>
      </c>
      <c r="C61" s="13">
        <v>1.1000000000000001</v>
      </c>
      <c r="D61" s="13">
        <v>1.1000000000000001</v>
      </c>
      <c r="E61" s="13">
        <v>1.1000000000000001</v>
      </c>
      <c r="F61" s="13">
        <v>1.1000000000000001</v>
      </c>
      <c r="G61" s="13">
        <v>1.1000000000000001</v>
      </c>
      <c r="H61" s="13">
        <v>1.1000000000000001</v>
      </c>
      <c r="I61" s="13">
        <v>1.1000000000000001</v>
      </c>
      <c r="J61" s="13">
        <v>1.1000000000000001</v>
      </c>
      <c r="K61" s="13">
        <v>1.1000000000000001</v>
      </c>
      <c r="L61" s="13">
        <v>1.1000000000000001</v>
      </c>
      <c r="M61" s="13">
        <v>1.1000000000000001</v>
      </c>
      <c r="O61" s="250" t="s">
        <v>130</v>
      </c>
    </row>
    <row r="62" spans="1:19" x14ac:dyDescent="0.3">
      <c r="A62" s="3" t="s">
        <v>279</v>
      </c>
      <c r="B62" s="12">
        <v>0.9</v>
      </c>
      <c r="C62" s="12">
        <v>0.9</v>
      </c>
      <c r="D62" s="12">
        <v>0.9</v>
      </c>
      <c r="E62" s="12">
        <v>0.9</v>
      </c>
      <c r="F62" s="12">
        <v>0.9</v>
      </c>
      <c r="G62" s="12">
        <v>0.9</v>
      </c>
      <c r="H62" s="12">
        <v>0.9</v>
      </c>
      <c r="I62" s="12">
        <v>0.9</v>
      </c>
      <c r="J62" s="12">
        <v>0.9</v>
      </c>
      <c r="K62" s="12">
        <v>0.9</v>
      </c>
      <c r="L62" s="12">
        <v>0.9</v>
      </c>
      <c r="M62" s="12">
        <v>0.9</v>
      </c>
      <c r="O62" s="357"/>
    </row>
    <row r="63" spans="1:19" x14ac:dyDescent="0.3">
      <c r="L63" s="177"/>
      <c r="M63" s="177"/>
    </row>
    <row r="64" spans="1:19" x14ac:dyDescent="0.3">
      <c r="A64" s="125" t="s">
        <v>131</v>
      </c>
      <c r="B64" s="125"/>
      <c r="C64" s="125"/>
      <c r="D64" s="125"/>
      <c r="E64" s="125"/>
      <c r="F64" s="125"/>
      <c r="G64" s="125"/>
      <c r="H64" s="125"/>
      <c r="I64" s="125"/>
      <c r="J64" s="125"/>
      <c r="K64" s="125"/>
      <c r="L64" s="179"/>
      <c r="M64" s="179"/>
      <c r="O64" s="88"/>
    </row>
    <row r="65" spans="1:15" x14ac:dyDescent="0.3">
      <c r="A65" s="3" t="s">
        <v>132</v>
      </c>
      <c r="B65" s="18">
        <f>SUMPRODUCT(B66:B68,'Parameters, general'!$B$23:$B$25)</f>
        <v>0.38627677177026798</v>
      </c>
      <c r="C65" s="18">
        <f>SUMPRODUCT(C66:C68,'Parameters, general'!$B$23:$B$25)</f>
        <v>9.5381405160222713E-2</v>
      </c>
      <c r="D65" s="18">
        <f>SUMPRODUCT(D66:D68,'Parameters, general'!$B$23:$B$25)</f>
        <v>0.49048549543962316</v>
      </c>
      <c r="E65" s="18">
        <f>SUMPRODUCT(E66:E68,'Parameters, general'!$B$23:$B$25)</f>
        <v>0.67841599837959998</v>
      </c>
      <c r="F65" s="18">
        <f>SUMPRODUCT(F66:F68,'Parameters, general'!$B$23:$B$25)</f>
        <v>0.47045713416211871</v>
      </c>
      <c r="G65" s="18">
        <f>SUMPRODUCT(G66:G68,'Parameters, general'!$B$23:$B$25)</f>
        <v>0.40484566156116741</v>
      </c>
      <c r="H65" s="18">
        <f>SUMPRODUCT(H66:H68,'Parameters, general'!$B$23:$B$25)</f>
        <v>0.42738626455461243</v>
      </c>
      <c r="I65" s="18">
        <f>SUMPRODUCT(I66:I68,'Parameters, general'!$B$23:$B$25)</f>
        <v>0.52657781797980341</v>
      </c>
      <c r="J65" s="18">
        <f>SUMPRODUCT(J66:J68,'Parameters, general'!$B$23:$B$25)</f>
        <v>1.0319324183189464</v>
      </c>
      <c r="K65" s="18">
        <f>SUMPRODUCT(K66:K68,'Parameters, general'!$B$23:$B$25)</f>
        <v>0.29314059765558081</v>
      </c>
      <c r="L65" s="18">
        <f>SUMPRODUCT(L66:L68,'Parameters, general'!$B$23:$B$25)</f>
        <v>9.1599695300547013E-2</v>
      </c>
      <c r="M65" s="18">
        <v>0.4112020916109686</v>
      </c>
      <c r="O65" s="88" t="s">
        <v>133</v>
      </c>
    </row>
    <row r="66" spans="1:15" x14ac:dyDescent="0.3">
      <c r="A66" s="3" t="s">
        <v>134</v>
      </c>
      <c r="B66" s="72">
        <v>0.37053203522740003</v>
      </c>
      <c r="C66" s="142">
        <v>8.7112695367499993E-2</v>
      </c>
      <c r="D66" s="72">
        <v>0.46350339663360002</v>
      </c>
      <c r="E66" s="72">
        <v>0.63996298020209996</v>
      </c>
      <c r="F66" s="72">
        <v>0.43715184780049998</v>
      </c>
      <c r="G66" s="72">
        <v>0.3918720101247401</v>
      </c>
      <c r="H66" s="72">
        <v>0.37797633435819999</v>
      </c>
      <c r="I66" s="72">
        <v>0.49673189321139988</v>
      </c>
      <c r="J66" s="72">
        <v>0.9754510606115</v>
      </c>
      <c r="K66" s="72">
        <v>0.26811508139590001</v>
      </c>
      <c r="L66" s="72">
        <v>8.8450339728460003E-2</v>
      </c>
      <c r="M66" s="426">
        <v>0.39396368680829996</v>
      </c>
      <c r="O66" s="88"/>
    </row>
    <row r="67" spans="1:15" x14ac:dyDescent="0.3">
      <c r="A67" s="3" t="s">
        <v>135</v>
      </c>
      <c r="B67" s="141">
        <v>5.1107441647039987E-4</v>
      </c>
      <c r="C67" s="141">
        <v>2.700762131814E-4</v>
      </c>
      <c r="D67" s="141">
        <v>8.866310670443999E-4</v>
      </c>
      <c r="E67" s="141">
        <v>1.2704162262849E-3</v>
      </c>
      <c r="F67" s="141">
        <v>1.1037499887663997E-3</v>
      </c>
      <c r="G67" s="141">
        <v>4.22314047096554E-4</v>
      </c>
      <c r="H67" s="141">
        <v>1.6431484401077997E-3</v>
      </c>
      <c r="I67" s="141">
        <v>9.8347245312259998E-4</v>
      </c>
      <c r="J67" s="141">
        <v>1.8794008186636402E-3</v>
      </c>
      <c r="K67" s="141">
        <v>8.28784824796E-4</v>
      </c>
      <c r="L67" s="141">
        <v>9.8278548655939986E-5</v>
      </c>
      <c r="M67" s="426">
        <v>5.6578726519659992E-4</v>
      </c>
      <c r="O67" s="88"/>
    </row>
    <row r="68" spans="1:15" x14ac:dyDescent="0.3">
      <c r="A68" s="3" t="s">
        <v>136</v>
      </c>
      <c r="B68" s="91">
        <v>1.9063664150000001E-5</v>
      </c>
      <c r="C68" s="91">
        <v>8.1643940709999986E-6</v>
      </c>
      <c r="D68" s="91">
        <v>2.0759000300000004E-5</v>
      </c>
      <c r="E68" s="91">
        <v>2.2022764229999999E-5</v>
      </c>
      <c r="F68" s="91">
        <v>1.5316173940000001E-5</v>
      </c>
      <c r="G68" s="91">
        <v>1.439603085E-5</v>
      </c>
      <c r="H68" s="91">
        <v>1.6448395599999999E-5</v>
      </c>
      <c r="I68" s="91">
        <v>1.9942432050000001E-5</v>
      </c>
      <c r="J68" s="91">
        <v>1.7600493009999999E-5</v>
      </c>
      <c r="K68" s="91">
        <v>1.213809188E-5</v>
      </c>
      <c r="L68" s="91">
        <v>8.172400819999999E-6</v>
      </c>
      <c r="M68" s="426">
        <v>1.3997937029999999E-5</v>
      </c>
    </row>
    <row r="69" spans="1:15" x14ac:dyDescent="0.3">
      <c r="A69" s="3"/>
    </row>
    <row r="70" spans="1:15" x14ac:dyDescent="0.3">
      <c r="A70" s="125" t="s">
        <v>137</v>
      </c>
      <c r="B70" s="125"/>
      <c r="C70" s="125"/>
      <c r="D70" s="125"/>
      <c r="E70" s="125"/>
      <c r="F70" s="125"/>
      <c r="G70" s="125"/>
      <c r="H70" s="125"/>
      <c r="I70" s="125"/>
      <c r="J70" s="125"/>
      <c r="K70" s="125"/>
      <c r="L70" s="179"/>
      <c r="M70" s="179"/>
      <c r="O70" s="88"/>
    </row>
    <row r="71" spans="1:15" x14ac:dyDescent="0.3">
      <c r="A71" s="3" t="s">
        <v>138</v>
      </c>
      <c r="B71" s="14">
        <v>0.19</v>
      </c>
      <c r="C71" s="14">
        <v>0.19</v>
      </c>
      <c r="D71" s="14">
        <v>0.19</v>
      </c>
      <c r="E71" s="14">
        <v>0.19</v>
      </c>
      <c r="F71" s="14">
        <v>0.19</v>
      </c>
      <c r="G71" s="14">
        <v>0.19</v>
      </c>
      <c r="H71" s="14">
        <v>0.19</v>
      </c>
      <c r="I71" s="14">
        <v>0.19</v>
      </c>
      <c r="J71" s="14">
        <v>0.19</v>
      </c>
      <c r="K71" s="14">
        <v>0.19</v>
      </c>
      <c r="L71" s="14">
        <v>0.19</v>
      </c>
      <c r="M71" s="14"/>
      <c r="O71" s="88" t="s">
        <v>139</v>
      </c>
    </row>
    <row r="72" spans="1:15" x14ac:dyDescent="0.3">
      <c r="L72" s="12"/>
      <c r="M72" s="12"/>
      <c r="O72" s="88"/>
    </row>
    <row r="73" spans="1:15" x14ac:dyDescent="0.3">
      <c r="A73" s="125" t="s">
        <v>140</v>
      </c>
      <c r="B73" s="125"/>
      <c r="C73" s="125"/>
      <c r="D73" s="125"/>
      <c r="E73" s="125"/>
      <c r="F73" s="125"/>
      <c r="G73" s="125"/>
      <c r="H73" s="125"/>
      <c r="I73" s="125"/>
      <c r="J73" s="125"/>
      <c r="K73" s="125"/>
      <c r="L73" s="191"/>
      <c r="M73" s="191"/>
      <c r="O73" s="88"/>
    </row>
    <row r="74" spans="1:15" x14ac:dyDescent="0.3">
      <c r="A74" s="3" t="s">
        <v>141</v>
      </c>
      <c r="B74" s="106">
        <v>0.6</v>
      </c>
      <c r="C74" s="106">
        <v>0.3</v>
      </c>
      <c r="D74" s="106">
        <v>0.3</v>
      </c>
      <c r="E74" s="106">
        <v>0.3</v>
      </c>
      <c r="F74" s="106">
        <v>0.3</v>
      </c>
      <c r="G74" s="106">
        <v>0.3</v>
      </c>
      <c r="H74" s="106">
        <v>0.3</v>
      </c>
      <c r="I74" s="106">
        <v>0.3</v>
      </c>
      <c r="J74" s="106">
        <v>0.3</v>
      </c>
      <c r="K74" s="106">
        <v>0.3</v>
      </c>
      <c r="L74" s="106">
        <v>0.6</v>
      </c>
      <c r="M74" s="106">
        <v>0.3</v>
      </c>
      <c r="O74" s="88" t="s">
        <v>139</v>
      </c>
    </row>
    <row r="75" spans="1:15" x14ac:dyDescent="0.3">
      <c r="A75" s="3" t="s">
        <v>142</v>
      </c>
      <c r="B75" s="107">
        <v>0.4</v>
      </c>
      <c r="C75" s="107">
        <v>0.7</v>
      </c>
      <c r="D75" s="107">
        <v>0.7</v>
      </c>
      <c r="E75" s="107">
        <v>0.7</v>
      </c>
      <c r="F75" s="107">
        <v>0.7</v>
      </c>
      <c r="G75" s="107">
        <v>0.7</v>
      </c>
      <c r="H75" s="107">
        <v>0.7</v>
      </c>
      <c r="I75" s="107">
        <v>0.7</v>
      </c>
      <c r="J75" s="107">
        <v>0.7</v>
      </c>
      <c r="K75" s="107">
        <v>0.7</v>
      </c>
      <c r="L75" s="107">
        <v>0.4</v>
      </c>
      <c r="M75" s="107">
        <v>0.7</v>
      </c>
    </row>
    <row r="76" spans="1:15" x14ac:dyDescent="0.3">
      <c r="L76" s="12"/>
      <c r="M76"/>
    </row>
    <row r="77" spans="1:15" x14ac:dyDescent="0.3">
      <c r="A77" s="125" t="s">
        <v>143</v>
      </c>
      <c r="B77" s="125"/>
      <c r="C77" s="125"/>
      <c r="D77" s="125"/>
      <c r="E77" s="125"/>
      <c r="F77" s="125"/>
      <c r="G77" s="125"/>
      <c r="H77" s="125"/>
      <c r="I77" s="125"/>
      <c r="J77" s="125"/>
      <c r="K77" s="125"/>
      <c r="L77" s="179"/>
      <c r="M77" s="125"/>
    </row>
    <row r="78" spans="1:15" x14ac:dyDescent="0.3">
      <c r="A78" s="86" t="s">
        <v>144</v>
      </c>
      <c r="B78" s="30">
        <v>1.6E-2</v>
      </c>
      <c r="C78" s="30">
        <v>1.6E-2</v>
      </c>
      <c r="D78" s="30">
        <v>1.6E-2</v>
      </c>
      <c r="E78" s="30">
        <v>1.6E-2</v>
      </c>
      <c r="F78" s="30">
        <v>1.6E-2</v>
      </c>
      <c r="G78" s="30">
        <v>1.6E-2</v>
      </c>
      <c r="H78" s="30">
        <v>1.6E-2</v>
      </c>
      <c r="I78" s="30">
        <v>1.6E-2</v>
      </c>
      <c r="J78" s="30">
        <v>1.6E-2</v>
      </c>
      <c r="K78" s="30">
        <v>1.6E-2</v>
      </c>
      <c r="L78" s="30">
        <v>1.6E-2</v>
      </c>
      <c r="M78" s="30">
        <v>1.6E-2</v>
      </c>
    </row>
    <row r="79" spans="1:15" x14ac:dyDescent="0.3">
      <c r="A79" s="86" t="s">
        <v>468</v>
      </c>
      <c r="B79" s="30">
        <v>6.0000000000000001E-3</v>
      </c>
      <c r="C79" s="30">
        <v>6.0000000000000001E-3</v>
      </c>
      <c r="D79" s="30">
        <v>6.0000000000000001E-3</v>
      </c>
      <c r="E79" s="30">
        <v>6.0000000000000001E-3</v>
      </c>
      <c r="F79" s="30">
        <v>6.0000000000000001E-3</v>
      </c>
      <c r="G79" s="30">
        <v>6.0000000000000001E-3</v>
      </c>
      <c r="H79" s="30">
        <v>6.0000000000000001E-3</v>
      </c>
      <c r="I79" s="30">
        <v>6.0000000000000001E-3</v>
      </c>
      <c r="J79" s="30">
        <v>6.0000000000000001E-3</v>
      </c>
      <c r="K79" s="30">
        <v>6.0000000000000001E-3</v>
      </c>
      <c r="L79" s="30">
        <v>6.0000000000000001E-3</v>
      </c>
      <c r="M79" s="30">
        <v>6.0000000000000001E-3</v>
      </c>
    </row>
    <row r="80" spans="1:15" x14ac:dyDescent="0.3">
      <c r="A80" s="3" t="s">
        <v>145</v>
      </c>
      <c r="B80" s="4">
        <f t="shared" ref="B80:M80" si="6">B78-B79</f>
        <v>0.01</v>
      </c>
      <c r="C80" s="4">
        <f t="shared" si="6"/>
        <v>0.01</v>
      </c>
      <c r="D80" s="4">
        <f t="shared" si="6"/>
        <v>0.01</v>
      </c>
      <c r="E80" s="4">
        <f t="shared" si="6"/>
        <v>0.01</v>
      </c>
      <c r="F80" s="4">
        <f t="shared" si="6"/>
        <v>0.01</v>
      </c>
      <c r="G80" s="4">
        <f t="shared" si="6"/>
        <v>0.01</v>
      </c>
      <c r="H80" s="4">
        <f t="shared" si="6"/>
        <v>0.01</v>
      </c>
      <c r="I80" s="4">
        <f t="shared" ref="I80" si="7">I78-I79</f>
        <v>0.01</v>
      </c>
      <c r="J80" s="4">
        <f t="shared" si="6"/>
        <v>0.01</v>
      </c>
      <c r="K80" s="4">
        <f t="shared" si="6"/>
        <v>0.01</v>
      </c>
      <c r="L80" s="72">
        <f t="shared" si="6"/>
        <v>0.01</v>
      </c>
      <c r="M80" s="4">
        <f t="shared" si="6"/>
        <v>0.01</v>
      </c>
    </row>
    <row r="81" spans="1:18" x14ac:dyDescent="0.3">
      <c r="A81" s="86" t="s">
        <v>146</v>
      </c>
      <c r="B81" s="31">
        <v>0.1</v>
      </c>
      <c r="C81" s="31">
        <v>0.1</v>
      </c>
      <c r="D81" s="31">
        <v>0.1</v>
      </c>
      <c r="E81" s="31">
        <v>0.1</v>
      </c>
      <c r="F81" s="31">
        <v>0.1</v>
      </c>
      <c r="G81" s="31">
        <v>0.1</v>
      </c>
      <c r="H81" s="31">
        <v>0.1</v>
      </c>
      <c r="I81" s="31">
        <v>0.1</v>
      </c>
      <c r="J81" s="31">
        <v>0.1</v>
      </c>
      <c r="K81" s="31">
        <v>0.1</v>
      </c>
      <c r="L81" s="108">
        <v>0.1</v>
      </c>
      <c r="M81" s="31">
        <v>0.1</v>
      </c>
    </row>
    <row r="82" spans="1:18" x14ac:dyDescent="0.3">
      <c r="A82" s="3"/>
      <c r="L82" s="12"/>
      <c r="M82" s="12"/>
      <c r="R82" t="s">
        <v>544</v>
      </c>
    </row>
    <row r="83" spans="1:18" x14ac:dyDescent="0.3">
      <c r="A83" s="125" t="s">
        <v>147</v>
      </c>
      <c r="B83" s="125"/>
      <c r="C83" s="125"/>
      <c r="D83" s="125"/>
      <c r="E83" s="125"/>
      <c r="F83" s="125"/>
      <c r="G83" s="125"/>
      <c r="H83" s="125"/>
      <c r="I83" s="125"/>
      <c r="J83" s="125"/>
      <c r="K83" s="125"/>
      <c r="L83" s="191"/>
      <c r="M83" s="191"/>
      <c r="O83" s="88"/>
    </row>
    <row r="84" spans="1:18" x14ac:dyDescent="0.3">
      <c r="A84" s="86" t="s">
        <v>147</v>
      </c>
      <c r="B84" s="35">
        <v>0</v>
      </c>
      <c r="C84" s="35">
        <v>0</v>
      </c>
      <c r="D84" s="35">
        <v>0</v>
      </c>
      <c r="E84" s="35">
        <v>0</v>
      </c>
      <c r="F84" s="35">
        <v>0</v>
      </c>
      <c r="G84" s="35">
        <v>0</v>
      </c>
      <c r="H84" s="35">
        <v>0</v>
      </c>
      <c r="I84" s="35">
        <v>0</v>
      </c>
      <c r="J84" s="35">
        <v>0</v>
      </c>
      <c r="K84" s="35">
        <v>0</v>
      </c>
      <c r="L84" s="35">
        <v>0</v>
      </c>
      <c r="M84" s="35">
        <v>0</v>
      </c>
      <c r="O84" s="88" t="s">
        <v>604</v>
      </c>
    </row>
    <row r="85" spans="1:18" x14ac:dyDescent="0.3">
      <c r="L85" s="12"/>
      <c r="M85" s="12"/>
      <c r="O85" s="88"/>
    </row>
    <row r="86" spans="1:18" x14ac:dyDescent="0.3">
      <c r="A86" s="125" t="s">
        <v>148</v>
      </c>
      <c r="B86" s="125"/>
      <c r="C86" s="125"/>
      <c r="D86" s="125"/>
      <c r="E86" s="125"/>
      <c r="F86" s="125"/>
      <c r="G86" s="125"/>
      <c r="H86" s="125"/>
      <c r="I86" s="125"/>
      <c r="J86" s="125"/>
      <c r="K86" s="125"/>
      <c r="L86" s="179"/>
      <c r="M86" s="179"/>
      <c r="O86" s="88"/>
    </row>
    <row r="87" spans="1:18" x14ac:dyDescent="0.3">
      <c r="A87" s="86" t="s">
        <v>360</v>
      </c>
      <c r="B87" s="108">
        <v>33.6</v>
      </c>
      <c r="C87" s="108">
        <v>33.6</v>
      </c>
      <c r="D87" s="108">
        <v>33.6</v>
      </c>
      <c r="E87" s="108">
        <v>33.6</v>
      </c>
      <c r="F87" s="108">
        <v>33.6</v>
      </c>
      <c r="G87" s="108">
        <v>33.6</v>
      </c>
      <c r="H87" s="108">
        <v>33.6</v>
      </c>
      <c r="I87" s="108">
        <v>33.6</v>
      </c>
      <c r="J87" s="108">
        <v>33.6</v>
      </c>
      <c r="K87" s="108">
        <v>33.6</v>
      </c>
      <c r="L87" s="108">
        <v>33.6</v>
      </c>
      <c r="M87" s="108">
        <v>33.6</v>
      </c>
      <c r="O87" s="88" t="s">
        <v>149</v>
      </c>
    </row>
    <row r="88" spans="1:18" x14ac:dyDescent="0.3">
      <c r="A88" s="86" t="s">
        <v>361</v>
      </c>
      <c r="B88" s="108">
        <v>16.399999999999999</v>
      </c>
      <c r="C88" s="108">
        <v>16.399999999999999</v>
      </c>
      <c r="D88" s="108">
        <v>16.399999999999999</v>
      </c>
      <c r="E88" s="108">
        <v>16.399999999999999</v>
      </c>
      <c r="F88" s="108">
        <v>16.399999999999999</v>
      </c>
      <c r="G88" s="108">
        <v>16.399999999999999</v>
      </c>
      <c r="H88" s="108">
        <v>16.399999999999999</v>
      </c>
      <c r="I88" s="108">
        <v>16.399999999999999</v>
      </c>
      <c r="J88" s="108">
        <v>16.399999999999999</v>
      </c>
      <c r="K88" s="108">
        <v>16.399999999999999</v>
      </c>
      <c r="L88" s="108">
        <v>16.399999999999999</v>
      </c>
      <c r="M88" s="108">
        <v>16.399999999999999</v>
      </c>
      <c r="O88" s="88"/>
    </row>
    <row r="89" spans="1:18" x14ac:dyDescent="0.3">
      <c r="O89" s="88"/>
    </row>
    <row r="90" spans="1:18" x14ac:dyDescent="0.3">
      <c r="A90" s="125" t="s">
        <v>150</v>
      </c>
      <c r="B90" s="125"/>
      <c r="C90" s="125"/>
      <c r="D90" s="125"/>
      <c r="E90" s="125"/>
      <c r="F90" s="125"/>
      <c r="G90" s="125"/>
      <c r="H90" s="125"/>
      <c r="I90" s="125"/>
      <c r="J90" s="125"/>
      <c r="K90" s="125"/>
      <c r="L90" s="179"/>
      <c r="M90" s="179"/>
      <c r="O90" s="88"/>
    </row>
    <row r="91" spans="1:18" x14ac:dyDescent="0.3">
      <c r="A91" s="86" t="s">
        <v>151</v>
      </c>
      <c r="B91" s="222"/>
      <c r="C91" s="222"/>
      <c r="D91" s="222"/>
      <c r="E91" s="222"/>
      <c r="F91" s="222"/>
      <c r="G91" s="222"/>
      <c r="H91" s="222"/>
      <c r="I91" s="222"/>
      <c r="J91" s="222"/>
      <c r="K91" s="222"/>
      <c r="L91" s="222"/>
      <c r="M91" s="222"/>
      <c r="O91" s="88"/>
    </row>
    <row r="92" spans="1:18" x14ac:dyDescent="0.3">
      <c r="L92" s="177"/>
      <c r="M92" s="177"/>
      <c r="O92" s="88"/>
    </row>
    <row r="93" spans="1:18" x14ac:dyDescent="0.3">
      <c r="A93" s="86"/>
      <c r="B93" s="12"/>
      <c r="C93" s="12"/>
      <c r="D93" s="12"/>
      <c r="E93" s="12"/>
      <c r="F93" s="12"/>
      <c r="G93" s="12"/>
      <c r="H93" s="12"/>
      <c r="I93" s="12"/>
      <c r="J93" s="12"/>
      <c r="K93" s="12"/>
      <c r="L93" s="12"/>
      <c r="M93" s="12"/>
      <c r="O93" s="88"/>
    </row>
    <row r="94" spans="1:18" x14ac:dyDescent="0.3">
      <c r="A94" s="3"/>
      <c r="B94" s="12"/>
      <c r="C94" s="12"/>
      <c r="D94" s="12"/>
      <c r="E94" s="12"/>
      <c r="F94" s="12"/>
      <c r="G94" s="12"/>
      <c r="H94" s="12"/>
      <c r="I94" s="12"/>
      <c r="J94" s="12"/>
      <c r="K94" s="12"/>
      <c r="L94" s="12"/>
      <c r="M94" s="12"/>
      <c r="O94" s="88"/>
    </row>
    <row r="95" spans="1:18" x14ac:dyDescent="0.3">
      <c r="A95" s="3"/>
      <c r="B95" s="12"/>
      <c r="C95" s="12"/>
      <c r="D95" s="12"/>
      <c r="E95" s="12"/>
      <c r="F95" s="12"/>
      <c r="G95" s="12"/>
      <c r="H95" s="12"/>
      <c r="I95" s="12"/>
      <c r="J95" s="12"/>
      <c r="K95" s="12"/>
      <c r="L95" s="12"/>
      <c r="M95" s="12"/>
      <c r="O95" s="88"/>
    </row>
    <row r="96" spans="1:18" x14ac:dyDescent="0.3">
      <c r="A96" s="3"/>
      <c r="B96" s="12"/>
      <c r="C96" s="12"/>
      <c r="D96" s="12"/>
      <c r="E96" s="12"/>
      <c r="F96" s="12"/>
      <c r="G96" s="12"/>
      <c r="H96" s="12"/>
      <c r="I96" s="12"/>
      <c r="J96" s="12"/>
      <c r="K96" s="12"/>
      <c r="L96" s="12"/>
      <c r="M96" s="12"/>
      <c r="O96" s="88"/>
    </row>
    <row r="97" spans="1:15" x14ac:dyDescent="0.3">
      <c r="A97" s="3"/>
      <c r="B97" s="174"/>
      <c r="C97" s="174"/>
      <c r="D97" s="174"/>
      <c r="E97" s="174"/>
      <c r="F97" s="174"/>
      <c r="G97" s="174"/>
      <c r="H97" s="174"/>
      <c r="I97" s="174"/>
      <c r="J97" s="174"/>
      <c r="K97" s="174"/>
      <c r="L97" s="246"/>
      <c r="M97" s="246"/>
      <c r="O97" s="88"/>
    </row>
    <row r="98" spans="1:15" x14ac:dyDescent="0.3">
      <c r="A98" s="3"/>
      <c r="B98" s="247"/>
      <c r="C98" s="247"/>
      <c r="D98" s="247"/>
      <c r="E98" s="247"/>
      <c r="F98" s="247"/>
      <c r="G98" s="247"/>
      <c r="H98" s="247"/>
      <c r="I98" s="247"/>
      <c r="J98" s="247"/>
      <c r="K98" s="247"/>
      <c r="L98" s="112"/>
      <c r="M98" s="112"/>
      <c r="O98" s="88"/>
    </row>
    <row r="99" spans="1:15" x14ac:dyDescent="0.3">
      <c r="A99" s="3"/>
      <c r="B99" s="249"/>
      <c r="C99" s="249"/>
      <c r="D99" s="249"/>
      <c r="E99" s="249"/>
      <c r="F99" s="249"/>
      <c r="G99" s="249"/>
      <c r="H99" s="249"/>
      <c r="I99" s="249"/>
      <c r="J99" s="249"/>
      <c r="K99" s="249"/>
      <c r="L99" s="249"/>
      <c r="M99" s="249"/>
      <c r="O99" s="88"/>
    </row>
    <row r="100" spans="1:15" x14ac:dyDescent="0.3">
      <c r="G100" s="143"/>
      <c r="H100" s="144"/>
      <c r="I100" s="144"/>
      <c r="O100" s="88"/>
    </row>
    <row r="101" spans="1:15" x14ac:dyDescent="0.3">
      <c r="L101" s="16"/>
      <c r="M101" s="16"/>
      <c r="O101" s="88"/>
    </row>
  </sheetData>
  <phoneticPr fontId="79" type="noConversion"/>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F685A-582A-4CEF-89A3-4464841E77DD}">
  <sheetPr>
    <tabColor theme="4" tint="0.39997558519241921"/>
  </sheetPr>
  <dimension ref="A2:W79"/>
  <sheetViews>
    <sheetView tabSelected="1" zoomScale="87" zoomScaleNormal="80" workbookViewId="0">
      <selection activeCell="O6" sqref="O6"/>
    </sheetView>
  </sheetViews>
  <sheetFormatPr defaultColWidth="8.6640625" defaultRowHeight="14.4" x14ac:dyDescent="0.3"/>
  <cols>
    <col min="1" max="1" width="55.6640625" customWidth="1"/>
    <col min="2" max="11" width="10.6640625" customWidth="1"/>
    <col min="12" max="13" width="10.6640625" style="175" customWidth="1"/>
    <col min="15" max="15" width="29.33203125" customWidth="1"/>
    <col min="16" max="16" width="24.33203125" customWidth="1"/>
  </cols>
  <sheetData>
    <row r="2" spans="1:19" ht="18" x14ac:dyDescent="0.35">
      <c r="A2" s="1" t="s">
        <v>631</v>
      </c>
      <c r="D2" s="6"/>
    </row>
    <row r="3" spans="1:19" x14ac:dyDescent="0.3">
      <c r="B3" t="s">
        <v>40</v>
      </c>
      <c r="C3" t="s">
        <v>42</v>
      </c>
      <c r="D3" t="s">
        <v>44</v>
      </c>
      <c r="E3" t="s">
        <v>46</v>
      </c>
      <c r="F3" t="s">
        <v>48</v>
      </c>
      <c r="G3" t="s">
        <v>50</v>
      </c>
      <c r="H3" t="s">
        <v>52</v>
      </c>
      <c r="I3" t="s">
        <v>54</v>
      </c>
      <c r="J3" t="s">
        <v>56</v>
      </c>
      <c r="K3" t="s">
        <v>58</v>
      </c>
      <c r="L3" s="16" t="s">
        <v>60</v>
      </c>
      <c r="M3" s="16" t="s">
        <v>560</v>
      </c>
    </row>
    <row r="4" spans="1:19" x14ac:dyDescent="0.3">
      <c r="A4" s="125" t="s">
        <v>107</v>
      </c>
      <c r="B4" s="125" t="s">
        <v>39</v>
      </c>
      <c r="C4" s="125" t="s">
        <v>41</v>
      </c>
      <c r="D4" s="125" t="s">
        <v>43</v>
      </c>
      <c r="E4" s="125" t="s">
        <v>45</v>
      </c>
      <c r="F4" s="125" t="s">
        <v>47</v>
      </c>
      <c r="G4" s="125" t="s">
        <v>49</v>
      </c>
      <c r="H4" s="125" t="s">
        <v>51</v>
      </c>
      <c r="I4" s="125" t="s">
        <v>53</v>
      </c>
      <c r="J4" s="125" t="s">
        <v>55</v>
      </c>
      <c r="K4" s="125" t="s">
        <v>57</v>
      </c>
      <c r="L4" s="125" t="s">
        <v>59</v>
      </c>
      <c r="M4" s="125" t="s">
        <v>556</v>
      </c>
      <c r="O4" s="125" t="s">
        <v>108</v>
      </c>
      <c r="P4" s="125"/>
      <c r="Q4" s="125"/>
    </row>
    <row r="5" spans="1:19" x14ac:dyDescent="0.3">
      <c r="A5" s="3" t="s">
        <v>109</v>
      </c>
      <c r="B5" s="12">
        <v>0.69499999999999995</v>
      </c>
      <c r="C5" s="12">
        <v>0.69499999999999995</v>
      </c>
      <c r="D5" s="12">
        <v>0.69499999999999995</v>
      </c>
      <c r="E5" s="12">
        <v>0.69499999999999995</v>
      </c>
      <c r="F5" s="12">
        <v>0.69499999999999995</v>
      </c>
      <c r="G5" s="12">
        <v>0.69499999999999995</v>
      </c>
      <c r="H5" s="12">
        <v>0.69499999999999995</v>
      </c>
      <c r="I5" s="12">
        <v>0.69499999999999995</v>
      </c>
      <c r="J5" s="12">
        <v>0.69499999999999995</v>
      </c>
      <c r="K5" s="12">
        <v>0.69499999999999995</v>
      </c>
      <c r="L5" s="12">
        <v>0.69499999999999995</v>
      </c>
      <c r="M5" s="12">
        <v>0.69499999999999995</v>
      </c>
      <c r="O5" s="88" t="s">
        <v>293</v>
      </c>
      <c r="P5" s="87"/>
    </row>
    <row r="6" spans="1:19" x14ac:dyDescent="0.3">
      <c r="A6" s="3" t="s">
        <v>570</v>
      </c>
      <c r="B6" s="13">
        <v>330</v>
      </c>
      <c r="C6" s="13">
        <v>330</v>
      </c>
      <c r="D6" s="13">
        <v>330</v>
      </c>
      <c r="E6" s="13">
        <v>330</v>
      </c>
      <c r="F6" s="13">
        <v>330</v>
      </c>
      <c r="G6" s="13">
        <v>330</v>
      </c>
      <c r="H6" s="13">
        <v>330</v>
      </c>
      <c r="I6" s="13">
        <v>330</v>
      </c>
      <c r="J6" s="13">
        <v>330</v>
      </c>
      <c r="K6" s="13">
        <v>330</v>
      </c>
      <c r="L6" s="13">
        <v>330</v>
      </c>
      <c r="M6" s="13">
        <v>330</v>
      </c>
      <c r="O6" s="88" t="s">
        <v>633</v>
      </c>
      <c r="P6" s="87"/>
    </row>
    <row r="7" spans="1:19" x14ac:dyDescent="0.3">
      <c r="A7" s="3" t="s">
        <v>110</v>
      </c>
      <c r="B7" s="13">
        <f>B6*0.015</f>
        <v>4.95</v>
      </c>
      <c r="C7" s="13">
        <f t="shared" ref="C7:M7" si="0">C6*0.015</f>
        <v>4.95</v>
      </c>
      <c r="D7" s="13">
        <f t="shared" si="0"/>
        <v>4.95</v>
      </c>
      <c r="E7" s="13">
        <f t="shared" si="0"/>
        <v>4.95</v>
      </c>
      <c r="F7" s="13">
        <f t="shared" si="0"/>
        <v>4.95</v>
      </c>
      <c r="G7" s="13">
        <f t="shared" si="0"/>
        <v>4.95</v>
      </c>
      <c r="H7" s="13">
        <f t="shared" si="0"/>
        <v>4.95</v>
      </c>
      <c r="I7" s="13">
        <f t="shared" si="0"/>
        <v>4.95</v>
      </c>
      <c r="J7" s="13">
        <f t="shared" si="0"/>
        <v>4.95</v>
      </c>
      <c r="K7" s="13">
        <f t="shared" si="0"/>
        <v>4.95</v>
      </c>
      <c r="L7" s="13">
        <f t="shared" si="0"/>
        <v>4.95</v>
      </c>
      <c r="M7" s="13">
        <f t="shared" si="0"/>
        <v>4.95</v>
      </c>
      <c r="O7" s="176" t="s">
        <v>111</v>
      </c>
      <c r="P7" s="300"/>
    </row>
    <row r="8" spans="1:19" x14ac:dyDescent="0.3">
      <c r="A8" s="3" t="s">
        <v>632</v>
      </c>
      <c r="B8" s="13">
        <v>5</v>
      </c>
      <c r="C8" s="13">
        <v>5</v>
      </c>
      <c r="D8" s="13">
        <v>5</v>
      </c>
      <c r="E8" s="13">
        <v>5</v>
      </c>
      <c r="F8" s="13">
        <v>5</v>
      </c>
      <c r="G8" s="13">
        <v>5</v>
      </c>
      <c r="H8" s="13">
        <v>5</v>
      </c>
      <c r="I8" s="13">
        <v>5</v>
      </c>
      <c r="J8" s="13">
        <v>5</v>
      </c>
      <c r="K8" s="13">
        <v>5</v>
      </c>
      <c r="L8" s="13">
        <v>5</v>
      </c>
      <c r="M8" s="13">
        <v>5</v>
      </c>
      <c r="N8" s="13"/>
      <c r="O8" s="176" t="s">
        <v>111</v>
      </c>
      <c r="P8" s="87"/>
    </row>
    <row r="9" spans="1:19" x14ac:dyDescent="0.3">
      <c r="O9" s="88"/>
      <c r="P9" s="87"/>
    </row>
    <row r="10" spans="1:19" x14ac:dyDescent="0.3">
      <c r="A10" s="125" t="s">
        <v>634</v>
      </c>
      <c r="B10" s="125" t="s">
        <v>39</v>
      </c>
      <c r="C10" s="125" t="s">
        <v>41</v>
      </c>
      <c r="D10" s="125" t="s">
        <v>43</v>
      </c>
      <c r="E10" s="125" t="s">
        <v>45</v>
      </c>
      <c r="F10" s="125" t="s">
        <v>47</v>
      </c>
      <c r="G10" s="125" t="s">
        <v>49</v>
      </c>
      <c r="H10" s="125" t="s">
        <v>51</v>
      </c>
      <c r="I10" s="125" t="s">
        <v>53</v>
      </c>
      <c r="J10" s="125" t="s">
        <v>55</v>
      </c>
      <c r="K10" s="125" t="s">
        <v>57</v>
      </c>
      <c r="L10" s="125" t="s">
        <v>59</v>
      </c>
      <c r="M10" s="125" t="s">
        <v>556</v>
      </c>
      <c r="O10" s="88"/>
      <c r="P10" s="87"/>
    </row>
    <row r="11" spans="1:19" x14ac:dyDescent="0.3">
      <c r="A11" s="84" t="s">
        <v>299</v>
      </c>
      <c r="B11" s="421">
        <v>1.3213875800981024E-2</v>
      </c>
      <c r="C11" s="421">
        <v>0.18889688285610365</v>
      </c>
      <c r="D11" s="421">
        <v>0.26457370102986028</v>
      </c>
      <c r="E11" s="421">
        <v>0.3707697249953647</v>
      </c>
      <c r="F11" s="421">
        <v>7.7439143939213403E-2</v>
      </c>
      <c r="G11" s="421">
        <v>0.75114991922794239</v>
      </c>
      <c r="H11" s="421">
        <v>0.40067105954621879</v>
      </c>
      <c r="I11" s="421">
        <v>0.47949543012015922</v>
      </c>
      <c r="J11" s="421">
        <v>0.26557017524746096</v>
      </c>
      <c r="K11" s="421">
        <v>0.42695226222969923</v>
      </c>
      <c r="L11" s="374">
        <f>R14/100</f>
        <v>0.35361702127659567</v>
      </c>
      <c r="M11" s="421">
        <v>0.74946751429338065</v>
      </c>
      <c r="O11" s="88" t="s">
        <v>524</v>
      </c>
      <c r="P11" s="87"/>
    </row>
    <row r="12" spans="1:19" x14ac:dyDescent="0.3">
      <c r="A12" s="84" t="s">
        <v>300</v>
      </c>
      <c r="B12" s="421">
        <v>0.2760369962266197</v>
      </c>
      <c r="C12" s="421">
        <v>0.36965765773619236</v>
      </c>
      <c r="D12" s="421">
        <v>0.47771254487501524</v>
      </c>
      <c r="E12" s="421">
        <v>0.13544388222799708</v>
      </c>
      <c r="F12" s="421">
        <v>0.38082943222890436</v>
      </c>
      <c r="G12" s="421">
        <v>1.9608947623101922E-2</v>
      </c>
      <c r="H12" s="421">
        <v>0.27744597499526535</v>
      </c>
      <c r="I12" s="421">
        <v>0.16379583021525312</v>
      </c>
      <c r="J12" s="421">
        <v>0.3089723847114122</v>
      </c>
      <c r="K12" s="421">
        <v>8.4238508213965613E-2</v>
      </c>
      <c r="L12" s="374">
        <v>0</v>
      </c>
      <c r="M12" s="421">
        <v>6.8994040926595557E-2</v>
      </c>
      <c r="O12" s="88" t="s">
        <v>635</v>
      </c>
      <c r="P12" s="450"/>
      <c r="Q12" s="451" t="s">
        <v>569</v>
      </c>
      <c r="R12" s="451"/>
      <c r="S12" s="452"/>
    </row>
    <row r="13" spans="1:19" x14ac:dyDescent="0.3">
      <c r="A13" s="84" t="s">
        <v>357</v>
      </c>
      <c r="B13" s="421">
        <v>0.61590538837145792</v>
      </c>
      <c r="C13" s="421">
        <v>0.23243726980023638</v>
      </c>
      <c r="D13" s="421">
        <v>0.13883749692306407</v>
      </c>
      <c r="E13" s="421">
        <v>3.5518223853143398E-2</v>
      </c>
      <c r="F13" s="421">
        <v>0.18201404564523588</v>
      </c>
      <c r="G13" s="421">
        <v>4.011237421254237E-4</v>
      </c>
      <c r="H13" s="421">
        <v>7.1895313213819118E-2</v>
      </c>
      <c r="I13" s="421">
        <v>0.1711074910334601</v>
      </c>
      <c r="J13" s="421">
        <v>0.15280804679497859</v>
      </c>
      <c r="K13" s="421">
        <v>6.2955748563960065E-2</v>
      </c>
      <c r="L13" s="374">
        <f>R13/100</f>
        <v>0.60723404255319147</v>
      </c>
      <c r="M13" s="421">
        <v>3.2584598647782959E-3</v>
      </c>
      <c r="P13" s="425" t="s">
        <v>578</v>
      </c>
      <c r="Q13">
        <f>2561+293</f>
        <v>2854</v>
      </c>
      <c r="R13" s="118">
        <f>Q13/Q16*100</f>
        <v>60.723404255319146</v>
      </c>
      <c r="S13" s="196" t="s">
        <v>568</v>
      </c>
    </row>
    <row r="14" spans="1:19" x14ac:dyDescent="0.3">
      <c r="A14" s="83" t="s">
        <v>113</v>
      </c>
      <c r="B14" s="421">
        <v>5.1639112390513857E-3</v>
      </c>
      <c r="C14" s="421">
        <v>9.8050025013408561E-3</v>
      </c>
      <c r="D14" s="421">
        <v>1.298916356294802E-3</v>
      </c>
      <c r="E14" s="421">
        <v>6.7240073264057107E-2</v>
      </c>
      <c r="F14" s="421">
        <v>1.3777713958130216E-2</v>
      </c>
      <c r="G14" s="421">
        <v>9.7140944486754449E-2</v>
      </c>
      <c r="H14" s="421">
        <v>3.0038264722936558E-3</v>
      </c>
      <c r="I14" s="421">
        <v>3.7649623151768418E-3</v>
      </c>
      <c r="J14" s="421">
        <v>1.4852072857038275E-2</v>
      </c>
      <c r="K14" s="421">
        <v>7.4482644340220033E-2</v>
      </c>
      <c r="L14" s="374">
        <f>R15/100</f>
        <v>3.9148936170212763E-2</v>
      </c>
      <c r="M14" s="421">
        <v>1.3909861729922528E-2</v>
      </c>
      <c r="P14" s="195" t="s">
        <v>577</v>
      </c>
      <c r="Q14">
        <v>1662</v>
      </c>
      <c r="R14" s="118">
        <f>Q14/Q16*100</f>
        <v>35.361702127659569</v>
      </c>
      <c r="S14" s="196" t="s">
        <v>568</v>
      </c>
    </row>
    <row r="15" spans="1:19" x14ac:dyDescent="0.3">
      <c r="A15" s="84" t="s">
        <v>114</v>
      </c>
      <c r="B15" s="421">
        <v>3.1075970320211814E-4</v>
      </c>
      <c r="C15" s="421">
        <v>1.6126916347682995E-2</v>
      </c>
      <c r="D15" s="421">
        <v>1.9338522642940996E-3</v>
      </c>
      <c r="E15" s="421">
        <v>0.20110909949687941</v>
      </c>
      <c r="F15" s="421">
        <v>8.1721304315358359E-2</v>
      </c>
      <c r="G15" s="421">
        <v>2.6773939262145888E-2</v>
      </c>
      <c r="H15" s="421">
        <v>1.964163410545296E-2</v>
      </c>
      <c r="I15" s="421">
        <v>1.1306927408010266E-2</v>
      </c>
      <c r="J15" s="421">
        <v>2.0345709016517825E-2</v>
      </c>
      <c r="K15" s="421">
        <v>9.8235935846622865E-2</v>
      </c>
      <c r="L15" s="374">
        <v>3.1697869732220848E-4</v>
      </c>
      <c r="M15" s="421">
        <v>6.5309995773990038E-4</v>
      </c>
      <c r="P15" s="195" t="s">
        <v>636</v>
      </c>
      <c r="Q15">
        <v>184</v>
      </c>
      <c r="R15" s="118">
        <f>Q15/Q16*100</f>
        <v>3.9148936170212765</v>
      </c>
      <c r="S15" s="196" t="s">
        <v>568</v>
      </c>
    </row>
    <row r="16" spans="1:19" x14ac:dyDescent="0.3">
      <c r="A16" s="84" t="s">
        <v>115</v>
      </c>
      <c r="B16" s="421">
        <v>8.6733359151412953E-5</v>
      </c>
      <c r="C16" s="421">
        <v>1.1110741938309403E-3</v>
      </c>
      <c r="D16" s="421">
        <v>2.5855421185781316E-7</v>
      </c>
      <c r="E16" s="421">
        <v>1.8273719871874414E-2</v>
      </c>
      <c r="F16" s="421">
        <v>7.3794391499110061E-3</v>
      </c>
      <c r="G16" s="421">
        <v>5.5992035288690246E-3</v>
      </c>
      <c r="H16" s="421">
        <v>6.238152652520509E-4</v>
      </c>
      <c r="I16" s="421">
        <v>1.2367044164683077E-4</v>
      </c>
      <c r="J16" s="421">
        <v>4.4481071240192398E-4</v>
      </c>
      <c r="K16" s="421">
        <v>1.1613149284971752E-2</v>
      </c>
      <c r="L16" s="374">
        <v>0</v>
      </c>
      <c r="M16" s="421">
        <v>1.5338046639374065E-3</v>
      </c>
      <c r="P16" s="231" t="s">
        <v>565</v>
      </c>
      <c r="Q16" s="232">
        <f>SUM(Q13:Q15)</f>
        <v>4700</v>
      </c>
      <c r="R16" s="232" t="s">
        <v>575</v>
      </c>
      <c r="S16" s="233"/>
    </row>
    <row r="17" spans="1:23" x14ac:dyDescent="0.3">
      <c r="A17" s="84" t="s">
        <v>116</v>
      </c>
      <c r="B17" s="421">
        <v>6.2924072151971947E-5</v>
      </c>
      <c r="C17" s="421">
        <v>1.7062794715375247E-4</v>
      </c>
      <c r="D17" s="421">
        <v>2.1217635552166355E-4</v>
      </c>
      <c r="E17" s="421">
        <v>4.0305382311056149E-3</v>
      </c>
      <c r="F17" s="421">
        <v>2.8681330795635538E-3</v>
      </c>
      <c r="G17" s="421">
        <v>0</v>
      </c>
      <c r="H17" s="421">
        <v>4.9703321891174883E-5</v>
      </c>
      <c r="I17" s="421">
        <v>4.6537012747958835E-4</v>
      </c>
      <c r="J17" s="421">
        <v>5.8075964903519491E-3</v>
      </c>
      <c r="K17" s="421">
        <v>3.0653721191027461E-3</v>
      </c>
      <c r="L17" s="374">
        <v>4.9002790875207444E-6</v>
      </c>
      <c r="M17" s="421">
        <v>7.2745448066960375E-5</v>
      </c>
    </row>
    <row r="18" spans="1:23" x14ac:dyDescent="0.3">
      <c r="A18" s="85" t="s">
        <v>117</v>
      </c>
      <c r="B18" s="421">
        <v>5.3306026591199238E-3</v>
      </c>
      <c r="C18" s="421">
        <v>2.3886940717374589E-2</v>
      </c>
      <c r="D18" s="421">
        <v>4.3386015699034622E-3</v>
      </c>
      <c r="E18" s="421">
        <v>2.8904067051552513E-3</v>
      </c>
      <c r="F18" s="421">
        <v>1.2902756316192223E-2</v>
      </c>
      <c r="G18" s="421">
        <v>4.1722075562431273E-2</v>
      </c>
      <c r="H18" s="421">
        <v>2.8451429826063719E-3</v>
      </c>
      <c r="I18" s="421">
        <v>1.2739490248206042E-2</v>
      </c>
      <c r="J18" s="421">
        <v>2.3351211772125756E-2</v>
      </c>
      <c r="K18" s="421">
        <v>6.309442770624088E-2</v>
      </c>
      <c r="L18" s="374">
        <v>0</v>
      </c>
      <c r="M18" s="421">
        <v>2.0790459475885831E-2</v>
      </c>
    </row>
    <row r="19" spans="1:23" x14ac:dyDescent="0.3">
      <c r="A19" s="84" t="s">
        <v>118</v>
      </c>
      <c r="B19" s="421">
        <v>2.439015630520557E-4</v>
      </c>
      <c r="C19" s="421">
        <v>0</v>
      </c>
      <c r="D19" s="421">
        <v>2.7051994141606358E-4</v>
      </c>
      <c r="E19" s="421">
        <v>2.7727022810161413E-4</v>
      </c>
      <c r="F19" s="421">
        <v>9.2331122908701521E-4</v>
      </c>
      <c r="G19" s="421">
        <v>8.7938670638632881E-5</v>
      </c>
      <c r="H19" s="421">
        <v>7.8267619629308958E-4</v>
      </c>
      <c r="I19" s="421">
        <v>0</v>
      </c>
      <c r="J19" s="421">
        <v>2.6962503550840627E-3</v>
      </c>
      <c r="K19" s="421">
        <v>2.7198099192756071E-3</v>
      </c>
      <c r="L19" s="374">
        <v>1.4784950076098704E-3</v>
      </c>
      <c r="M19" s="421">
        <v>6.5340906393272433E-4</v>
      </c>
    </row>
    <row r="20" spans="1:23" x14ac:dyDescent="0.3">
      <c r="A20" s="84" t="s">
        <v>119</v>
      </c>
      <c r="B20" s="421">
        <v>2.3959170998341588E-4</v>
      </c>
      <c r="C20" s="421">
        <v>0</v>
      </c>
      <c r="D20" s="421">
        <v>2.6573972962751311E-4</v>
      </c>
      <c r="E20" s="421">
        <v>2.7237073543292042E-4</v>
      </c>
      <c r="F20" s="421">
        <v>9.0699589423403552E-4</v>
      </c>
      <c r="G20" s="421">
        <v>8.6384753409677397E-5</v>
      </c>
      <c r="H20" s="421">
        <v>7.6884594730627475E-4</v>
      </c>
      <c r="I20" s="421">
        <v>0</v>
      </c>
      <c r="J20" s="421">
        <v>2.6486063692714159E-3</v>
      </c>
      <c r="K20" s="421">
        <v>2.67174962512282E-3</v>
      </c>
      <c r="L20" s="374">
        <v>1.4523693197724004E-3</v>
      </c>
      <c r="M20" s="421">
        <v>6.4186302502542813E-4</v>
      </c>
    </row>
    <row r="21" spans="1:23" x14ac:dyDescent="0.3">
      <c r="A21" s="84" t="s">
        <v>120</v>
      </c>
      <c r="B21" s="421">
        <v>1.5312279516773717E-2</v>
      </c>
      <c r="C21" s="421">
        <v>3.0917251771110446E-2</v>
      </c>
      <c r="D21" s="421">
        <v>2.7355781220453596E-2</v>
      </c>
      <c r="E21" s="421">
        <v>3.0258775338687637E-4</v>
      </c>
      <c r="F21" s="421">
        <v>3.9849321881062677E-4</v>
      </c>
      <c r="G21" s="421">
        <v>4.7080431031984718E-3</v>
      </c>
      <c r="H21" s="421">
        <v>1.3183641649379223E-3</v>
      </c>
      <c r="I21" s="421">
        <v>4.3197597637154396E-2</v>
      </c>
      <c r="J21" s="421">
        <v>1.9433337380001321E-2</v>
      </c>
      <c r="K21" s="421">
        <v>7.8768273776592904E-3</v>
      </c>
      <c r="L21" s="374">
        <v>0</v>
      </c>
      <c r="M21" s="421">
        <v>1.0151950508744787E-2</v>
      </c>
    </row>
    <row r="22" spans="1:23" x14ac:dyDescent="0.3">
      <c r="A22" s="84" t="s">
        <v>121</v>
      </c>
      <c r="B22" s="421">
        <v>3.7726798982461625E-2</v>
      </c>
      <c r="C22" s="421">
        <v>2.7855163642864746E-2</v>
      </c>
      <c r="D22" s="421">
        <v>2.6285117627784533E-2</v>
      </c>
      <c r="E22" s="421">
        <v>5.3317910590755316E-2</v>
      </c>
      <c r="F22" s="421">
        <v>7.5984876674379837E-2</v>
      </c>
      <c r="G22" s="421">
        <v>8.9589881795904755E-3</v>
      </c>
      <c r="H22" s="421">
        <v>3.2548889626891842E-2</v>
      </c>
      <c r="I22" s="421">
        <v>5.5787586237705654E-2</v>
      </c>
      <c r="J22" s="421">
        <v>6.7782810502236002E-2</v>
      </c>
      <c r="K22" s="421">
        <v>6.7333865050956468E-2</v>
      </c>
      <c r="L22" s="374">
        <v>0</v>
      </c>
      <c r="M22" s="421">
        <v>1.9990823703774308E-2</v>
      </c>
    </row>
    <row r="23" spans="1:23" x14ac:dyDescent="0.3">
      <c r="A23" s="84" t="s">
        <v>122</v>
      </c>
      <c r="B23" s="421">
        <v>1.6611298610472246E-2</v>
      </c>
      <c r="C23" s="421">
        <v>5.6499694118849607E-2</v>
      </c>
      <c r="D23" s="421">
        <v>4.2051693837096289E-2</v>
      </c>
      <c r="E23" s="421">
        <v>4.6947510766466367E-2</v>
      </c>
      <c r="F23" s="421">
        <v>9.4871367549450719E-2</v>
      </c>
      <c r="G23" s="421">
        <v>1.7413738591251369E-2</v>
      </c>
      <c r="H23" s="421">
        <v>7.1183592363716075E-2</v>
      </c>
      <c r="I23" s="421">
        <v>3.963187482955613E-2</v>
      </c>
      <c r="J23" s="421">
        <v>4.7732591070968847E-2</v>
      </c>
      <c r="K23" s="421">
        <v>6.255642502619195E-2</v>
      </c>
      <c r="L23" s="374">
        <v>0</v>
      </c>
      <c r="M23" s="421">
        <v>8.0060070909469844E-2</v>
      </c>
    </row>
    <row r="24" spans="1:23" x14ac:dyDescent="0.3">
      <c r="A24" s="84" t="s">
        <v>123</v>
      </c>
      <c r="B24" s="421">
        <v>1.3754938185521381E-2</v>
      </c>
      <c r="C24" s="421">
        <v>4.2635518367259616E-2</v>
      </c>
      <c r="D24" s="421">
        <v>1.4863599715456545E-2</v>
      </c>
      <c r="E24" s="421">
        <v>6.3606681280279728E-2</v>
      </c>
      <c r="F24" s="421">
        <v>6.7982986801529061E-2</v>
      </c>
      <c r="G24" s="421">
        <v>2.6348753268541039E-2</v>
      </c>
      <c r="H24" s="421">
        <v>0.11722116179805527</v>
      </c>
      <c r="I24" s="421">
        <v>1.8583769386191842E-2</v>
      </c>
      <c r="J24" s="421">
        <v>6.7554396720150997E-2</v>
      </c>
      <c r="K24" s="421">
        <v>3.220327469601051E-2</v>
      </c>
      <c r="L24" s="374">
        <v>0</v>
      </c>
      <c r="M24" s="421">
        <v>2.9821896428745772E-2</v>
      </c>
    </row>
    <row r="25" spans="1:23" x14ac:dyDescent="0.3">
      <c r="A25" s="3"/>
      <c r="B25" s="12"/>
      <c r="C25" s="12"/>
      <c r="D25" s="12"/>
      <c r="E25" s="12"/>
      <c r="F25" s="12"/>
      <c r="G25" s="12"/>
      <c r="H25" s="12"/>
      <c r="I25" s="12"/>
      <c r="J25" s="12"/>
      <c r="K25" s="12"/>
      <c r="W25" s="87"/>
    </row>
    <row r="26" spans="1:23" x14ac:dyDescent="0.3">
      <c r="A26" s="84" t="s">
        <v>356</v>
      </c>
      <c r="B26" s="10">
        <f>SUM(B11:B13)</f>
        <v>0.90515626039905861</v>
      </c>
      <c r="C26" s="10">
        <f t="shared" ref="C26:K26" si="1">SUM(C11:C13)</f>
        <v>0.79099181039253241</v>
      </c>
      <c r="D26" s="10">
        <f t="shared" si="1"/>
        <v>0.8811237428279397</v>
      </c>
      <c r="E26" s="10">
        <f t="shared" si="1"/>
        <v>0.54173183107650524</v>
      </c>
      <c r="F26" s="10">
        <f t="shared" si="1"/>
        <v>0.64028262181335371</v>
      </c>
      <c r="G26" s="10">
        <f t="shared" si="1"/>
        <v>0.77115999059316975</v>
      </c>
      <c r="H26" s="10">
        <f t="shared" si="1"/>
        <v>0.75001234775530334</v>
      </c>
      <c r="I26" s="10">
        <f t="shared" si="1"/>
        <v>0.81439875136887252</v>
      </c>
      <c r="J26" s="10">
        <f t="shared" si="1"/>
        <v>0.72735060675385177</v>
      </c>
      <c r="K26" s="10">
        <f t="shared" si="1"/>
        <v>0.57414651900762492</v>
      </c>
      <c r="L26" s="10">
        <f>SUM(L11:L13)</f>
        <v>0.96085106382978713</v>
      </c>
      <c r="M26" s="10">
        <f>SUM(M11:M13)</f>
        <v>0.82172001508475456</v>
      </c>
    </row>
    <row r="27" spans="1:23" x14ac:dyDescent="0.3">
      <c r="L27"/>
      <c r="M27"/>
      <c r="Q27" s="5"/>
    </row>
    <row r="28" spans="1:23" x14ac:dyDescent="0.3">
      <c r="L28" s="177"/>
      <c r="M28" s="177"/>
    </row>
    <row r="29" spans="1:23" x14ac:dyDescent="0.3">
      <c r="A29" s="125" t="s">
        <v>124</v>
      </c>
      <c r="B29" s="125"/>
      <c r="C29" s="125"/>
      <c r="D29" s="125"/>
      <c r="E29" s="125"/>
      <c r="F29" s="125"/>
      <c r="G29" s="125"/>
      <c r="H29" s="125"/>
      <c r="I29" s="125"/>
      <c r="J29" s="125"/>
      <c r="K29" s="125"/>
      <c r="L29" s="179"/>
      <c r="M29" s="179"/>
      <c r="O29" s="178" t="s">
        <v>125</v>
      </c>
      <c r="P29" s="178" t="s">
        <v>126</v>
      </c>
      <c r="Q29" s="5"/>
    </row>
    <row r="30" spans="1:23" x14ac:dyDescent="0.3">
      <c r="A30" s="3" t="s">
        <v>592</v>
      </c>
      <c r="B30" s="121">
        <f>$L$30</f>
        <v>2611.1111111111109</v>
      </c>
      <c r="C30" s="121">
        <f t="shared" ref="C30:M30" si="2">$L$30</f>
        <v>2611.1111111111109</v>
      </c>
      <c r="D30" s="121">
        <f t="shared" si="2"/>
        <v>2611.1111111111109</v>
      </c>
      <c r="E30" s="121">
        <f t="shared" si="2"/>
        <v>2611.1111111111109</v>
      </c>
      <c r="F30" s="121">
        <f t="shared" si="2"/>
        <v>2611.1111111111109</v>
      </c>
      <c r="G30" s="121">
        <f t="shared" si="2"/>
        <v>2611.1111111111109</v>
      </c>
      <c r="H30" s="121">
        <f t="shared" si="2"/>
        <v>2611.1111111111109</v>
      </c>
      <c r="I30" s="121">
        <f t="shared" si="2"/>
        <v>2611.1111111111109</v>
      </c>
      <c r="J30" s="121">
        <f t="shared" si="2"/>
        <v>2611.1111111111109</v>
      </c>
      <c r="K30" s="121">
        <f t="shared" si="2"/>
        <v>2611.1111111111109</v>
      </c>
      <c r="L30" s="301">
        <f>Q16/2/0.9</f>
        <v>2611.1111111111109</v>
      </c>
      <c r="M30" s="121">
        <f t="shared" si="2"/>
        <v>2611.1111111111109</v>
      </c>
      <c r="O30" s="88" t="s">
        <v>609</v>
      </c>
      <c r="P30" s="88" t="s">
        <v>610</v>
      </c>
      <c r="Q30" s="5"/>
    </row>
    <row r="31" spans="1:23" x14ac:dyDescent="0.3">
      <c r="L31" s="177"/>
      <c r="M31" s="177"/>
      <c r="O31" s="88"/>
      <c r="P31" s="88"/>
    </row>
    <row r="32" spans="1:23" x14ac:dyDescent="0.3">
      <c r="A32" s="125" t="s">
        <v>127</v>
      </c>
      <c r="B32" s="125"/>
      <c r="C32" s="125"/>
      <c r="D32" s="125"/>
      <c r="E32" s="125"/>
      <c r="F32" s="125"/>
      <c r="G32" s="125"/>
      <c r="H32" s="125"/>
      <c r="I32" s="125"/>
      <c r="J32" s="125"/>
      <c r="K32" s="125"/>
      <c r="L32" s="179"/>
      <c r="M32" s="179"/>
      <c r="O32" s="88"/>
    </row>
    <row r="33" spans="1:19" x14ac:dyDescent="0.3">
      <c r="A33" s="3" t="s">
        <v>582</v>
      </c>
      <c r="B33" s="118">
        <v>52</v>
      </c>
      <c r="C33" s="118">
        <v>52</v>
      </c>
      <c r="D33" s="118">
        <v>52</v>
      </c>
      <c r="E33" s="118">
        <v>52</v>
      </c>
      <c r="F33" s="118">
        <v>52</v>
      </c>
      <c r="G33" s="118">
        <v>52</v>
      </c>
      <c r="H33" s="118">
        <v>52</v>
      </c>
      <c r="I33" s="118">
        <v>52</v>
      </c>
      <c r="J33" s="118">
        <v>52</v>
      </c>
      <c r="K33" s="118">
        <v>52</v>
      </c>
      <c r="L33" s="118">
        <v>52</v>
      </c>
      <c r="M33" s="118">
        <v>52</v>
      </c>
      <c r="O33" s="88" t="s">
        <v>581</v>
      </c>
      <c r="P33" s="88"/>
    </row>
    <row r="34" spans="1:19" x14ac:dyDescent="0.3">
      <c r="L34" s="16"/>
      <c r="M34" s="16"/>
      <c r="O34" s="88"/>
      <c r="P34" s="88"/>
      <c r="Q34" s="88"/>
      <c r="S34" s="88"/>
    </row>
    <row r="35" spans="1:19" x14ac:dyDescent="0.3">
      <c r="A35" s="125" t="s">
        <v>128</v>
      </c>
      <c r="B35" s="125"/>
      <c r="C35" s="125"/>
      <c r="D35" s="125"/>
      <c r="E35" s="125"/>
      <c r="F35" s="125"/>
      <c r="G35" s="125"/>
      <c r="H35" s="125"/>
      <c r="I35" s="125"/>
      <c r="J35" s="125"/>
      <c r="K35" s="125"/>
      <c r="L35" s="179"/>
      <c r="M35" s="179"/>
      <c r="O35" s="88"/>
    </row>
    <row r="36" spans="1:19" x14ac:dyDescent="0.3">
      <c r="A36" s="3" t="s">
        <v>526</v>
      </c>
      <c r="B36" s="15">
        <f>$L$36</f>
        <v>1300</v>
      </c>
      <c r="C36" s="15">
        <f t="shared" ref="C36:K36" si="3">$L$36</f>
        <v>1300</v>
      </c>
      <c r="D36" s="15">
        <f t="shared" si="3"/>
        <v>1300</v>
      </c>
      <c r="E36" s="15">
        <f t="shared" si="3"/>
        <v>1300</v>
      </c>
      <c r="F36" s="15">
        <f t="shared" si="3"/>
        <v>1300</v>
      </c>
      <c r="G36" s="15">
        <f t="shared" si="3"/>
        <v>1300</v>
      </c>
      <c r="H36" s="15">
        <f t="shared" si="3"/>
        <v>1300</v>
      </c>
      <c r="I36" s="15">
        <f t="shared" si="3"/>
        <v>1300</v>
      </c>
      <c r="J36" s="15">
        <f t="shared" si="3"/>
        <v>1300</v>
      </c>
      <c r="K36" s="15">
        <f t="shared" si="3"/>
        <v>1300</v>
      </c>
      <c r="L36" s="12">
        <f>1300</f>
        <v>1300</v>
      </c>
      <c r="M36" s="12">
        <f>1300</f>
        <v>1300</v>
      </c>
      <c r="O36" s="176" t="s">
        <v>359</v>
      </c>
    </row>
    <row r="37" spans="1:19" x14ac:dyDescent="0.3">
      <c r="O37" s="88"/>
    </row>
    <row r="38" spans="1:19" x14ac:dyDescent="0.3">
      <c r="A38" s="125" t="s">
        <v>129</v>
      </c>
      <c r="B38" s="125"/>
      <c r="C38" s="125"/>
      <c r="D38" s="125"/>
      <c r="E38" s="125"/>
      <c r="F38" s="125"/>
      <c r="G38" s="125"/>
      <c r="H38" s="125"/>
      <c r="I38" s="125"/>
      <c r="J38" s="125"/>
      <c r="K38" s="125"/>
      <c r="L38" s="179"/>
      <c r="M38" s="179"/>
    </row>
    <row r="39" spans="1:19" x14ac:dyDescent="0.3">
      <c r="A39" s="3" t="s">
        <v>278</v>
      </c>
      <c r="B39" s="13">
        <v>1.1000000000000001</v>
      </c>
      <c r="C39" s="13">
        <v>1.1000000000000001</v>
      </c>
      <c r="D39" s="13">
        <v>1.1000000000000001</v>
      </c>
      <c r="E39" s="13">
        <v>1.1000000000000001</v>
      </c>
      <c r="F39" s="13">
        <v>1.1000000000000001</v>
      </c>
      <c r="G39" s="13">
        <v>1.1000000000000001</v>
      </c>
      <c r="H39" s="13">
        <v>1.1000000000000001</v>
      </c>
      <c r="I39" s="13">
        <v>1.1000000000000001</v>
      </c>
      <c r="J39" s="13">
        <v>1.1000000000000001</v>
      </c>
      <c r="K39" s="13">
        <v>1.1000000000000001</v>
      </c>
      <c r="L39" s="13">
        <v>1.1000000000000001</v>
      </c>
      <c r="M39" s="13">
        <v>1.1000000000000001</v>
      </c>
      <c r="O39" s="250" t="s">
        <v>130</v>
      </c>
    </row>
    <row r="40" spans="1:19" x14ac:dyDescent="0.3">
      <c r="A40" s="3" t="s">
        <v>279</v>
      </c>
      <c r="B40" s="12">
        <v>0.9</v>
      </c>
      <c r="C40" s="12">
        <v>0.9</v>
      </c>
      <c r="D40" s="12">
        <v>0.9</v>
      </c>
      <c r="E40" s="12">
        <v>0.9</v>
      </c>
      <c r="F40" s="12">
        <v>0.9</v>
      </c>
      <c r="G40" s="12">
        <v>0.9</v>
      </c>
      <c r="H40" s="12">
        <v>0.9</v>
      </c>
      <c r="I40" s="12">
        <v>0.9</v>
      </c>
      <c r="J40" s="12">
        <v>0.9</v>
      </c>
      <c r="K40" s="12">
        <v>0.9</v>
      </c>
      <c r="L40" s="12">
        <v>0.9</v>
      </c>
      <c r="M40" s="12">
        <v>0.9</v>
      </c>
      <c r="O40" s="357"/>
    </row>
    <row r="41" spans="1:19" x14ac:dyDescent="0.3">
      <c r="L41" s="177"/>
      <c r="M41" s="177"/>
    </row>
    <row r="42" spans="1:19" x14ac:dyDescent="0.3">
      <c r="A42" s="125" t="s">
        <v>131</v>
      </c>
      <c r="B42" s="125"/>
      <c r="C42" s="125"/>
      <c r="D42" s="125"/>
      <c r="E42" s="125"/>
      <c r="F42" s="125"/>
      <c r="G42" s="125"/>
      <c r="H42" s="125"/>
      <c r="I42" s="125"/>
      <c r="J42" s="125"/>
      <c r="K42" s="125"/>
      <c r="L42" s="179"/>
      <c r="M42" s="179"/>
      <c r="O42" s="88"/>
    </row>
    <row r="43" spans="1:19" x14ac:dyDescent="0.3">
      <c r="A43" s="3" t="s">
        <v>132</v>
      </c>
      <c r="B43" s="18">
        <f>SUMPRODUCT(B44:B46,'Parameters, general'!$B$23:$B$25)</f>
        <v>0.38627677177026798</v>
      </c>
      <c r="C43" s="18">
        <f>SUMPRODUCT(C44:C46,'Parameters, general'!$B$23:$B$25)</f>
        <v>9.5381405160222713E-2</v>
      </c>
      <c r="D43" s="18">
        <f>SUMPRODUCT(D44:D46,'Parameters, general'!$B$23:$B$25)</f>
        <v>0.49048549543962316</v>
      </c>
      <c r="E43" s="18">
        <f>SUMPRODUCT(E44:E46,'Parameters, general'!$B$23:$B$25)</f>
        <v>0.67841599837959998</v>
      </c>
      <c r="F43" s="18">
        <f>SUMPRODUCT(F44:F46,'Parameters, general'!$B$23:$B$25)</f>
        <v>0.47045713416211871</v>
      </c>
      <c r="G43" s="18">
        <f>SUMPRODUCT(G44:G46,'Parameters, general'!$B$23:$B$25)</f>
        <v>0.40484566156116741</v>
      </c>
      <c r="H43" s="18">
        <f>SUMPRODUCT(H44:H46,'Parameters, general'!$B$23:$B$25)</f>
        <v>0.42738626455461243</v>
      </c>
      <c r="I43" s="18">
        <f>SUMPRODUCT(I44:I46,'Parameters, general'!$B$23:$B$25)</f>
        <v>0.52657781797980341</v>
      </c>
      <c r="J43" s="18">
        <f>SUMPRODUCT(J44:J46,'Parameters, general'!$B$23:$B$25)</f>
        <v>1.0319324183189464</v>
      </c>
      <c r="K43" s="18">
        <f>SUMPRODUCT(K44:K46,'Parameters, general'!$B$23:$B$25)</f>
        <v>0.29314059765558081</v>
      </c>
      <c r="L43" s="18">
        <f>SUMPRODUCT(L44:L46,'Parameters, general'!$B$23:$B$25)</f>
        <v>9.1599695300547013E-2</v>
      </c>
      <c r="M43" s="18">
        <v>0.4112020916109686</v>
      </c>
      <c r="O43" s="88" t="s">
        <v>133</v>
      </c>
    </row>
    <row r="44" spans="1:19" x14ac:dyDescent="0.3">
      <c r="A44" s="3" t="s">
        <v>134</v>
      </c>
      <c r="B44" s="72">
        <v>0.37053203522740003</v>
      </c>
      <c r="C44" s="142">
        <v>8.7112695367499993E-2</v>
      </c>
      <c r="D44" s="72">
        <v>0.46350339663360002</v>
      </c>
      <c r="E44" s="72">
        <v>0.63996298020209996</v>
      </c>
      <c r="F44" s="72">
        <v>0.43715184780049998</v>
      </c>
      <c r="G44" s="72">
        <v>0.3918720101247401</v>
      </c>
      <c r="H44" s="72">
        <v>0.37797633435819999</v>
      </c>
      <c r="I44" s="72">
        <v>0.49673189321139988</v>
      </c>
      <c r="J44" s="72">
        <v>0.9754510606115</v>
      </c>
      <c r="K44" s="72">
        <v>0.26811508139590001</v>
      </c>
      <c r="L44" s="72">
        <v>8.8450339728460003E-2</v>
      </c>
      <c r="M44" s="426">
        <v>0.39396368680829996</v>
      </c>
      <c r="O44" s="88"/>
    </row>
    <row r="45" spans="1:19" x14ac:dyDescent="0.3">
      <c r="A45" s="3" t="s">
        <v>135</v>
      </c>
      <c r="B45" s="141">
        <v>5.1107441647039987E-4</v>
      </c>
      <c r="C45" s="141">
        <v>2.700762131814E-4</v>
      </c>
      <c r="D45" s="141">
        <v>8.866310670443999E-4</v>
      </c>
      <c r="E45" s="141">
        <v>1.2704162262849E-3</v>
      </c>
      <c r="F45" s="141">
        <v>1.1037499887663997E-3</v>
      </c>
      <c r="G45" s="141">
        <v>4.22314047096554E-4</v>
      </c>
      <c r="H45" s="141">
        <v>1.6431484401077997E-3</v>
      </c>
      <c r="I45" s="141">
        <v>9.8347245312259998E-4</v>
      </c>
      <c r="J45" s="141">
        <v>1.8794008186636402E-3</v>
      </c>
      <c r="K45" s="141">
        <v>8.28784824796E-4</v>
      </c>
      <c r="L45" s="141">
        <v>9.8278548655939986E-5</v>
      </c>
      <c r="M45" s="426">
        <v>5.6578726519659992E-4</v>
      </c>
      <c r="O45" s="88"/>
    </row>
    <row r="46" spans="1:19" x14ac:dyDescent="0.3">
      <c r="A46" s="3" t="s">
        <v>136</v>
      </c>
      <c r="B46" s="91">
        <v>1.9063664150000001E-5</v>
      </c>
      <c r="C46" s="91">
        <v>8.1643940709999986E-6</v>
      </c>
      <c r="D46" s="91">
        <v>2.0759000300000004E-5</v>
      </c>
      <c r="E46" s="91">
        <v>2.2022764229999999E-5</v>
      </c>
      <c r="F46" s="91">
        <v>1.5316173940000001E-5</v>
      </c>
      <c r="G46" s="91">
        <v>1.439603085E-5</v>
      </c>
      <c r="H46" s="91">
        <v>1.6448395599999999E-5</v>
      </c>
      <c r="I46" s="91">
        <v>1.9942432050000001E-5</v>
      </c>
      <c r="J46" s="91">
        <v>1.7600493009999999E-5</v>
      </c>
      <c r="K46" s="91">
        <v>1.213809188E-5</v>
      </c>
      <c r="L46" s="91">
        <v>8.172400819999999E-6</v>
      </c>
      <c r="M46" s="426">
        <v>1.3997937029999999E-5</v>
      </c>
    </row>
    <row r="47" spans="1:19" x14ac:dyDescent="0.3">
      <c r="A47" s="3"/>
    </row>
    <row r="48" spans="1:19" x14ac:dyDescent="0.3">
      <c r="A48" s="125" t="s">
        <v>137</v>
      </c>
      <c r="B48" s="125"/>
      <c r="C48" s="125"/>
      <c r="D48" s="125"/>
      <c r="E48" s="125"/>
      <c r="F48" s="125"/>
      <c r="G48" s="125"/>
      <c r="H48" s="125"/>
      <c r="I48" s="125"/>
      <c r="J48" s="125"/>
      <c r="K48" s="125"/>
      <c r="L48" s="179"/>
      <c r="M48" s="179"/>
      <c r="O48" s="88"/>
    </row>
    <row r="49" spans="1:18" x14ac:dyDescent="0.3">
      <c r="A49" s="3" t="s">
        <v>138</v>
      </c>
      <c r="B49" s="14">
        <v>0.19</v>
      </c>
      <c r="C49" s="14">
        <v>0.19</v>
      </c>
      <c r="D49" s="14">
        <v>0.19</v>
      </c>
      <c r="E49" s="14">
        <v>0.19</v>
      </c>
      <c r="F49" s="14">
        <v>0.19</v>
      </c>
      <c r="G49" s="14">
        <v>0.19</v>
      </c>
      <c r="H49" s="14">
        <v>0.19</v>
      </c>
      <c r="I49" s="14">
        <v>0.19</v>
      </c>
      <c r="J49" s="14">
        <v>0.19</v>
      </c>
      <c r="K49" s="14">
        <v>0.19</v>
      </c>
      <c r="L49" s="14">
        <v>0.19</v>
      </c>
      <c r="M49" s="14"/>
      <c r="O49" s="88" t="s">
        <v>139</v>
      </c>
    </row>
    <row r="50" spans="1:18" x14ac:dyDescent="0.3">
      <c r="L50" s="12"/>
      <c r="M50" s="12"/>
      <c r="O50" s="88"/>
    </row>
    <row r="51" spans="1:18" x14ac:dyDescent="0.3">
      <c r="A51" s="125" t="s">
        <v>140</v>
      </c>
      <c r="B51" s="125"/>
      <c r="C51" s="125"/>
      <c r="D51" s="125"/>
      <c r="E51" s="125"/>
      <c r="F51" s="125"/>
      <c r="G51" s="125"/>
      <c r="H51" s="125"/>
      <c r="I51" s="125"/>
      <c r="J51" s="125"/>
      <c r="K51" s="125"/>
      <c r="L51" s="191"/>
      <c r="M51" s="191"/>
      <c r="O51" s="88"/>
    </row>
    <row r="52" spans="1:18" x14ac:dyDescent="0.3">
      <c r="A52" s="3" t="s">
        <v>141</v>
      </c>
      <c r="B52" s="106">
        <v>0.6</v>
      </c>
      <c r="C52" s="106">
        <v>0.3</v>
      </c>
      <c r="D52" s="106">
        <v>0.3</v>
      </c>
      <c r="E52" s="106">
        <v>0.3</v>
      </c>
      <c r="F52" s="106">
        <v>0.3</v>
      </c>
      <c r="G52" s="106">
        <v>0.3</v>
      </c>
      <c r="H52" s="106">
        <v>0.3</v>
      </c>
      <c r="I52" s="106">
        <v>0.3</v>
      </c>
      <c r="J52" s="106">
        <v>0.3</v>
      </c>
      <c r="K52" s="106">
        <v>0.3</v>
      </c>
      <c r="L52" s="106">
        <v>0.6</v>
      </c>
      <c r="M52" s="106">
        <v>0.3</v>
      </c>
      <c r="O52" s="88" t="s">
        <v>139</v>
      </c>
    </row>
    <row r="53" spans="1:18" x14ac:dyDescent="0.3">
      <c r="A53" s="3" t="s">
        <v>142</v>
      </c>
      <c r="B53" s="107">
        <v>0.4</v>
      </c>
      <c r="C53" s="107">
        <v>0.7</v>
      </c>
      <c r="D53" s="107">
        <v>0.7</v>
      </c>
      <c r="E53" s="107">
        <v>0.7</v>
      </c>
      <c r="F53" s="107">
        <v>0.7</v>
      </c>
      <c r="G53" s="107">
        <v>0.7</v>
      </c>
      <c r="H53" s="107">
        <v>0.7</v>
      </c>
      <c r="I53" s="107">
        <v>0.7</v>
      </c>
      <c r="J53" s="107">
        <v>0.7</v>
      </c>
      <c r="K53" s="107">
        <v>0.7</v>
      </c>
      <c r="L53" s="107">
        <v>0.4</v>
      </c>
      <c r="M53" s="107">
        <v>0.7</v>
      </c>
    </row>
    <row r="54" spans="1:18" x14ac:dyDescent="0.3">
      <c r="L54" s="12"/>
      <c r="M54"/>
    </row>
    <row r="55" spans="1:18" x14ac:dyDescent="0.3">
      <c r="A55" s="125" t="s">
        <v>143</v>
      </c>
      <c r="B55" s="125"/>
      <c r="C55" s="125"/>
      <c r="D55" s="125"/>
      <c r="E55" s="125"/>
      <c r="F55" s="125"/>
      <c r="G55" s="125"/>
      <c r="H55" s="125"/>
      <c r="I55" s="125"/>
      <c r="J55" s="125"/>
      <c r="K55" s="125"/>
      <c r="L55" s="179"/>
      <c r="M55" s="125"/>
    </row>
    <row r="56" spans="1:18" x14ac:dyDescent="0.3">
      <c r="A56" s="86" t="s">
        <v>144</v>
      </c>
      <c r="B56" s="30">
        <v>1.6E-2</v>
      </c>
      <c r="C56" s="30">
        <v>1.6E-2</v>
      </c>
      <c r="D56" s="30">
        <v>1.6E-2</v>
      </c>
      <c r="E56" s="30">
        <v>1.6E-2</v>
      </c>
      <c r="F56" s="30">
        <v>1.6E-2</v>
      </c>
      <c r="G56" s="30">
        <v>1.6E-2</v>
      </c>
      <c r="H56" s="30">
        <v>1.6E-2</v>
      </c>
      <c r="I56" s="30">
        <v>1.6E-2</v>
      </c>
      <c r="J56" s="30">
        <v>1.6E-2</v>
      </c>
      <c r="K56" s="30">
        <v>1.6E-2</v>
      </c>
      <c r="L56" s="30">
        <v>1.6E-2</v>
      </c>
      <c r="M56" s="30">
        <v>1.6E-2</v>
      </c>
    </row>
    <row r="57" spans="1:18" x14ac:dyDescent="0.3">
      <c r="A57" s="86" t="s">
        <v>468</v>
      </c>
      <c r="B57" s="30">
        <v>6.0000000000000001E-3</v>
      </c>
      <c r="C57" s="30">
        <v>6.0000000000000001E-3</v>
      </c>
      <c r="D57" s="30">
        <v>6.0000000000000001E-3</v>
      </c>
      <c r="E57" s="30">
        <v>6.0000000000000001E-3</v>
      </c>
      <c r="F57" s="30">
        <v>6.0000000000000001E-3</v>
      </c>
      <c r="G57" s="30">
        <v>6.0000000000000001E-3</v>
      </c>
      <c r="H57" s="30">
        <v>6.0000000000000001E-3</v>
      </c>
      <c r="I57" s="30">
        <v>6.0000000000000001E-3</v>
      </c>
      <c r="J57" s="30">
        <v>6.0000000000000001E-3</v>
      </c>
      <c r="K57" s="30">
        <v>6.0000000000000001E-3</v>
      </c>
      <c r="L57" s="30">
        <v>6.0000000000000001E-3</v>
      </c>
      <c r="M57" s="30">
        <v>6.0000000000000001E-3</v>
      </c>
    </row>
    <row r="58" spans="1:18" x14ac:dyDescent="0.3">
      <c r="A58" s="3" t="s">
        <v>145</v>
      </c>
      <c r="B58" s="4">
        <f t="shared" ref="B58:M58" si="4">B56-B57</f>
        <v>0.01</v>
      </c>
      <c r="C58" s="4">
        <f t="shared" si="4"/>
        <v>0.01</v>
      </c>
      <c r="D58" s="4">
        <f t="shared" si="4"/>
        <v>0.01</v>
      </c>
      <c r="E58" s="4">
        <f t="shared" si="4"/>
        <v>0.01</v>
      </c>
      <c r="F58" s="4">
        <f t="shared" si="4"/>
        <v>0.01</v>
      </c>
      <c r="G58" s="4">
        <f t="shared" si="4"/>
        <v>0.01</v>
      </c>
      <c r="H58" s="4">
        <f t="shared" si="4"/>
        <v>0.01</v>
      </c>
      <c r="I58" s="4">
        <f t="shared" si="4"/>
        <v>0.01</v>
      </c>
      <c r="J58" s="4">
        <f t="shared" si="4"/>
        <v>0.01</v>
      </c>
      <c r="K58" s="4">
        <f t="shared" si="4"/>
        <v>0.01</v>
      </c>
      <c r="L58" s="72">
        <f t="shared" si="4"/>
        <v>0.01</v>
      </c>
      <c r="M58" s="4">
        <f t="shared" si="4"/>
        <v>0.01</v>
      </c>
    </row>
    <row r="59" spans="1:18" x14ac:dyDescent="0.3">
      <c r="A59" s="86" t="s">
        <v>146</v>
      </c>
      <c r="B59" s="31">
        <v>0.1</v>
      </c>
      <c r="C59" s="31">
        <v>0.1</v>
      </c>
      <c r="D59" s="31">
        <v>0.1</v>
      </c>
      <c r="E59" s="31">
        <v>0.1</v>
      </c>
      <c r="F59" s="31">
        <v>0.1</v>
      </c>
      <c r="G59" s="31">
        <v>0.1</v>
      </c>
      <c r="H59" s="31">
        <v>0.1</v>
      </c>
      <c r="I59" s="31">
        <v>0.1</v>
      </c>
      <c r="J59" s="31">
        <v>0.1</v>
      </c>
      <c r="K59" s="31">
        <v>0.1</v>
      </c>
      <c r="L59" s="108">
        <v>0.1</v>
      </c>
      <c r="M59" s="31">
        <v>0.1</v>
      </c>
    </row>
    <row r="60" spans="1:18" x14ac:dyDescent="0.3">
      <c r="A60" s="3"/>
      <c r="L60" s="12"/>
      <c r="M60" s="12"/>
      <c r="R60" t="s">
        <v>544</v>
      </c>
    </row>
    <row r="61" spans="1:18" x14ac:dyDescent="0.3">
      <c r="A61" s="125" t="s">
        <v>147</v>
      </c>
      <c r="B61" s="125"/>
      <c r="C61" s="125"/>
      <c r="D61" s="125"/>
      <c r="E61" s="125"/>
      <c r="F61" s="125"/>
      <c r="G61" s="125"/>
      <c r="H61" s="125"/>
      <c r="I61" s="125"/>
      <c r="J61" s="125"/>
      <c r="K61" s="125"/>
      <c r="L61" s="191"/>
      <c r="M61" s="191"/>
      <c r="O61" s="88"/>
    </row>
    <row r="62" spans="1:18" x14ac:dyDescent="0.3">
      <c r="A62" s="86" t="s">
        <v>147</v>
      </c>
      <c r="B62" s="35">
        <v>0</v>
      </c>
      <c r="C62" s="35">
        <v>0</v>
      </c>
      <c r="D62" s="35">
        <v>0</v>
      </c>
      <c r="E62" s="35">
        <v>0</v>
      </c>
      <c r="F62" s="35">
        <v>0</v>
      </c>
      <c r="G62" s="35">
        <v>0</v>
      </c>
      <c r="H62" s="35">
        <v>0</v>
      </c>
      <c r="I62" s="35">
        <v>0</v>
      </c>
      <c r="J62" s="35">
        <v>0</v>
      </c>
      <c r="K62" s="35">
        <v>0</v>
      </c>
      <c r="L62" s="35">
        <v>0</v>
      </c>
      <c r="M62" s="35">
        <v>0</v>
      </c>
      <c r="O62" s="88" t="s">
        <v>604</v>
      </c>
    </row>
    <row r="63" spans="1:18" x14ac:dyDescent="0.3">
      <c r="L63" s="12"/>
      <c r="M63" s="12"/>
      <c r="O63" s="88"/>
    </row>
    <row r="64" spans="1:18" x14ac:dyDescent="0.3">
      <c r="A64" s="125" t="s">
        <v>148</v>
      </c>
      <c r="B64" s="125"/>
      <c r="C64" s="125"/>
      <c r="D64" s="125"/>
      <c r="E64" s="125"/>
      <c r="F64" s="125"/>
      <c r="G64" s="125"/>
      <c r="H64" s="125"/>
      <c r="I64" s="125"/>
      <c r="J64" s="125"/>
      <c r="K64" s="125"/>
      <c r="L64" s="179"/>
      <c r="M64" s="179"/>
      <c r="O64" s="88"/>
    </row>
    <row r="65" spans="1:15" x14ac:dyDescent="0.3">
      <c r="A65" s="86" t="s">
        <v>360</v>
      </c>
      <c r="B65" s="108">
        <v>33.6</v>
      </c>
      <c r="C65" s="108">
        <v>33.6</v>
      </c>
      <c r="D65" s="108">
        <v>33.6</v>
      </c>
      <c r="E65" s="108">
        <v>33.6</v>
      </c>
      <c r="F65" s="108">
        <v>33.6</v>
      </c>
      <c r="G65" s="108">
        <v>33.6</v>
      </c>
      <c r="H65" s="108">
        <v>33.6</v>
      </c>
      <c r="I65" s="108">
        <v>33.6</v>
      </c>
      <c r="J65" s="108">
        <v>33.6</v>
      </c>
      <c r="K65" s="108">
        <v>33.6</v>
      </c>
      <c r="L65" s="108">
        <v>33.6</v>
      </c>
      <c r="M65" s="108">
        <v>33.6</v>
      </c>
      <c r="O65" s="88" t="s">
        <v>149</v>
      </c>
    </row>
    <row r="66" spans="1:15" x14ac:dyDescent="0.3">
      <c r="A66" s="86" t="s">
        <v>361</v>
      </c>
      <c r="B66" s="108">
        <v>16.399999999999999</v>
      </c>
      <c r="C66" s="108">
        <v>16.399999999999999</v>
      </c>
      <c r="D66" s="108">
        <v>16.399999999999999</v>
      </c>
      <c r="E66" s="108">
        <v>16.399999999999999</v>
      </c>
      <c r="F66" s="108">
        <v>16.399999999999999</v>
      </c>
      <c r="G66" s="108">
        <v>16.399999999999999</v>
      </c>
      <c r="H66" s="108">
        <v>16.399999999999999</v>
      </c>
      <c r="I66" s="108">
        <v>16.399999999999999</v>
      </c>
      <c r="J66" s="108">
        <v>16.399999999999999</v>
      </c>
      <c r="K66" s="108">
        <v>16.399999999999999</v>
      </c>
      <c r="L66" s="108">
        <v>16.399999999999999</v>
      </c>
      <c r="M66" s="108">
        <v>16.399999999999999</v>
      </c>
      <c r="O66" s="88"/>
    </row>
    <row r="67" spans="1:15" x14ac:dyDescent="0.3">
      <c r="O67" s="88"/>
    </row>
    <row r="68" spans="1:15" x14ac:dyDescent="0.3">
      <c r="A68" s="125" t="s">
        <v>150</v>
      </c>
      <c r="B68" s="125"/>
      <c r="C68" s="125"/>
      <c r="D68" s="125"/>
      <c r="E68" s="125"/>
      <c r="F68" s="125"/>
      <c r="G68" s="125"/>
      <c r="H68" s="125"/>
      <c r="I68" s="125"/>
      <c r="J68" s="125"/>
      <c r="K68" s="125"/>
      <c r="L68" s="179"/>
      <c r="M68" s="179"/>
      <c r="O68" s="88"/>
    </row>
    <row r="69" spans="1:15" x14ac:dyDescent="0.3">
      <c r="A69" s="86" t="s">
        <v>151</v>
      </c>
      <c r="B69" s="222"/>
      <c r="C69" s="222"/>
      <c r="D69" s="222"/>
      <c r="E69" s="222"/>
      <c r="F69" s="222"/>
      <c r="G69" s="222"/>
      <c r="H69" s="222"/>
      <c r="I69" s="222"/>
      <c r="J69" s="222"/>
      <c r="K69" s="222"/>
      <c r="L69" s="222"/>
      <c r="M69" s="222"/>
      <c r="O69" s="88"/>
    </row>
    <row r="70" spans="1:15" x14ac:dyDescent="0.3">
      <c r="L70" s="177"/>
      <c r="M70" s="177"/>
      <c r="O70" s="88"/>
    </row>
    <row r="71" spans="1:15" x14ac:dyDescent="0.3">
      <c r="A71" s="86"/>
      <c r="B71" s="12"/>
      <c r="C71" s="12"/>
      <c r="D71" s="12"/>
      <c r="E71" s="12"/>
      <c r="F71" s="12"/>
      <c r="G71" s="12"/>
      <c r="H71" s="12"/>
      <c r="I71" s="12"/>
      <c r="J71" s="12"/>
      <c r="K71" s="12"/>
      <c r="L71" s="12"/>
      <c r="M71" s="12"/>
      <c r="O71" s="88"/>
    </row>
    <row r="72" spans="1:15" x14ac:dyDescent="0.3">
      <c r="A72" s="3"/>
      <c r="B72" s="12"/>
      <c r="C72" s="12"/>
      <c r="D72" s="12"/>
      <c r="E72" s="12"/>
      <c r="F72" s="12"/>
      <c r="G72" s="12"/>
      <c r="H72" s="12"/>
      <c r="I72" s="12"/>
      <c r="J72" s="12"/>
      <c r="K72" s="12"/>
      <c r="L72" s="12"/>
      <c r="M72" s="12"/>
      <c r="O72" s="88"/>
    </row>
    <row r="73" spans="1:15" x14ac:dyDescent="0.3">
      <c r="A73" s="3"/>
      <c r="B73" s="12"/>
      <c r="C73" s="12"/>
      <c r="D73" s="12"/>
      <c r="E73" s="12"/>
      <c r="F73" s="12"/>
      <c r="G73" s="12"/>
      <c r="H73" s="12"/>
      <c r="I73" s="12"/>
      <c r="J73" s="12"/>
      <c r="K73" s="12"/>
      <c r="L73" s="12"/>
      <c r="M73" s="12"/>
      <c r="O73" s="88"/>
    </row>
    <row r="74" spans="1:15" x14ac:dyDescent="0.3">
      <c r="A74" s="3"/>
      <c r="B74" s="12"/>
      <c r="C74" s="12"/>
      <c r="D74" s="12"/>
      <c r="E74" s="12"/>
      <c r="F74" s="12"/>
      <c r="G74" s="12"/>
      <c r="H74" s="12"/>
      <c r="I74" s="12"/>
      <c r="J74" s="12"/>
      <c r="K74" s="12"/>
      <c r="L74" s="12"/>
      <c r="M74" s="12"/>
      <c r="O74" s="88"/>
    </row>
    <row r="75" spans="1:15" x14ac:dyDescent="0.3">
      <c r="A75" s="3"/>
      <c r="B75" s="174"/>
      <c r="C75" s="174"/>
      <c r="D75" s="174"/>
      <c r="E75" s="174"/>
      <c r="F75" s="174"/>
      <c r="G75" s="174"/>
      <c r="H75" s="174"/>
      <c r="I75" s="174"/>
      <c r="J75" s="174"/>
      <c r="K75" s="174"/>
      <c r="L75" s="246"/>
      <c r="M75" s="246"/>
      <c r="O75" s="88"/>
    </row>
    <row r="76" spans="1:15" x14ac:dyDescent="0.3">
      <c r="A76" s="3"/>
      <c r="B76" s="247"/>
      <c r="C76" s="247"/>
      <c r="D76" s="247"/>
      <c r="E76" s="247"/>
      <c r="F76" s="247"/>
      <c r="G76" s="247"/>
      <c r="H76" s="247"/>
      <c r="I76" s="247"/>
      <c r="J76" s="247"/>
      <c r="K76" s="247"/>
      <c r="L76" s="112"/>
      <c r="M76" s="112"/>
      <c r="O76" s="88"/>
    </row>
    <row r="77" spans="1:15" x14ac:dyDescent="0.3">
      <c r="A77" s="3"/>
      <c r="B77" s="249"/>
      <c r="C77" s="249"/>
      <c r="D77" s="249"/>
      <c r="E77" s="249"/>
      <c r="F77" s="249"/>
      <c r="G77" s="249"/>
      <c r="H77" s="249"/>
      <c r="I77" s="249"/>
      <c r="J77" s="249"/>
      <c r="K77" s="249"/>
      <c r="L77" s="249"/>
      <c r="M77" s="249"/>
      <c r="O77" s="88"/>
    </row>
    <row r="78" spans="1:15" x14ac:dyDescent="0.3">
      <c r="G78" s="143"/>
      <c r="H78" s="144"/>
      <c r="I78" s="144"/>
      <c r="O78" s="88"/>
    </row>
    <row r="79" spans="1:15" x14ac:dyDescent="0.3">
      <c r="L79" s="16"/>
      <c r="M79" s="16"/>
      <c r="O79" s="88"/>
    </row>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N162"/>
  <sheetViews>
    <sheetView topLeftCell="C135" zoomScale="75" zoomScaleNormal="80" workbookViewId="0">
      <selection activeCell="Y159" sqref="Y159"/>
    </sheetView>
  </sheetViews>
  <sheetFormatPr defaultColWidth="8.6640625" defaultRowHeight="14.4" x14ac:dyDescent="0.3"/>
  <cols>
    <col min="1" max="1" width="65.44140625" customWidth="1"/>
    <col min="2" max="28" width="8.6640625" customWidth="1"/>
  </cols>
  <sheetData>
    <row r="1" spans="1:40" x14ac:dyDescent="0.3">
      <c r="B1" s="366"/>
      <c r="C1" s="10"/>
      <c r="S1" s="10"/>
    </row>
    <row r="2" spans="1:40" ht="18" x14ac:dyDescent="0.35">
      <c r="A2" s="1" t="s">
        <v>152</v>
      </c>
      <c r="B2" s="358"/>
      <c r="C2" s="175"/>
    </row>
    <row r="3" spans="1:40" x14ac:dyDescent="0.3">
      <c r="B3" t="s">
        <v>40</v>
      </c>
      <c r="D3" t="s">
        <v>42</v>
      </c>
      <c r="F3" t="s">
        <v>44</v>
      </c>
      <c r="H3" t="s">
        <v>46</v>
      </c>
      <c r="J3" t="s">
        <v>48</v>
      </c>
      <c r="L3" t="s">
        <v>50</v>
      </c>
      <c r="N3" t="s">
        <v>52</v>
      </c>
      <c r="P3" t="s">
        <v>54</v>
      </c>
      <c r="R3" t="s">
        <v>56</v>
      </c>
      <c r="T3" t="s">
        <v>58</v>
      </c>
      <c r="V3" s="16" t="s">
        <v>60</v>
      </c>
      <c r="X3" s="16" t="s">
        <v>560</v>
      </c>
    </row>
    <row r="4" spans="1:40" x14ac:dyDescent="0.3">
      <c r="A4" s="255"/>
      <c r="B4" s="256" t="s">
        <v>39</v>
      </c>
      <c r="C4" s="257"/>
      <c r="D4" s="256" t="s">
        <v>41</v>
      </c>
      <c r="E4" s="257"/>
      <c r="F4" s="257" t="s">
        <v>43</v>
      </c>
      <c r="G4" s="348"/>
      <c r="H4" s="257" t="s">
        <v>45</v>
      </c>
      <c r="I4" s="348"/>
      <c r="J4" s="347" t="s">
        <v>47</v>
      </c>
      <c r="K4" s="348"/>
      <c r="L4" s="347" t="s">
        <v>49</v>
      </c>
      <c r="M4" s="361"/>
      <c r="N4" s="360" t="s">
        <v>51</v>
      </c>
      <c r="O4" s="348"/>
      <c r="P4" s="347" t="s">
        <v>53</v>
      </c>
      <c r="Q4" s="348"/>
      <c r="R4" s="347" t="s">
        <v>55</v>
      </c>
      <c r="S4" s="348"/>
      <c r="T4" s="347" t="s">
        <v>57</v>
      </c>
      <c r="U4" s="257"/>
      <c r="V4" s="256" t="s">
        <v>59</v>
      </c>
      <c r="W4" s="367"/>
      <c r="X4" s="256" t="s">
        <v>556</v>
      </c>
      <c r="Y4" s="367"/>
      <c r="AA4" s="88" t="s">
        <v>153</v>
      </c>
      <c r="AC4" t="s">
        <v>90</v>
      </c>
      <c r="AD4" t="s">
        <v>41</v>
      </c>
      <c r="AE4" t="s">
        <v>43</v>
      </c>
      <c r="AF4" t="s">
        <v>45</v>
      </c>
      <c r="AG4" t="s">
        <v>96</v>
      </c>
      <c r="AH4" t="s">
        <v>49</v>
      </c>
      <c r="AI4" t="s">
        <v>51</v>
      </c>
      <c r="AJ4" t="s">
        <v>53</v>
      </c>
      <c r="AK4" t="s">
        <v>55</v>
      </c>
      <c r="AL4" t="s">
        <v>57</v>
      </c>
      <c r="AM4" t="s">
        <v>59</v>
      </c>
    </row>
    <row r="5" spans="1:40" x14ac:dyDescent="0.3">
      <c r="A5" s="234"/>
      <c r="B5" s="180" t="s">
        <v>290</v>
      </c>
      <c r="C5" s="192" t="s">
        <v>593</v>
      </c>
      <c r="D5" s="258" t="s">
        <v>290</v>
      </c>
      <c r="E5" s="192" t="s">
        <v>593</v>
      </c>
      <c r="F5" s="180" t="s">
        <v>290</v>
      </c>
      <c r="G5" s="192" t="s">
        <v>593</v>
      </c>
      <c r="H5" s="180" t="s">
        <v>290</v>
      </c>
      <c r="I5" s="192" t="s">
        <v>593</v>
      </c>
      <c r="J5" s="258" t="s">
        <v>290</v>
      </c>
      <c r="K5" s="192" t="s">
        <v>593</v>
      </c>
      <c r="L5" s="258" t="s">
        <v>290</v>
      </c>
      <c r="M5" s="192" t="s">
        <v>593</v>
      </c>
      <c r="N5" s="180" t="s">
        <v>290</v>
      </c>
      <c r="O5" s="192" t="s">
        <v>593</v>
      </c>
      <c r="P5" s="258" t="s">
        <v>290</v>
      </c>
      <c r="Q5" s="192" t="s">
        <v>593</v>
      </c>
      <c r="R5" s="258" t="s">
        <v>290</v>
      </c>
      <c r="S5" s="192" t="s">
        <v>593</v>
      </c>
      <c r="T5" s="258" t="s">
        <v>290</v>
      </c>
      <c r="U5" s="192" t="s">
        <v>593</v>
      </c>
      <c r="V5" s="180" t="s">
        <v>290</v>
      </c>
      <c r="W5" s="192" t="s">
        <v>593</v>
      </c>
      <c r="X5" s="180" t="s">
        <v>290</v>
      </c>
      <c r="Y5" s="192" t="s">
        <v>593</v>
      </c>
      <c r="AN5" s="182" t="s">
        <v>284</v>
      </c>
    </row>
    <row r="6" spans="1:40" x14ac:dyDescent="0.3">
      <c r="A6" s="427" t="s">
        <v>154</v>
      </c>
      <c r="B6" s="193">
        <v>3.0430722331225E-3</v>
      </c>
      <c r="C6" s="194">
        <v>3.0430722331225E-3</v>
      </c>
      <c r="D6" s="215">
        <v>0.33814626965405697</v>
      </c>
      <c r="E6" s="216">
        <v>0.33814626965405697</v>
      </c>
      <c r="F6" s="259">
        <v>0.13965938328801211</v>
      </c>
      <c r="G6" s="194">
        <v>0.13965938328801211</v>
      </c>
      <c r="H6" s="259">
        <v>0.64</v>
      </c>
      <c r="I6" s="194">
        <v>0.64</v>
      </c>
      <c r="J6" s="259">
        <v>0.16554360613088781</v>
      </c>
      <c r="K6" s="194">
        <v>0.16554360613088781</v>
      </c>
      <c r="L6" s="259">
        <v>0</v>
      </c>
      <c r="M6" s="194">
        <v>0</v>
      </c>
      <c r="N6" s="362">
        <v>0.49664793646199318</v>
      </c>
      <c r="O6" s="359">
        <v>0.49664793646199318</v>
      </c>
      <c r="P6" s="259">
        <v>0.22600000000000001</v>
      </c>
      <c r="Q6" s="194">
        <v>0.22600000000000001</v>
      </c>
      <c r="R6" s="259">
        <v>0.82936539250079377</v>
      </c>
      <c r="S6" s="194">
        <v>0.82936539250079377</v>
      </c>
      <c r="T6" s="259">
        <v>0.2664397693161335</v>
      </c>
      <c r="U6" s="194">
        <v>0.2664397693161335</v>
      </c>
      <c r="V6" s="259">
        <v>0.51</v>
      </c>
      <c r="W6" s="194">
        <v>9.4994892747701731E-2</v>
      </c>
      <c r="X6" s="440">
        <v>0.51</v>
      </c>
      <c r="Y6" s="441">
        <v>9.4994892747701731E-2</v>
      </c>
      <c r="AB6" s="258" t="s">
        <v>478</v>
      </c>
      <c r="AC6" s="182" t="s">
        <v>496</v>
      </c>
      <c r="AD6" s="182" t="s">
        <v>496</v>
      </c>
      <c r="AE6" s="182" t="s">
        <v>496</v>
      </c>
      <c r="AF6" s="182" t="s">
        <v>496</v>
      </c>
      <c r="AG6" s="182" t="s">
        <v>496</v>
      </c>
      <c r="AH6" s="182" t="s">
        <v>496</v>
      </c>
      <c r="AI6" s="182" t="s">
        <v>496</v>
      </c>
      <c r="AJ6" s="182" t="s">
        <v>496</v>
      </c>
      <c r="AK6" s="182" t="s">
        <v>496</v>
      </c>
      <c r="AL6" s="182" t="s">
        <v>496</v>
      </c>
      <c r="AM6" s="182" t="s">
        <v>496</v>
      </c>
      <c r="AN6" s="182" t="s">
        <v>284</v>
      </c>
    </row>
    <row r="7" spans="1:40" x14ac:dyDescent="0.3">
      <c r="A7" s="428" t="s">
        <v>155</v>
      </c>
      <c r="B7" s="193">
        <v>0.31293319961023902</v>
      </c>
      <c r="C7" s="194">
        <v>0.31293319961023902</v>
      </c>
      <c r="D7" s="215">
        <v>2.7268322766391559E-2</v>
      </c>
      <c r="E7" s="216">
        <v>2.7268322766391559E-2</v>
      </c>
      <c r="F7" s="259">
        <v>0.37211913987429007</v>
      </c>
      <c r="G7" s="194">
        <v>0.37211913987429007</v>
      </c>
      <c r="H7" s="259">
        <v>0.03</v>
      </c>
      <c r="I7" s="194">
        <v>0.03</v>
      </c>
      <c r="J7" s="259">
        <v>1.9710816533976761E-2</v>
      </c>
      <c r="K7" s="194">
        <v>1.9710816533976761E-2</v>
      </c>
      <c r="L7" s="259">
        <v>0</v>
      </c>
      <c r="M7" s="194">
        <v>0</v>
      </c>
      <c r="N7" s="14">
        <v>0.46886472923359362</v>
      </c>
      <c r="O7" s="216">
        <v>0.46886472923359362</v>
      </c>
      <c r="P7" s="259">
        <v>0.22600000000000001</v>
      </c>
      <c r="Q7" s="194">
        <v>0.22600000000000001</v>
      </c>
      <c r="R7" s="259">
        <v>5.0634201457048403E-2</v>
      </c>
      <c r="S7" s="194">
        <v>5.0634201457048403E-2</v>
      </c>
      <c r="T7" s="259">
        <v>6.1664139059120007E-3</v>
      </c>
      <c r="U7" s="194">
        <v>6.1664139059120007E-3</v>
      </c>
      <c r="V7" s="259">
        <v>0.21021450459652705</v>
      </c>
      <c r="W7" s="194">
        <v>0.21021450459652705</v>
      </c>
      <c r="X7" s="440">
        <v>0.21021450459652705</v>
      </c>
      <c r="Y7" s="441">
        <v>0.21021450459652705</v>
      </c>
      <c r="AC7" s="182" t="s">
        <v>496</v>
      </c>
      <c r="AD7" s="182" t="s">
        <v>496</v>
      </c>
      <c r="AE7" s="182" t="s">
        <v>496</v>
      </c>
      <c r="AF7" s="182" t="s">
        <v>496</v>
      </c>
      <c r="AG7" s="182" t="s">
        <v>496</v>
      </c>
      <c r="AH7" s="182" t="s">
        <v>496</v>
      </c>
      <c r="AI7" s="182" t="s">
        <v>496</v>
      </c>
      <c r="AJ7" s="182" t="s">
        <v>496</v>
      </c>
      <c r="AK7" s="182" t="s">
        <v>496</v>
      </c>
      <c r="AL7" s="182" t="s">
        <v>496</v>
      </c>
      <c r="AM7" s="182" t="s">
        <v>496</v>
      </c>
      <c r="AN7" s="182" t="s">
        <v>284</v>
      </c>
    </row>
    <row r="8" spans="1:40" x14ac:dyDescent="0.3">
      <c r="A8" s="428" t="s">
        <v>156</v>
      </c>
      <c r="B8" s="193">
        <v>0.39594552579619802</v>
      </c>
      <c r="C8" s="194">
        <v>0.39594552579619802</v>
      </c>
      <c r="D8" s="215">
        <v>9.0583847517868771E-2</v>
      </c>
      <c r="E8" s="216">
        <v>9.0583847517868771E-2</v>
      </c>
      <c r="F8" s="259">
        <v>0.25339931591162534</v>
      </c>
      <c r="G8" s="194">
        <v>0.25339931591162534</v>
      </c>
      <c r="H8" s="259">
        <v>0</v>
      </c>
      <c r="I8" s="194">
        <v>0</v>
      </c>
      <c r="J8" s="259">
        <v>0.5638992284783394</v>
      </c>
      <c r="K8" s="194">
        <v>0.5638992284783394</v>
      </c>
      <c r="L8" s="259">
        <v>0.48526024478871244</v>
      </c>
      <c r="M8" s="194">
        <v>0.48526024478871244</v>
      </c>
      <c r="N8" s="14">
        <v>0</v>
      </c>
      <c r="O8" s="216">
        <v>0</v>
      </c>
      <c r="P8" s="259">
        <v>0</v>
      </c>
      <c r="Q8" s="194">
        <v>0</v>
      </c>
      <c r="R8" s="259">
        <v>0</v>
      </c>
      <c r="S8" s="194">
        <v>0</v>
      </c>
      <c r="T8" s="259">
        <v>7.5768942108424803E-2</v>
      </c>
      <c r="U8" s="194">
        <v>7.5768942108424803E-2</v>
      </c>
      <c r="V8" s="259">
        <v>0.20888661899897853</v>
      </c>
      <c r="W8" s="194">
        <v>0.20888661899897853</v>
      </c>
      <c r="X8" s="440">
        <v>0.20888661899897853</v>
      </c>
      <c r="Y8" s="441">
        <v>0.20888661899897853</v>
      </c>
      <c r="AC8" s="182" t="s">
        <v>496</v>
      </c>
      <c r="AD8" s="182" t="s">
        <v>496</v>
      </c>
      <c r="AE8" s="182" t="s">
        <v>496</v>
      </c>
      <c r="AF8" s="182" t="s">
        <v>496</v>
      </c>
      <c r="AG8" s="182" t="s">
        <v>496</v>
      </c>
      <c r="AH8" s="182" t="s">
        <v>496</v>
      </c>
      <c r="AI8" s="182" t="s">
        <v>496</v>
      </c>
      <c r="AJ8" s="182" t="s">
        <v>496</v>
      </c>
      <c r="AK8" s="182" t="s">
        <v>496</v>
      </c>
      <c r="AL8" s="182" t="s">
        <v>496</v>
      </c>
      <c r="AM8" s="182" t="s">
        <v>496</v>
      </c>
      <c r="AN8" s="182" t="s">
        <v>284</v>
      </c>
    </row>
    <row r="9" spans="1:40" x14ac:dyDescent="0.3">
      <c r="A9" s="428" t="s">
        <v>492</v>
      </c>
      <c r="B9" s="193">
        <v>0.28807820236044102</v>
      </c>
      <c r="C9" s="194">
        <v>0.28807820236044102</v>
      </c>
      <c r="D9" s="215">
        <v>0.54400156006168277</v>
      </c>
      <c r="E9" s="216">
        <v>0.54400156006168277</v>
      </c>
      <c r="F9" s="259">
        <v>0.23482216092607236</v>
      </c>
      <c r="G9" s="194">
        <v>0.23482216092607236</v>
      </c>
      <c r="H9" s="259">
        <v>0.33</v>
      </c>
      <c r="I9" s="194">
        <v>0.33</v>
      </c>
      <c r="J9" s="259">
        <v>0.25084634885679596</v>
      </c>
      <c r="K9" s="194">
        <v>0.25084634885679596</v>
      </c>
      <c r="L9" s="259">
        <v>0.51473975521128756</v>
      </c>
      <c r="M9" s="194">
        <v>0.51473975521128756</v>
      </c>
      <c r="N9" s="14">
        <v>3.4487334304413128E-2</v>
      </c>
      <c r="O9" s="216">
        <v>3.4487334304413128E-2</v>
      </c>
      <c r="P9" s="259">
        <v>0.54799999999999993</v>
      </c>
      <c r="Q9" s="194">
        <v>0.54799999999999993</v>
      </c>
      <c r="R9" s="259">
        <v>0.1200004060421578</v>
      </c>
      <c r="S9" s="194">
        <v>0.1200004060421578</v>
      </c>
      <c r="T9" s="259">
        <v>0.65162487466952967</v>
      </c>
      <c r="U9" s="194">
        <v>0.65162487466952967</v>
      </c>
      <c r="V9" s="259">
        <f>180/365</f>
        <v>0.49315068493150682</v>
      </c>
      <c r="W9" s="194">
        <v>0.4859039836567926</v>
      </c>
      <c r="X9" s="440">
        <f>180/365</f>
        <v>0.49315068493150682</v>
      </c>
      <c r="Y9" s="441">
        <v>0.4859039836567926</v>
      </c>
      <c r="AC9" s="182" t="s">
        <v>496</v>
      </c>
      <c r="AD9" s="182" t="s">
        <v>496</v>
      </c>
      <c r="AE9" s="182" t="s">
        <v>496</v>
      </c>
      <c r="AF9" s="182" t="s">
        <v>496</v>
      </c>
      <c r="AG9" s="182" t="s">
        <v>496</v>
      </c>
      <c r="AH9" s="182" t="s">
        <v>496</v>
      </c>
      <c r="AI9" s="182" t="s">
        <v>496</v>
      </c>
      <c r="AJ9" s="182" t="s">
        <v>496</v>
      </c>
      <c r="AK9" s="182" t="s">
        <v>496</v>
      </c>
      <c r="AL9" s="182" t="s">
        <v>496</v>
      </c>
      <c r="AM9" s="182" t="s">
        <v>496</v>
      </c>
      <c r="AN9" s="182"/>
    </row>
    <row r="10" spans="1:40" x14ac:dyDescent="0.3">
      <c r="A10" s="235"/>
      <c r="B10" s="193"/>
      <c r="C10" s="194"/>
      <c r="D10" s="259"/>
      <c r="E10" s="259"/>
      <c r="F10" s="195"/>
      <c r="G10" s="194"/>
      <c r="H10" s="259"/>
      <c r="I10" s="194"/>
      <c r="J10" s="259"/>
      <c r="K10" s="194"/>
      <c r="L10" s="259"/>
      <c r="M10" s="194"/>
      <c r="N10" s="259"/>
      <c r="O10" s="194"/>
      <c r="P10" s="259"/>
      <c r="Q10" s="194"/>
      <c r="R10" s="259"/>
      <c r="S10" s="194"/>
      <c r="T10" s="259"/>
      <c r="U10" s="259"/>
      <c r="V10" s="193"/>
      <c r="W10" s="194"/>
      <c r="X10" s="193"/>
      <c r="Y10" s="194"/>
      <c r="AN10" s="182" t="s">
        <v>284</v>
      </c>
    </row>
    <row r="11" spans="1:40" x14ac:dyDescent="0.3">
      <c r="A11" s="236" t="s">
        <v>157</v>
      </c>
      <c r="B11" s="248"/>
      <c r="C11" s="260"/>
      <c r="D11" s="157"/>
      <c r="E11" s="157"/>
      <c r="F11" s="248"/>
      <c r="G11" s="260"/>
      <c r="H11" s="157"/>
      <c r="I11" s="260"/>
      <c r="J11" s="157"/>
      <c r="K11" s="260"/>
      <c r="L11" s="157"/>
      <c r="M11" s="260"/>
      <c r="N11" s="157"/>
      <c r="O11" s="260"/>
      <c r="P11" s="157"/>
      <c r="Q11" s="260"/>
      <c r="R11" s="157"/>
      <c r="S11" s="260"/>
      <c r="T11" s="157"/>
      <c r="U11" s="157"/>
      <c r="V11" s="248"/>
      <c r="W11" s="260"/>
      <c r="X11" s="248"/>
      <c r="Y11" s="260"/>
      <c r="AN11" s="182" t="s">
        <v>284</v>
      </c>
    </row>
    <row r="12" spans="1:40" x14ac:dyDescent="0.3">
      <c r="A12" s="237" t="s">
        <v>158</v>
      </c>
      <c r="B12" s="197"/>
      <c r="C12" s="198"/>
      <c r="D12" s="261"/>
      <c r="E12" s="261"/>
      <c r="F12" s="197"/>
      <c r="G12" s="198"/>
      <c r="H12" s="261"/>
      <c r="I12" s="198"/>
      <c r="J12" s="261"/>
      <c r="K12" s="198"/>
      <c r="L12" s="261"/>
      <c r="M12" s="198"/>
      <c r="N12" s="261"/>
      <c r="O12" s="198"/>
      <c r="P12" s="261"/>
      <c r="Q12" s="198"/>
      <c r="R12" s="261"/>
      <c r="S12" s="198"/>
      <c r="T12" s="261"/>
      <c r="U12" s="261"/>
      <c r="V12" s="197"/>
      <c r="W12" s="198"/>
      <c r="X12" s="197"/>
      <c r="Y12" s="198"/>
      <c r="AN12" s="182" t="s">
        <v>284</v>
      </c>
    </row>
    <row r="13" spans="1:40" x14ac:dyDescent="0.3">
      <c r="A13" s="238" t="s">
        <v>159</v>
      </c>
      <c r="B13" s="199">
        <v>0.02</v>
      </c>
      <c r="C13" s="196"/>
      <c r="D13" s="72">
        <v>3.689779255806698E-2</v>
      </c>
      <c r="F13" s="199">
        <v>0.02</v>
      </c>
      <c r="G13" s="196"/>
      <c r="H13" s="352">
        <v>0.04</v>
      </c>
      <c r="I13" s="196"/>
      <c r="J13" s="352">
        <v>0.02</v>
      </c>
      <c r="K13" s="196"/>
      <c r="L13" s="352"/>
      <c r="M13" s="196"/>
      <c r="N13" s="72">
        <v>2.4483947165778425E-2</v>
      </c>
      <c r="O13" s="196"/>
      <c r="P13" s="352">
        <v>0.02</v>
      </c>
      <c r="Q13" s="196"/>
      <c r="R13" s="352">
        <v>0.02</v>
      </c>
      <c r="S13" s="196"/>
      <c r="T13" s="72">
        <v>2.2873889042297649E-2</v>
      </c>
      <c r="V13" s="199">
        <v>0.02</v>
      </c>
      <c r="W13" s="196"/>
      <c r="X13" s="442">
        <v>0.02</v>
      </c>
      <c r="Y13" s="218"/>
      <c r="AB13" s="182"/>
      <c r="AC13" s="182" t="s">
        <v>523</v>
      </c>
      <c r="AD13" s="182" t="s">
        <v>495</v>
      </c>
      <c r="AE13" s="182" t="s">
        <v>495</v>
      </c>
      <c r="AF13" s="182" t="s">
        <v>495</v>
      </c>
      <c r="AG13" s="182" t="s">
        <v>495</v>
      </c>
      <c r="AH13" s="182" t="s">
        <v>495</v>
      </c>
      <c r="AI13" s="182" t="s">
        <v>495</v>
      </c>
      <c r="AJ13" s="182" t="s">
        <v>495</v>
      </c>
      <c r="AK13" s="182" t="s">
        <v>495</v>
      </c>
      <c r="AL13" s="182" t="s">
        <v>495</v>
      </c>
      <c r="AM13" s="182" t="s">
        <v>495</v>
      </c>
      <c r="AN13" s="182" t="s">
        <v>284</v>
      </c>
    </row>
    <row r="14" spans="1:40" x14ac:dyDescent="0.3">
      <c r="A14" s="239" t="s">
        <v>161</v>
      </c>
      <c r="B14" s="199">
        <v>0.14360000000000001</v>
      </c>
      <c r="C14" s="196"/>
      <c r="D14" s="72">
        <v>0.29059681377022661</v>
      </c>
      <c r="F14" s="199">
        <v>0.145875</v>
      </c>
      <c r="G14" s="196"/>
      <c r="H14" s="352">
        <v>0.22</v>
      </c>
      <c r="I14" s="196"/>
      <c r="J14" s="352">
        <v>0.14406894113160398</v>
      </c>
      <c r="K14" s="196"/>
      <c r="L14" s="352"/>
      <c r="M14" s="196"/>
      <c r="N14" s="72">
        <v>0.16619940422448767</v>
      </c>
      <c r="O14" s="196"/>
      <c r="P14" s="352">
        <v>0.17</v>
      </c>
      <c r="Q14" s="196"/>
      <c r="R14" s="352">
        <v>0.17</v>
      </c>
      <c r="S14" s="196"/>
      <c r="T14" s="72">
        <v>0.18348350218554224</v>
      </c>
      <c r="V14" s="199">
        <v>3.5000000000000003E-2</v>
      </c>
      <c r="W14" s="196"/>
      <c r="X14" s="442">
        <v>3.5000000000000003E-2</v>
      </c>
      <c r="Y14" s="218"/>
      <c r="AB14" s="182"/>
      <c r="AC14" s="182" t="s">
        <v>523</v>
      </c>
      <c r="AD14" s="182" t="s">
        <v>495</v>
      </c>
      <c r="AE14" s="182" t="s">
        <v>495</v>
      </c>
      <c r="AF14" s="182" t="s">
        <v>495</v>
      </c>
      <c r="AG14" s="182" t="s">
        <v>495</v>
      </c>
      <c r="AH14" s="182" t="s">
        <v>495</v>
      </c>
      <c r="AI14" s="182" t="s">
        <v>495</v>
      </c>
      <c r="AJ14" s="182" t="s">
        <v>495</v>
      </c>
      <c r="AK14" s="182" t="s">
        <v>495</v>
      </c>
      <c r="AL14" s="182" t="s">
        <v>495</v>
      </c>
      <c r="AM14" s="182" t="s">
        <v>495</v>
      </c>
      <c r="AN14" s="182" t="s">
        <v>285</v>
      </c>
    </row>
    <row r="15" spans="1:40" x14ac:dyDescent="0.3">
      <c r="A15" s="238" t="s">
        <v>477</v>
      </c>
      <c r="B15" s="199">
        <v>0.14399999999999999</v>
      </c>
      <c r="C15" s="196"/>
      <c r="D15" s="72">
        <v>5.9240377530939331E-2</v>
      </c>
      <c r="F15" s="199">
        <v>0.17</v>
      </c>
      <c r="G15" s="196"/>
      <c r="H15" s="352"/>
      <c r="I15" s="196"/>
      <c r="J15" s="352">
        <v>6.2702465030950394E-2</v>
      </c>
      <c r="K15" s="196"/>
      <c r="L15" s="352">
        <v>0.21</v>
      </c>
      <c r="M15" s="196"/>
      <c r="N15" s="352"/>
      <c r="O15" s="196"/>
      <c r="P15" s="352">
        <v>0.17</v>
      </c>
      <c r="Q15" s="196"/>
      <c r="R15" s="352"/>
      <c r="S15" s="196"/>
      <c r="T15" s="72">
        <v>8.849070699396594E-2</v>
      </c>
      <c r="V15" s="199">
        <v>0.17</v>
      </c>
      <c r="W15" s="196"/>
      <c r="X15" s="442">
        <v>0.17</v>
      </c>
      <c r="Y15" s="218"/>
      <c r="AB15" s="182"/>
      <c r="AC15" s="182" t="s">
        <v>523</v>
      </c>
      <c r="AD15" s="182" t="s">
        <v>495</v>
      </c>
      <c r="AE15" s="182" t="s">
        <v>495</v>
      </c>
      <c r="AF15" s="182" t="s">
        <v>495</v>
      </c>
      <c r="AG15" s="182" t="s">
        <v>495</v>
      </c>
      <c r="AH15" s="182" t="s">
        <v>495</v>
      </c>
      <c r="AI15" s="182" t="s">
        <v>495</v>
      </c>
      <c r="AJ15" s="182" t="s">
        <v>495</v>
      </c>
      <c r="AK15" s="182" t="s">
        <v>495</v>
      </c>
      <c r="AL15" s="182" t="s">
        <v>495</v>
      </c>
      <c r="AM15" s="182" t="s">
        <v>495</v>
      </c>
      <c r="AN15" s="182" t="s">
        <v>284</v>
      </c>
    </row>
    <row r="16" spans="1:40" x14ac:dyDescent="0.3">
      <c r="A16" s="238" t="s">
        <v>494</v>
      </c>
      <c r="B16" s="199">
        <v>0.14399999999999999</v>
      </c>
      <c r="C16" s="196"/>
      <c r="D16" s="352">
        <v>0.365387112008209</v>
      </c>
      <c r="F16" s="199">
        <v>0.17</v>
      </c>
      <c r="G16" s="196"/>
      <c r="H16" s="352"/>
      <c r="I16" s="196"/>
      <c r="J16" s="352">
        <v>0.15475135833562839</v>
      </c>
      <c r="K16" s="196"/>
      <c r="L16" s="352">
        <v>0.21</v>
      </c>
      <c r="M16" s="196"/>
      <c r="N16" s="352"/>
      <c r="O16" s="196"/>
      <c r="P16" s="352">
        <v>0.17</v>
      </c>
      <c r="Q16" s="196"/>
      <c r="R16" s="352"/>
      <c r="S16" s="196"/>
      <c r="T16" s="352">
        <v>0.1113</v>
      </c>
      <c r="V16" s="199">
        <v>0.17</v>
      </c>
      <c r="W16" s="196"/>
      <c r="X16" s="442">
        <v>0.17</v>
      </c>
      <c r="Y16" s="218"/>
      <c r="AB16" s="182"/>
      <c r="AC16" s="182" t="s">
        <v>523</v>
      </c>
      <c r="AD16" s="182" t="s">
        <v>495</v>
      </c>
      <c r="AE16" s="182" t="s">
        <v>495</v>
      </c>
      <c r="AF16" s="182" t="s">
        <v>495</v>
      </c>
      <c r="AG16" s="182" t="s">
        <v>495</v>
      </c>
      <c r="AH16" s="182" t="s">
        <v>495</v>
      </c>
      <c r="AI16" s="182" t="s">
        <v>495</v>
      </c>
      <c r="AJ16" s="182" t="s">
        <v>431</v>
      </c>
      <c r="AK16" s="182" t="s">
        <v>495</v>
      </c>
      <c r="AL16" s="182" t="s">
        <v>495</v>
      </c>
      <c r="AM16" s="182" t="s">
        <v>495</v>
      </c>
      <c r="AN16" s="182" t="s">
        <v>284</v>
      </c>
    </row>
    <row r="17" spans="1:40" x14ac:dyDescent="0.3">
      <c r="A17" s="238" t="s">
        <v>493</v>
      </c>
      <c r="B17" s="199">
        <v>4.7000000000000002E-3</v>
      </c>
      <c r="C17" s="196"/>
      <c r="D17" s="199">
        <v>4.7000000000000002E-3</v>
      </c>
      <c r="F17" s="199">
        <v>0.01</v>
      </c>
      <c r="G17" s="196"/>
      <c r="H17" s="352">
        <v>1.4999999999999999E-2</v>
      </c>
      <c r="I17" s="196"/>
      <c r="J17" s="352">
        <v>0.01</v>
      </c>
      <c r="K17" s="196"/>
      <c r="L17" s="352">
        <v>4.7000000000000002E-3</v>
      </c>
      <c r="M17" s="196"/>
      <c r="N17" s="352">
        <v>1.11209867914446E-2</v>
      </c>
      <c r="O17" s="196"/>
      <c r="P17" s="352">
        <v>0.01</v>
      </c>
      <c r="Q17" s="196"/>
      <c r="R17" s="352">
        <v>0.01</v>
      </c>
      <c r="S17" s="196"/>
      <c r="T17" s="352">
        <v>1.1966629969767099E-2</v>
      </c>
      <c r="V17" s="199">
        <v>0.01</v>
      </c>
      <c r="W17" s="196"/>
      <c r="X17" s="442">
        <v>0.01</v>
      </c>
      <c r="Y17" s="218"/>
      <c r="AB17" s="182"/>
      <c r="AC17" s="182" t="s">
        <v>523</v>
      </c>
      <c r="AD17" s="182" t="s">
        <v>495</v>
      </c>
      <c r="AE17" s="182" t="s">
        <v>495</v>
      </c>
      <c r="AF17" s="182" t="s">
        <v>495</v>
      </c>
      <c r="AG17" s="182" t="s">
        <v>495</v>
      </c>
      <c r="AH17" s="182" t="s">
        <v>495</v>
      </c>
      <c r="AI17" s="182" t="s">
        <v>495</v>
      </c>
      <c r="AJ17" s="182"/>
      <c r="AK17" s="182" t="s">
        <v>495</v>
      </c>
      <c r="AL17" s="182" t="s">
        <v>495</v>
      </c>
      <c r="AM17" s="182" t="s">
        <v>495</v>
      </c>
      <c r="AN17" s="182"/>
    </row>
    <row r="18" spans="1:40" x14ac:dyDescent="0.3">
      <c r="A18" s="238" t="s">
        <v>162</v>
      </c>
      <c r="B18" s="200">
        <v>0.8</v>
      </c>
      <c r="C18" s="196"/>
      <c r="D18" s="351">
        <v>0.87</v>
      </c>
      <c r="F18" s="200">
        <v>0.87</v>
      </c>
      <c r="G18" s="196"/>
      <c r="H18" s="351">
        <v>0.87</v>
      </c>
      <c r="I18" s="196"/>
      <c r="J18" s="351">
        <v>0.87</v>
      </c>
      <c r="K18" s="196"/>
      <c r="L18" s="351">
        <v>0.87</v>
      </c>
      <c r="M18" s="196"/>
      <c r="N18" s="351">
        <v>0.87</v>
      </c>
      <c r="O18" s="196"/>
      <c r="P18" s="351">
        <v>0.87</v>
      </c>
      <c r="Q18" s="196"/>
      <c r="R18" s="351">
        <v>0.87</v>
      </c>
      <c r="S18" s="196"/>
      <c r="T18" s="351">
        <v>0.87</v>
      </c>
      <c r="V18" s="200">
        <v>0.87</v>
      </c>
      <c r="W18" s="196"/>
      <c r="X18" s="443">
        <v>0.87</v>
      </c>
      <c r="Y18" s="218"/>
      <c r="AB18" s="182"/>
      <c r="AC18" t="s">
        <v>272</v>
      </c>
      <c r="AD18" t="s">
        <v>281</v>
      </c>
      <c r="AE18" t="s">
        <v>281</v>
      </c>
      <c r="AF18" t="s">
        <v>281</v>
      </c>
      <c r="AG18" t="s">
        <v>281</v>
      </c>
      <c r="AH18" t="s">
        <v>281</v>
      </c>
      <c r="AI18" s="182" t="s">
        <v>495</v>
      </c>
      <c r="AJ18" t="s">
        <v>281</v>
      </c>
      <c r="AK18" t="s">
        <v>281</v>
      </c>
      <c r="AL18" t="s">
        <v>281</v>
      </c>
      <c r="AM18" s="182" t="s">
        <v>160</v>
      </c>
      <c r="AN18" s="182" t="s">
        <v>284</v>
      </c>
    </row>
    <row r="19" spans="1:40" x14ac:dyDescent="0.3">
      <c r="A19" s="238" t="s">
        <v>163</v>
      </c>
      <c r="B19" s="200">
        <v>0.24</v>
      </c>
      <c r="C19" s="202">
        <v>0.18</v>
      </c>
      <c r="D19" s="351">
        <v>0.24</v>
      </c>
      <c r="E19" s="14">
        <v>0.18044529176999999</v>
      </c>
      <c r="F19" s="200">
        <v>0.23</v>
      </c>
      <c r="G19" s="196">
        <v>0.23</v>
      </c>
      <c r="H19" s="351">
        <v>0.24</v>
      </c>
      <c r="I19" s="346">
        <v>0.17</v>
      </c>
      <c r="J19" s="351">
        <v>0.24</v>
      </c>
      <c r="K19" s="346">
        <v>0.17</v>
      </c>
      <c r="L19" s="351">
        <v>0.24</v>
      </c>
      <c r="M19" s="346">
        <v>0.18</v>
      </c>
      <c r="N19" s="351">
        <v>0.24</v>
      </c>
      <c r="O19" s="346">
        <v>0.27</v>
      </c>
      <c r="P19" s="351">
        <v>0.22</v>
      </c>
      <c r="Q19" s="196"/>
      <c r="R19" s="351">
        <v>0.24</v>
      </c>
      <c r="S19" s="346">
        <v>0.17</v>
      </c>
      <c r="T19" s="351">
        <v>0.24</v>
      </c>
      <c r="U19" s="351">
        <v>0.18</v>
      </c>
      <c r="V19" s="200">
        <v>0.24</v>
      </c>
      <c r="W19" s="346">
        <v>0.18</v>
      </c>
      <c r="X19" s="443">
        <v>0.24</v>
      </c>
      <c r="Y19" s="444">
        <v>0.18</v>
      </c>
      <c r="Z19" s="6"/>
      <c r="AB19" s="182"/>
      <c r="AC19" s="182" t="s">
        <v>521</v>
      </c>
      <c r="AD19" s="182" t="s">
        <v>282</v>
      </c>
      <c r="AE19" s="182" t="s">
        <v>282</v>
      </c>
      <c r="AF19" s="182" t="s">
        <v>282</v>
      </c>
      <c r="AG19" s="182" t="s">
        <v>282</v>
      </c>
      <c r="AH19" s="182" t="s">
        <v>282</v>
      </c>
      <c r="AI19" s="182" t="s">
        <v>282</v>
      </c>
      <c r="AJ19" s="182" t="s">
        <v>282</v>
      </c>
      <c r="AK19" s="182" t="s">
        <v>282</v>
      </c>
      <c r="AL19" s="182" t="s">
        <v>282</v>
      </c>
      <c r="AM19" s="182" t="s">
        <v>282</v>
      </c>
      <c r="AN19" s="182" t="s">
        <v>284</v>
      </c>
    </row>
    <row r="20" spans="1:40" x14ac:dyDescent="0.3">
      <c r="A20" s="238"/>
      <c r="B20" s="200"/>
      <c r="C20" s="196"/>
      <c r="D20" s="351"/>
      <c r="F20" s="200"/>
      <c r="G20" s="196"/>
      <c r="H20" s="351"/>
      <c r="I20" s="196"/>
      <c r="J20" s="351"/>
      <c r="K20" s="196"/>
      <c r="L20" s="351"/>
      <c r="M20" s="196"/>
      <c r="N20" s="351"/>
      <c r="O20" s="196"/>
      <c r="P20" s="351"/>
      <c r="Q20" s="196"/>
      <c r="R20" s="351"/>
      <c r="S20" s="196"/>
      <c r="T20" s="351"/>
      <c r="V20" s="200"/>
      <c r="W20" s="196"/>
      <c r="X20" s="443"/>
      <c r="Y20" s="218"/>
      <c r="AB20" s="182"/>
      <c r="AN20" s="182" t="s">
        <v>284</v>
      </c>
    </row>
    <row r="21" spans="1:40" x14ac:dyDescent="0.3">
      <c r="A21" s="239" t="s">
        <v>164</v>
      </c>
      <c r="B21" s="14">
        <v>2.5430740283442455</v>
      </c>
      <c r="C21" s="216">
        <v>2.5430740283442455</v>
      </c>
      <c r="D21" s="14">
        <v>1.9056720345</v>
      </c>
      <c r="E21" s="216">
        <v>1.9056720345</v>
      </c>
      <c r="F21" s="14">
        <v>1.44</v>
      </c>
      <c r="G21" s="216">
        <v>1.44</v>
      </c>
      <c r="H21" s="14">
        <v>2.82</v>
      </c>
      <c r="I21" s="216">
        <v>2.82</v>
      </c>
      <c r="J21" s="14">
        <v>2.6</v>
      </c>
      <c r="K21" s="216">
        <v>2.6</v>
      </c>
      <c r="L21" s="14">
        <v>1.63</v>
      </c>
      <c r="M21" s="14">
        <v>1.63</v>
      </c>
      <c r="N21" s="14">
        <v>2.3520664682653201</v>
      </c>
      <c r="O21" s="216">
        <v>2.3520664682653201</v>
      </c>
      <c r="P21" s="14">
        <v>2.59</v>
      </c>
      <c r="Q21" s="216">
        <v>2.59</v>
      </c>
      <c r="R21" s="14">
        <v>1.79</v>
      </c>
      <c r="S21" s="216">
        <v>1.79</v>
      </c>
      <c r="T21" s="14">
        <v>2.98</v>
      </c>
      <c r="U21" s="216">
        <v>2.98</v>
      </c>
      <c r="V21" s="14">
        <v>1.75</v>
      </c>
      <c r="W21" s="216">
        <v>1.75</v>
      </c>
      <c r="X21" s="97">
        <v>1.75</v>
      </c>
      <c r="Y21" s="445">
        <v>1.75</v>
      </c>
      <c r="AC21" s="182" t="s">
        <v>522</v>
      </c>
      <c r="AD21" s="182" t="s">
        <v>282</v>
      </c>
      <c r="AE21" s="182" t="s">
        <v>282</v>
      </c>
      <c r="AF21" s="182" t="s">
        <v>282</v>
      </c>
      <c r="AG21" s="182" t="s">
        <v>282</v>
      </c>
      <c r="AH21" s="182" t="s">
        <v>282</v>
      </c>
      <c r="AI21" s="182" t="s">
        <v>282</v>
      </c>
      <c r="AJ21" s="182" t="s">
        <v>282</v>
      </c>
      <c r="AK21" s="182" t="s">
        <v>282</v>
      </c>
      <c r="AL21" s="182" t="s">
        <v>283</v>
      </c>
      <c r="AM21" s="182" t="s">
        <v>282</v>
      </c>
      <c r="AN21" s="182" t="s">
        <v>284</v>
      </c>
    </row>
    <row r="22" spans="1:40" x14ac:dyDescent="0.3">
      <c r="A22" s="234"/>
      <c r="D22" s="195"/>
      <c r="F22" s="195"/>
      <c r="H22" s="195"/>
      <c r="J22" s="195"/>
      <c r="L22" s="195"/>
      <c r="N22" s="195"/>
      <c r="P22" s="195"/>
      <c r="R22" s="195"/>
      <c r="T22" s="195"/>
      <c r="V22" s="195"/>
      <c r="W22" s="196"/>
      <c r="X22" s="195"/>
      <c r="Y22" s="196"/>
    </row>
    <row r="23" spans="1:40" x14ac:dyDescent="0.3">
      <c r="A23" s="240" t="s">
        <v>165</v>
      </c>
      <c r="B23" s="203"/>
      <c r="C23" s="204"/>
      <c r="D23" s="109"/>
      <c r="E23" s="109"/>
      <c r="F23" s="203"/>
      <c r="G23" s="109"/>
      <c r="H23" s="203"/>
      <c r="I23" s="204"/>
      <c r="J23" s="203"/>
      <c r="K23" s="204"/>
      <c r="L23" s="203"/>
      <c r="M23" s="204"/>
      <c r="N23" s="203"/>
      <c r="O23" s="109"/>
      <c r="P23" s="203"/>
      <c r="Q23" s="204"/>
      <c r="R23" s="203"/>
      <c r="S23" s="109"/>
      <c r="T23" s="203"/>
      <c r="U23" s="109"/>
      <c r="V23" s="203"/>
      <c r="W23" s="204"/>
      <c r="X23" s="203"/>
      <c r="Y23" s="204"/>
    </row>
    <row r="24" spans="1:40" x14ac:dyDescent="0.3">
      <c r="A24" s="239" t="s">
        <v>166</v>
      </c>
      <c r="B24" s="214">
        <f>'Production SH'!$B$5*B6*$B$21*365</f>
        <v>28.246466562867145</v>
      </c>
      <c r="C24" s="121">
        <f>('Production SH'!$B$6+'Production SH'!$B$7)*C6*$C$21*365</f>
        <v>53.894258201950507</v>
      </c>
      <c r="D24" s="214">
        <f>'Production SH'!$C$5*D6*$D$21*365</f>
        <v>2352.0449972233482</v>
      </c>
      <c r="E24" s="121">
        <f>('Production SH'!$C$6+'Production SH'!$C$7)*E6*$E$21*365</f>
        <v>4487.701854702148</v>
      </c>
      <c r="F24" s="214">
        <f>'Production SH'!$D$5*F6*$F$21*365</f>
        <v>734.04971856179156</v>
      </c>
      <c r="G24" s="121">
        <f>('Production SH'!$D$6+'Production SH'!$D$7)*G6*$G$21*365</f>
        <v>1400.5668630158984</v>
      </c>
      <c r="H24" s="214">
        <f>'Production SH'!$E$5*H6*$H$21*365</f>
        <v>6587.5199999999995</v>
      </c>
      <c r="I24" s="121">
        <f>('Production SH'!$E$6+'Production SH'!$E$7)*I6*$I$21*365</f>
        <v>12568.988159999999</v>
      </c>
      <c r="J24" s="214">
        <f>'Production SH'!$F$5*J6*$J$21*365</f>
        <v>1571.0088221821252</v>
      </c>
      <c r="K24" s="121">
        <f>('Production SH'!$F$6+'Production SH'!$F$7)*K6*$K$21*365</f>
        <v>2997.4848327234949</v>
      </c>
      <c r="L24" s="214">
        <f>'Production SH'!$G$5*L6*$L$21*365</f>
        <v>0</v>
      </c>
      <c r="M24" s="121">
        <f>('Production SH'!$G$6+'Production SH'!$G$7)*M6*$M$21*365</f>
        <v>0</v>
      </c>
      <c r="N24" s="214">
        <f>'Production SH'!$H$5*N6*$N$21*365</f>
        <v>4263.743696281781</v>
      </c>
      <c r="O24" s="121">
        <f>('Production SH'!$H$6+'Production SH'!$H$7)*O6*$O$21*365</f>
        <v>8135.2229725056368</v>
      </c>
      <c r="P24" s="214">
        <f>'Production SH'!$I$5*P6*$P$21*365</f>
        <v>2136.4910000000004</v>
      </c>
      <c r="Q24" s="121">
        <f>('Production SH'!$I$6+'Production SH'!$I$7)*Q6*$Q$21*365</f>
        <v>4076.4248280000002</v>
      </c>
      <c r="R24" s="214">
        <f>'Production SH'!$J$5*R6*$R$21*365</f>
        <v>5418.6587919039357</v>
      </c>
      <c r="S24" s="121">
        <f>('Production SH'!$J$6+'Production SH'!$J$7)*S6*$S$21*365</f>
        <v>10338.800974952708</v>
      </c>
      <c r="T24" s="214">
        <f>'Production SH'!$K$5*T6*$T$21*365</f>
        <v>2898.0653708515842</v>
      </c>
      <c r="U24" s="378">
        <f>('Production SH'!$K$6+'Production SH'!$K$7)*U6*$U$21*365</f>
        <v>5529.5087275848218</v>
      </c>
      <c r="V24" s="214">
        <f>'Production SH'!$L$5*V6*$X$21*365</f>
        <v>3257.6249999999995</v>
      </c>
      <c r="W24" s="378">
        <f>('Production SH'!$L$6+'Production SH'!$L$7)*W6*$Y$21*365</f>
        <v>1157.7360061287027</v>
      </c>
      <c r="X24" s="214">
        <f>'Production SH'!$L$5*X6*$X$21*365</f>
        <v>3257.6249999999995</v>
      </c>
      <c r="Y24" s="378">
        <f>('Production SH'!$L$6+'Production SH'!$L$7)*Y6*$Y$21*365</f>
        <v>1157.7360061287027</v>
      </c>
    </row>
    <row r="25" spans="1:40" x14ac:dyDescent="0.3">
      <c r="A25" s="239" t="s">
        <v>167</v>
      </c>
      <c r="B25" s="214">
        <f>'Production SH'!$B$5*B7*$B$21*365</f>
        <v>2904.7148677544455</v>
      </c>
      <c r="C25" s="121">
        <f>('Production SH'!$B$6+'Production SH'!$B$7)*C7*$C$21*365</f>
        <v>5542.1959676754805</v>
      </c>
      <c r="D25" s="214">
        <f>'Production SH'!$C$5*D7*$D$21*365</f>
        <v>189.67035245125706</v>
      </c>
      <c r="E25" s="121">
        <f>('Production SH'!$C$6+'Production SH'!$C$7)*E7*$E$21*365</f>
        <v>361.89103247699848</v>
      </c>
      <c r="F25" s="214">
        <f>'Production SH'!$D$5*F7*$F$21*365</f>
        <v>1955.8581991792687</v>
      </c>
      <c r="G25" s="121">
        <f>('Production SH'!$D$6+'Production SH'!$D$7)*G7*$G$21*365</f>
        <v>3731.7774440340445</v>
      </c>
      <c r="H25" s="214">
        <f>'Production SH'!$E$5*H7*$H$21*365</f>
        <v>308.78999999999996</v>
      </c>
      <c r="I25" s="121">
        <f>('Production SH'!$E$6+'Production SH'!$E$7)*I7*$I$21*365</f>
        <v>589.17131999999981</v>
      </c>
      <c r="J25" s="214">
        <f>'Production SH'!$F$5*J7*$J$21*365</f>
        <v>187.05564890743949</v>
      </c>
      <c r="K25" s="121">
        <f>('Production SH'!$F$6+'Production SH'!$F$7)*K7*$K$21*365</f>
        <v>356.90217811539446</v>
      </c>
      <c r="L25" s="214">
        <f>'Production SH'!$G$5*L7*$L$21*365</f>
        <v>0</v>
      </c>
      <c r="M25" s="121">
        <f>('Production SH'!$G$6+'Production SH'!$G$7)*M7*$M$21*365</f>
        <v>0</v>
      </c>
      <c r="N25" s="214">
        <f>'Production SH'!$H$5*N7*$N$21*365</f>
        <v>4025.2236784066145</v>
      </c>
      <c r="O25" s="121">
        <f>('Production SH'!$H$6+'Production SH'!$H$7)*O7*$O$21*365</f>
        <v>7680.126778399821</v>
      </c>
      <c r="P25" s="214">
        <f>'Production SH'!$I$5*P7*$P$21*365</f>
        <v>2136.4910000000004</v>
      </c>
      <c r="Q25" s="121">
        <f>('Production SH'!$I$6+'Production SH'!$I$7)*Q7*$Q$21*365</f>
        <v>4076.4248280000002</v>
      </c>
      <c r="R25" s="214">
        <f>'Production SH'!$J$5*R7*$R$21*365</f>
        <v>330.81855521962575</v>
      </c>
      <c r="S25" s="121">
        <f>('Production SH'!$J$6+'Production SH'!$J$7)*S7*$S$21*365</f>
        <v>631.20180335904593</v>
      </c>
      <c r="T25" s="214">
        <f>'Production SH'!$K$5*T7*$T$21*365</f>
        <v>67.072084054604829</v>
      </c>
      <c r="U25" s="378">
        <f>('Production SH'!$K$6+'Production SH'!$K$7)*U7*$U$21*365</f>
        <v>127.973536376186</v>
      </c>
      <c r="V25" s="214">
        <f>'Production SH'!$L$5*V7*$X$21*365</f>
        <v>1342.7451481103164</v>
      </c>
      <c r="W25" s="378">
        <f>('Production SH'!$L$6+'Production SH'!$L$7)*W7*$Y$21*365</f>
        <v>2561.9577425944835</v>
      </c>
      <c r="X25" s="214">
        <f>'Production SH'!$L$5*X7*$X$21*365</f>
        <v>1342.7451481103164</v>
      </c>
      <c r="Y25" s="378">
        <f>('Production SH'!$L$6+'Production SH'!$L$7)*Y7*$Y$21*365</f>
        <v>2561.9577425944835</v>
      </c>
    </row>
    <row r="26" spans="1:40" x14ac:dyDescent="0.3">
      <c r="A26" s="239" t="s">
        <v>168</v>
      </c>
      <c r="B26" s="214">
        <f>'Production SH'!$B$5*B8*$B$21*365</f>
        <v>3675.2535590136745</v>
      </c>
      <c r="C26" s="378">
        <f>('Production SH'!$B$6+'Production SH'!$B$7)*C8*$C$21*365</f>
        <v>7012.3837905980909</v>
      </c>
      <c r="D26" s="214">
        <f>'Production SH'!$C$5*D8*$D$21*365</f>
        <v>630.07433322158374</v>
      </c>
      <c r="E26" s="121">
        <f>('Production SH'!$C$6+'Production SH'!$C$7)*E8*$E$21*365</f>
        <v>1202.1818277867819</v>
      </c>
      <c r="F26" s="214">
        <f>'Production SH'!$D$5*F8*$F$21*365</f>
        <v>1331.8668044315025</v>
      </c>
      <c r="G26" s="121">
        <f>('Production SH'!$D$6+'Production SH'!$D$7)*G8*$G$21*365</f>
        <v>2541.2018628553069</v>
      </c>
      <c r="H26" s="214">
        <f>'Production SH'!$E$5*H8*$H$21*365</f>
        <v>0</v>
      </c>
      <c r="I26" s="121">
        <f>('Production SH'!$E$6+'Production SH'!$E$7)*I8*$I$21*365</f>
        <v>0</v>
      </c>
      <c r="J26" s="214">
        <f>'Production SH'!$F$5*J8*$J$21*365</f>
        <v>5351.4036782594412</v>
      </c>
      <c r="K26" s="121">
        <f>('Production SH'!$F$6+'Production SH'!$F$7)*K8*$K$21*365</f>
        <v>10210.478218119013</v>
      </c>
      <c r="L26" s="214">
        <f>'Production SH'!$G$5*L8*$L$21*365</f>
        <v>2887.0558263704443</v>
      </c>
      <c r="M26" s="121">
        <f>('Production SH'!$G$6+'Production SH'!$G$7)*M8*$M$21*365</f>
        <v>5508.5025167148078</v>
      </c>
      <c r="N26" s="214">
        <f>'Production SH'!$H$5*N8*$N$21*365</f>
        <v>0</v>
      </c>
      <c r="O26" s="121">
        <f>('Production SH'!$H$6+'Production SH'!$H$7)*O8*$O$21*365</f>
        <v>0</v>
      </c>
      <c r="P26" s="214">
        <f>'Production SH'!$I$5*P8*$P$21*365</f>
        <v>0</v>
      </c>
      <c r="Q26" s="121">
        <f>('Production SH'!$I$6+'Production SH'!$I$7)*Q8*$Q$21*365</f>
        <v>0</v>
      </c>
      <c r="R26" s="214">
        <f>'Production SH'!$J$5*R8*$R$21*365</f>
        <v>0</v>
      </c>
      <c r="S26" s="121">
        <f>('Production SH'!$J$6+'Production SH'!$J$7)*S8*$S$21*365</f>
        <v>0</v>
      </c>
      <c r="T26" s="214">
        <f>'Production SH'!$K$5*T8*$T$21*365</f>
        <v>824.13878331333649</v>
      </c>
      <c r="U26" s="121">
        <f>('Production SH'!$K$6+'Production SH'!$K$7)*U8*$U$21*365</f>
        <v>1572.456798561846</v>
      </c>
      <c r="V26" s="214">
        <f>'Production SH'!$L$5*V8*$X$21*365</f>
        <v>1334.2632788559752</v>
      </c>
      <c r="W26" s="378">
        <f>('Production SH'!$L$6+'Production SH'!$L$7)*W8*$Y$21*365</f>
        <v>2545.7743360572008</v>
      </c>
      <c r="X26" s="214">
        <f>'Production SH'!$L$5*X8*$X$21*365</f>
        <v>1334.2632788559752</v>
      </c>
      <c r="Y26" s="378">
        <f>('Production SH'!$L$6+'Production SH'!$L$7)*Y8*$Y$21*365</f>
        <v>2545.7743360572008</v>
      </c>
    </row>
    <row r="27" spans="1:40" x14ac:dyDescent="0.3">
      <c r="A27" s="239" t="s">
        <v>299</v>
      </c>
      <c r="B27" s="214">
        <f>'Production SH'!$B$5*B9*$B$21*365</f>
        <v>2674.0053101255144</v>
      </c>
      <c r="C27" s="121">
        <f>('Production SH'!$B$6+'Production SH'!$B$7)*C9*$C$21*365</f>
        <v>5102.0021317194814</v>
      </c>
      <c r="D27" s="214">
        <f>'Production SH'!$C$5*D9*$D$21*365</f>
        <v>3783.9132430288118</v>
      </c>
      <c r="E27" s="121">
        <f>('Production SH'!$C$6+'Production SH'!$C$7)*E9*$E$21*365</f>
        <v>7219.7064676989712</v>
      </c>
      <c r="F27" s="214">
        <f>'Production SH'!$D$5*F9*$F$21*365</f>
        <v>1234.2252778274365</v>
      </c>
      <c r="G27" s="121">
        <f>('Production SH'!$D$6+'Production SH'!$D$7)*G9*$G$21*365</f>
        <v>2354.9018300947482</v>
      </c>
      <c r="H27" s="214">
        <f>'Production SH'!$E$5*H9*$H$21*365</f>
        <v>3396.6900000000005</v>
      </c>
      <c r="I27" s="121">
        <f>('Production SH'!$E$6+'Production SH'!$E$7)*I9*$I$21*365</f>
        <v>6480.8845199999987</v>
      </c>
      <c r="J27" s="214">
        <f>'Production SH'!$F$5*J9*$J$21*365</f>
        <v>2380.5318506509939</v>
      </c>
      <c r="K27" s="121">
        <f>('Production SH'!$F$6+'Production SH'!$F$7)*K9*$K$21*365</f>
        <v>4542.054771042096</v>
      </c>
      <c r="L27" s="214">
        <f>'Production SH'!$G$5*L9*$L$21*365</f>
        <v>3062.4441736295557</v>
      </c>
      <c r="M27" s="121">
        <f>('Production SH'!$G$6+'Production SH'!$G$7)*M9*$M$21*365</f>
        <v>5843.143483285191</v>
      </c>
      <c r="N27" s="214">
        <f>'Production SH'!$H$5*N9*$N$21*365</f>
        <v>296.0752344800224</v>
      </c>
      <c r="O27" s="121">
        <f>('Production SH'!$H$6+'Production SH'!$H$7)*O9*$O$21*365</f>
        <v>564.91154738788271</v>
      </c>
      <c r="P27" s="214">
        <f>'Production SH'!$I$5*P9*$P$21*365</f>
        <v>5180.5179999999991</v>
      </c>
      <c r="Q27" s="121">
        <f>('Production SH'!$I$6+'Production SH'!$I$7)*Q9*$Q$21*365</f>
        <v>9884.4283439999981</v>
      </c>
      <c r="R27" s="214">
        <f>'Production SH'!$J$5*R9*$R$21*365</f>
        <v>784.02265287643797</v>
      </c>
      <c r="S27" s="121">
        <f>('Production SH'!$J$6+'Production SH'!$J$7)*S9*$S$21*365</f>
        <v>1495.9152216882435</v>
      </c>
      <c r="T27" s="214">
        <f>'Production SH'!$K$5*T9*$T$21*365</f>
        <v>7087.723761780474</v>
      </c>
      <c r="U27" s="378">
        <f>('Production SH'!$K$6+'Production SH'!$K$7)*U9*$U$21*365</f>
        <v>13523.376937477144</v>
      </c>
      <c r="V27" s="214">
        <f>'Production SH'!$L$5*V9*$X$21*365</f>
        <v>3150</v>
      </c>
      <c r="W27" s="378">
        <f>('Production SH'!$L$6+'Production SH'!$L$7)*W9*$Y$21*365</f>
        <v>5921.8819152196111</v>
      </c>
      <c r="X27" s="214">
        <f>'Production SH'!$L$5*X9*$X$21*365</f>
        <v>3150</v>
      </c>
      <c r="Y27" s="378">
        <f>('Production SH'!$L$6+'Production SH'!$L$7)*Y9*$Y$21*365</f>
        <v>5921.8819152196111</v>
      </c>
    </row>
    <row r="28" spans="1:40" x14ac:dyDescent="0.3">
      <c r="A28" s="234"/>
      <c r="B28" s="207"/>
      <c r="C28" s="206"/>
      <c r="D28" s="195"/>
      <c r="E28" s="206"/>
      <c r="F28" s="195"/>
      <c r="G28" s="206"/>
      <c r="H28" s="195"/>
      <c r="I28" s="206"/>
      <c r="J28" s="195"/>
      <c r="K28" s="206"/>
      <c r="L28" s="195"/>
      <c r="M28" s="206"/>
      <c r="N28" s="195"/>
      <c r="O28" s="206"/>
      <c r="P28" s="195"/>
      <c r="Q28" s="206"/>
      <c r="R28" s="195"/>
      <c r="S28" s="206"/>
      <c r="T28" s="195"/>
      <c r="U28" s="206"/>
      <c r="V28" s="195"/>
      <c r="W28" s="206"/>
      <c r="X28" s="195"/>
      <c r="Y28" s="206"/>
    </row>
    <row r="29" spans="1:40" x14ac:dyDescent="0.3">
      <c r="A29" s="241" t="s">
        <v>169</v>
      </c>
      <c r="B29" s="203"/>
      <c r="C29" s="262"/>
      <c r="D29" s="203"/>
      <c r="E29" s="349"/>
      <c r="F29" s="109"/>
      <c r="G29" s="262"/>
      <c r="H29" s="203"/>
      <c r="I29" s="349"/>
      <c r="J29" s="203"/>
      <c r="K29" s="349"/>
      <c r="L29" s="203"/>
      <c r="M29" s="349"/>
      <c r="N29" s="203"/>
      <c r="O29" s="262"/>
      <c r="P29" s="203"/>
      <c r="Q29" s="262"/>
      <c r="R29" s="203"/>
      <c r="S29" s="262"/>
      <c r="T29" s="203"/>
      <c r="U29" s="262"/>
      <c r="V29" s="203"/>
      <c r="W29" s="349"/>
      <c r="X29" s="203"/>
      <c r="Y29" s="349"/>
    </row>
    <row r="30" spans="1:40" x14ac:dyDescent="0.3">
      <c r="A30" s="239" t="s">
        <v>166</v>
      </c>
      <c r="B30" s="207">
        <f>B24*$B$19*0.67*B13</f>
        <v>9.0840636466180749E-2</v>
      </c>
      <c r="C30" s="10">
        <f>C24*$C$19*0.67*B13</f>
        <v>0.12999295078310463</v>
      </c>
      <c r="D30" s="207">
        <f>D24*$D$19*0.67*D13</f>
        <v>13.955071157881644</v>
      </c>
      <c r="E30" s="208">
        <f>E24*$E$19*0.67*D13</f>
        <v>20.01910874970276</v>
      </c>
      <c r="F30" s="10">
        <f>F24*$F$19*0.67*F13</f>
        <v>2.2623412326074424</v>
      </c>
      <c r="G30" s="10">
        <f>G24*$G$19*0.67*F13</f>
        <v>4.3165470718150001</v>
      </c>
      <c r="H30" s="207">
        <f>H24*$H$19*0.67*H13</f>
        <v>42.370928640000002</v>
      </c>
      <c r="I30" s="208">
        <f>I24*$I$19*0.67*H13</f>
        <v>57.264310056960007</v>
      </c>
      <c r="J30" s="10">
        <f>J24*$J$19*0.67*J13</f>
        <v>5.0523643721377152</v>
      </c>
      <c r="K30" s="208">
        <f>K24*$K$19*0.67*J13</f>
        <v>6.8282704489441226</v>
      </c>
      <c r="L30" s="207">
        <f>L24*$L$19*0.67*L13</f>
        <v>0</v>
      </c>
      <c r="M30" s="208">
        <f>M24*$M$19*0.67*L13</f>
        <v>0</v>
      </c>
      <c r="N30" s="207">
        <f>N24*$N$19*0.67*N13</f>
        <v>16.786438682419977</v>
      </c>
      <c r="O30" s="10">
        <f>O24*$O$19*0.67*N13</f>
        <v>36.032090631814484</v>
      </c>
      <c r="P30" s="207">
        <f>P24*$P$19*0.67*P13</f>
        <v>6.2983754680000015</v>
      </c>
      <c r="Q30" s="10">
        <f>Q24*$Q$19*0.67*P13</f>
        <v>0</v>
      </c>
      <c r="R30" s="207">
        <f>R24*$R$19*0.67*R13</f>
        <v>17.426406674763058</v>
      </c>
      <c r="S30" s="10">
        <f>S24*$S$19*0.67*R13</f>
        <v>23.551788620942272</v>
      </c>
      <c r="T30" s="207">
        <f>T24*$T$19*0.67*T13</f>
        <v>10.659436137413641</v>
      </c>
      <c r="U30" s="10">
        <f>U24*$U$19*0.67*T13</f>
        <v>15.253653112638917</v>
      </c>
      <c r="V30" s="207">
        <f>V24*$X$19*0.67*V13</f>
        <v>10.476521999999997</v>
      </c>
      <c r="W30" s="208">
        <f>W24*$Y$19*0.67*V13</f>
        <v>2.7924592467824314</v>
      </c>
      <c r="X30" s="207">
        <f>X24*$X$19*0.67*X13</f>
        <v>10.476521999999997</v>
      </c>
      <c r="Y30" s="208">
        <f>Y24*$Y$19*0.67*X13</f>
        <v>2.7924592467824314</v>
      </c>
      <c r="AC30" s="10"/>
      <c r="AD30" s="10"/>
      <c r="AE30" s="10"/>
      <c r="AF30" s="10"/>
    </row>
    <row r="31" spans="1:40" x14ac:dyDescent="0.3">
      <c r="A31" s="239" t="s">
        <v>167</v>
      </c>
      <c r="B31" s="207">
        <f>B25*$B$19*0.67*B14</f>
        <v>67.072422445533775</v>
      </c>
      <c r="C31" s="10">
        <f t="shared" ref="C31" si="0">C25*$C$19*0.67*B14</f>
        <v>95.9806365195588</v>
      </c>
      <c r="D31" s="207">
        <f t="shared" ref="D31:D32" si="1">D25*$D$19*0.67*D14</f>
        <v>8.8629100943129995</v>
      </c>
      <c r="E31" s="208">
        <f>E25*$E$19*0.67*D14</f>
        <v>12.714199663301718</v>
      </c>
      <c r="F31" s="10">
        <f t="shared" ref="F31" si="2">F25*$F$19*0.67*F14</f>
        <v>43.966396561493013</v>
      </c>
      <c r="G31" s="10">
        <f t="shared" ref="G31" si="3">G25*$G$19*0.67*F14</f>
        <v>83.887884639328647</v>
      </c>
      <c r="H31" s="207">
        <f t="shared" ref="H31:H32" si="4">H25*$H$19*0.67*H14</f>
        <v>10.92375504</v>
      </c>
      <c r="I31" s="208">
        <f t="shared" ref="I31" si="5">I25*$I$19*0.67*H14</f>
        <v>14.763454936559999</v>
      </c>
      <c r="J31" s="10">
        <f t="shared" ref="J31:J32" si="6">J25*$J$19*0.67*J14</f>
        <v>4.3333846107414056</v>
      </c>
      <c r="K31" s="208">
        <f t="shared" ref="K31" si="7">K25*$K$19*0.67*J14</f>
        <v>5.8565693014170082</v>
      </c>
      <c r="L31" s="207">
        <f t="shared" ref="L31:L32" si="8">L25*$L$19*0.67*L14</f>
        <v>0</v>
      </c>
      <c r="M31" s="208">
        <f t="shared" ref="M31" si="9">M25*$M$19*0.67*L14</f>
        <v>0</v>
      </c>
      <c r="N31" s="207">
        <f t="shared" ref="N31:N32" si="10">N25*$N$19*0.67*N14</f>
        <v>107.57355617721399</v>
      </c>
      <c r="O31" s="10">
        <f t="shared" ref="O31" si="11">O25*$O$19*0.67*N14</f>
        <v>230.90663833438992</v>
      </c>
      <c r="P31" s="207">
        <f t="shared" ref="P31" si="12">P25*$P$19*0.67*P14</f>
        <v>53.536191478000021</v>
      </c>
      <c r="Q31" s="10">
        <f t="shared" ref="Q31" si="13">Q25*$Q$19*0.67*P14</f>
        <v>0</v>
      </c>
      <c r="R31" s="207">
        <f t="shared" ref="R31:R32" si="14">R25*$R$19*0.67*R14</f>
        <v>9.0432560254836911</v>
      </c>
      <c r="S31" s="10">
        <f t="shared" ref="S31" si="15">S25*$S$19*0.67*R14</f>
        <v>12.221960518441209</v>
      </c>
      <c r="T31" s="207">
        <f t="shared" ref="T31:T32" si="16">T25*$T$19*0.67*T14</f>
        <v>1.9789046377004909</v>
      </c>
      <c r="U31" s="10">
        <f t="shared" ref="U31" si="17">U25*$U$19*0.67*T14</f>
        <v>2.8318125365494025</v>
      </c>
      <c r="V31" s="207">
        <f t="shared" ref="V31:X32" si="18">V25*$X$19*0.67*V14</f>
        <v>7.5569696935648629</v>
      </c>
      <c r="W31" s="208">
        <f t="shared" ref="W31" si="19">W25*$Y$19*0.67*V14</f>
        <v>10.814023631491317</v>
      </c>
      <c r="X31" s="207">
        <f t="shared" si="18"/>
        <v>7.5569696935648629</v>
      </c>
      <c r="Y31" s="208">
        <f t="shared" ref="Y31" si="20">Y25*$Y$19*0.67*X14</f>
        <v>10.814023631491317</v>
      </c>
      <c r="AC31" s="10"/>
      <c r="AD31" s="10"/>
      <c r="AE31" s="10"/>
      <c r="AF31" s="10"/>
    </row>
    <row r="32" spans="1:40" x14ac:dyDescent="0.3">
      <c r="A32" s="239" t="s">
        <v>170</v>
      </c>
      <c r="B32" s="207">
        <f t="shared" ref="B32" si="21">B26*$B$19*0.67*B15</f>
        <v>85.101231209673443</v>
      </c>
      <c r="C32" s="10">
        <f>C26*$C$19*0.67*B16</f>
        <v>121.77986186104266</v>
      </c>
      <c r="D32" s="207">
        <f t="shared" si="1"/>
        <v>6.0019952927143203</v>
      </c>
      <c r="E32" s="208">
        <f>E26*$E$19*0.67*D16</f>
        <v>53.106018346446241</v>
      </c>
      <c r="F32" s="10">
        <f>F26*$F$19*0.67*F15</f>
        <v>34.890914675692073</v>
      </c>
      <c r="G32" s="10">
        <f>G26*$G$19*0.67*F16</f>
        <v>66.57186520122049</v>
      </c>
      <c r="H32" s="207">
        <f t="shared" si="4"/>
        <v>0</v>
      </c>
      <c r="I32" s="208">
        <f>I26*$I$19*0.67*H16</f>
        <v>0</v>
      </c>
      <c r="J32" s="10">
        <f t="shared" si="6"/>
        <v>53.955829282011955</v>
      </c>
      <c r="K32" s="208">
        <f>K26*$K$19*0.67*J16</f>
        <v>179.97172404281909</v>
      </c>
      <c r="L32" s="207">
        <f t="shared" si="8"/>
        <v>97.490101144877173</v>
      </c>
      <c r="M32" s="208">
        <f>M26*$M$19*0.67*L16</f>
        <v>139.50833473831923</v>
      </c>
      <c r="N32" s="207">
        <f t="shared" si="10"/>
        <v>0</v>
      </c>
      <c r="O32" s="10">
        <f>O26*$O$19*0.67*N16</f>
        <v>0</v>
      </c>
      <c r="P32" s="207">
        <f>P26*$P$19*0.67*P15</f>
        <v>0</v>
      </c>
      <c r="Q32" s="10">
        <f>Q26*$Q$19*0.67*P16</f>
        <v>0</v>
      </c>
      <c r="R32" s="207">
        <f t="shared" si="14"/>
        <v>0</v>
      </c>
      <c r="S32" s="10">
        <f>S26*$S$19*0.67*R16</f>
        <v>0</v>
      </c>
      <c r="T32" s="207">
        <f t="shared" si="16"/>
        <v>11.726922674324285</v>
      </c>
      <c r="U32" s="10">
        <f>U26*$U$19*0.67*T16</f>
        <v>21.106741666599977</v>
      </c>
      <c r="V32" s="207">
        <f t="shared" si="18"/>
        <v>36.473420990806943</v>
      </c>
      <c r="W32" s="208">
        <f>W26*$Y$19*0.67*V16</f>
        <v>52.193465437844729</v>
      </c>
      <c r="X32" s="207">
        <f t="shared" si="18"/>
        <v>36.473420990806943</v>
      </c>
      <c r="Y32" s="208">
        <f>Y26*$Y$19*0.67*X16</f>
        <v>52.193465437844729</v>
      </c>
      <c r="AC32" s="10"/>
      <c r="AD32" s="10"/>
      <c r="AE32" s="10"/>
      <c r="AF32" s="10"/>
    </row>
    <row r="33" spans="1:32" x14ac:dyDescent="0.3">
      <c r="A33" s="239" t="s">
        <v>299</v>
      </c>
      <c r="B33" s="207">
        <f>B27*$B$19*0.67*B17</f>
        <v>2.0209062531804589</v>
      </c>
      <c r="C33" s="10">
        <f>C27*$C$19*0.67*B17</f>
        <v>2.891916848301237</v>
      </c>
      <c r="D33" s="207">
        <f>D27*$D$19*0.67*D17</f>
        <v>2.8597302725514551</v>
      </c>
      <c r="E33" s="207">
        <f>E27*$D$19*0.67*D17</f>
        <v>5.4563653600281752</v>
      </c>
      <c r="F33" s="10">
        <f>F27*$F$19*0.67*F17</f>
        <v>1.9019411531320796</v>
      </c>
      <c r="G33" s="10">
        <f>G27*$G$19*0.67*F17</f>
        <v>3.6289037201760075</v>
      </c>
      <c r="H33" s="207">
        <f>H27*$H$19*0.67*H17</f>
        <v>8.1928162800000024</v>
      </c>
      <c r="I33" s="208">
        <f>I27*$I$19*0.67*H17</f>
        <v>11.072591202419998</v>
      </c>
      <c r="J33" s="10">
        <f>J27*$J$19*0.67*J17</f>
        <v>3.8278952158467985</v>
      </c>
      <c r="K33" s="208">
        <f>K27*$K$19*0.67*J17</f>
        <v>5.1734003842169489</v>
      </c>
      <c r="L33" s="207">
        <f>L27*$L$19*0.67*L17</f>
        <v>2.314472808662273</v>
      </c>
      <c r="M33" s="208">
        <f>M27*$M$19*0.67*L17</f>
        <v>3.3120105891957121</v>
      </c>
      <c r="N33" s="207">
        <f>N27*$N$19*0.67*N17</f>
        <v>0.52945792252573165</v>
      </c>
      <c r="O33" s="10">
        <f>O27*$O$19*0.67*N17</f>
        <v>1.1364814307014832</v>
      </c>
      <c r="P33" s="207">
        <f>P27*$P$19*0.67*P17</f>
        <v>7.6360835319999989</v>
      </c>
      <c r="Q33" s="10">
        <f>Q27*$Q$19*0.67*P17</f>
        <v>0</v>
      </c>
      <c r="R33" s="207">
        <f>R27*$R$19*0.67*R17</f>
        <v>1.2607084258253123</v>
      </c>
      <c r="S33" s="10">
        <f>S27*$S$19*0.67*R17</f>
        <v>1.7038474375029098</v>
      </c>
      <c r="T33" s="207">
        <f>T27*$T$19*0.67*T17</f>
        <v>13.638439747692543</v>
      </c>
      <c r="U33" s="10">
        <f>U27*$U$19*0.67*T17</f>
        <v>19.516607278948026</v>
      </c>
      <c r="V33" s="207">
        <f>V27*$X$19*0.67*V17</f>
        <v>5.0652000000000008</v>
      </c>
      <c r="W33" s="208">
        <f>W27*$Y$19*0.67*V17</f>
        <v>7.1417895897548513</v>
      </c>
      <c r="X33" s="207">
        <f>X27*$X$19*0.67*X17</f>
        <v>5.0652000000000008</v>
      </c>
      <c r="Y33" s="208">
        <f>Y27*$Y$19*0.67*X17</f>
        <v>7.1417895897548513</v>
      </c>
      <c r="AC33" s="10"/>
      <c r="AD33" s="10"/>
      <c r="AE33" s="10"/>
      <c r="AF33" s="10"/>
    </row>
    <row r="34" spans="1:32" x14ac:dyDescent="0.3">
      <c r="A34" s="239" t="s">
        <v>171</v>
      </c>
      <c r="B34" s="207"/>
      <c r="C34" s="10">
        <f>SUM(B30:C33)</f>
        <v>375.0678087245397</v>
      </c>
      <c r="D34" s="207"/>
      <c r="E34" s="208">
        <f>SUM(D30:E33)</f>
        <v>122.97539893693931</v>
      </c>
      <c r="F34" s="10"/>
      <c r="G34" s="208">
        <f>SUM(F30:G33)</f>
        <v>241.42679425546476</v>
      </c>
      <c r="H34" s="207"/>
      <c r="I34" s="208">
        <f>SUM(H30:I33)</f>
        <v>144.58785615594002</v>
      </c>
      <c r="J34" s="207"/>
      <c r="K34" s="208">
        <f>SUM(J30:K33)</f>
        <v>264.99943765813504</v>
      </c>
      <c r="L34" s="10"/>
      <c r="M34" s="208">
        <f>SUM(L30:M33)</f>
        <v>242.62491928105439</v>
      </c>
      <c r="N34" s="207"/>
      <c r="O34" s="208">
        <f>SUM(N30:O33)</f>
        <v>392.96466317906561</v>
      </c>
      <c r="P34" s="207"/>
      <c r="Q34" s="208">
        <f>SUM(P30:Q33)</f>
        <v>67.470650478000024</v>
      </c>
      <c r="R34" s="207"/>
      <c r="S34" s="208">
        <f>SUM(R30:S33)</f>
        <v>65.207967702958456</v>
      </c>
      <c r="T34" s="207"/>
      <c r="U34" s="208">
        <f>SUM(T30:U33)</f>
        <v>96.712517791867285</v>
      </c>
      <c r="V34" s="207"/>
      <c r="W34" s="208">
        <f>SUM(V30:W33)</f>
        <v>132.51385059024514</v>
      </c>
      <c r="X34" s="207"/>
      <c r="Y34" s="208">
        <f>SUM(X30:Y33)</f>
        <v>132.51385059024514</v>
      </c>
      <c r="AC34" s="10"/>
      <c r="AD34" s="10"/>
      <c r="AE34" s="10"/>
      <c r="AF34" s="10"/>
    </row>
    <row r="35" spans="1:32" x14ac:dyDescent="0.3">
      <c r="A35" s="239"/>
      <c r="B35" s="207"/>
      <c r="C35" s="10"/>
      <c r="D35" s="207"/>
      <c r="E35" s="208"/>
      <c r="F35" s="10"/>
      <c r="G35" s="10"/>
      <c r="H35" s="207"/>
      <c r="I35" s="10"/>
      <c r="J35" s="207"/>
      <c r="K35" s="10"/>
      <c r="L35" s="207"/>
      <c r="M35" s="10"/>
      <c r="N35" s="207"/>
      <c r="O35" s="10"/>
      <c r="P35" s="207"/>
      <c r="Q35" s="10"/>
      <c r="R35" s="207"/>
      <c r="S35" s="10"/>
      <c r="T35" s="207"/>
      <c r="U35" s="10"/>
      <c r="V35" s="207"/>
      <c r="W35" s="208"/>
      <c r="X35" s="207"/>
      <c r="Y35" s="208"/>
      <c r="AB35" s="4"/>
      <c r="AC35" s="4"/>
      <c r="AD35" s="4"/>
      <c r="AE35" s="4"/>
      <c r="AF35" s="4"/>
    </row>
    <row r="36" spans="1:32" x14ac:dyDescent="0.3">
      <c r="A36" s="239"/>
      <c r="B36" s="195"/>
      <c r="D36" s="195"/>
      <c r="E36" s="196"/>
      <c r="H36" s="195"/>
      <c r="J36" s="195"/>
      <c r="L36" s="195"/>
      <c r="N36" s="195"/>
      <c r="P36" s="195"/>
      <c r="R36" s="195"/>
      <c r="T36" s="195"/>
      <c r="V36" s="195"/>
      <c r="W36" s="196"/>
      <c r="X36" s="195"/>
      <c r="Y36" s="196"/>
    </row>
    <row r="37" spans="1:32" x14ac:dyDescent="0.3">
      <c r="A37" s="236" t="s">
        <v>173</v>
      </c>
      <c r="B37" s="248"/>
      <c r="C37" s="157"/>
      <c r="D37" s="248"/>
      <c r="E37" s="260"/>
      <c r="F37" s="157"/>
      <c r="G37" s="157"/>
      <c r="H37" s="248"/>
      <c r="I37" s="157"/>
      <c r="J37" s="248"/>
      <c r="K37" s="157"/>
      <c r="L37" s="248"/>
      <c r="M37" s="157"/>
      <c r="N37" s="248"/>
      <c r="O37" s="157"/>
      <c r="P37" s="248"/>
      <c r="Q37" s="157"/>
      <c r="R37" s="248"/>
      <c r="S37" s="157"/>
      <c r="T37" s="248"/>
      <c r="U37" s="157"/>
      <c r="V37" s="248"/>
      <c r="W37" s="260"/>
      <c r="X37" s="248"/>
      <c r="Y37" s="260"/>
    </row>
    <row r="38" spans="1:32" x14ac:dyDescent="0.3">
      <c r="A38" s="241" t="s">
        <v>174</v>
      </c>
      <c r="B38" s="203"/>
      <c r="C38" s="109"/>
      <c r="D38" s="203"/>
      <c r="E38" s="204"/>
      <c r="F38" s="109"/>
      <c r="G38" s="109"/>
      <c r="H38" s="203"/>
      <c r="I38" s="109"/>
      <c r="J38" s="203"/>
      <c r="K38" s="109"/>
      <c r="L38" s="203"/>
      <c r="M38" s="109"/>
      <c r="N38" s="203"/>
      <c r="O38" s="109"/>
      <c r="P38" s="203"/>
      <c r="Q38" s="109"/>
      <c r="R38" s="203"/>
      <c r="S38" s="109"/>
      <c r="T38" s="203"/>
      <c r="U38" s="109"/>
      <c r="V38" s="203"/>
      <c r="W38" s="204"/>
      <c r="X38" s="203"/>
      <c r="Y38" s="204"/>
    </row>
    <row r="39" spans="1:32" x14ac:dyDescent="0.3">
      <c r="A39" s="239" t="s">
        <v>175</v>
      </c>
      <c r="B39" s="259">
        <v>42.34</v>
      </c>
      <c r="C39" s="194">
        <v>42.34</v>
      </c>
      <c r="D39" s="259">
        <v>59.99</v>
      </c>
      <c r="E39" s="359">
        <v>59.991253303000001</v>
      </c>
      <c r="F39" s="362">
        <v>43.79</v>
      </c>
      <c r="G39" s="359">
        <v>43.786859999999997</v>
      </c>
      <c r="H39" s="362">
        <v>53.44</v>
      </c>
      <c r="I39" s="359">
        <v>53.439750643391207</v>
      </c>
      <c r="J39" s="362">
        <v>52.57</v>
      </c>
      <c r="K39" s="359">
        <v>52.571885197854918</v>
      </c>
      <c r="L39" s="362">
        <v>57.16</v>
      </c>
      <c r="M39" s="359">
        <v>57.159813022474381</v>
      </c>
      <c r="N39" s="259">
        <v>52.34</v>
      </c>
      <c r="O39" s="359">
        <v>52.33523846681635</v>
      </c>
      <c r="P39" s="362">
        <v>36.950000000000003</v>
      </c>
      <c r="Q39" s="359">
        <v>36.951655332741332</v>
      </c>
      <c r="R39" s="362">
        <v>50.96</v>
      </c>
      <c r="S39" s="359">
        <v>50.964126356708121</v>
      </c>
      <c r="T39" s="362">
        <v>57.44</v>
      </c>
      <c r="U39" s="359">
        <v>57.444594930976102</v>
      </c>
      <c r="V39" s="362">
        <v>42.24</v>
      </c>
      <c r="W39" s="359">
        <v>42.2381130623655</v>
      </c>
      <c r="X39" s="439">
        <v>42.24</v>
      </c>
      <c r="Y39" s="446">
        <v>42.2381130623655</v>
      </c>
      <c r="AA39" s="182" t="s">
        <v>497</v>
      </c>
    </row>
    <row r="40" spans="1:32" x14ac:dyDescent="0.3">
      <c r="A40" s="239" t="s">
        <v>176</v>
      </c>
      <c r="B40" s="210">
        <v>0.6</v>
      </c>
      <c r="C40" s="263">
        <v>0.6</v>
      </c>
      <c r="D40" s="210">
        <v>0.6</v>
      </c>
      <c r="E40" s="263">
        <v>0.6</v>
      </c>
      <c r="F40" s="210">
        <v>0.6</v>
      </c>
      <c r="G40" s="263">
        <v>0.6</v>
      </c>
      <c r="H40" s="210">
        <v>0.6</v>
      </c>
      <c r="I40" s="263">
        <v>0.6</v>
      </c>
      <c r="J40" s="210">
        <v>0.6</v>
      </c>
      <c r="K40" s="263">
        <v>0.6</v>
      </c>
      <c r="L40" s="210">
        <v>0.6</v>
      </c>
      <c r="M40" s="263">
        <v>0.6</v>
      </c>
      <c r="N40" s="210">
        <v>0.6</v>
      </c>
      <c r="O40" s="263">
        <v>0.6</v>
      </c>
      <c r="P40" s="210">
        <v>0.6</v>
      </c>
      <c r="Q40" s="263">
        <v>0.6</v>
      </c>
      <c r="R40" s="210">
        <v>0.6</v>
      </c>
      <c r="S40" s="263">
        <v>0.6</v>
      </c>
      <c r="T40" s="210">
        <v>0.6</v>
      </c>
      <c r="U40" s="263">
        <v>0.6</v>
      </c>
      <c r="V40" s="210">
        <v>0.6</v>
      </c>
      <c r="W40" s="211">
        <v>0.6</v>
      </c>
      <c r="X40" s="447">
        <v>0.6</v>
      </c>
      <c r="Y40" s="448">
        <v>0.6</v>
      </c>
      <c r="AA40" s="182" t="s">
        <v>177</v>
      </c>
    </row>
    <row r="41" spans="1:32" x14ac:dyDescent="0.3">
      <c r="A41" s="239"/>
      <c r="B41" s="210"/>
      <c r="C41" s="263"/>
      <c r="D41" s="210"/>
      <c r="E41" s="263"/>
      <c r="F41" s="210"/>
      <c r="G41" s="263"/>
      <c r="H41" s="210"/>
      <c r="I41" s="263"/>
      <c r="J41" s="210"/>
      <c r="K41" s="263"/>
      <c r="L41" s="210"/>
      <c r="M41" s="263"/>
      <c r="N41" s="210"/>
      <c r="O41" s="263"/>
      <c r="P41" s="210"/>
      <c r="Q41" s="263"/>
      <c r="R41" s="210"/>
      <c r="S41" s="263"/>
      <c r="T41" s="210"/>
      <c r="U41" s="263"/>
      <c r="V41" s="210"/>
      <c r="W41" s="211"/>
      <c r="X41" s="210"/>
      <c r="Y41" s="211"/>
      <c r="AA41" s="182"/>
    </row>
    <row r="42" spans="1:32" x14ac:dyDescent="0.3">
      <c r="A42" s="241" t="s">
        <v>178</v>
      </c>
      <c r="B42" s="203"/>
      <c r="C42" s="109"/>
      <c r="D42" s="203"/>
      <c r="E42" s="109"/>
      <c r="F42" s="203"/>
      <c r="G42" s="109"/>
      <c r="H42" s="203"/>
      <c r="I42" s="109"/>
      <c r="J42" s="203"/>
      <c r="K42" s="109"/>
      <c r="L42" s="203"/>
      <c r="M42" s="109"/>
      <c r="N42" s="203"/>
      <c r="O42" s="109"/>
      <c r="P42" s="203"/>
      <c r="Q42" s="109"/>
      <c r="R42" s="203"/>
      <c r="S42" s="109"/>
      <c r="T42" s="203"/>
      <c r="U42" s="109"/>
      <c r="V42" s="203"/>
      <c r="W42" s="204"/>
      <c r="X42" s="203"/>
      <c r="Y42" s="204"/>
    </row>
    <row r="43" spans="1:32" x14ac:dyDescent="0.3">
      <c r="A43" s="239" t="s">
        <v>166</v>
      </c>
      <c r="B43" s="251">
        <f>'Production SH'!$B$5*B6*$B$39</f>
        <v>1.2884367835040667</v>
      </c>
      <c r="C43" s="17">
        <f>('Production SH'!$B$6+'Production SH'!$B$7)*C6*$C$39</f>
        <v>2.4583373829257589</v>
      </c>
      <c r="D43" s="251">
        <f>'Production SH'!$C$5*D6*$D$39</f>
        <v>202.85394716546878</v>
      </c>
      <c r="E43" s="17">
        <f>('Production SH'!$C$6+'Production SH'!$C$7)*E6*$E$39</f>
        <v>387.05341729064287</v>
      </c>
      <c r="F43" s="251">
        <f>'Production SH'!$D$5*F6*$F$39</f>
        <v>61.156843941820497</v>
      </c>
      <c r="G43" s="17">
        <f>('Production SH'!$D$6+'Production SH'!$D$7)*G6*$G$39</f>
        <v>116.67889107974946</v>
      </c>
      <c r="H43" s="251">
        <f>'Production SH'!$E$5*H6*$H$39</f>
        <v>342.01600000000002</v>
      </c>
      <c r="I43" s="17">
        <f>('Production SH'!$E$6+'Production SH'!$E$7)*I6*$I$39</f>
        <v>652.56348305657866</v>
      </c>
      <c r="J43" s="251">
        <f>'Production SH'!$F$5*J6*$J$39</f>
        <v>87.026273743007721</v>
      </c>
      <c r="K43" s="17">
        <f>('Production SH'!$F$6+'Production SH'!$F$7)*K6*$K$39</f>
        <v>166.0520848348271</v>
      </c>
      <c r="L43" s="251">
        <f>'Production SH'!$G$5*L6*$L$39</f>
        <v>0</v>
      </c>
      <c r="M43" s="17">
        <f>('Production SH'!$G$6+'Production SH'!$G$7)*M6*$M$39</f>
        <v>0</v>
      </c>
      <c r="N43" s="251">
        <f>'Production SH'!$H$5*N6*$N$39</f>
        <v>259.94552994420724</v>
      </c>
      <c r="O43" s="17">
        <f>('Production SH'!$H$6+'Production SH'!$H$7)*O6*$O$39</f>
        <v>495.93095064212588</v>
      </c>
      <c r="P43" s="251">
        <f>'Production SH'!$I$5*P6*$P$39</f>
        <v>83.507000000000019</v>
      </c>
      <c r="Q43" s="17">
        <f>('Production SH'!$I$6+'Production SH'!$I$7)*Q6*$Q$39</f>
        <v>159.33849392720725</v>
      </c>
      <c r="R43" s="251">
        <f>'Production SH'!$J$5*R6*$R$39</f>
        <v>422.64460401840449</v>
      </c>
      <c r="S43" s="17">
        <f>('Production SH'!$J$6+'Production SH'!$J$7)*S6*$S$39</f>
        <v>806.47120113927758</v>
      </c>
      <c r="T43" s="251">
        <f>'Production SH'!$K$5*T6*$T$39</f>
        <v>153.04300349518709</v>
      </c>
      <c r="U43" s="17">
        <f>('Production SH'!$K$6+'Production SH'!$K$7)*U6*$U$39</f>
        <v>292.02940978524151</v>
      </c>
      <c r="V43" s="251">
        <f>'Production SH'!$L$5*V6*$X$39</f>
        <v>215.42400000000001</v>
      </c>
      <c r="W43" s="350">
        <f>('Production SH'!$L$6+'Production SH'!$L$7)*W6*$Y$39</f>
        <v>76.556687785887462</v>
      </c>
      <c r="X43" s="251">
        <f>'Production SH'!$L$5*X6*$X$39</f>
        <v>215.42400000000001</v>
      </c>
      <c r="Y43" s="350">
        <f>('Production SH'!$L$6+'Production SH'!$L$7)*Y6*$Y$39</f>
        <v>76.556687785887462</v>
      </c>
    </row>
    <row r="44" spans="1:32" x14ac:dyDescent="0.3">
      <c r="A44" s="239" t="s">
        <v>167</v>
      </c>
      <c r="B44" s="251">
        <f>'Production SH'!$B$5*B7*$B$39</f>
        <v>132.49591671497521</v>
      </c>
      <c r="C44" s="17">
        <f>('Production SH'!$B$6+'Production SH'!$B$7)*C7*$C$39</f>
        <v>252.80220909217269</v>
      </c>
      <c r="D44" s="251">
        <f>'Production SH'!$C$5*D7*$D$39</f>
        <v>16.3582668275583</v>
      </c>
      <c r="E44" s="17">
        <f>('Production SH'!$C$6+'Production SH'!$C$7)*E7*$E$39</f>
        <v>31.212225174962722</v>
      </c>
      <c r="F44" s="251">
        <f>'Production SH'!$D$5*F7*$F$39</f>
        <v>162.95097135095162</v>
      </c>
      <c r="G44" s="17">
        <f>('Production SH'!$D$6+'Production SH'!$D$7)*G7*$G$39</f>
        <v>310.8881592334028</v>
      </c>
      <c r="H44" s="251">
        <f>'Production SH'!$E$5*H7*$H$39</f>
        <v>16.032</v>
      </c>
      <c r="I44" s="17">
        <f>('Production SH'!$E$6+'Production SH'!$E$7)*I7*$I$39</f>
        <v>30.588913268277121</v>
      </c>
      <c r="J44" s="251">
        <f>'Production SH'!$F$5*J7*$J$39</f>
        <v>10.361976251911583</v>
      </c>
      <c r="K44" s="17">
        <f>('Production SH'!$F$6+'Production SH'!$F$7)*K7*$K$39</f>
        <v>19.771359678342343</v>
      </c>
      <c r="L44" s="251">
        <f>'Production SH'!$G$5*L7*$L$39</f>
        <v>0</v>
      </c>
      <c r="M44" s="17">
        <f>('Production SH'!$G$6+'Production SH'!$G$7)*M7*$M$39</f>
        <v>0</v>
      </c>
      <c r="N44" s="251">
        <f>'Production SH'!$H$5*N7*$N$39</f>
        <v>245.40379928086293</v>
      </c>
      <c r="O44" s="17">
        <f>('Production SH'!$H$6+'Production SH'!$H$7)*O7*$O$39</f>
        <v>468.18785264231815</v>
      </c>
      <c r="P44" s="251">
        <f>'Production SH'!$I$5*P7*$P$39</f>
        <v>83.507000000000019</v>
      </c>
      <c r="Q44" s="17">
        <f>('Production SH'!$I$6+'Production SH'!$I$7)*Q7*$Q$39</f>
        <v>159.33849392720725</v>
      </c>
      <c r="R44" s="251">
        <f>'Production SH'!$J$5*R7*$R$39</f>
        <v>25.803189062511866</v>
      </c>
      <c r="S44" s="17">
        <f>('Production SH'!$J$6+'Production SH'!$J$7)*S7*$S$39</f>
        <v>49.236471206814798</v>
      </c>
      <c r="T44" s="251">
        <f>'Production SH'!$K$5*T7*$T$39</f>
        <v>3.5419881475558532</v>
      </c>
      <c r="U44" s="17">
        <f>('Production SH'!$K$6+'Production SH'!$K$7)*U7*$U$39</f>
        <v>6.7586540029553559</v>
      </c>
      <c r="V44" s="251">
        <f>'Production SH'!$L$5*V7*$X$39</f>
        <v>88.79460674157302</v>
      </c>
      <c r="W44" s="350">
        <f>('Production SH'!$L$6+'Production SH'!$L$7)*W7*$Y$39</f>
        <v>169.41254135844773</v>
      </c>
      <c r="X44" s="251">
        <f>'Production SH'!$L$5*X7*$X$39</f>
        <v>88.79460674157302</v>
      </c>
      <c r="Y44" s="350">
        <f>('Production SH'!$L$6+'Production SH'!$L$7)*Y7*$Y$39</f>
        <v>169.41254135844773</v>
      </c>
    </row>
    <row r="45" spans="1:32" x14ac:dyDescent="0.3">
      <c r="A45" s="239" t="s">
        <v>168</v>
      </c>
      <c r="B45" s="251">
        <f>'Production SH'!$B$5*B8*$B$39</f>
        <v>167.64333562211024</v>
      </c>
      <c r="C45" s="17">
        <f>('Production SH'!$B$6+'Production SH'!$B$7)*C8*$C$39</f>
        <v>319.86348436698631</v>
      </c>
      <c r="D45" s="251">
        <f>'Production SH'!$C$5*D8*$D$39</f>
        <v>54.341250125969474</v>
      </c>
      <c r="E45" s="17">
        <f>('Production SH'!$C$6+'Production SH'!$C$7)*E8*$E$39</f>
        <v>103.68527137381945</v>
      </c>
      <c r="F45" s="251">
        <f>'Production SH'!$D$5*F8*$F$39</f>
        <v>110.96356043770072</v>
      </c>
      <c r="G45" s="17">
        <f>('Production SH'!$D$6+'Production SH'!$D$7)*G8*$G$39</f>
        <v>211.70329185803752</v>
      </c>
      <c r="H45" s="251">
        <f>'Production SH'!$E$5*H8*$H$39</f>
        <v>0</v>
      </c>
      <c r="I45" s="17">
        <f>('Production SH'!$E$6+'Production SH'!$E$7)*I8*$I$39</f>
        <v>0</v>
      </c>
      <c r="J45" s="251">
        <f>'Production SH'!$F$5*J8*$J$39</f>
        <v>296.44182441106301</v>
      </c>
      <c r="K45" s="17">
        <f>('Production SH'!$F$6+'Production SH'!$F$7)*K8*$K$39</f>
        <v>565.63128419193993</v>
      </c>
      <c r="L45" s="251">
        <f>'Production SH'!$G$5*L8*$L$39</f>
        <v>277.37475592122797</v>
      </c>
      <c r="M45" s="17">
        <f>('Production SH'!$G$6+'Production SH'!$G$7)*M8*$M$39</f>
        <v>529.22930311664516</v>
      </c>
      <c r="N45" s="251">
        <f>'Production SH'!$H$5*N8*$N$39</f>
        <v>0</v>
      </c>
      <c r="O45" s="17">
        <f>('Production SH'!$H$6+'Production SH'!$H$7)*O8*$O$39</f>
        <v>0</v>
      </c>
      <c r="P45" s="251">
        <f>'Production SH'!$I$5*P8*$P$39</f>
        <v>0</v>
      </c>
      <c r="Q45" s="17">
        <f>('Production SH'!$I$6+'Production SH'!$I$7)*Q8*$Q$39</f>
        <v>0</v>
      </c>
      <c r="R45" s="251">
        <f>'Production SH'!$J$5*R8*$R$39</f>
        <v>0</v>
      </c>
      <c r="S45" s="17">
        <f>('Production SH'!$J$6+'Production SH'!$J$7)*S8*$S$39</f>
        <v>0</v>
      </c>
      <c r="T45" s="251">
        <f>'Production SH'!$K$5*T8*$T$39</f>
        <v>43.521680347079204</v>
      </c>
      <c r="U45" s="17">
        <f>('Production SH'!$K$6+'Production SH'!$K$7)*U8*$U$39</f>
        <v>83.046008862595144</v>
      </c>
      <c r="V45" s="251">
        <f>'Production SH'!$L$5*V8*$X$39</f>
        <v>88.233707865168526</v>
      </c>
      <c r="W45" s="350">
        <f>('Production SH'!$L$6+'Production SH'!$L$7)*W8*$Y$39</f>
        <v>168.34239410982781</v>
      </c>
      <c r="X45" s="251">
        <f>'Production SH'!$L$5*X8*$X$39</f>
        <v>88.233707865168526</v>
      </c>
      <c r="Y45" s="350">
        <f>('Production SH'!$L$6+'Production SH'!$L$7)*Y8*$Y$39</f>
        <v>168.34239410982781</v>
      </c>
    </row>
    <row r="46" spans="1:32" x14ac:dyDescent="0.3">
      <c r="A46" s="239" t="s">
        <v>299</v>
      </c>
      <c r="B46" s="251">
        <f>'Production SH'!$B$5*B9*$B$39</f>
        <v>121.97231087941073</v>
      </c>
      <c r="C46" s="17">
        <f>('Production SH'!$B$6+'Production SH'!$B$7)*C9*$C$39</f>
        <v>232.72316915791566</v>
      </c>
      <c r="D46" s="251">
        <f>'Production SH'!$C$5*D9*$D$39</f>
        <v>326.34653588100355</v>
      </c>
      <c r="E46" s="17">
        <f>('Production SH'!$C$6+'Production SH'!$C$7)*E9*$E$39</f>
        <v>622.68219918181489</v>
      </c>
      <c r="F46" s="251">
        <f>'Production SH'!$D$5*F9*$F$39</f>
        <v>102.8286242695271</v>
      </c>
      <c r="G46" s="17">
        <f>('Production SH'!$D$6+'Production SH'!$D$7)*G9*$G$39</f>
        <v>196.18294662880999</v>
      </c>
      <c r="H46" s="251">
        <f>'Production SH'!$E$5*H9*$H$39</f>
        <v>176.352</v>
      </c>
      <c r="I46" s="17">
        <f>('Production SH'!$E$6+'Production SH'!$E$7)*I9*$I$39</f>
        <v>336.47804595104839</v>
      </c>
      <c r="J46" s="251">
        <f>'Production SH'!$F$5*J9*$J$39</f>
        <v>131.86992559401764</v>
      </c>
      <c r="K46" s="17">
        <f>('Production SH'!$F$6+'Production SH'!$F$7)*K9*$K$39</f>
        <v>251.61684086996235</v>
      </c>
      <c r="L46" s="251">
        <f>'Production SH'!$G$5*L9*$L$39</f>
        <v>294.22524407877199</v>
      </c>
      <c r="M46" s="17">
        <f>('Production SH'!$G$6+'Production SH'!$G$7)*M9*$M$39</f>
        <v>561.37992935216596</v>
      </c>
      <c r="N46" s="251">
        <f>'Production SH'!$H$5*N9*$N$39</f>
        <v>18.050670774929834</v>
      </c>
      <c r="O46" s="17">
        <f>('Production SH'!$H$6+'Production SH'!$H$7)*O9*$O$39</f>
        <v>34.437546662411762</v>
      </c>
      <c r="P46" s="251">
        <f>'Production SH'!$I$5*P9*$P$39</f>
        <v>202.48599999999999</v>
      </c>
      <c r="Q46" s="17">
        <f>('Production SH'!$I$6+'Production SH'!$I$7)*Q9*$Q$39</f>
        <v>386.3605958942901</v>
      </c>
      <c r="R46" s="251">
        <f>'Production SH'!$J$5*R9*$R$39</f>
        <v>61.152206919083618</v>
      </c>
      <c r="S46" s="17">
        <f>('Production SH'!$J$6+'Production SH'!$J$7)*S9*$S$39</f>
        <v>116.6878585398985</v>
      </c>
      <c r="T46" s="251">
        <f>'Production SH'!$K$5*T9*$T$39</f>
        <v>374.29332801017785</v>
      </c>
      <c r="U46" s="17">
        <f>('Production SH'!$K$6+'Production SH'!$K$7)*U9*$U$39</f>
        <v>714.20879863223195</v>
      </c>
      <c r="V46" s="251">
        <f>'Production SH'!$L$5*V9*$X$39</f>
        <v>208.30684931506852</v>
      </c>
      <c r="W46" s="350">
        <f>('Production SH'!$L$6+'Production SH'!$L$7)*W9*$Y$39</f>
        <v>391.59157397577059</v>
      </c>
      <c r="X46" s="251">
        <f>'Production SH'!$L$5*X9*$X$39</f>
        <v>208.30684931506852</v>
      </c>
      <c r="Y46" s="350">
        <f>('Production SH'!$L$6+'Production SH'!$L$7)*Y9*$Y$39</f>
        <v>391.59157397577059</v>
      </c>
    </row>
    <row r="47" spans="1:32" x14ac:dyDescent="0.3">
      <c r="A47" s="234"/>
      <c r="B47" s="195"/>
      <c r="D47" s="195"/>
      <c r="F47" s="195"/>
      <c r="H47" s="195"/>
      <c r="J47" s="195"/>
      <c r="L47" s="195"/>
      <c r="N47" s="195"/>
      <c r="P47" s="195"/>
      <c r="R47" s="195"/>
      <c r="T47" s="195"/>
      <c r="V47" s="195"/>
      <c r="W47" s="196"/>
      <c r="X47" s="195"/>
      <c r="Y47" s="196"/>
    </row>
    <row r="48" spans="1:32" x14ac:dyDescent="0.3">
      <c r="A48" s="241" t="s">
        <v>179</v>
      </c>
      <c r="B48" s="203"/>
      <c r="C48" s="109"/>
      <c r="D48" s="203"/>
      <c r="E48" s="109"/>
      <c r="F48" s="203"/>
      <c r="G48" s="109"/>
      <c r="H48" s="203"/>
      <c r="I48" s="109"/>
      <c r="J48" s="203"/>
      <c r="K48" s="109"/>
      <c r="L48" s="203"/>
      <c r="M48" s="109"/>
      <c r="N48" s="203"/>
      <c r="O48" s="109"/>
      <c r="P48" s="203"/>
      <c r="Q48" s="109"/>
      <c r="R48" s="203"/>
      <c r="S48" s="109"/>
      <c r="T48" s="203"/>
      <c r="U48" s="109"/>
      <c r="V48" s="203"/>
      <c r="W48" s="204"/>
      <c r="X48" s="203"/>
      <c r="Y48" s="204"/>
    </row>
    <row r="49" spans="1:27" x14ac:dyDescent="0.3">
      <c r="A49" s="239" t="s">
        <v>166</v>
      </c>
      <c r="B49" s="212">
        <f>B43*$B$40</f>
        <v>0.77306207010243999</v>
      </c>
      <c r="C49" s="5">
        <f>C43*$C$40</f>
        <v>1.4750024297554554</v>
      </c>
      <c r="D49" s="212">
        <f>D43*$D$40</f>
        <v>121.71236829928127</v>
      </c>
      <c r="E49" s="5">
        <f>E43*$E$40</f>
        <v>232.23205037438572</v>
      </c>
      <c r="F49" s="212">
        <f>F43*$F$40</f>
        <v>36.694106365092296</v>
      </c>
      <c r="G49" s="5">
        <f>G43*$G$40</f>
        <v>70.007334647849675</v>
      </c>
      <c r="H49" s="212">
        <f>H43*$H$40</f>
        <v>205.20959999999999</v>
      </c>
      <c r="I49" s="5">
        <f>I43*$I$40</f>
        <v>391.5380898339472</v>
      </c>
      <c r="J49" s="212">
        <f>J43*$J$40</f>
        <v>52.215764245804628</v>
      </c>
      <c r="K49" s="5">
        <f>K43*$K$40</f>
        <v>99.631250900896262</v>
      </c>
      <c r="L49" s="212">
        <f>L43*$L$40</f>
        <v>0</v>
      </c>
      <c r="M49" s="5">
        <f>M43*$M$40</f>
        <v>0</v>
      </c>
      <c r="N49" s="212">
        <f>N43*$N$40</f>
        <v>155.96731796652435</v>
      </c>
      <c r="O49" s="5">
        <f>O43*$O$40</f>
        <v>297.55857038527552</v>
      </c>
      <c r="P49" s="212">
        <f>P43*$P$40</f>
        <v>50.104200000000013</v>
      </c>
      <c r="Q49" s="5">
        <f>Q43*$Q$40</f>
        <v>95.603096356324343</v>
      </c>
      <c r="R49" s="212">
        <f>R43*$R$40</f>
        <v>253.58676241104268</v>
      </c>
      <c r="S49" s="5">
        <f>S43*$S$40</f>
        <v>483.8827206835665</v>
      </c>
      <c r="T49" s="212">
        <f>T43*$T$40</f>
        <v>91.825802097112259</v>
      </c>
      <c r="U49" s="5">
        <f>U43*$U$40</f>
        <v>175.2176458711449</v>
      </c>
      <c r="V49" s="212">
        <f>V43*$X$40</f>
        <v>129.2544</v>
      </c>
      <c r="W49" s="213">
        <f>W43*$Y$40</f>
        <v>45.934012671532479</v>
      </c>
      <c r="X49" s="212">
        <f>X43*$X$40</f>
        <v>129.2544</v>
      </c>
      <c r="Y49" s="213">
        <f>Y43*$Y$40</f>
        <v>45.934012671532479</v>
      </c>
    </row>
    <row r="50" spans="1:27" x14ac:dyDescent="0.3">
      <c r="A50" s="239" t="s">
        <v>167</v>
      </c>
      <c r="B50" s="212">
        <f>B44*$B$40</f>
        <v>79.497550028985117</v>
      </c>
      <c r="C50" s="5">
        <f>C44*$C$40</f>
        <v>151.68132545530361</v>
      </c>
      <c r="D50" s="212">
        <f t="shared" ref="D50:D52" si="22">D44*$D$40</f>
        <v>9.8149600965349801</v>
      </c>
      <c r="E50" s="5">
        <f t="shared" ref="E50:E52" si="23">E44*$E$40</f>
        <v>18.727335104977634</v>
      </c>
      <c r="F50" s="212">
        <f t="shared" ref="F50:F52" si="24">F44*$F$40</f>
        <v>97.770582810570971</v>
      </c>
      <c r="G50" s="5">
        <f t="shared" ref="G50:G52" si="25">G44*$G$40</f>
        <v>186.53289554004166</v>
      </c>
      <c r="H50" s="212">
        <f t="shared" ref="H50:H52" si="26">H44*$H$40</f>
        <v>9.6191999999999993</v>
      </c>
      <c r="I50" s="5">
        <f t="shared" ref="I50:I52" si="27">I44*$I$40</f>
        <v>18.353347960966271</v>
      </c>
      <c r="J50" s="212">
        <f t="shared" ref="J50:J52" si="28">J44*$J$40</f>
        <v>6.2171857511469497</v>
      </c>
      <c r="K50" s="5">
        <f t="shared" ref="K50:K52" si="29">K44*$K$40</f>
        <v>11.862815807005406</v>
      </c>
      <c r="L50" s="212">
        <f t="shared" ref="L50:L52" si="30">L44*$L$40</f>
        <v>0</v>
      </c>
      <c r="M50" s="5">
        <f t="shared" ref="M50:M52" si="31">M44*$M$40</f>
        <v>0</v>
      </c>
      <c r="N50" s="212">
        <f t="shared" ref="N50:N52" si="32">N44*$N$40</f>
        <v>147.24227956851774</v>
      </c>
      <c r="O50" s="5">
        <f t="shared" ref="O50:O52" si="33">O44*$O$40</f>
        <v>280.91271158539087</v>
      </c>
      <c r="P50" s="212">
        <f t="shared" ref="P50:P52" si="34">P44*$P$40</f>
        <v>50.104200000000013</v>
      </c>
      <c r="Q50" s="5">
        <f t="shared" ref="Q50:Q52" si="35">Q44*$Q$40</f>
        <v>95.603096356324343</v>
      </c>
      <c r="R50" s="212">
        <f t="shared" ref="R50:R52" si="36">R44*$R$40</f>
        <v>15.481913437507119</v>
      </c>
      <c r="S50" s="5">
        <f t="shared" ref="S50:S52" si="37">S44*$S$40</f>
        <v>29.541882724088879</v>
      </c>
      <c r="T50" s="212">
        <f t="shared" ref="T50:T52" si="38">T44*$T$40</f>
        <v>2.1251928885335118</v>
      </c>
      <c r="U50" s="5">
        <f t="shared" ref="U50:U52" si="39">U44*$U$40</f>
        <v>4.0551924017732137</v>
      </c>
      <c r="V50" s="212">
        <f t="shared" ref="V50:X52" si="40">V44*$X$40</f>
        <v>53.27676404494381</v>
      </c>
      <c r="W50" s="213">
        <f t="shared" ref="W50:Y52" si="41">W44*$Y$40</f>
        <v>101.64752481506864</v>
      </c>
      <c r="X50" s="212">
        <f t="shared" si="40"/>
        <v>53.27676404494381</v>
      </c>
      <c r="Y50" s="213">
        <f t="shared" si="41"/>
        <v>101.64752481506864</v>
      </c>
    </row>
    <row r="51" spans="1:27" x14ac:dyDescent="0.3">
      <c r="A51" s="239" t="s">
        <v>168</v>
      </c>
      <c r="B51" s="212">
        <f t="shared" ref="B51" si="42">B45*$B$40</f>
        <v>100.58600137326614</v>
      </c>
      <c r="C51" s="5">
        <f t="shared" ref="C51" si="43">C45*$C$40</f>
        <v>191.91809062019178</v>
      </c>
      <c r="D51" s="212">
        <f t="shared" si="22"/>
        <v>32.604750075581684</v>
      </c>
      <c r="E51" s="5">
        <f t="shared" si="23"/>
        <v>62.211162824291662</v>
      </c>
      <c r="F51" s="212">
        <f t="shared" si="24"/>
        <v>66.578136262620433</v>
      </c>
      <c r="G51" s="5">
        <f t="shared" si="25"/>
        <v>127.02197511482251</v>
      </c>
      <c r="H51" s="212">
        <f t="shared" si="26"/>
        <v>0</v>
      </c>
      <c r="I51" s="5">
        <f t="shared" si="27"/>
        <v>0</v>
      </c>
      <c r="J51" s="212">
        <f t="shared" si="28"/>
        <v>177.8650946466378</v>
      </c>
      <c r="K51" s="5">
        <f t="shared" si="29"/>
        <v>339.37877051516392</v>
      </c>
      <c r="L51" s="212">
        <f t="shared" si="30"/>
        <v>166.42485355273678</v>
      </c>
      <c r="M51" s="5">
        <f t="shared" si="31"/>
        <v>317.53758186998709</v>
      </c>
      <c r="N51" s="212">
        <f t="shared" si="32"/>
        <v>0</v>
      </c>
      <c r="O51" s="5">
        <f t="shared" si="33"/>
        <v>0</v>
      </c>
      <c r="P51" s="212">
        <f t="shared" si="34"/>
        <v>0</v>
      </c>
      <c r="Q51" s="5">
        <f t="shared" si="35"/>
        <v>0</v>
      </c>
      <c r="R51" s="212">
        <f t="shared" si="36"/>
        <v>0</v>
      </c>
      <c r="S51" s="5">
        <f t="shared" si="37"/>
        <v>0</v>
      </c>
      <c r="T51" s="212">
        <f t="shared" si="38"/>
        <v>26.113008208247521</v>
      </c>
      <c r="U51" s="5">
        <f t="shared" si="39"/>
        <v>49.827605317557087</v>
      </c>
      <c r="V51" s="212">
        <f t="shared" si="40"/>
        <v>52.940224719101117</v>
      </c>
      <c r="W51" s="213">
        <f t="shared" si="41"/>
        <v>101.00543646589668</v>
      </c>
      <c r="X51" s="212">
        <f t="shared" si="40"/>
        <v>52.940224719101117</v>
      </c>
      <c r="Y51" s="213">
        <f t="shared" si="41"/>
        <v>101.00543646589668</v>
      </c>
    </row>
    <row r="52" spans="1:27" x14ac:dyDescent="0.3">
      <c r="A52" s="239" t="s">
        <v>299</v>
      </c>
      <c r="B52" s="212">
        <f>B46*$B$40</f>
        <v>73.183386527646434</v>
      </c>
      <c r="C52" s="5">
        <f>C46*$C$40</f>
        <v>139.63390149474938</v>
      </c>
      <c r="D52" s="212">
        <f t="shared" si="22"/>
        <v>195.80792152860212</v>
      </c>
      <c r="E52" s="5">
        <f t="shared" si="23"/>
        <v>373.60931950908895</v>
      </c>
      <c r="F52" s="212">
        <f t="shared" si="24"/>
        <v>61.697174561716253</v>
      </c>
      <c r="G52" s="5">
        <f t="shared" si="25"/>
        <v>117.70976797728599</v>
      </c>
      <c r="H52" s="212">
        <f t="shared" si="26"/>
        <v>105.8112</v>
      </c>
      <c r="I52" s="5">
        <f t="shared" si="27"/>
        <v>201.88682757062904</v>
      </c>
      <c r="J52" s="212">
        <f t="shared" si="28"/>
        <v>79.121955356410581</v>
      </c>
      <c r="K52" s="5">
        <f t="shared" si="29"/>
        <v>150.97010452197739</v>
      </c>
      <c r="L52" s="212">
        <f t="shared" si="30"/>
        <v>176.5351464472632</v>
      </c>
      <c r="M52" s="5">
        <f t="shared" si="31"/>
        <v>336.82795761129955</v>
      </c>
      <c r="N52" s="212">
        <f t="shared" si="32"/>
        <v>10.830402464957901</v>
      </c>
      <c r="O52" s="5">
        <f t="shared" si="33"/>
        <v>20.662527997447057</v>
      </c>
      <c r="P52" s="212">
        <f t="shared" si="34"/>
        <v>121.49159999999999</v>
      </c>
      <c r="Q52" s="5">
        <f t="shared" si="35"/>
        <v>231.81635753657406</v>
      </c>
      <c r="R52" s="212">
        <f t="shared" si="36"/>
        <v>36.691324151450168</v>
      </c>
      <c r="S52" s="5">
        <f t="shared" si="37"/>
        <v>70.012715123939103</v>
      </c>
      <c r="T52" s="212">
        <f t="shared" si="38"/>
        <v>224.5759968061067</v>
      </c>
      <c r="U52" s="5">
        <f t="shared" si="39"/>
        <v>428.52527917933918</v>
      </c>
      <c r="V52" s="212">
        <f t="shared" si="40"/>
        <v>124.98410958904111</v>
      </c>
      <c r="W52" s="213">
        <f t="shared" si="41"/>
        <v>234.95494438546234</v>
      </c>
      <c r="X52" s="212">
        <f t="shared" si="40"/>
        <v>124.98410958904111</v>
      </c>
      <c r="Y52" s="213">
        <f t="shared" si="41"/>
        <v>234.95494438546234</v>
      </c>
    </row>
    <row r="53" spans="1:27" x14ac:dyDescent="0.3">
      <c r="A53" s="234"/>
      <c r="B53" s="195"/>
      <c r="D53" s="195"/>
      <c r="F53" s="195"/>
      <c r="H53" s="195"/>
      <c r="J53" s="195"/>
      <c r="L53" s="195"/>
      <c r="N53" s="195"/>
      <c r="P53" s="195"/>
      <c r="R53" s="195"/>
      <c r="T53" s="195"/>
      <c r="V53" s="195"/>
      <c r="W53" s="196"/>
      <c r="X53" s="195"/>
      <c r="Y53" s="196"/>
    </row>
    <row r="54" spans="1:27" x14ac:dyDescent="0.3">
      <c r="A54" s="241" t="s">
        <v>180</v>
      </c>
      <c r="B54" s="203"/>
      <c r="C54" s="109"/>
      <c r="D54" s="203"/>
      <c r="E54" s="109"/>
      <c r="F54" s="203"/>
      <c r="G54" s="109"/>
      <c r="H54" s="203"/>
      <c r="I54" s="109"/>
      <c r="J54" s="203"/>
      <c r="K54" s="109"/>
      <c r="L54" s="203"/>
      <c r="M54" s="109"/>
      <c r="N54" s="203"/>
      <c r="O54" s="109"/>
      <c r="P54" s="203"/>
      <c r="Q54" s="109"/>
      <c r="R54" s="203"/>
      <c r="S54" s="109"/>
      <c r="T54" s="203"/>
      <c r="U54" s="109"/>
      <c r="V54" s="203"/>
      <c r="W54" s="204"/>
      <c r="X54" s="203"/>
      <c r="Y54" s="204"/>
      <c r="AA54" s="170" t="s">
        <v>181</v>
      </c>
    </row>
    <row r="55" spans="1:27" x14ac:dyDescent="0.3">
      <c r="A55" s="239" t="s">
        <v>166</v>
      </c>
      <c r="B55" s="212">
        <f>B49*B61</f>
        <v>6.1844965608195197E-2</v>
      </c>
      <c r="C55" s="5">
        <f t="shared" ref="C55:Y55" si="44">C49*C61</f>
        <v>0.11800019438043644</v>
      </c>
      <c r="D55" s="212">
        <f t="shared" si="44"/>
        <v>9.7369894639425016</v>
      </c>
      <c r="E55" s="5">
        <f t="shared" si="44"/>
        <v>18.578564029950858</v>
      </c>
      <c r="F55" s="212">
        <f t="shared" si="44"/>
        <v>2.9355285092073835</v>
      </c>
      <c r="G55" s="5">
        <f t="shared" si="44"/>
        <v>5.6005867718279738</v>
      </c>
      <c r="H55" s="212">
        <f t="shared" si="44"/>
        <v>16.416768000000001</v>
      </c>
      <c r="I55" s="5">
        <f t="shared" si="44"/>
        <v>31.323047186715776</v>
      </c>
      <c r="J55" s="212">
        <f t="shared" si="44"/>
        <v>4.1772611396643704</v>
      </c>
      <c r="K55" s="5">
        <f t="shared" si="44"/>
        <v>7.970500072071701</v>
      </c>
      <c r="L55" s="212">
        <f t="shared" si="44"/>
        <v>0</v>
      </c>
      <c r="M55" s="5">
        <f t="shared" si="44"/>
        <v>0</v>
      </c>
      <c r="N55" s="212">
        <f t="shared" si="44"/>
        <v>12.477385437321947</v>
      </c>
      <c r="O55" s="5">
        <f t="shared" si="44"/>
        <v>23.804685630822043</v>
      </c>
      <c r="P55" s="212">
        <f t="shared" si="44"/>
        <v>4.0083360000000008</v>
      </c>
      <c r="Q55" s="5">
        <f t="shared" si="44"/>
        <v>7.6482477085059477</v>
      </c>
      <c r="R55" s="212">
        <f t="shared" si="44"/>
        <v>20.286940992883416</v>
      </c>
      <c r="S55" s="5">
        <f t="shared" si="44"/>
        <v>38.710617654685322</v>
      </c>
      <c r="T55" s="212">
        <f t="shared" si="44"/>
        <v>7.3460641677689811</v>
      </c>
      <c r="U55" s="5">
        <f t="shared" si="44"/>
        <v>14.017411669691592</v>
      </c>
      <c r="V55" s="212">
        <f t="shared" ref="V55:W55" si="45">V49*V61</f>
        <v>10.340352000000001</v>
      </c>
      <c r="W55" s="213">
        <f t="shared" si="45"/>
        <v>3.6747210137225985</v>
      </c>
      <c r="X55" s="212">
        <f t="shared" si="44"/>
        <v>10.340352000000001</v>
      </c>
      <c r="Y55" s="213">
        <f t="shared" si="44"/>
        <v>3.6747210137225985</v>
      </c>
    </row>
    <row r="56" spans="1:27" x14ac:dyDescent="0.3">
      <c r="A56" s="239" t="s">
        <v>167</v>
      </c>
      <c r="B56" s="212">
        <f t="shared" ref="B56:Y56" si="46">B50*B62</f>
        <v>19.079412006956428</v>
      </c>
      <c r="C56" s="5">
        <f t="shared" si="46"/>
        <v>36.403518109272866</v>
      </c>
      <c r="D56" s="212">
        <f t="shared" si="46"/>
        <v>2.3555904231683953</v>
      </c>
      <c r="E56" s="5">
        <f t="shared" si="46"/>
        <v>4.4945604251946323</v>
      </c>
      <c r="F56" s="212">
        <f t="shared" si="46"/>
        <v>23.464939874537031</v>
      </c>
      <c r="G56" s="5">
        <f t="shared" si="46"/>
        <v>44.767894929609994</v>
      </c>
      <c r="H56" s="212">
        <f t="shared" si="46"/>
        <v>2.3086079999999995</v>
      </c>
      <c r="I56" s="5">
        <f t="shared" si="46"/>
        <v>4.404803510631905</v>
      </c>
      <c r="J56" s="212">
        <f t="shared" si="46"/>
        <v>1.4921245802752678</v>
      </c>
      <c r="K56" s="5">
        <f t="shared" si="46"/>
        <v>2.8470757936812974</v>
      </c>
      <c r="L56" s="212">
        <f t="shared" si="46"/>
        <v>0</v>
      </c>
      <c r="M56" s="5">
        <f t="shared" si="46"/>
        <v>0</v>
      </c>
      <c r="N56" s="212">
        <f t="shared" si="46"/>
        <v>35.33814709644426</v>
      </c>
      <c r="O56" s="5">
        <f t="shared" si="46"/>
        <v>67.419050780493805</v>
      </c>
      <c r="P56" s="212">
        <f t="shared" si="46"/>
        <v>12.025008000000003</v>
      </c>
      <c r="Q56" s="5">
        <f t="shared" si="46"/>
        <v>22.944743125517842</v>
      </c>
      <c r="R56" s="212">
        <f t="shared" si="46"/>
        <v>3.7156592250017084</v>
      </c>
      <c r="S56" s="5">
        <f t="shared" si="46"/>
        <v>7.0900518537813308</v>
      </c>
      <c r="T56" s="212">
        <f t="shared" si="46"/>
        <v>0.51004629324804285</v>
      </c>
      <c r="U56" s="5">
        <f t="shared" si="46"/>
        <v>0.97324617642557121</v>
      </c>
      <c r="V56" s="212">
        <f t="shared" ref="V56:W56" si="47">V50*V62</f>
        <v>12.786423370786514</v>
      </c>
      <c r="W56" s="213">
        <f t="shared" si="47"/>
        <v>24.395405955616472</v>
      </c>
      <c r="X56" s="212">
        <f t="shared" si="46"/>
        <v>12.786423370786514</v>
      </c>
      <c r="Y56" s="213">
        <f t="shared" si="46"/>
        <v>24.395405955616472</v>
      </c>
    </row>
    <row r="57" spans="1:27" x14ac:dyDescent="0.3">
      <c r="A57" s="239" t="s">
        <v>168</v>
      </c>
      <c r="B57" s="212">
        <f t="shared" ref="B57:Y57" si="48">B51*B61</f>
        <v>8.0468801098612914</v>
      </c>
      <c r="C57" s="5">
        <f t="shared" si="48"/>
        <v>15.353447249615343</v>
      </c>
      <c r="D57" s="212">
        <f t="shared" si="48"/>
        <v>2.6083800060465347</v>
      </c>
      <c r="E57" s="5">
        <f t="shared" si="48"/>
        <v>4.9768930259433333</v>
      </c>
      <c r="F57" s="212">
        <f t="shared" si="48"/>
        <v>5.3262509010096348</v>
      </c>
      <c r="G57" s="5">
        <f t="shared" si="48"/>
        <v>10.161758009185801</v>
      </c>
      <c r="H57" s="212">
        <f t="shared" si="48"/>
        <v>0</v>
      </c>
      <c r="I57" s="5">
        <f t="shared" si="48"/>
        <v>0</v>
      </c>
      <c r="J57" s="212">
        <f t="shared" si="48"/>
        <v>14.229207571731024</v>
      </c>
      <c r="K57" s="5">
        <f t="shared" si="48"/>
        <v>27.150301641213115</v>
      </c>
      <c r="L57" s="212">
        <f t="shared" si="48"/>
        <v>13.313988284218942</v>
      </c>
      <c r="M57" s="5">
        <f t="shared" si="48"/>
        <v>25.403006549598967</v>
      </c>
      <c r="N57" s="212">
        <f t="shared" si="48"/>
        <v>0</v>
      </c>
      <c r="O57" s="5">
        <f t="shared" si="48"/>
        <v>0</v>
      </c>
      <c r="P57" s="212">
        <f t="shared" si="48"/>
        <v>0</v>
      </c>
      <c r="Q57" s="5">
        <f t="shared" si="48"/>
        <v>0</v>
      </c>
      <c r="R57" s="212">
        <f t="shared" si="48"/>
        <v>0</v>
      </c>
      <c r="S57" s="5">
        <f t="shared" si="48"/>
        <v>0</v>
      </c>
      <c r="T57" s="212">
        <f t="shared" si="48"/>
        <v>2.0890406566598019</v>
      </c>
      <c r="U57" s="5">
        <f t="shared" si="48"/>
        <v>3.9862084254045671</v>
      </c>
      <c r="V57" s="212">
        <f t="shared" ref="V57:W57" si="49">V51*V61</f>
        <v>4.2352179775280892</v>
      </c>
      <c r="W57" s="213">
        <f t="shared" si="49"/>
        <v>8.0804349172717345</v>
      </c>
      <c r="X57" s="212">
        <f t="shared" si="48"/>
        <v>4.2352179775280892</v>
      </c>
      <c r="Y57" s="213">
        <f t="shared" si="48"/>
        <v>8.0804349172717345</v>
      </c>
      <c r="AA57" s="88" t="s">
        <v>182</v>
      </c>
    </row>
    <row r="58" spans="1:27" x14ac:dyDescent="0.3">
      <c r="A58" s="239" t="s">
        <v>171</v>
      </c>
      <c r="B58" s="212"/>
      <c r="C58" s="5">
        <f>SUM(B55:C57)</f>
        <v>79.063102635694563</v>
      </c>
      <c r="D58" s="212"/>
      <c r="E58" s="5">
        <f>SUM(D55:E57)</f>
        <v>42.750977374246261</v>
      </c>
      <c r="F58" s="212"/>
      <c r="G58" s="5">
        <f>SUM(F55:G57)</f>
        <v>92.256958995377815</v>
      </c>
      <c r="H58" s="212"/>
      <c r="I58" s="5">
        <f>SUM(H55:I57)</f>
        <v>54.453226697347681</v>
      </c>
      <c r="J58" s="212"/>
      <c r="K58" s="5">
        <f>SUM(J55:K57)</f>
        <v>57.866470798636776</v>
      </c>
      <c r="L58" s="212"/>
      <c r="M58" s="5">
        <f>SUM(L55:M57)</f>
        <v>38.716994833817907</v>
      </c>
      <c r="N58" s="212"/>
      <c r="O58" s="5">
        <f>SUM(N55:O57)</f>
        <v>139.03926894508206</v>
      </c>
      <c r="P58" s="212"/>
      <c r="Q58" s="5">
        <f>SUM(P55:Q57)</f>
        <v>46.626334834023794</v>
      </c>
      <c r="R58" s="212"/>
      <c r="S58" s="5">
        <f>SUM(R55:S57)</f>
        <v>69.803269726351772</v>
      </c>
      <c r="T58" s="212"/>
      <c r="U58" s="5">
        <f>SUM(T55:U57)</f>
        <v>28.922017389198555</v>
      </c>
      <c r="V58" s="212"/>
      <c r="W58" s="213">
        <f>SUM(V55:W57)</f>
        <v>63.512555234925415</v>
      </c>
      <c r="X58" s="212"/>
      <c r="Y58" s="213">
        <f>SUM(X55:Y57)</f>
        <v>63.512555234925415</v>
      </c>
      <c r="AA58" s="88"/>
    </row>
    <row r="59" spans="1:27" x14ac:dyDescent="0.3">
      <c r="A59" s="239" t="s">
        <v>172</v>
      </c>
      <c r="B59" s="212"/>
      <c r="C59" s="5"/>
      <c r="D59" s="212"/>
      <c r="E59" s="5"/>
      <c r="F59" s="212"/>
      <c r="G59" s="5"/>
      <c r="H59" s="212"/>
      <c r="I59" s="5"/>
      <c r="J59" s="212"/>
      <c r="K59" s="5"/>
      <c r="L59" s="212"/>
      <c r="M59" s="5"/>
      <c r="N59" s="212"/>
      <c r="O59" s="5"/>
      <c r="P59" s="212"/>
      <c r="Q59" s="5"/>
      <c r="R59" s="212"/>
      <c r="S59" s="5"/>
      <c r="T59" s="212"/>
      <c r="U59" s="5"/>
      <c r="V59" s="212"/>
      <c r="W59" s="213"/>
      <c r="X59" s="212"/>
      <c r="Y59" s="213"/>
      <c r="AA59" s="88"/>
    </row>
    <row r="60" spans="1:27" x14ac:dyDescent="0.3">
      <c r="A60" s="239"/>
      <c r="B60" s="214"/>
      <c r="D60" s="214"/>
      <c r="F60" s="214"/>
      <c r="H60" s="214"/>
      <c r="J60" s="214"/>
      <c r="L60" s="214"/>
      <c r="N60" s="214"/>
      <c r="P60" s="214"/>
      <c r="R60" s="214"/>
      <c r="T60" s="214"/>
      <c r="V60" s="214"/>
      <c r="W60" s="196"/>
      <c r="X60" s="214"/>
      <c r="Y60" s="196"/>
    </row>
    <row r="61" spans="1:27" x14ac:dyDescent="0.3">
      <c r="A61" s="242" t="s">
        <v>183</v>
      </c>
      <c r="B61" s="215">
        <v>0.08</v>
      </c>
      <c r="C61" s="14">
        <v>0.08</v>
      </c>
      <c r="D61" s="215">
        <v>0.08</v>
      </c>
      <c r="E61" s="14">
        <v>0.08</v>
      </c>
      <c r="F61" s="215">
        <v>0.08</v>
      </c>
      <c r="G61" s="14">
        <v>0.08</v>
      </c>
      <c r="H61" s="215">
        <v>0.08</v>
      </c>
      <c r="I61" s="14">
        <v>0.08</v>
      </c>
      <c r="J61" s="215">
        <v>0.08</v>
      </c>
      <c r="K61" s="14">
        <v>0.08</v>
      </c>
      <c r="L61" s="215">
        <v>0.08</v>
      </c>
      <c r="M61" s="14">
        <v>0.08</v>
      </c>
      <c r="N61" s="215">
        <v>0.08</v>
      </c>
      <c r="O61" s="14">
        <v>0.08</v>
      </c>
      <c r="P61" s="215">
        <v>0.08</v>
      </c>
      <c r="Q61" s="14">
        <v>0.08</v>
      </c>
      <c r="R61" s="215">
        <v>0.08</v>
      </c>
      <c r="S61" s="14">
        <v>0.08</v>
      </c>
      <c r="T61" s="215">
        <v>0.08</v>
      </c>
      <c r="U61" s="14">
        <v>0.08</v>
      </c>
      <c r="V61" s="215">
        <v>0.08</v>
      </c>
      <c r="W61" s="216">
        <v>0.08</v>
      </c>
      <c r="X61" s="215">
        <v>0.08</v>
      </c>
      <c r="Y61" s="216">
        <v>0.08</v>
      </c>
      <c r="AA61" s="182" t="s">
        <v>501</v>
      </c>
    </row>
    <row r="62" spans="1:27" x14ac:dyDescent="0.3">
      <c r="A62" s="242" t="s">
        <v>184</v>
      </c>
      <c r="B62" s="215">
        <v>0.24</v>
      </c>
      <c r="C62" s="14">
        <v>0.24</v>
      </c>
      <c r="D62" s="215">
        <v>0.24</v>
      </c>
      <c r="E62" s="14">
        <v>0.24</v>
      </c>
      <c r="F62" s="215">
        <v>0.24</v>
      </c>
      <c r="G62" s="14">
        <v>0.24</v>
      </c>
      <c r="H62" s="215">
        <v>0.24</v>
      </c>
      <c r="I62" s="14">
        <v>0.24</v>
      </c>
      <c r="J62" s="215">
        <v>0.24</v>
      </c>
      <c r="K62" s="14">
        <v>0.24</v>
      </c>
      <c r="L62" s="215">
        <v>0.24</v>
      </c>
      <c r="M62" s="14">
        <v>0.24</v>
      </c>
      <c r="N62" s="215">
        <v>0.24</v>
      </c>
      <c r="O62" s="14">
        <v>0.24</v>
      </c>
      <c r="P62" s="215">
        <v>0.24</v>
      </c>
      <c r="Q62" s="14">
        <v>0.24</v>
      </c>
      <c r="R62" s="215">
        <v>0.24</v>
      </c>
      <c r="S62" s="14">
        <v>0.24</v>
      </c>
      <c r="T62" s="215">
        <v>0.24</v>
      </c>
      <c r="U62" s="14">
        <v>0.24</v>
      </c>
      <c r="V62" s="215">
        <v>0.24</v>
      </c>
      <c r="W62" s="216">
        <v>0.24</v>
      </c>
      <c r="X62" s="215">
        <v>0.24</v>
      </c>
      <c r="Y62" s="216">
        <v>0.24</v>
      </c>
    </row>
    <row r="63" spans="1:27" x14ac:dyDescent="0.3">
      <c r="A63" s="234"/>
      <c r="B63" s="195"/>
      <c r="D63" s="195"/>
      <c r="F63" s="195"/>
      <c r="H63" s="195"/>
      <c r="J63" s="195"/>
      <c r="L63" s="195"/>
      <c r="N63" s="195"/>
      <c r="P63" s="195"/>
      <c r="R63" s="195"/>
      <c r="T63" s="195"/>
      <c r="V63" s="195"/>
      <c r="W63" s="196"/>
      <c r="X63" s="195"/>
      <c r="Y63" s="196"/>
    </row>
    <row r="64" spans="1:27" x14ac:dyDescent="0.3">
      <c r="A64" s="243" t="s">
        <v>185</v>
      </c>
      <c r="B64" s="217"/>
      <c r="C64" s="6"/>
      <c r="D64" s="217"/>
      <c r="E64" s="6"/>
      <c r="F64" s="217"/>
      <c r="G64" s="6"/>
      <c r="H64" s="217"/>
      <c r="I64" s="6"/>
      <c r="J64" s="217"/>
      <c r="K64" s="6"/>
      <c r="L64" s="217"/>
      <c r="M64" s="6"/>
      <c r="N64" s="217"/>
      <c r="O64" s="6"/>
      <c r="P64" s="217"/>
      <c r="Q64" s="6"/>
      <c r="R64" s="217"/>
      <c r="S64" s="6"/>
      <c r="T64" s="217"/>
      <c r="U64" s="6"/>
      <c r="V64" s="217"/>
      <c r="W64" s="218"/>
      <c r="X64" s="217"/>
      <c r="Y64" s="218"/>
      <c r="Z64" s="6"/>
      <c r="AA64" s="183" t="s">
        <v>186</v>
      </c>
    </row>
    <row r="65" spans="1:28" x14ac:dyDescent="0.3">
      <c r="A65" s="234"/>
      <c r="B65" s="195"/>
      <c r="D65" s="195"/>
      <c r="F65" s="195"/>
      <c r="H65" s="195"/>
      <c r="J65" s="195"/>
      <c r="L65" s="195"/>
      <c r="N65" s="195"/>
      <c r="P65" s="195"/>
      <c r="R65" s="195"/>
      <c r="T65" s="195"/>
      <c r="V65" s="195"/>
      <c r="W65" s="196"/>
      <c r="X65" s="195"/>
      <c r="Y65" s="196"/>
    </row>
    <row r="66" spans="1:28" x14ac:dyDescent="0.3">
      <c r="A66" s="241" t="s">
        <v>187</v>
      </c>
      <c r="B66" s="203"/>
      <c r="C66" s="109"/>
      <c r="D66" s="203"/>
      <c r="E66" s="109"/>
      <c r="F66" s="203"/>
      <c r="G66" s="109"/>
      <c r="H66" s="203"/>
      <c r="I66" s="109"/>
      <c r="J66" s="203"/>
      <c r="K66" s="109"/>
      <c r="L66" s="203"/>
      <c r="M66" s="109"/>
      <c r="N66" s="203"/>
      <c r="O66" s="109"/>
      <c r="P66" s="203"/>
      <c r="Q66" s="109"/>
      <c r="R66" s="203"/>
      <c r="S66" s="109"/>
      <c r="T66" s="203"/>
      <c r="U66" s="109"/>
      <c r="V66" s="203"/>
      <c r="W66" s="204"/>
      <c r="X66" s="203"/>
      <c r="Y66" s="204"/>
    </row>
    <row r="67" spans="1:28" x14ac:dyDescent="0.3">
      <c r="A67" s="239" t="s">
        <v>166</v>
      </c>
      <c r="B67" s="212">
        <f t="shared" ref="B67:Y67" si="50">B49-B55</f>
        <v>0.7112171044942448</v>
      </c>
      <c r="C67" s="10">
        <f t="shared" si="50"/>
        <v>1.3570022353750189</v>
      </c>
      <c r="D67" s="212">
        <f t="shared" si="50"/>
        <v>111.97537883533876</v>
      </c>
      <c r="E67" s="10">
        <f t="shared" si="50"/>
        <v>213.65348634443487</v>
      </c>
      <c r="F67" s="212">
        <f t="shared" si="50"/>
        <v>33.758577855884909</v>
      </c>
      <c r="G67" s="10">
        <f t="shared" si="50"/>
        <v>64.406747876021697</v>
      </c>
      <c r="H67" s="212">
        <f t="shared" si="50"/>
        <v>188.792832</v>
      </c>
      <c r="I67" s="10">
        <f t="shared" si="50"/>
        <v>360.21504264723143</v>
      </c>
      <c r="J67" s="212">
        <f t="shared" si="50"/>
        <v>48.038503106140254</v>
      </c>
      <c r="K67" s="10">
        <f t="shared" si="50"/>
        <v>91.660750828824561</v>
      </c>
      <c r="L67" s="212">
        <f t="shared" si="50"/>
        <v>0</v>
      </c>
      <c r="M67" s="10">
        <f t="shared" si="50"/>
        <v>0</v>
      </c>
      <c r="N67" s="212">
        <f t="shared" si="50"/>
        <v>143.48993252920241</v>
      </c>
      <c r="O67" s="10">
        <f t="shared" si="50"/>
        <v>273.75388475445345</v>
      </c>
      <c r="P67" s="212">
        <f t="shared" si="50"/>
        <v>46.095864000000013</v>
      </c>
      <c r="Q67" s="10">
        <f t="shared" si="50"/>
        <v>87.954848647818395</v>
      </c>
      <c r="R67" s="212">
        <f t="shared" si="50"/>
        <v>233.29982141815927</v>
      </c>
      <c r="S67" s="10">
        <f t="shared" si="50"/>
        <v>445.17210302888117</v>
      </c>
      <c r="T67" s="212">
        <f t="shared" si="50"/>
        <v>84.479737929343273</v>
      </c>
      <c r="U67" s="10">
        <f t="shared" si="50"/>
        <v>161.2002342014533</v>
      </c>
      <c r="V67" s="212">
        <f t="shared" ref="V67:W67" si="51">V49-V55</f>
        <v>118.91404800000001</v>
      </c>
      <c r="W67" s="208">
        <f t="shared" si="51"/>
        <v>42.259291657809882</v>
      </c>
      <c r="X67" s="212">
        <f t="shared" si="50"/>
        <v>118.91404800000001</v>
      </c>
      <c r="Y67" s="208">
        <f t="shared" si="50"/>
        <v>42.259291657809882</v>
      </c>
    </row>
    <row r="68" spans="1:28" x14ac:dyDescent="0.3">
      <c r="A68" s="239" t="s">
        <v>167</v>
      </c>
      <c r="B68" s="212">
        <f>B50-B56</f>
        <v>60.418138022028685</v>
      </c>
      <c r="C68" s="10">
        <f t="shared" ref="C68:Y68" si="52">C50-C56</f>
        <v>115.27780734603074</v>
      </c>
      <c r="D68" s="212">
        <f t="shared" si="52"/>
        <v>7.4593696733665844</v>
      </c>
      <c r="E68" s="10">
        <f t="shared" si="52"/>
        <v>14.232774679783002</v>
      </c>
      <c r="F68" s="212">
        <f t="shared" si="52"/>
        <v>74.305642936033934</v>
      </c>
      <c r="G68" s="10">
        <f t="shared" si="52"/>
        <v>141.76500061043168</v>
      </c>
      <c r="H68" s="212">
        <f t="shared" si="52"/>
        <v>7.3105919999999998</v>
      </c>
      <c r="I68" s="10">
        <f t="shared" si="52"/>
        <v>13.948544450334367</v>
      </c>
      <c r="J68" s="212">
        <f t="shared" si="52"/>
        <v>4.7250611708716814</v>
      </c>
      <c r="K68" s="10">
        <f t="shared" si="52"/>
        <v>9.015740013324109</v>
      </c>
      <c r="L68" s="212">
        <f t="shared" si="52"/>
        <v>0</v>
      </c>
      <c r="M68" s="10">
        <f t="shared" si="52"/>
        <v>0</v>
      </c>
      <c r="N68" s="212">
        <f t="shared" si="52"/>
        <v>111.90413247207348</v>
      </c>
      <c r="O68" s="10">
        <f t="shared" si="52"/>
        <v>213.49366080489705</v>
      </c>
      <c r="P68" s="212">
        <f t="shared" si="52"/>
        <v>38.079192000000006</v>
      </c>
      <c r="Q68" s="10">
        <f t="shared" si="52"/>
        <v>72.658353230806497</v>
      </c>
      <c r="R68" s="212">
        <f t="shared" si="52"/>
        <v>11.766254212505411</v>
      </c>
      <c r="S68" s="10">
        <f t="shared" si="52"/>
        <v>22.451830870307546</v>
      </c>
      <c r="T68" s="212">
        <f t="shared" si="52"/>
        <v>1.6151465952854691</v>
      </c>
      <c r="U68" s="10">
        <f t="shared" si="52"/>
        <v>3.0819462253476426</v>
      </c>
      <c r="V68" s="212">
        <f t="shared" ref="V68:W68" si="53">V50-V56</f>
        <v>40.490340674157295</v>
      </c>
      <c r="W68" s="208">
        <f t="shared" si="53"/>
        <v>77.252118859452167</v>
      </c>
      <c r="X68" s="212">
        <f t="shared" si="52"/>
        <v>40.490340674157295</v>
      </c>
      <c r="Y68" s="208">
        <f t="shared" si="52"/>
        <v>77.252118859452167</v>
      </c>
    </row>
    <row r="69" spans="1:28" x14ac:dyDescent="0.3">
      <c r="A69" s="239" t="s">
        <v>168</v>
      </c>
      <c r="B69" s="212">
        <f t="shared" ref="B69:Y69" si="54">B51-B57</f>
        <v>92.539121263404851</v>
      </c>
      <c r="C69" s="10">
        <f t="shared" si="54"/>
        <v>176.56464337057645</v>
      </c>
      <c r="D69" s="212">
        <f t="shared" si="54"/>
        <v>29.99637006953515</v>
      </c>
      <c r="E69" s="10">
        <f t="shared" si="54"/>
        <v>57.234269798348329</v>
      </c>
      <c r="F69" s="212">
        <f t="shared" si="54"/>
        <v>61.251885361610796</v>
      </c>
      <c r="G69" s="10">
        <f t="shared" si="54"/>
        <v>116.86021710563671</v>
      </c>
      <c r="H69" s="212">
        <f t="shared" si="54"/>
        <v>0</v>
      </c>
      <c r="I69" s="10">
        <f t="shared" si="54"/>
        <v>0</v>
      </c>
      <c r="J69" s="212">
        <f t="shared" si="54"/>
        <v>163.63588707490678</v>
      </c>
      <c r="K69" s="10">
        <f t="shared" si="54"/>
        <v>312.22846887395082</v>
      </c>
      <c r="L69" s="212">
        <f t="shared" si="54"/>
        <v>153.11086526851784</v>
      </c>
      <c r="M69" s="10">
        <f t="shared" si="54"/>
        <v>292.13457532038814</v>
      </c>
      <c r="N69" s="212">
        <f t="shared" si="54"/>
        <v>0</v>
      </c>
      <c r="O69" s="10">
        <f t="shared" si="54"/>
        <v>0</v>
      </c>
      <c r="P69" s="212">
        <f t="shared" si="54"/>
        <v>0</v>
      </c>
      <c r="Q69" s="10">
        <f t="shared" si="54"/>
        <v>0</v>
      </c>
      <c r="R69" s="212">
        <f t="shared" si="54"/>
        <v>0</v>
      </c>
      <c r="S69" s="10">
        <f t="shared" si="54"/>
        <v>0</v>
      </c>
      <c r="T69" s="212">
        <f t="shared" si="54"/>
        <v>24.02396755158772</v>
      </c>
      <c r="U69" s="10">
        <f t="shared" si="54"/>
        <v>45.841396892152517</v>
      </c>
      <c r="V69" s="212">
        <f t="shared" ref="V69:W69" si="55">V51-V57</f>
        <v>48.70500674157303</v>
      </c>
      <c r="W69" s="208">
        <f t="shared" si="55"/>
        <v>92.925001548624948</v>
      </c>
      <c r="X69" s="212">
        <f t="shared" si="54"/>
        <v>48.70500674157303</v>
      </c>
      <c r="Y69" s="208">
        <f t="shared" si="54"/>
        <v>92.925001548624948</v>
      </c>
    </row>
    <row r="70" spans="1:28" x14ac:dyDescent="0.3">
      <c r="A70" s="234"/>
      <c r="B70" s="195"/>
      <c r="D70" s="195"/>
      <c r="F70" s="195"/>
      <c r="H70" s="195"/>
      <c r="J70" s="195"/>
      <c r="L70" s="195"/>
      <c r="N70" s="195"/>
      <c r="P70" s="195"/>
      <c r="R70" s="195"/>
      <c r="T70" s="195"/>
      <c r="V70" s="195"/>
      <c r="W70" s="196"/>
      <c r="X70" s="195"/>
      <c r="Y70" s="196"/>
    </row>
    <row r="71" spans="1:28" x14ac:dyDescent="0.3">
      <c r="A71" s="241" t="s">
        <v>188</v>
      </c>
      <c r="B71" s="219"/>
      <c r="C71" s="109"/>
      <c r="D71" s="219"/>
      <c r="E71" s="109"/>
      <c r="F71" s="219"/>
      <c r="G71" s="109"/>
      <c r="H71" s="219"/>
      <c r="I71" s="109"/>
      <c r="J71" s="219"/>
      <c r="K71" s="109"/>
      <c r="L71" s="219"/>
      <c r="M71" s="109"/>
      <c r="N71" s="219"/>
      <c r="O71" s="109"/>
      <c r="P71" s="219"/>
      <c r="Q71" s="109"/>
      <c r="R71" s="219"/>
      <c r="S71" s="109"/>
      <c r="T71" s="219"/>
      <c r="U71" s="109"/>
      <c r="V71" s="219"/>
      <c r="W71" s="204"/>
      <c r="X71" s="219"/>
      <c r="Y71" s="204"/>
      <c r="AA71" s="170" t="s">
        <v>189</v>
      </c>
    </row>
    <row r="72" spans="1:28" x14ac:dyDescent="0.3">
      <c r="A72" s="239" t="s">
        <v>166</v>
      </c>
      <c r="B72" s="220">
        <f t="shared" ref="B72:Y72" si="56">B67</f>
        <v>0.7112171044942448</v>
      </c>
      <c r="C72" s="17">
        <f t="shared" si="56"/>
        <v>1.3570022353750189</v>
      </c>
      <c r="D72" s="220">
        <f t="shared" si="56"/>
        <v>111.97537883533876</v>
      </c>
      <c r="E72" s="17">
        <f t="shared" si="56"/>
        <v>213.65348634443487</v>
      </c>
      <c r="F72" s="220">
        <f t="shared" si="56"/>
        <v>33.758577855884909</v>
      </c>
      <c r="G72" s="17">
        <f t="shared" si="56"/>
        <v>64.406747876021697</v>
      </c>
      <c r="H72" s="220">
        <f t="shared" si="56"/>
        <v>188.792832</v>
      </c>
      <c r="I72" s="17">
        <f t="shared" si="56"/>
        <v>360.21504264723143</v>
      </c>
      <c r="J72" s="220">
        <f t="shared" si="56"/>
        <v>48.038503106140254</v>
      </c>
      <c r="K72" s="17">
        <f t="shared" si="56"/>
        <v>91.660750828824561</v>
      </c>
      <c r="L72" s="220">
        <f t="shared" si="56"/>
        <v>0</v>
      </c>
      <c r="M72" s="17">
        <f t="shared" si="56"/>
        <v>0</v>
      </c>
      <c r="N72" s="220">
        <f t="shared" si="56"/>
        <v>143.48993252920241</v>
      </c>
      <c r="O72" s="17">
        <f t="shared" si="56"/>
        <v>273.75388475445345</v>
      </c>
      <c r="P72" s="220">
        <f t="shared" si="56"/>
        <v>46.095864000000013</v>
      </c>
      <c r="Q72" s="17">
        <f t="shared" si="56"/>
        <v>87.954848647818395</v>
      </c>
      <c r="R72" s="220">
        <f t="shared" si="56"/>
        <v>233.29982141815927</v>
      </c>
      <c r="S72" s="17">
        <f t="shared" si="56"/>
        <v>445.17210302888117</v>
      </c>
      <c r="T72" s="220">
        <f t="shared" si="56"/>
        <v>84.479737929343273</v>
      </c>
      <c r="U72" s="17">
        <f t="shared" si="56"/>
        <v>161.2002342014533</v>
      </c>
      <c r="V72" s="220">
        <f t="shared" ref="V72:W72" si="57">V67</f>
        <v>118.91404800000001</v>
      </c>
      <c r="W72" s="350">
        <f t="shared" si="57"/>
        <v>42.259291657809882</v>
      </c>
      <c r="X72" s="220">
        <f t="shared" si="56"/>
        <v>118.91404800000001</v>
      </c>
      <c r="Y72" s="350">
        <f t="shared" si="56"/>
        <v>42.259291657809882</v>
      </c>
    </row>
    <row r="73" spans="1:28" x14ac:dyDescent="0.3">
      <c r="A73" s="239" t="s">
        <v>167</v>
      </c>
      <c r="B73" s="212">
        <f>B68+((B44-B50)*B76)</f>
        <v>65.717974690627699</v>
      </c>
      <c r="C73" s="10">
        <f>C68+((C44-C50)*C76)</f>
        <v>125.38989570971765</v>
      </c>
      <c r="D73" s="212">
        <f t="shared" ref="D73:Y73" si="58">D68+((D44-D50)*D76)</f>
        <v>8.1137003464689172</v>
      </c>
      <c r="E73" s="10">
        <f t="shared" si="58"/>
        <v>15.481263686781512</v>
      </c>
      <c r="F73" s="212">
        <f t="shared" si="58"/>
        <v>80.823681790072001</v>
      </c>
      <c r="G73" s="10">
        <f t="shared" si="58"/>
        <v>154.2005269797678</v>
      </c>
      <c r="H73" s="212">
        <f t="shared" si="58"/>
        <v>7.9518719999999998</v>
      </c>
      <c r="I73" s="10">
        <f t="shared" si="58"/>
        <v>15.172100981065451</v>
      </c>
      <c r="J73" s="212">
        <f t="shared" si="58"/>
        <v>5.1395402209481444</v>
      </c>
      <c r="K73" s="10">
        <f t="shared" si="58"/>
        <v>9.8065944004578025</v>
      </c>
      <c r="L73" s="212">
        <f t="shared" si="58"/>
        <v>0</v>
      </c>
      <c r="M73" s="10">
        <f t="shared" si="58"/>
        <v>0</v>
      </c>
      <c r="N73" s="212">
        <f t="shared" si="58"/>
        <v>121.720284443308</v>
      </c>
      <c r="O73" s="10">
        <f t="shared" si="58"/>
        <v>232.22117491058978</v>
      </c>
      <c r="P73" s="212">
        <f t="shared" si="58"/>
        <v>41.419472000000006</v>
      </c>
      <c r="Q73" s="10">
        <f t="shared" si="58"/>
        <v>79.031892987894793</v>
      </c>
      <c r="R73" s="212">
        <f t="shared" si="58"/>
        <v>12.798381775005886</v>
      </c>
      <c r="S73" s="10">
        <f t="shared" si="58"/>
        <v>24.421289718580137</v>
      </c>
      <c r="T73" s="212">
        <f t="shared" si="58"/>
        <v>1.7568261211877032</v>
      </c>
      <c r="U73" s="10">
        <f t="shared" si="58"/>
        <v>3.3522923854658568</v>
      </c>
      <c r="V73" s="212">
        <f t="shared" ref="V73:W73" si="59">V68+((V44-V50)*V76)</f>
        <v>44.042124943820212</v>
      </c>
      <c r="W73" s="208">
        <f t="shared" si="59"/>
        <v>84.028620513790074</v>
      </c>
      <c r="X73" s="212">
        <f t="shared" si="58"/>
        <v>44.042124943820212</v>
      </c>
      <c r="Y73" s="208">
        <f t="shared" si="58"/>
        <v>84.028620513790074</v>
      </c>
    </row>
    <row r="74" spans="1:28" x14ac:dyDescent="0.3">
      <c r="A74" s="239" t="s">
        <v>170</v>
      </c>
      <c r="B74" s="212">
        <f t="shared" ref="B74:Y74" si="60">B69</f>
        <v>92.539121263404851</v>
      </c>
      <c r="C74" s="10">
        <f t="shared" si="60"/>
        <v>176.56464337057645</v>
      </c>
      <c r="D74" s="212">
        <f t="shared" si="60"/>
        <v>29.99637006953515</v>
      </c>
      <c r="E74" s="10">
        <f t="shared" si="60"/>
        <v>57.234269798348329</v>
      </c>
      <c r="F74" s="212">
        <f t="shared" si="60"/>
        <v>61.251885361610796</v>
      </c>
      <c r="G74" s="10">
        <f t="shared" si="60"/>
        <v>116.86021710563671</v>
      </c>
      <c r="H74" s="212">
        <f t="shared" si="60"/>
        <v>0</v>
      </c>
      <c r="I74" s="10">
        <f t="shared" si="60"/>
        <v>0</v>
      </c>
      <c r="J74" s="212">
        <f t="shared" si="60"/>
        <v>163.63588707490678</v>
      </c>
      <c r="K74" s="10">
        <f t="shared" si="60"/>
        <v>312.22846887395082</v>
      </c>
      <c r="L74" s="212">
        <f t="shared" si="60"/>
        <v>153.11086526851784</v>
      </c>
      <c r="M74" s="10">
        <f t="shared" si="60"/>
        <v>292.13457532038814</v>
      </c>
      <c r="N74" s="212">
        <f t="shared" si="60"/>
        <v>0</v>
      </c>
      <c r="O74" s="10">
        <f t="shared" si="60"/>
        <v>0</v>
      </c>
      <c r="P74" s="212">
        <f t="shared" si="60"/>
        <v>0</v>
      </c>
      <c r="Q74" s="10">
        <f t="shared" si="60"/>
        <v>0</v>
      </c>
      <c r="R74" s="212">
        <f t="shared" si="60"/>
        <v>0</v>
      </c>
      <c r="S74" s="10">
        <f t="shared" si="60"/>
        <v>0</v>
      </c>
      <c r="T74" s="212">
        <f t="shared" si="60"/>
        <v>24.02396755158772</v>
      </c>
      <c r="U74" s="10">
        <f t="shared" si="60"/>
        <v>45.841396892152517</v>
      </c>
      <c r="V74" s="212">
        <f t="shared" ref="V74:W74" si="61">V69</f>
        <v>48.70500674157303</v>
      </c>
      <c r="W74" s="208">
        <f t="shared" si="61"/>
        <v>92.925001548624948</v>
      </c>
      <c r="X74" s="212">
        <f t="shared" si="60"/>
        <v>48.70500674157303</v>
      </c>
      <c r="Y74" s="208">
        <f t="shared" si="60"/>
        <v>92.925001548624948</v>
      </c>
    </row>
    <row r="75" spans="1:28" x14ac:dyDescent="0.3">
      <c r="A75" s="234"/>
      <c r="B75" s="195"/>
      <c r="D75" s="195"/>
      <c r="F75" s="195"/>
      <c r="H75" s="195"/>
      <c r="J75" s="195"/>
      <c r="L75" s="195"/>
      <c r="N75" s="195"/>
      <c r="P75" s="195"/>
      <c r="R75" s="195"/>
      <c r="T75" s="195"/>
      <c r="V75" s="195"/>
      <c r="W75" s="196"/>
      <c r="X75" s="195"/>
      <c r="Y75" s="196"/>
    </row>
    <row r="76" spans="1:28" x14ac:dyDescent="0.3">
      <c r="A76" s="239" t="s">
        <v>190</v>
      </c>
      <c r="B76" s="201">
        <v>0.1</v>
      </c>
      <c r="C76" s="12">
        <v>0.1</v>
      </c>
      <c r="D76" s="201">
        <v>0.1</v>
      </c>
      <c r="E76" s="12">
        <v>0.1</v>
      </c>
      <c r="F76" s="201">
        <v>0.1</v>
      </c>
      <c r="G76" s="12">
        <v>0.1</v>
      </c>
      <c r="H76" s="201">
        <v>0.1</v>
      </c>
      <c r="I76" s="12">
        <v>0.1</v>
      </c>
      <c r="J76" s="201">
        <v>0.1</v>
      </c>
      <c r="K76" s="12">
        <v>0.1</v>
      </c>
      <c r="L76" s="201">
        <v>0.1</v>
      </c>
      <c r="M76" s="12">
        <v>0.1</v>
      </c>
      <c r="N76" s="201">
        <v>0.1</v>
      </c>
      <c r="O76" s="12">
        <v>0.1</v>
      </c>
      <c r="P76" s="201">
        <v>0.1</v>
      </c>
      <c r="Q76" s="12">
        <v>0.1</v>
      </c>
      <c r="R76" s="201">
        <v>0.1</v>
      </c>
      <c r="S76" s="12">
        <v>0.1</v>
      </c>
      <c r="T76" s="201">
        <v>0.1</v>
      </c>
      <c r="U76" s="12">
        <v>0.1</v>
      </c>
      <c r="V76" s="201">
        <v>0.1</v>
      </c>
      <c r="W76" s="202">
        <v>0.1</v>
      </c>
      <c r="X76" s="201">
        <v>0.1</v>
      </c>
      <c r="Y76" s="202">
        <v>0.1</v>
      </c>
      <c r="Z76" s="12"/>
      <c r="AA76" s="182" t="s">
        <v>191</v>
      </c>
    </row>
    <row r="77" spans="1:28" x14ac:dyDescent="0.3">
      <c r="A77" s="234"/>
      <c r="B77" s="195"/>
      <c r="D77" s="195"/>
      <c r="F77" s="195"/>
      <c r="H77" s="195"/>
      <c r="J77" s="195"/>
      <c r="L77" s="195"/>
      <c r="N77" s="195"/>
      <c r="P77" s="195"/>
      <c r="R77" s="195"/>
      <c r="T77" s="195"/>
      <c r="V77" s="195"/>
      <c r="W77" s="196"/>
      <c r="X77" s="195"/>
      <c r="Y77" s="196"/>
    </row>
    <row r="78" spans="1:28" x14ac:dyDescent="0.3">
      <c r="A78" s="244" t="s">
        <v>192</v>
      </c>
      <c r="B78" s="203"/>
      <c r="C78" s="109"/>
      <c r="D78" s="203"/>
      <c r="E78" s="109"/>
      <c r="F78" s="203"/>
      <c r="G78" s="109"/>
      <c r="H78" s="203"/>
      <c r="I78" s="109"/>
      <c r="J78" s="203"/>
      <c r="K78" s="109"/>
      <c r="L78" s="203"/>
      <c r="M78" s="109"/>
      <c r="N78" s="203"/>
      <c r="O78" s="109"/>
      <c r="P78" s="203"/>
      <c r="Q78" s="109"/>
      <c r="R78" s="203"/>
      <c r="S78" s="109"/>
      <c r="T78" s="203"/>
      <c r="U78" s="109"/>
      <c r="V78" s="203"/>
      <c r="W78" s="204"/>
      <c r="X78" s="203"/>
      <c r="Y78" s="204"/>
      <c r="AA78" s="170" t="s">
        <v>193</v>
      </c>
      <c r="AB78" s="88" t="s">
        <v>194</v>
      </c>
    </row>
    <row r="79" spans="1:28" x14ac:dyDescent="0.3">
      <c r="A79" s="239" t="s">
        <v>166</v>
      </c>
      <c r="B79" s="221">
        <f t="shared" ref="B79:Y79" si="62">B72*B85</f>
        <v>0.22758947343815833</v>
      </c>
      <c r="C79" s="4">
        <f t="shared" si="62"/>
        <v>0.43424071532000602</v>
      </c>
      <c r="D79" s="221">
        <f t="shared" si="62"/>
        <v>35.832121227308406</v>
      </c>
      <c r="E79" s="4">
        <f t="shared" si="62"/>
        <v>68.369115630219156</v>
      </c>
      <c r="F79" s="221">
        <f t="shared" si="62"/>
        <v>10.802744913883171</v>
      </c>
      <c r="G79" s="4">
        <f t="shared" si="62"/>
        <v>20.610159320326943</v>
      </c>
      <c r="H79" s="221">
        <f t="shared" si="62"/>
        <v>60.413706240000003</v>
      </c>
      <c r="I79" s="4">
        <f t="shared" si="62"/>
        <v>115.26881364711406</v>
      </c>
      <c r="J79" s="221">
        <f t="shared" si="62"/>
        <v>15.372320993964882</v>
      </c>
      <c r="K79" s="4">
        <f t="shared" si="62"/>
        <v>29.331440265223861</v>
      </c>
      <c r="L79" s="221">
        <f t="shared" si="62"/>
        <v>0</v>
      </c>
      <c r="M79" s="4">
        <f t="shared" si="62"/>
        <v>0</v>
      </c>
      <c r="N79" s="221">
        <f t="shared" si="62"/>
        <v>45.916778409344772</v>
      </c>
      <c r="O79" s="4">
        <f t="shared" si="62"/>
        <v>87.6012431214251</v>
      </c>
      <c r="P79" s="221">
        <f t="shared" si="62"/>
        <v>14.750676480000005</v>
      </c>
      <c r="Q79" s="4">
        <f t="shared" si="62"/>
        <v>28.145551567301887</v>
      </c>
      <c r="R79" s="221">
        <f t="shared" si="62"/>
        <v>74.65594285381097</v>
      </c>
      <c r="S79" s="4">
        <f t="shared" si="62"/>
        <v>142.45507296924197</v>
      </c>
      <c r="T79" s="221">
        <f t="shared" si="62"/>
        <v>27.033516137389849</v>
      </c>
      <c r="U79" s="4">
        <f t="shared" si="62"/>
        <v>51.584074944465058</v>
      </c>
      <c r="V79" s="221">
        <f t="shared" ref="V79:W79" si="63">V72*V85</f>
        <v>38.052495360000002</v>
      </c>
      <c r="W79" s="209">
        <f t="shared" si="63"/>
        <v>13.522973330499163</v>
      </c>
      <c r="X79" s="221">
        <f t="shared" si="62"/>
        <v>38.052495360000002</v>
      </c>
      <c r="Y79" s="209">
        <f t="shared" si="62"/>
        <v>13.522973330499163</v>
      </c>
    </row>
    <row r="80" spans="1:28" x14ac:dyDescent="0.3">
      <c r="A80" s="239" t="s">
        <v>167</v>
      </c>
      <c r="B80" s="221">
        <f t="shared" ref="B80:Y80" si="64">B73*B86</f>
        <v>16.429493672656925</v>
      </c>
      <c r="C80" s="4">
        <f t="shared" si="64"/>
        <v>31.347473927429412</v>
      </c>
      <c r="D80" s="221">
        <f t="shared" si="64"/>
        <v>2.0284250866172293</v>
      </c>
      <c r="E80" s="4">
        <f t="shared" si="64"/>
        <v>3.870315921695378</v>
      </c>
      <c r="F80" s="221">
        <f t="shared" si="64"/>
        <v>20.205920447518</v>
      </c>
      <c r="G80" s="4">
        <f t="shared" si="64"/>
        <v>38.55013174494195</v>
      </c>
      <c r="H80" s="221">
        <f t="shared" si="64"/>
        <v>1.987968</v>
      </c>
      <c r="I80" s="4">
        <f t="shared" si="64"/>
        <v>3.7930252452663629</v>
      </c>
      <c r="J80" s="221">
        <f t="shared" si="64"/>
        <v>1.2848850552370361</v>
      </c>
      <c r="K80" s="4">
        <f t="shared" si="64"/>
        <v>2.4516486001144506</v>
      </c>
      <c r="L80" s="221">
        <f t="shared" si="64"/>
        <v>0</v>
      </c>
      <c r="M80" s="4">
        <f t="shared" si="64"/>
        <v>0</v>
      </c>
      <c r="N80" s="221">
        <f t="shared" si="64"/>
        <v>30.430071110827001</v>
      </c>
      <c r="O80" s="4">
        <f t="shared" si="64"/>
        <v>58.055293727647445</v>
      </c>
      <c r="P80" s="221">
        <f t="shared" si="64"/>
        <v>10.354868000000002</v>
      </c>
      <c r="Q80" s="4">
        <f t="shared" si="64"/>
        <v>19.757973246973698</v>
      </c>
      <c r="R80" s="221">
        <f t="shared" si="64"/>
        <v>3.1995954437514715</v>
      </c>
      <c r="S80" s="4">
        <f t="shared" si="64"/>
        <v>6.1053224296450344</v>
      </c>
      <c r="T80" s="221">
        <f t="shared" si="64"/>
        <v>0.4392065302969258</v>
      </c>
      <c r="U80" s="4">
        <f t="shared" si="64"/>
        <v>0.83807309636646421</v>
      </c>
      <c r="V80" s="221">
        <f t="shared" ref="V80:W80" si="65">V73*V86</f>
        <v>11.010531235955053</v>
      </c>
      <c r="W80" s="209">
        <f t="shared" si="65"/>
        <v>21.007155128447518</v>
      </c>
      <c r="X80" s="221">
        <f t="shared" si="64"/>
        <v>11.010531235955053</v>
      </c>
      <c r="Y80" s="209">
        <f t="shared" si="64"/>
        <v>21.007155128447518</v>
      </c>
    </row>
    <row r="81" spans="1:33" x14ac:dyDescent="0.3">
      <c r="A81" s="239" t="s">
        <v>168</v>
      </c>
      <c r="B81" s="221">
        <f t="shared" ref="B81:Y81" si="66">B74*B85</f>
        <v>29.612518804289554</v>
      </c>
      <c r="C81" s="4">
        <f>C74*C85</f>
        <v>56.500685878584463</v>
      </c>
      <c r="D81" s="221">
        <f t="shared" si="66"/>
        <v>9.5988384222512479</v>
      </c>
      <c r="E81" s="4">
        <f t="shared" si="66"/>
        <v>18.314966335471464</v>
      </c>
      <c r="F81" s="221">
        <f t="shared" si="66"/>
        <v>19.600603315715457</v>
      </c>
      <c r="G81" s="4">
        <f t="shared" si="66"/>
        <v>37.395269473803744</v>
      </c>
      <c r="H81" s="221">
        <f t="shared" si="66"/>
        <v>0</v>
      </c>
      <c r="I81" s="4">
        <f t="shared" si="66"/>
        <v>0</v>
      </c>
      <c r="J81" s="221">
        <f t="shared" si="66"/>
        <v>52.363483863970167</v>
      </c>
      <c r="K81" s="4">
        <f t="shared" si="66"/>
        <v>99.913110039664261</v>
      </c>
      <c r="L81" s="221">
        <f t="shared" si="66"/>
        <v>48.995476885925711</v>
      </c>
      <c r="M81" s="4">
        <f t="shared" si="66"/>
        <v>93.48306410252421</v>
      </c>
      <c r="N81" s="221">
        <f t="shared" si="66"/>
        <v>0</v>
      </c>
      <c r="O81" s="4">
        <f t="shared" si="66"/>
        <v>0</v>
      </c>
      <c r="P81" s="221">
        <f t="shared" si="66"/>
        <v>0</v>
      </c>
      <c r="Q81" s="4">
        <f t="shared" si="66"/>
        <v>0</v>
      </c>
      <c r="R81" s="221">
        <f t="shared" si="66"/>
        <v>0</v>
      </c>
      <c r="S81" s="4">
        <f t="shared" si="66"/>
        <v>0</v>
      </c>
      <c r="T81" s="221">
        <f t="shared" si="66"/>
        <v>7.6876696165080709</v>
      </c>
      <c r="U81" s="4">
        <f t="shared" si="66"/>
        <v>14.669247005488806</v>
      </c>
      <c r="V81" s="221">
        <f t="shared" ref="V81:W81" si="67">V74*V85</f>
        <v>15.58560215730337</v>
      </c>
      <c r="W81" s="209">
        <f t="shared" si="67"/>
        <v>29.736000495559985</v>
      </c>
      <c r="X81" s="221">
        <f t="shared" si="66"/>
        <v>15.58560215730337</v>
      </c>
      <c r="Y81" s="209">
        <f t="shared" si="66"/>
        <v>29.736000495559985</v>
      </c>
      <c r="AA81" s="88" t="s">
        <v>182</v>
      </c>
    </row>
    <row r="82" spans="1:33" x14ac:dyDescent="0.3">
      <c r="A82" s="239" t="s">
        <v>171</v>
      </c>
      <c r="B82" s="205"/>
      <c r="C82" s="118">
        <f>SUM(B79:C81)</f>
        <v>134.55200247171851</v>
      </c>
      <c r="D82" s="205"/>
      <c r="E82" s="118">
        <f>SUM(D79:E81)</f>
        <v>138.01378262356289</v>
      </c>
      <c r="F82" s="205"/>
      <c r="G82" s="118">
        <f>SUM(F79:G81)</f>
        <v>147.16482921618928</v>
      </c>
      <c r="H82" s="205"/>
      <c r="I82" s="118">
        <f>SUM(H79:I81)</f>
        <v>181.46351313238043</v>
      </c>
      <c r="J82" s="205"/>
      <c r="K82" s="118">
        <f>SUM(J79:K81)</f>
        <v>200.71688881817465</v>
      </c>
      <c r="L82" s="205"/>
      <c r="M82" s="118">
        <f>SUM(L79:M81)</f>
        <v>142.47854098844994</v>
      </c>
      <c r="N82" s="205"/>
      <c r="O82" s="118">
        <f>SUM(N79:O81)</f>
        <v>222.00338636924431</v>
      </c>
      <c r="P82" s="205"/>
      <c r="Q82" s="118">
        <f>SUM(P79:Q81)</f>
        <v>73.009069294275591</v>
      </c>
      <c r="R82" s="205"/>
      <c r="S82" s="118">
        <f>SUM(R79:S81)</f>
        <v>226.41593369644943</v>
      </c>
      <c r="T82" s="205"/>
      <c r="U82" s="118">
        <f>SUM(T79:U81)</f>
        <v>102.25178733051519</v>
      </c>
      <c r="V82" s="205"/>
      <c r="W82" s="206">
        <f>SUM(V79:W81)</f>
        <v>128.91475770776509</v>
      </c>
      <c r="X82" s="205"/>
      <c r="Y82" s="206">
        <f>SUM(X79:Y81)</f>
        <v>128.91475770776509</v>
      </c>
    </row>
    <row r="83" spans="1:33" x14ac:dyDescent="0.3">
      <c r="A83" s="239"/>
      <c r="B83" s="205"/>
      <c r="C83" s="118"/>
      <c r="D83" s="205"/>
      <c r="E83" s="118"/>
      <c r="F83" s="205"/>
      <c r="G83" s="118"/>
      <c r="H83" s="205"/>
      <c r="I83" s="118"/>
      <c r="J83" s="205"/>
      <c r="K83" s="118"/>
      <c r="L83" s="205"/>
      <c r="M83" s="118"/>
      <c r="N83" s="205"/>
      <c r="O83" s="118"/>
      <c r="P83" s="205"/>
      <c r="Q83" s="118"/>
      <c r="R83" s="205"/>
      <c r="S83" s="118"/>
      <c r="T83" s="205"/>
      <c r="U83" s="118"/>
      <c r="V83" s="205"/>
      <c r="W83" s="206"/>
      <c r="X83" s="205"/>
      <c r="Y83" s="206"/>
      <c r="AA83" s="88"/>
    </row>
    <row r="84" spans="1:33" x14ac:dyDescent="0.3">
      <c r="A84" s="234"/>
      <c r="B84" s="195"/>
      <c r="D84" s="195"/>
      <c r="F84" s="195"/>
      <c r="H84" s="195"/>
      <c r="J84" s="195"/>
      <c r="L84" s="195"/>
      <c r="N84" s="195"/>
      <c r="P84" s="195"/>
      <c r="R84" s="195"/>
      <c r="T84" s="195"/>
      <c r="V84" s="195"/>
      <c r="W84" s="196"/>
      <c r="X84" s="195"/>
      <c r="Y84" s="196"/>
    </row>
    <row r="85" spans="1:33" x14ac:dyDescent="0.3">
      <c r="A85" s="242" t="s">
        <v>195</v>
      </c>
      <c r="B85" s="215">
        <v>0.32</v>
      </c>
      <c r="C85" s="14">
        <v>0.32</v>
      </c>
      <c r="D85" s="215">
        <v>0.32</v>
      </c>
      <c r="E85" s="14">
        <v>0.32</v>
      </c>
      <c r="F85" s="215">
        <v>0.32</v>
      </c>
      <c r="G85" s="14">
        <v>0.32</v>
      </c>
      <c r="H85" s="215">
        <v>0.32</v>
      </c>
      <c r="I85" s="14">
        <v>0.32</v>
      </c>
      <c r="J85" s="215">
        <v>0.32</v>
      </c>
      <c r="K85" s="14">
        <v>0.32</v>
      </c>
      <c r="L85" s="215">
        <v>0.32</v>
      </c>
      <c r="M85" s="14">
        <v>0.32</v>
      </c>
      <c r="N85" s="215">
        <v>0.32</v>
      </c>
      <c r="O85" s="14">
        <v>0.32</v>
      </c>
      <c r="P85" s="215">
        <v>0.32</v>
      </c>
      <c r="Q85" s="14">
        <v>0.32</v>
      </c>
      <c r="R85" s="215">
        <v>0.32</v>
      </c>
      <c r="S85" s="14">
        <v>0.32</v>
      </c>
      <c r="T85" s="215">
        <v>0.32</v>
      </c>
      <c r="U85" s="14">
        <v>0.32</v>
      </c>
      <c r="V85" s="215">
        <v>0.32</v>
      </c>
      <c r="W85" s="216">
        <v>0.32</v>
      </c>
      <c r="X85" s="215">
        <v>0.32</v>
      </c>
      <c r="Y85" s="216">
        <v>0.32</v>
      </c>
      <c r="AA85" s="182" t="s">
        <v>177</v>
      </c>
    </row>
    <row r="86" spans="1:33" x14ac:dyDescent="0.3">
      <c r="A86" s="242" t="s">
        <v>196</v>
      </c>
      <c r="B86" s="215">
        <v>0.25</v>
      </c>
      <c r="C86" s="14">
        <v>0.25</v>
      </c>
      <c r="D86" s="215">
        <v>0.25</v>
      </c>
      <c r="E86" s="14">
        <v>0.25</v>
      </c>
      <c r="F86" s="215">
        <v>0.25</v>
      </c>
      <c r="G86" s="14">
        <v>0.25</v>
      </c>
      <c r="H86" s="215">
        <v>0.25</v>
      </c>
      <c r="I86" s="14">
        <v>0.25</v>
      </c>
      <c r="J86" s="215">
        <v>0.25</v>
      </c>
      <c r="K86" s="14">
        <v>0.25</v>
      </c>
      <c r="L86" s="215">
        <v>0.25</v>
      </c>
      <c r="M86" s="14">
        <v>0.25</v>
      </c>
      <c r="N86" s="215">
        <v>0.25</v>
      </c>
      <c r="O86" s="14">
        <v>0.25</v>
      </c>
      <c r="P86" s="215">
        <v>0.25</v>
      </c>
      <c r="Q86" s="14">
        <v>0.25</v>
      </c>
      <c r="R86" s="215">
        <v>0.25</v>
      </c>
      <c r="S86" s="14">
        <v>0.25</v>
      </c>
      <c r="T86" s="215">
        <v>0.25</v>
      </c>
      <c r="U86" s="14">
        <v>0.25</v>
      </c>
      <c r="V86" s="215">
        <v>0.25</v>
      </c>
      <c r="W86" s="216">
        <v>0.25</v>
      </c>
      <c r="X86" s="215">
        <v>0.25</v>
      </c>
      <c r="Y86" s="216">
        <v>0.25</v>
      </c>
      <c r="AA86" s="182" t="s">
        <v>177</v>
      </c>
    </row>
    <row r="87" spans="1:33" x14ac:dyDescent="0.3">
      <c r="A87" s="234"/>
      <c r="B87" s="195"/>
      <c r="D87" s="195"/>
      <c r="F87" s="195"/>
      <c r="H87" s="195"/>
      <c r="J87" s="195"/>
      <c r="L87" s="195"/>
      <c r="N87" s="195"/>
      <c r="P87" s="195"/>
      <c r="R87" s="195"/>
      <c r="T87" s="195"/>
      <c r="V87" s="195"/>
      <c r="W87" s="196"/>
      <c r="X87" s="195"/>
      <c r="Y87" s="196"/>
    </row>
    <row r="88" spans="1:33" x14ac:dyDescent="0.3">
      <c r="A88" s="244" t="s">
        <v>197</v>
      </c>
      <c r="B88" s="203"/>
      <c r="C88" s="109"/>
      <c r="D88" s="203"/>
      <c r="E88" s="109"/>
      <c r="F88" s="203"/>
      <c r="G88" s="109"/>
      <c r="H88" s="203"/>
      <c r="I88" s="109"/>
      <c r="J88" s="203"/>
      <c r="K88" s="109"/>
      <c r="L88" s="203"/>
      <c r="M88" s="109"/>
      <c r="N88" s="203"/>
      <c r="O88" s="109"/>
      <c r="P88" s="203"/>
      <c r="Q88" s="109"/>
      <c r="R88" s="203"/>
      <c r="S88" s="109"/>
      <c r="T88" s="203"/>
      <c r="U88" s="109"/>
      <c r="V88" s="203"/>
      <c r="W88" s="204"/>
      <c r="X88" s="203"/>
      <c r="Y88" s="204"/>
    </row>
    <row r="89" spans="1:33" x14ac:dyDescent="0.3">
      <c r="A89" s="239" t="s">
        <v>166</v>
      </c>
      <c r="B89" s="207">
        <f>B72*B95</f>
        <v>1.4224342089884896E-2</v>
      </c>
      <c r="C89" s="10">
        <f t="shared" ref="C89:Y89" si="68">C72*C95</f>
        <v>2.7140044707500376E-2</v>
      </c>
      <c r="D89" s="207">
        <f t="shared" si="68"/>
        <v>2.2395075767067754</v>
      </c>
      <c r="E89" s="10">
        <f t="shared" si="68"/>
        <v>4.2730697268886972</v>
      </c>
      <c r="F89" s="207">
        <f t="shared" si="68"/>
        <v>0.67517155711769816</v>
      </c>
      <c r="G89" s="10">
        <f t="shared" si="68"/>
        <v>1.2881349575204339</v>
      </c>
      <c r="H89" s="207">
        <f t="shared" si="68"/>
        <v>3.7758566400000002</v>
      </c>
      <c r="I89" s="10">
        <f t="shared" si="68"/>
        <v>7.2043008529446286</v>
      </c>
      <c r="J89" s="207">
        <f t="shared" si="68"/>
        <v>0.96077006212280514</v>
      </c>
      <c r="K89" s="10">
        <f t="shared" si="68"/>
        <v>1.8332150165764913</v>
      </c>
      <c r="L89" s="207">
        <f t="shared" si="68"/>
        <v>0</v>
      </c>
      <c r="M89" s="10">
        <f t="shared" si="68"/>
        <v>0</v>
      </c>
      <c r="N89" s="207">
        <f t="shared" si="68"/>
        <v>2.8697986505840483</v>
      </c>
      <c r="O89" s="10">
        <f t="shared" si="68"/>
        <v>5.4750776950890687</v>
      </c>
      <c r="P89" s="207">
        <f t="shared" si="68"/>
        <v>0.92191728000000028</v>
      </c>
      <c r="Q89" s="10">
        <f t="shared" si="68"/>
        <v>1.7590969729563679</v>
      </c>
      <c r="R89" s="207">
        <f t="shared" si="68"/>
        <v>4.6659964283631856</v>
      </c>
      <c r="S89" s="10">
        <f t="shared" si="68"/>
        <v>8.903442060577623</v>
      </c>
      <c r="T89" s="207">
        <f t="shared" si="68"/>
        <v>1.6895947585868656</v>
      </c>
      <c r="U89" s="10">
        <f t="shared" si="68"/>
        <v>3.2240046840290661</v>
      </c>
      <c r="V89" s="207">
        <f t="shared" ref="V89:W89" si="69">V72*V95</f>
        <v>2.3782809600000001</v>
      </c>
      <c r="W89" s="208">
        <f t="shared" si="69"/>
        <v>0.84518583315619766</v>
      </c>
      <c r="X89" s="207">
        <f t="shared" si="68"/>
        <v>2.3782809600000001</v>
      </c>
      <c r="Y89" s="208">
        <f t="shared" si="68"/>
        <v>0.84518583315619766</v>
      </c>
    </row>
    <row r="90" spans="1:33" x14ac:dyDescent="0.3">
      <c r="A90" s="239" t="s">
        <v>167</v>
      </c>
      <c r="B90" s="207">
        <f>B73*B96</f>
        <v>0.65717974690627701</v>
      </c>
      <c r="C90" s="10">
        <f t="shared" ref="C90:Y90" si="70">C73*C96</f>
        <v>1.2538989570971766</v>
      </c>
      <c r="D90" s="207">
        <f t="shared" si="70"/>
        <v>8.1137003464689175E-2</v>
      </c>
      <c r="E90" s="10">
        <f t="shared" si="70"/>
        <v>0.15481263686781513</v>
      </c>
      <c r="F90" s="207">
        <f t="shared" si="70"/>
        <v>0.80823681790071999</v>
      </c>
      <c r="G90" s="10">
        <f t="shared" si="70"/>
        <v>1.542005269797678</v>
      </c>
      <c r="H90" s="207">
        <f t="shared" si="70"/>
        <v>7.9518720000000001E-2</v>
      </c>
      <c r="I90" s="10">
        <f t="shared" si="70"/>
        <v>0.15172100981065451</v>
      </c>
      <c r="J90" s="207">
        <f t="shared" si="70"/>
        <v>5.1395402209481446E-2</v>
      </c>
      <c r="K90" s="10">
        <f t="shared" si="70"/>
        <v>9.8065944004578021E-2</v>
      </c>
      <c r="L90" s="207">
        <f t="shared" si="70"/>
        <v>0</v>
      </c>
      <c r="M90" s="10">
        <f t="shared" si="70"/>
        <v>0</v>
      </c>
      <c r="N90" s="207">
        <f t="shared" si="70"/>
        <v>1.21720284443308</v>
      </c>
      <c r="O90" s="10">
        <f t="shared" si="70"/>
        <v>2.322211749105898</v>
      </c>
      <c r="P90" s="207">
        <f t="shared" si="70"/>
        <v>0.41419472000000007</v>
      </c>
      <c r="Q90" s="10">
        <f t="shared" si="70"/>
        <v>0.79031892987894792</v>
      </c>
      <c r="R90" s="207">
        <f t="shared" si="70"/>
        <v>0.12798381775005888</v>
      </c>
      <c r="S90" s="10">
        <f t="shared" si="70"/>
        <v>0.24421289718580139</v>
      </c>
      <c r="T90" s="207">
        <f t="shared" si="70"/>
        <v>1.7568261211877031E-2</v>
      </c>
      <c r="U90" s="10">
        <f t="shared" si="70"/>
        <v>3.3522923854658569E-2</v>
      </c>
      <c r="V90" s="207">
        <f t="shared" ref="V90:W90" si="71">V73*V96</f>
        <v>0.44042124943820216</v>
      </c>
      <c r="W90" s="208">
        <f t="shared" si="71"/>
        <v>0.84028620513790075</v>
      </c>
      <c r="X90" s="207">
        <f t="shared" si="70"/>
        <v>0.44042124943820216</v>
      </c>
      <c r="Y90" s="208">
        <f t="shared" si="70"/>
        <v>0.84028620513790075</v>
      </c>
    </row>
    <row r="91" spans="1:33" x14ac:dyDescent="0.3">
      <c r="A91" s="239" t="s">
        <v>168</v>
      </c>
      <c r="B91" s="207">
        <f t="shared" ref="B91:Y91" si="72">B74*B95</f>
        <v>1.8507824252680971</v>
      </c>
      <c r="C91" s="10">
        <f t="shared" si="72"/>
        <v>3.5312928674115289</v>
      </c>
      <c r="D91" s="207">
        <f t="shared" si="72"/>
        <v>0.599927401390703</v>
      </c>
      <c r="E91" s="10">
        <f t="shared" si="72"/>
        <v>1.1446853959669665</v>
      </c>
      <c r="F91" s="207">
        <f t="shared" si="72"/>
        <v>1.2250377072322161</v>
      </c>
      <c r="G91" s="10">
        <f t="shared" si="72"/>
        <v>2.337204342112734</v>
      </c>
      <c r="H91" s="207">
        <f t="shared" si="72"/>
        <v>0</v>
      </c>
      <c r="I91" s="10">
        <f t="shared" si="72"/>
        <v>0</v>
      </c>
      <c r="J91" s="207">
        <f t="shared" si="72"/>
        <v>3.2727177414981354</v>
      </c>
      <c r="K91" s="10">
        <f t="shared" si="72"/>
        <v>6.2445693774790163</v>
      </c>
      <c r="L91" s="207">
        <f t="shared" si="72"/>
        <v>3.062217305370357</v>
      </c>
      <c r="M91" s="10">
        <f t="shared" si="72"/>
        <v>5.8426915064077631</v>
      </c>
      <c r="N91" s="207">
        <f t="shared" si="72"/>
        <v>0</v>
      </c>
      <c r="O91" s="10">
        <f t="shared" si="72"/>
        <v>0</v>
      </c>
      <c r="P91" s="207">
        <f t="shared" si="72"/>
        <v>0</v>
      </c>
      <c r="Q91" s="10">
        <f t="shared" si="72"/>
        <v>0</v>
      </c>
      <c r="R91" s="207">
        <f t="shared" si="72"/>
        <v>0</v>
      </c>
      <c r="S91" s="10">
        <f t="shared" si="72"/>
        <v>0</v>
      </c>
      <c r="T91" s="207">
        <f t="shared" si="72"/>
        <v>0.48047935103175443</v>
      </c>
      <c r="U91" s="10">
        <f t="shared" si="72"/>
        <v>0.91682793784305039</v>
      </c>
      <c r="V91" s="207">
        <f t="shared" ref="V91:W91" si="73">V74*V95</f>
        <v>0.97410013483146063</v>
      </c>
      <c r="W91" s="208">
        <f t="shared" si="73"/>
        <v>1.8585000309724991</v>
      </c>
      <c r="X91" s="207">
        <f t="shared" si="72"/>
        <v>0.97410013483146063</v>
      </c>
      <c r="Y91" s="208">
        <f t="shared" si="72"/>
        <v>1.8585000309724991</v>
      </c>
      <c r="AA91" s="88" t="s">
        <v>182</v>
      </c>
    </row>
    <row r="92" spans="1:33" x14ac:dyDescent="0.3">
      <c r="A92" s="239" t="s">
        <v>171</v>
      </c>
      <c r="B92" s="207"/>
      <c r="C92" s="10">
        <f>SUM(B89:C91)</f>
        <v>7.3345183834804653</v>
      </c>
      <c r="D92" s="207"/>
      <c r="E92" s="10">
        <f>SUM(D89:E91)</f>
        <v>8.4931397412856455</v>
      </c>
      <c r="F92" s="207"/>
      <c r="G92" s="10">
        <f>SUM(F89:G91)</f>
        <v>7.8757906516814806</v>
      </c>
      <c r="H92" s="207"/>
      <c r="I92" s="10">
        <f>SUM(H89:I91)</f>
        <v>11.211397222755282</v>
      </c>
      <c r="J92" s="207"/>
      <c r="K92" s="10">
        <f>SUM(J89:K91)</f>
        <v>12.460733543890509</v>
      </c>
      <c r="L92" s="207"/>
      <c r="M92" s="10">
        <f>SUM(L89:M91)</f>
        <v>8.904908811778121</v>
      </c>
      <c r="N92" s="207"/>
      <c r="O92" s="10">
        <f>SUM(N89:O91)</f>
        <v>11.884290939212097</v>
      </c>
      <c r="P92" s="207"/>
      <c r="Q92" s="10">
        <f>SUM(P89:Q91)</f>
        <v>3.8855279028353165</v>
      </c>
      <c r="R92" s="207"/>
      <c r="S92" s="10">
        <f>SUM(R89:S91)</f>
        <v>13.941635203876668</v>
      </c>
      <c r="T92" s="207"/>
      <c r="U92" s="10">
        <f>SUM(T89:U91)</f>
        <v>6.3619979165572715</v>
      </c>
      <c r="V92" s="207"/>
      <c r="W92" s="10">
        <f>SUM(V89:W91)</f>
        <v>7.3367744135362614</v>
      </c>
      <c r="X92" s="207"/>
      <c r="Y92" s="10">
        <f>SUM(X89:Y91)</f>
        <v>7.3367744135362614</v>
      </c>
    </row>
    <row r="93" spans="1:33" x14ac:dyDescent="0.3">
      <c r="A93" s="239"/>
      <c r="B93" s="195"/>
      <c r="D93" s="195"/>
      <c r="F93" s="195"/>
      <c r="H93" s="195"/>
      <c r="J93" s="195"/>
      <c r="L93" s="195"/>
      <c r="N93" s="195"/>
      <c r="P93" s="195"/>
      <c r="R93" s="195"/>
      <c r="T93" s="195"/>
      <c r="V93" s="195"/>
      <c r="W93" s="196"/>
      <c r="X93" s="195"/>
      <c r="Y93" s="196"/>
    </row>
    <row r="94" spans="1:33" x14ac:dyDescent="0.3">
      <c r="A94" s="234"/>
      <c r="B94" s="195"/>
      <c r="D94" s="195"/>
      <c r="F94" s="195"/>
      <c r="H94" s="195"/>
      <c r="J94" s="195"/>
      <c r="L94" s="195"/>
      <c r="M94" s="196"/>
      <c r="N94" s="195"/>
      <c r="P94" s="195"/>
      <c r="R94" s="195"/>
      <c r="T94" s="195"/>
      <c r="V94" s="195"/>
      <c r="W94" s="196"/>
      <c r="X94" s="195"/>
      <c r="Y94" s="196"/>
    </row>
    <row r="95" spans="1:33" x14ac:dyDescent="0.3">
      <c r="A95" s="242" t="s">
        <v>198</v>
      </c>
      <c r="B95" s="215">
        <v>0.02</v>
      </c>
      <c r="C95" s="14">
        <v>0.02</v>
      </c>
      <c r="D95" s="215">
        <v>0.02</v>
      </c>
      <c r="E95" s="14">
        <v>0.02</v>
      </c>
      <c r="F95" s="215">
        <v>0.02</v>
      </c>
      <c r="G95" s="14">
        <v>0.02</v>
      </c>
      <c r="H95" s="215">
        <v>0.02</v>
      </c>
      <c r="I95" s="14">
        <v>0.02</v>
      </c>
      <c r="J95" s="215">
        <v>0.02</v>
      </c>
      <c r="K95" s="14">
        <v>0.02</v>
      </c>
      <c r="L95" s="215">
        <v>0.02</v>
      </c>
      <c r="M95" s="14">
        <v>0.02</v>
      </c>
      <c r="N95" s="215">
        <v>0.02</v>
      </c>
      <c r="O95" s="14">
        <v>0.02</v>
      </c>
      <c r="P95" s="215">
        <v>0.02</v>
      </c>
      <c r="Q95" s="14">
        <v>0.02</v>
      </c>
      <c r="R95" s="215">
        <v>0.02</v>
      </c>
      <c r="S95" s="14">
        <v>0.02</v>
      </c>
      <c r="T95" s="215">
        <v>0.02</v>
      </c>
      <c r="U95" s="14">
        <v>0.02</v>
      </c>
      <c r="V95" s="215">
        <v>0.02</v>
      </c>
      <c r="W95" s="216">
        <v>0.02</v>
      </c>
      <c r="X95" s="215">
        <v>0.02</v>
      </c>
      <c r="Y95" s="216">
        <v>0.02</v>
      </c>
      <c r="Z95" s="14"/>
      <c r="AA95" s="182" t="s">
        <v>199</v>
      </c>
      <c r="AD95" s="6"/>
      <c r="AE95" s="6"/>
      <c r="AG95" s="88" t="s">
        <v>200</v>
      </c>
    </row>
    <row r="96" spans="1:33" x14ac:dyDescent="0.3">
      <c r="A96" s="242" t="s">
        <v>201</v>
      </c>
      <c r="B96" s="215">
        <v>0.01</v>
      </c>
      <c r="C96" s="14">
        <v>0.01</v>
      </c>
      <c r="D96" s="215">
        <v>0.01</v>
      </c>
      <c r="E96" s="14">
        <v>0.01</v>
      </c>
      <c r="F96" s="215">
        <v>0.01</v>
      </c>
      <c r="G96" s="14">
        <v>0.01</v>
      </c>
      <c r="H96" s="215">
        <v>0.01</v>
      </c>
      <c r="I96" s="14">
        <v>0.01</v>
      </c>
      <c r="J96" s="215">
        <v>0.01</v>
      </c>
      <c r="K96" s="14">
        <v>0.01</v>
      </c>
      <c r="L96" s="215">
        <v>0.01</v>
      </c>
      <c r="M96" s="14">
        <v>0.01</v>
      </c>
      <c r="N96" s="215">
        <v>0.01</v>
      </c>
      <c r="O96" s="14">
        <v>0.01</v>
      </c>
      <c r="P96" s="215">
        <v>0.01</v>
      </c>
      <c r="Q96" s="14">
        <v>0.01</v>
      </c>
      <c r="R96" s="215">
        <v>0.01</v>
      </c>
      <c r="S96" s="14">
        <v>0.01</v>
      </c>
      <c r="T96" s="215">
        <v>0.01</v>
      </c>
      <c r="U96" s="14">
        <v>0.01</v>
      </c>
      <c r="V96" s="215">
        <v>0.01</v>
      </c>
      <c r="W96" s="216">
        <v>0.01</v>
      </c>
      <c r="X96" s="215">
        <v>0.01</v>
      </c>
      <c r="Y96" s="216">
        <v>0.01</v>
      </c>
      <c r="Z96" s="222"/>
      <c r="AA96" s="182" t="s">
        <v>202</v>
      </c>
    </row>
    <row r="97" spans="1:27" x14ac:dyDescent="0.3">
      <c r="A97" s="234"/>
      <c r="B97" s="195"/>
      <c r="D97" s="195"/>
      <c r="F97" s="195"/>
      <c r="H97" s="195"/>
      <c r="J97" s="195"/>
      <c r="L97" s="195"/>
      <c r="N97" s="195"/>
      <c r="P97" s="195"/>
      <c r="R97" s="195"/>
      <c r="T97" s="195"/>
      <c r="V97" s="195"/>
      <c r="W97" s="196"/>
      <c r="X97" s="195"/>
      <c r="Y97" s="196"/>
    </row>
    <row r="98" spans="1:27" x14ac:dyDescent="0.3">
      <c r="A98" s="244" t="s">
        <v>203</v>
      </c>
      <c r="B98" s="203"/>
      <c r="C98" s="109"/>
      <c r="D98" s="203"/>
      <c r="E98" s="109"/>
      <c r="F98" s="203"/>
      <c r="G98" s="109"/>
      <c r="H98" s="203"/>
      <c r="I98" s="109"/>
      <c r="J98" s="203"/>
      <c r="K98" s="109"/>
      <c r="L98" s="203"/>
      <c r="M98" s="109"/>
      <c r="N98" s="203"/>
      <c r="O98" s="109"/>
      <c r="P98" s="203"/>
      <c r="Q98" s="109"/>
      <c r="R98" s="203"/>
      <c r="S98" s="109"/>
      <c r="T98" s="203"/>
      <c r="U98" s="109"/>
      <c r="V98" s="203"/>
      <c r="W98" s="204"/>
      <c r="X98" s="203"/>
      <c r="Y98" s="204"/>
    </row>
    <row r="99" spans="1:27" x14ac:dyDescent="0.3">
      <c r="A99" s="239" t="s">
        <v>166</v>
      </c>
      <c r="B99" s="207">
        <f t="shared" ref="B99:Y99" si="74">B72*(B103+B105)</f>
        <v>0.22047730239321589</v>
      </c>
      <c r="C99" s="10">
        <f t="shared" si="74"/>
        <v>0.42067069296625587</v>
      </c>
      <c r="D99" s="207">
        <f t="shared" si="74"/>
        <v>34.712367438955013</v>
      </c>
      <c r="E99" s="10">
        <f t="shared" si="74"/>
        <v>66.232580766774802</v>
      </c>
      <c r="F99" s="207">
        <f t="shared" si="74"/>
        <v>10.465159135324322</v>
      </c>
      <c r="G99" s="10">
        <f t="shared" si="74"/>
        <v>19.966091841566726</v>
      </c>
      <c r="H99" s="207">
        <f t="shared" si="74"/>
        <v>58.525777920000003</v>
      </c>
      <c r="I99" s="10">
        <f t="shared" si="74"/>
        <v>111.66666322064174</v>
      </c>
      <c r="J99" s="207">
        <f t="shared" si="74"/>
        <v>14.891935962903478</v>
      </c>
      <c r="K99" s="10">
        <f t="shared" si="74"/>
        <v>28.414832756935613</v>
      </c>
      <c r="L99" s="207">
        <f t="shared" si="74"/>
        <v>0</v>
      </c>
      <c r="M99" s="10">
        <f t="shared" si="74"/>
        <v>0</v>
      </c>
      <c r="N99" s="207">
        <f t="shared" si="74"/>
        <v>44.481879084052743</v>
      </c>
      <c r="O99" s="10">
        <f t="shared" si="74"/>
        <v>84.863704273880572</v>
      </c>
      <c r="P99" s="207">
        <f t="shared" si="74"/>
        <v>14.289717840000003</v>
      </c>
      <c r="Q99" s="10">
        <f t="shared" si="74"/>
        <v>27.266003080823701</v>
      </c>
      <c r="R99" s="207">
        <f t="shared" si="74"/>
        <v>72.32294463962937</v>
      </c>
      <c r="S99" s="10">
        <f t="shared" si="74"/>
        <v>138.00335193895316</v>
      </c>
      <c r="T99" s="207">
        <f t="shared" si="74"/>
        <v>26.188718758096414</v>
      </c>
      <c r="U99" s="10">
        <f t="shared" si="74"/>
        <v>49.972072602450524</v>
      </c>
      <c r="V99" s="207">
        <f t="shared" ref="V99:W99" si="75">V72*(V103+V105)</f>
        <v>36.863354880000003</v>
      </c>
      <c r="W99" s="208">
        <f t="shared" si="75"/>
        <v>13.100380413921064</v>
      </c>
      <c r="X99" s="207">
        <f t="shared" si="74"/>
        <v>36.863354880000003</v>
      </c>
      <c r="Y99" s="208">
        <f t="shared" si="74"/>
        <v>13.100380413921064</v>
      </c>
    </row>
    <row r="100" spans="1:27" x14ac:dyDescent="0.3">
      <c r="A100" s="239" t="s">
        <v>167</v>
      </c>
      <c r="B100" s="207">
        <f t="shared" ref="B100:Y100" si="76">B73*(B104+B106)</f>
        <v>0.20372572154094587</v>
      </c>
      <c r="C100" s="10">
        <f t="shared" si="76"/>
        <v>0.38870867670012471</v>
      </c>
      <c r="D100" s="207">
        <f t="shared" si="76"/>
        <v>2.5152471074053641E-2</v>
      </c>
      <c r="E100" s="10">
        <f t="shared" si="76"/>
        <v>4.7991917429022687E-2</v>
      </c>
      <c r="F100" s="207">
        <f t="shared" si="76"/>
        <v>0.25055341354922317</v>
      </c>
      <c r="G100" s="10">
        <f t="shared" si="76"/>
        <v>0.47802163363728017</v>
      </c>
      <c r="H100" s="207">
        <f t="shared" si="76"/>
        <v>2.4650803199999998E-2</v>
      </c>
      <c r="I100" s="10">
        <f t="shared" si="76"/>
        <v>4.7033513041302898E-2</v>
      </c>
      <c r="J100" s="207">
        <f t="shared" si="76"/>
        <v>1.5932574684939246E-2</v>
      </c>
      <c r="K100" s="10">
        <f t="shared" si="76"/>
        <v>3.0400442641419188E-2</v>
      </c>
      <c r="L100" s="207">
        <f t="shared" si="76"/>
        <v>0</v>
      </c>
      <c r="M100" s="10">
        <f t="shared" si="76"/>
        <v>0</v>
      </c>
      <c r="N100" s="207">
        <f t="shared" si="76"/>
        <v>0.37733288177425478</v>
      </c>
      <c r="O100" s="10">
        <f t="shared" si="76"/>
        <v>0.71988564222282825</v>
      </c>
      <c r="P100" s="207">
        <f t="shared" si="76"/>
        <v>0.12840036320000001</v>
      </c>
      <c r="Q100" s="10">
        <f t="shared" si="76"/>
        <v>0.24499886826247386</v>
      </c>
      <c r="R100" s="207">
        <f t="shared" si="76"/>
        <v>3.9674983502518246E-2</v>
      </c>
      <c r="S100" s="10">
        <f t="shared" si="76"/>
        <v>7.5705998127598428E-2</v>
      </c>
      <c r="T100" s="207">
        <f t="shared" si="76"/>
        <v>5.4461609756818801E-3</v>
      </c>
      <c r="U100" s="10">
        <f t="shared" si="76"/>
        <v>1.0392106394944155E-2</v>
      </c>
      <c r="V100" s="207">
        <f t="shared" ref="V100:W100" si="77">V73*(V104+V106)</f>
        <v>0.13653058732584267</v>
      </c>
      <c r="W100" s="208">
        <f t="shared" si="77"/>
        <v>0.26048872359274922</v>
      </c>
      <c r="X100" s="207">
        <f t="shared" si="76"/>
        <v>0.13653058732584267</v>
      </c>
      <c r="Y100" s="208">
        <f t="shared" si="76"/>
        <v>0.26048872359274922</v>
      </c>
    </row>
    <row r="101" spans="1:27" x14ac:dyDescent="0.3">
      <c r="A101" s="239" t="s">
        <v>168</v>
      </c>
      <c r="B101" s="207">
        <f t="shared" ref="B101:Y101" si="78">B74*(B103+B105)</f>
        <v>28.687127591655504</v>
      </c>
      <c r="C101" s="10">
        <f t="shared" si="78"/>
        <v>54.735039444878701</v>
      </c>
      <c r="D101" s="207">
        <f t="shared" si="78"/>
        <v>9.2988747215558956</v>
      </c>
      <c r="E101" s="10">
        <f t="shared" si="78"/>
        <v>17.742623637487981</v>
      </c>
      <c r="F101" s="207">
        <f t="shared" si="78"/>
        <v>18.988084462099348</v>
      </c>
      <c r="G101" s="10">
        <f t="shared" si="78"/>
        <v>36.22666730274738</v>
      </c>
      <c r="H101" s="207">
        <f t="shared" si="78"/>
        <v>0</v>
      </c>
      <c r="I101" s="10">
        <f t="shared" si="78"/>
        <v>0</v>
      </c>
      <c r="J101" s="207">
        <f t="shared" si="78"/>
        <v>50.727124993221103</v>
      </c>
      <c r="K101" s="10">
        <f t="shared" si="78"/>
        <v>96.790825350924749</v>
      </c>
      <c r="L101" s="207">
        <f t="shared" si="78"/>
        <v>47.464368233240528</v>
      </c>
      <c r="M101" s="10">
        <f t="shared" si="78"/>
        <v>90.561718349320316</v>
      </c>
      <c r="N101" s="207">
        <f t="shared" si="78"/>
        <v>0</v>
      </c>
      <c r="O101" s="10">
        <f t="shared" si="78"/>
        <v>0</v>
      </c>
      <c r="P101" s="207">
        <f t="shared" si="78"/>
        <v>0</v>
      </c>
      <c r="Q101" s="10">
        <f t="shared" si="78"/>
        <v>0</v>
      </c>
      <c r="R101" s="207">
        <f t="shared" si="78"/>
        <v>0</v>
      </c>
      <c r="S101" s="10">
        <f t="shared" si="78"/>
        <v>0</v>
      </c>
      <c r="T101" s="207">
        <f t="shared" si="78"/>
        <v>7.4474299409921931</v>
      </c>
      <c r="U101" s="10">
        <f t="shared" si="78"/>
        <v>14.21083303656728</v>
      </c>
      <c r="V101" s="207">
        <f t="shared" ref="V101:W101" si="79">V74*(V103+V105)</f>
        <v>15.098552089887638</v>
      </c>
      <c r="W101" s="208">
        <f t="shared" si="79"/>
        <v>28.806750480073735</v>
      </c>
      <c r="X101" s="207">
        <f t="shared" si="78"/>
        <v>15.098552089887638</v>
      </c>
      <c r="Y101" s="208">
        <f t="shared" si="78"/>
        <v>28.806750480073735</v>
      </c>
      <c r="AA101" s="88" t="s">
        <v>182</v>
      </c>
    </row>
    <row r="102" spans="1:27" x14ac:dyDescent="0.3">
      <c r="A102" s="234"/>
      <c r="B102" s="195"/>
      <c r="D102" s="195"/>
      <c r="F102" s="195"/>
      <c r="H102" s="195"/>
      <c r="J102" s="195"/>
      <c r="L102" s="195"/>
      <c r="N102" s="195"/>
      <c r="P102" s="195"/>
      <c r="R102" s="195"/>
      <c r="T102" s="195"/>
      <c r="V102" s="195"/>
      <c r="W102" s="196"/>
      <c r="X102" s="195"/>
      <c r="Y102" s="196"/>
    </row>
    <row r="103" spans="1:27" x14ac:dyDescent="0.3">
      <c r="A103" s="242" t="s">
        <v>204</v>
      </c>
      <c r="B103" s="215">
        <v>0.01</v>
      </c>
      <c r="C103" s="14">
        <v>0.01</v>
      </c>
      <c r="D103" s="215">
        <v>0.01</v>
      </c>
      <c r="E103" s="14">
        <v>0.01</v>
      </c>
      <c r="F103" s="215">
        <v>0.01</v>
      </c>
      <c r="G103" s="14">
        <v>0.01</v>
      </c>
      <c r="H103" s="215">
        <v>0.01</v>
      </c>
      <c r="I103" s="14">
        <v>0.01</v>
      </c>
      <c r="J103" s="215">
        <v>0.01</v>
      </c>
      <c r="K103" s="14">
        <v>0.01</v>
      </c>
      <c r="L103" s="215">
        <v>0.01</v>
      </c>
      <c r="M103" s="14">
        <v>0.01</v>
      </c>
      <c r="N103" s="215">
        <v>0.01</v>
      </c>
      <c r="O103" s="14">
        <v>0.01</v>
      </c>
      <c r="P103" s="215">
        <v>0.01</v>
      </c>
      <c r="Q103" s="14">
        <v>0.01</v>
      </c>
      <c r="R103" s="215">
        <v>0.01</v>
      </c>
      <c r="S103" s="14">
        <v>0.01</v>
      </c>
      <c r="T103" s="215">
        <v>0.01</v>
      </c>
      <c r="U103" s="14">
        <v>0.01</v>
      </c>
      <c r="V103" s="215">
        <v>0.01</v>
      </c>
      <c r="W103" s="216">
        <v>0.01</v>
      </c>
      <c r="X103" s="215">
        <v>0.01</v>
      </c>
      <c r="Y103" s="216">
        <v>0.01</v>
      </c>
      <c r="AA103" s="182" t="s">
        <v>205</v>
      </c>
    </row>
    <row r="104" spans="1:27" x14ac:dyDescent="0.3">
      <c r="A104" s="242" t="s">
        <v>206</v>
      </c>
      <c r="B104" s="223">
        <v>1E-4</v>
      </c>
      <c r="C104" s="142">
        <v>1E-4</v>
      </c>
      <c r="D104" s="223">
        <v>1E-4</v>
      </c>
      <c r="E104" s="142">
        <v>1E-4</v>
      </c>
      <c r="F104" s="223">
        <v>1E-4</v>
      </c>
      <c r="G104" s="142">
        <v>1E-4</v>
      </c>
      <c r="H104" s="223">
        <v>1E-4</v>
      </c>
      <c r="I104" s="142">
        <v>1E-4</v>
      </c>
      <c r="J104" s="223">
        <v>1E-4</v>
      </c>
      <c r="K104" s="142">
        <v>1E-4</v>
      </c>
      <c r="L104" s="223">
        <v>1E-4</v>
      </c>
      <c r="M104" s="142">
        <v>1E-4</v>
      </c>
      <c r="N104" s="223">
        <v>1E-4</v>
      </c>
      <c r="O104" s="142">
        <v>1E-4</v>
      </c>
      <c r="P104" s="223">
        <v>1E-4</v>
      </c>
      <c r="Q104" s="142">
        <v>1E-4</v>
      </c>
      <c r="R104" s="223">
        <v>1E-4</v>
      </c>
      <c r="S104" s="142">
        <v>1E-4</v>
      </c>
      <c r="T104" s="223">
        <v>1E-4</v>
      </c>
      <c r="U104" s="142">
        <v>1E-4</v>
      </c>
      <c r="V104" s="223">
        <v>1E-4</v>
      </c>
      <c r="W104" s="224">
        <v>1E-4</v>
      </c>
      <c r="X104" s="223">
        <v>1E-4</v>
      </c>
      <c r="Y104" s="224">
        <v>1E-4</v>
      </c>
      <c r="AA104" s="182" t="s">
        <v>205</v>
      </c>
    </row>
    <row r="105" spans="1:27" x14ac:dyDescent="0.3">
      <c r="A105" s="242" t="s">
        <v>207</v>
      </c>
      <c r="B105" s="201">
        <v>0.3</v>
      </c>
      <c r="C105" s="12">
        <v>0.3</v>
      </c>
      <c r="D105" s="201">
        <v>0.3</v>
      </c>
      <c r="E105" s="12">
        <v>0.3</v>
      </c>
      <c r="F105" s="201">
        <v>0.3</v>
      </c>
      <c r="G105" s="12">
        <v>0.3</v>
      </c>
      <c r="H105" s="201">
        <v>0.3</v>
      </c>
      <c r="I105" s="12">
        <v>0.3</v>
      </c>
      <c r="J105" s="201">
        <v>0.3</v>
      </c>
      <c r="K105" s="12">
        <v>0.3</v>
      </c>
      <c r="L105" s="201">
        <v>0.3</v>
      </c>
      <c r="M105" s="12">
        <v>0.3</v>
      </c>
      <c r="N105" s="201">
        <v>0.3</v>
      </c>
      <c r="O105" s="12">
        <v>0.3</v>
      </c>
      <c r="P105" s="201">
        <v>0.3</v>
      </c>
      <c r="Q105" s="12">
        <v>0.3</v>
      </c>
      <c r="R105" s="201">
        <v>0.3</v>
      </c>
      <c r="S105" s="12">
        <v>0.3</v>
      </c>
      <c r="T105" s="201">
        <v>0.3</v>
      </c>
      <c r="U105" s="12">
        <v>0.3</v>
      </c>
      <c r="V105" s="201">
        <v>0.3</v>
      </c>
      <c r="W105" s="202">
        <v>0.3</v>
      </c>
      <c r="X105" s="201">
        <v>0.3</v>
      </c>
      <c r="Y105" s="202">
        <v>0.3</v>
      </c>
      <c r="AA105" s="182" t="s">
        <v>205</v>
      </c>
    </row>
    <row r="106" spans="1:27" x14ac:dyDescent="0.3">
      <c r="A106" s="242" t="s">
        <v>208</v>
      </c>
      <c r="B106" s="201">
        <v>3.0000000000000001E-3</v>
      </c>
      <c r="C106" s="12">
        <v>3.0000000000000001E-3</v>
      </c>
      <c r="D106" s="201">
        <v>3.0000000000000001E-3</v>
      </c>
      <c r="E106" s="12">
        <v>3.0000000000000001E-3</v>
      </c>
      <c r="F106" s="201">
        <v>3.0000000000000001E-3</v>
      </c>
      <c r="G106" s="12">
        <v>3.0000000000000001E-3</v>
      </c>
      <c r="H106" s="201">
        <v>3.0000000000000001E-3</v>
      </c>
      <c r="I106" s="12">
        <v>3.0000000000000001E-3</v>
      </c>
      <c r="J106" s="201">
        <v>3.0000000000000001E-3</v>
      </c>
      <c r="K106" s="12">
        <v>3.0000000000000001E-3</v>
      </c>
      <c r="L106" s="201">
        <v>3.0000000000000001E-3</v>
      </c>
      <c r="M106" s="12">
        <v>3.0000000000000001E-3</v>
      </c>
      <c r="N106" s="201">
        <v>3.0000000000000001E-3</v>
      </c>
      <c r="O106" s="12">
        <v>3.0000000000000001E-3</v>
      </c>
      <c r="P106" s="201">
        <v>3.0000000000000001E-3</v>
      </c>
      <c r="Q106" s="12">
        <v>3.0000000000000001E-3</v>
      </c>
      <c r="R106" s="201">
        <v>3.0000000000000001E-3</v>
      </c>
      <c r="S106" s="12">
        <v>3.0000000000000001E-3</v>
      </c>
      <c r="T106" s="201">
        <v>3.0000000000000001E-3</v>
      </c>
      <c r="U106" s="12">
        <v>3.0000000000000001E-3</v>
      </c>
      <c r="V106" s="201">
        <v>3.0000000000000001E-3</v>
      </c>
      <c r="W106" s="202">
        <v>3.0000000000000001E-3</v>
      </c>
      <c r="X106" s="201">
        <v>3.0000000000000001E-3</v>
      </c>
      <c r="Y106" s="202">
        <v>3.0000000000000001E-3</v>
      </c>
      <c r="AA106" s="182" t="s">
        <v>205</v>
      </c>
    </row>
    <row r="107" spans="1:27" x14ac:dyDescent="0.3">
      <c r="A107" s="234"/>
      <c r="B107" s="195"/>
      <c r="D107" s="195"/>
      <c r="F107" s="195"/>
      <c r="H107" s="195"/>
      <c r="J107" s="195"/>
      <c r="L107" s="195"/>
      <c r="N107" s="195"/>
      <c r="P107" s="195"/>
      <c r="R107" s="195"/>
      <c r="T107" s="195"/>
      <c r="V107" s="195"/>
      <c r="W107" s="196"/>
      <c r="X107" s="195"/>
      <c r="Y107" s="196"/>
    </row>
    <row r="108" spans="1:27" x14ac:dyDescent="0.3">
      <c r="A108" s="241" t="s">
        <v>209</v>
      </c>
      <c r="B108" s="203"/>
      <c r="C108" s="109"/>
      <c r="D108" s="203"/>
      <c r="E108" s="109"/>
      <c r="F108" s="203"/>
      <c r="G108" s="109"/>
      <c r="H108" s="203"/>
      <c r="I108" s="109"/>
      <c r="J108" s="203"/>
      <c r="K108" s="109"/>
      <c r="L108" s="203"/>
      <c r="M108" s="109"/>
      <c r="N108" s="203"/>
      <c r="O108" s="109"/>
      <c r="P108" s="203"/>
      <c r="Q108" s="109"/>
      <c r="R108" s="203"/>
      <c r="S108" s="109"/>
      <c r="T108" s="203"/>
      <c r="U108" s="109"/>
      <c r="V108" s="203"/>
      <c r="W108" s="204"/>
      <c r="X108" s="203"/>
      <c r="Y108" s="204"/>
    </row>
    <row r="109" spans="1:27" x14ac:dyDescent="0.3">
      <c r="A109" s="239" t="s">
        <v>166</v>
      </c>
      <c r="B109" s="212">
        <f t="shared" ref="B109:Y109" si="80">B72-B79-B89-B99</f>
        <v>0.2489259865729857</v>
      </c>
      <c r="C109" s="5">
        <f t="shared" si="80"/>
        <v>0.47495078238125649</v>
      </c>
      <c r="D109" s="212">
        <f t="shared" si="80"/>
        <v>39.191382592368569</v>
      </c>
      <c r="E109" s="5">
        <f t="shared" si="80"/>
        <v>74.778720220552188</v>
      </c>
      <c r="F109" s="212">
        <f t="shared" si="80"/>
        <v>11.815502249559719</v>
      </c>
      <c r="G109" s="5">
        <f t="shared" si="80"/>
        <v>22.542361756607594</v>
      </c>
      <c r="H109" s="212">
        <f t="shared" si="80"/>
        <v>66.077491199999997</v>
      </c>
      <c r="I109" s="5">
        <f t="shared" si="80"/>
        <v>126.07526492653099</v>
      </c>
      <c r="J109" s="212">
        <f t="shared" si="80"/>
        <v>16.813476087149088</v>
      </c>
      <c r="K109" s="5">
        <f t="shared" si="80"/>
        <v>32.081262790088601</v>
      </c>
      <c r="L109" s="212">
        <f t="shared" si="80"/>
        <v>0</v>
      </c>
      <c r="M109" s="5">
        <f t="shared" si="80"/>
        <v>0</v>
      </c>
      <c r="N109" s="212">
        <f t="shared" si="80"/>
        <v>50.221476385220846</v>
      </c>
      <c r="O109" s="5">
        <f t="shared" si="80"/>
        <v>95.813859664058711</v>
      </c>
      <c r="P109" s="212">
        <f t="shared" si="80"/>
        <v>16.133552400000006</v>
      </c>
      <c r="Q109" s="5">
        <f t="shared" si="80"/>
        <v>30.784197026736436</v>
      </c>
      <c r="R109" s="212">
        <f t="shared" si="80"/>
        <v>81.654937496355771</v>
      </c>
      <c r="S109" s="5">
        <f t="shared" si="80"/>
        <v>155.81023606010845</v>
      </c>
      <c r="T109" s="212">
        <f t="shared" si="80"/>
        <v>29.567908275270142</v>
      </c>
      <c r="U109" s="5">
        <f t="shared" si="80"/>
        <v>56.420081970508647</v>
      </c>
      <c r="V109" s="212">
        <f t="shared" ref="V109:W109" si="81">V72-V79-V89-V99</f>
        <v>41.619916800000013</v>
      </c>
      <c r="W109" s="213">
        <f t="shared" si="81"/>
        <v>14.790752080233458</v>
      </c>
      <c r="X109" s="212">
        <f t="shared" si="80"/>
        <v>41.619916800000013</v>
      </c>
      <c r="Y109" s="213">
        <f t="shared" si="80"/>
        <v>14.790752080233458</v>
      </c>
    </row>
    <row r="110" spans="1:27" x14ac:dyDescent="0.3">
      <c r="A110" s="239" t="s">
        <v>167</v>
      </c>
      <c r="B110" s="212">
        <f t="shared" ref="B110:Y110" si="82">B73-B80-B90-B100</f>
        <v>48.427575549523546</v>
      </c>
      <c r="C110" s="5">
        <f t="shared" si="82"/>
        <v>92.399814148490947</v>
      </c>
      <c r="D110" s="212">
        <f t="shared" si="82"/>
        <v>5.9789857853129451</v>
      </c>
      <c r="E110" s="5">
        <f t="shared" si="82"/>
        <v>11.408143210789296</v>
      </c>
      <c r="F110" s="212">
        <f t="shared" si="82"/>
        <v>59.558971111104064</v>
      </c>
      <c r="G110" s="5">
        <f t="shared" si="82"/>
        <v>113.63036833139088</v>
      </c>
      <c r="H110" s="212">
        <f t="shared" si="82"/>
        <v>5.859734476799999</v>
      </c>
      <c r="I110" s="5">
        <f t="shared" si="82"/>
        <v>11.180321212947131</v>
      </c>
      <c r="J110" s="212">
        <f t="shared" si="82"/>
        <v>3.7873271888166875</v>
      </c>
      <c r="K110" s="5">
        <f t="shared" si="82"/>
        <v>7.2264794136973549</v>
      </c>
      <c r="L110" s="212">
        <f t="shared" si="82"/>
        <v>0</v>
      </c>
      <c r="M110" s="5">
        <f t="shared" si="82"/>
        <v>0</v>
      </c>
      <c r="N110" s="212">
        <f t="shared" si="82"/>
        <v>89.695677606273676</v>
      </c>
      <c r="O110" s="5">
        <f t="shared" si="82"/>
        <v>171.12378379161362</v>
      </c>
      <c r="P110" s="212">
        <f t="shared" si="82"/>
        <v>30.522008916800001</v>
      </c>
      <c r="Q110" s="5">
        <f t="shared" si="82"/>
        <v>58.238601942779674</v>
      </c>
      <c r="R110" s="212">
        <f t="shared" si="82"/>
        <v>9.431127530001838</v>
      </c>
      <c r="S110" s="5">
        <f t="shared" si="82"/>
        <v>17.996048393621702</v>
      </c>
      <c r="T110" s="212">
        <f t="shared" si="82"/>
        <v>1.2946051687032183</v>
      </c>
      <c r="U110" s="5">
        <f t="shared" si="82"/>
        <v>2.4703042588497897</v>
      </c>
      <c r="V110" s="212">
        <f t="shared" ref="V110:W110" si="83">V73-V80-V90-V100</f>
        <v>32.45464187110111</v>
      </c>
      <c r="W110" s="213">
        <f t="shared" si="83"/>
        <v>61.920690456611901</v>
      </c>
      <c r="X110" s="212">
        <f t="shared" si="82"/>
        <v>32.45464187110111</v>
      </c>
      <c r="Y110" s="213">
        <f t="shared" si="82"/>
        <v>61.920690456611901</v>
      </c>
    </row>
    <row r="111" spans="1:27" x14ac:dyDescent="0.3">
      <c r="A111" s="239" t="s">
        <v>168</v>
      </c>
      <c r="B111" s="212">
        <f t="shared" ref="B111:Y111" si="84">B74-B81-B91-B101</f>
        <v>32.388692442191697</v>
      </c>
      <c r="C111" s="5">
        <f t="shared" si="84"/>
        <v>61.797625179701761</v>
      </c>
      <c r="D111" s="212">
        <f t="shared" si="84"/>
        <v>10.498729524337302</v>
      </c>
      <c r="E111" s="5">
        <f t="shared" si="84"/>
        <v>20.031994429421921</v>
      </c>
      <c r="F111" s="212">
        <f t="shared" si="84"/>
        <v>21.438159876563777</v>
      </c>
      <c r="G111" s="5">
        <f t="shared" si="84"/>
        <v>40.901075986972849</v>
      </c>
      <c r="H111" s="212">
        <f t="shared" si="84"/>
        <v>0</v>
      </c>
      <c r="I111" s="213">
        <f t="shared" si="84"/>
        <v>0</v>
      </c>
      <c r="J111" s="212">
        <f t="shared" si="84"/>
        <v>57.272560476217357</v>
      </c>
      <c r="K111" s="5">
        <f t="shared" si="84"/>
        <v>109.27996410588277</v>
      </c>
      <c r="L111" s="212">
        <f t="shared" si="84"/>
        <v>53.588802843981249</v>
      </c>
      <c r="M111" s="5">
        <f t="shared" si="84"/>
        <v>102.24710136213584</v>
      </c>
      <c r="N111" s="212">
        <f t="shared" si="84"/>
        <v>0</v>
      </c>
      <c r="O111" s="5">
        <f t="shared" si="84"/>
        <v>0</v>
      </c>
      <c r="P111" s="212">
        <f t="shared" si="84"/>
        <v>0</v>
      </c>
      <c r="Q111" s="5">
        <f t="shared" si="84"/>
        <v>0</v>
      </c>
      <c r="R111" s="212">
        <f t="shared" si="84"/>
        <v>0</v>
      </c>
      <c r="S111" s="5">
        <f t="shared" si="84"/>
        <v>0</v>
      </c>
      <c r="T111" s="212">
        <f t="shared" si="84"/>
        <v>8.4083886430557016</v>
      </c>
      <c r="U111" s="5">
        <f t="shared" si="84"/>
        <v>16.044488912253382</v>
      </c>
      <c r="V111" s="212">
        <f t="shared" ref="V111:W111" si="85">V74-V81-V91-V101</f>
        <v>17.04675235955056</v>
      </c>
      <c r="W111" s="213">
        <f t="shared" si="85"/>
        <v>32.523750542018732</v>
      </c>
      <c r="X111" s="212">
        <f t="shared" si="84"/>
        <v>17.04675235955056</v>
      </c>
      <c r="Y111" s="213">
        <f t="shared" si="84"/>
        <v>32.523750542018732</v>
      </c>
    </row>
    <row r="112" spans="1:27" x14ac:dyDescent="0.3">
      <c r="A112" s="234"/>
      <c r="B112" s="212"/>
      <c r="C112" s="5"/>
      <c r="D112" s="212"/>
      <c r="E112" s="5"/>
      <c r="F112" s="212"/>
      <c r="G112" s="5"/>
      <c r="H112" s="212"/>
      <c r="I112" s="5"/>
      <c r="J112" s="212"/>
      <c r="K112" s="5"/>
      <c r="L112" s="212"/>
      <c r="M112" s="5"/>
      <c r="N112" s="212"/>
      <c r="O112" s="5"/>
      <c r="P112" s="212"/>
      <c r="Q112" s="5"/>
      <c r="R112" s="212"/>
      <c r="S112" s="5"/>
      <c r="T112" s="212"/>
      <c r="U112" s="5"/>
      <c r="V112" s="212"/>
      <c r="W112" s="213"/>
      <c r="X112" s="212"/>
      <c r="Y112" s="213"/>
    </row>
    <row r="113" spans="1:27" x14ac:dyDescent="0.3">
      <c r="A113" s="244" t="s">
        <v>210</v>
      </c>
      <c r="B113" s="225"/>
      <c r="C113" s="226"/>
      <c r="D113" s="225"/>
      <c r="E113" s="226"/>
      <c r="F113" s="225"/>
      <c r="G113" s="226"/>
      <c r="H113" s="225"/>
      <c r="I113" s="226"/>
      <c r="J113" s="225"/>
      <c r="K113" s="226"/>
      <c r="L113" s="225"/>
      <c r="M113" s="226"/>
      <c r="N113" s="225"/>
      <c r="O113" s="226"/>
      <c r="P113" s="225"/>
      <c r="Q113" s="226"/>
      <c r="R113" s="225"/>
      <c r="S113" s="226"/>
      <c r="T113" s="225"/>
      <c r="U113" s="226"/>
      <c r="V113" s="225"/>
      <c r="W113" s="227"/>
      <c r="X113" s="225"/>
      <c r="Y113" s="227"/>
      <c r="AA113" s="170" t="s">
        <v>211</v>
      </c>
    </row>
    <row r="114" spans="1:27" x14ac:dyDescent="0.3">
      <c r="A114" s="239" t="s">
        <v>166</v>
      </c>
      <c r="B114" s="212">
        <f t="shared" ref="B114:Y114" si="86">B109*B120</f>
        <v>0.1692696708696303</v>
      </c>
      <c r="C114" s="5">
        <f t="shared" si="86"/>
        <v>0.32296653201925446</v>
      </c>
      <c r="D114" s="212">
        <f t="shared" si="86"/>
        <v>26.650140162810629</v>
      </c>
      <c r="E114" s="5">
        <f t="shared" si="86"/>
        <v>50.849529749975488</v>
      </c>
      <c r="F114" s="212">
        <f t="shared" si="86"/>
        <v>8.0345415297006095</v>
      </c>
      <c r="G114" s="5">
        <f t="shared" si="86"/>
        <v>15.328805994493164</v>
      </c>
      <c r="H114" s="212">
        <f t="shared" si="86"/>
        <v>44.932694015999999</v>
      </c>
      <c r="I114" s="5">
        <f t="shared" si="86"/>
        <v>85.731180150041084</v>
      </c>
      <c r="J114" s="212">
        <f t="shared" si="86"/>
        <v>11.43316373926138</v>
      </c>
      <c r="K114" s="5">
        <f t="shared" si="86"/>
        <v>21.815258697260251</v>
      </c>
      <c r="L114" s="212">
        <f t="shared" si="86"/>
        <v>0</v>
      </c>
      <c r="M114" s="5">
        <f t="shared" si="86"/>
        <v>0</v>
      </c>
      <c r="N114" s="212">
        <f t="shared" si="86"/>
        <v>34.15060394195018</v>
      </c>
      <c r="O114" s="5">
        <f t="shared" si="86"/>
        <v>65.153424571559924</v>
      </c>
      <c r="P114" s="212">
        <f t="shared" si="86"/>
        <v>10.970815632000004</v>
      </c>
      <c r="Q114" s="5">
        <f t="shared" si="86"/>
        <v>20.93325397818078</v>
      </c>
      <c r="R114" s="212">
        <f t="shared" si="86"/>
        <v>55.525357497521931</v>
      </c>
      <c r="S114" s="5">
        <f t="shared" si="86"/>
        <v>105.95096052087375</v>
      </c>
      <c r="T114" s="212">
        <f t="shared" si="86"/>
        <v>20.106177627183698</v>
      </c>
      <c r="U114" s="5">
        <f t="shared" si="86"/>
        <v>38.365655739945886</v>
      </c>
      <c r="V114" s="212">
        <f t="shared" ref="V114:W114" si="87">V109*V120</f>
        <v>28.301543424000009</v>
      </c>
      <c r="W114" s="213">
        <f t="shared" si="87"/>
        <v>10.057711414558753</v>
      </c>
      <c r="X114" s="212">
        <f t="shared" si="86"/>
        <v>28.301543424000009</v>
      </c>
      <c r="Y114" s="213">
        <f t="shared" si="86"/>
        <v>10.057711414558753</v>
      </c>
    </row>
    <row r="115" spans="1:27" x14ac:dyDescent="0.3">
      <c r="A115" s="239" t="s">
        <v>167</v>
      </c>
      <c r="B115" s="212">
        <f t="shared" ref="B115:Y115" si="88">B110*B121</f>
        <v>26.635166552237951</v>
      </c>
      <c r="C115" s="5">
        <f t="shared" si="88"/>
        <v>50.819897781670022</v>
      </c>
      <c r="D115" s="212">
        <f t="shared" si="88"/>
        <v>3.2884421819221199</v>
      </c>
      <c r="E115" s="5">
        <f t="shared" si="88"/>
        <v>6.2744787659341137</v>
      </c>
      <c r="F115" s="212">
        <f t="shared" si="88"/>
        <v>32.757434111107237</v>
      </c>
      <c r="G115" s="5">
        <f t="shared" si="88"/>
        <v>62.496702582264994</v>
      </c>
      <c r="H115" s="212">
        <f t="shared" si="88"/>
        <v>3.2228539622399999</v>
      </c>
      <c r="I115" s="5">
        <f t="shared" si="88"/>
        <v>6.1491766671209227</v>
      </c>
      <c r="J115" s="212">
        <f t="shared" si="88"/>
        <v>2.0830299538491781</v>
      </c>
      <c r="K115" s="5">
        <f t="shared" si="88"/>
        <v>3.9745636775335456</v>
      </c>
      <c r="L115" s="212">
        <f t="shared" si="88"/>
        <v>0</v>
      </c>
      <c r="M115" s="5">
        <f t="shared" si="88"/>
        <v>0</v>
      </c>
      <c r="N115" s="212">
        <f t="shared" si="88"/>
        <v>49.332622683450523</v>
      </c>
      <c r="O115" s="5">
        <f t="shared" si="88"/>
        <v>94.118081085387502</v>
      </c>
      <c r="P115" s="212">
        <f t="shared" si="88"/>
        <v>16.787104904240003</v>
      </c>
      <c r="Q115" s="5">
        <f t="shared" si="88"/>
        <v>32.031231068528825</v>
      </c>
      <c r="R115" s="212">
        <f t="shared" si="88"/>
        <v>5.1871201415010111</v>
      </c>
      <c r="S115" s="5">
        <f t="shared" si="88"/>
        <v>9.8978266164919368</v>
      </c>
      <c r="T115" s="212">
        <f t="shared" si="88"/>
        <v>0.71203284278677015</v>
      </c>
      <c r="U115" s="5">
        <f t="shared" si="88"/>
        <v>1.3586673423673845</v>
      </c>
      <c r="V115" s="212">
        <f t="shared" ref="V115:W115" si="89">V110*V121</f>
        <v>17.850053029105613</v>
      </c>
      <c r="W115" s="213">
        <f t="shared" si="89"/>
        <v>34.056379751136546</v>
      </c>
      <c r="X115" s="212">
        <f t="shared" si="88"/>
        <v>17.850053029105613</v>
      </c>
      <c r="Y115" s="213">
        <f t="shared" si="88"/>
        <v>34.056379751136546</v>
      </c>
    </row>
    <row r="116" spans="1:27" x14ac:dyDescent="0.3">
      <c r="A116" s="239" t="s">
        <v>168</v>
      </c>
      <c r="B116" s="212">
        <f t="shared" ref="B116:Y116" si="90">B111*B120</f>
        <v>22.024310860690356</v>
      </c>
      <c r="C116" s="5">
        <f t="shared" si="90"/>
        <v>42.0223851221972</v>
      </c>
      <c r="D116" s="212">
        <f t="shared" si="90"/>
        <v>7.1391360765493657</v>
      </c>
      <c r="E116" s="5">
        <f t="shared" si="90"/>
        <v>13.621756212006908</v>
      </c>
      <c r="F116" s="212">
        <f t="shared" si="90"/>
        <v>14.57794871606337</v>
      </c>
      <c r="G116" s="5">
        <f t="shared" si="90"/>
        <v>27.812731671141538</v>
      </c>
      <c r="H116" s="212">
        <f t="shared" si="90"/>
        <v>0</v>
      </c>
      <c r="I116" s="5">
        <f t="shared" si="90"/>
        <v>0</v>
      </c>
      <c r="J116" s="212">
        <f t="shared" si="90"/>
        <v>38.945341123827809</v>
      </c>
      <c r="K116" s="5">
        <f t="shared" si="90"/>
        <v>74.310375592000284</v>
      </c>
      <c r="L116" s="212">
        <f t="shared" si="90"/>
        <v>36.440385933907251</v>
      </c>
      <c r="M116" s="5">
        <f t="shared" si="90"/>
        <v>69.528028926252375</v>
      </c>
      <c r="N116" s="212">
        <f t="shared" si="90"/>
        <v>0</v>
      </c>
      <c r="O116" s="5">
        <f t="shared" si="90"/>
        <v>0</v>
      </c>
      <c r="P116" s="212">
        <f t="shared" si="90"/>
        <v>0</v>
      </c>
      <c r="Q116" s="5">
        <f t="shared" si="90"/>
        <v>0</v>
      </c>
      <c r="R116" s="212">
        <f t="shared" si="90"/>
        <v>0</v>
      </c>
      <c r="S116" s="5">
        <f t="shared" si="90"/>
        <v>0</v>
      </c>
      <c r="T116" s="212">
        <f t="shared" si="90"/>
        <v>5.7177042772778774</v>
      </c>
      <c r="U116" s="5">
        <f t="shared" si="90"/>
        <v>10.9102524603323</v>
      </c>
      <c r="V116" s="212">
        <f t="shared" ref="V116:W116" si="91">V111*V120</f>
        <v>11.591791604494382</v>
      </c>
      <c r="W116" s="213">
        <f t="shared" si="91"/>
        <v>22.11615036857274</v>
      </c>
      <c r="X116" s="212">
        <f t="shared" si="90"/>
        <v>11.591791604494382</v>
      </c>
      <c r="Y116" s="213">
        <f t="shared" si="90"/>
        <v>22.11615036857274</v>
      </c>
    </row>
    <row r="117" spans="1:27" x14ac:dyDescent="0.3">
      <c r="A117" s="239" t="s">
        <v>171</v>
      </c>
      <c r="B117" s="212"/>
      <c r="C117" s="5">
        <f>SUM(B114:C116)</f>
        <v>141.9939965196844</v>
      </c>
      <c r="D117" s="212"/>
      <c r="E117" s="5">
        <f>SUM(D114:E116)</f>
        <v>107.82348314919864</v>
      </c>
      <c r="F117" s="212"/>
      <c r="G117" s="5">
        <f>SUM(F114:G116)</f>
        <v>161.00816460477091</v>
      </c>
      <c r="H117" s="212"/>
      <c r="I117" s="5">
        <f>SUM(H114:I116)</f>
        <v>140.03590479540199</v>
      </c>
      <c r="J117" s="212"/>
      <c r="K117" s="5">
        <f>SUM(J114:K116)</f>
        <v>152.56173278373245</v>
      </c>
      <c r="L117" s="212"/>
      <c r="M117" s="5">
        <f>SUM(L114:M116)</f>
        <v>105.96841486015963</v>
      </c>
      <c r="N117" s="212"/>
      <c r="O117" s="5">
        <f>SUM(N114:O116)</f>
        <v>242.75473228234813</v>
      </c>
      <c r="P117" s="212"/>
      <c r="Q117" s="5">
        <f>SUM(P114:Q116)</f>
        <v>80.722405582949619</v>
      </c>
      <c r="R117" s="212"/>
      <c r="S117" s="5">
        <f>SUM(R114:S116)</f>
        <v>176.56126477638861</v>
      </c>
      <c r="T117" s="212"/>
      <c r="U117" s="5">
        <f>SUM(T114:U116)</f>
        <v>77.17049028989392</v>
      </c>
      <c r="V117" s="212"/>
      <c r="W117" s="213">
        <f>SUM(V114:W116)</f>
        <v>123.97362959186805</v>
      </c>
      <c r="X117" s="212"/>
      <c r="Y117" s="213">
        <f>SUM(X114:Y116)</f>
        <v>123.97362959186805</v>
      </c>
    </row>
    <row r="118" spans="1:27" x14ac:dyDescent="0.3">
      <c r="A118" s="239"/>
      <c r="B118" s="212"/>
      <c r="C118" s="5"/>
      <c r="D118" s="212"/>
      <c r="E118" s="5"/>
      <c r="F118" s="212"/>
      <c r="G118" s="5"/>
      <c r="H118" s="212"/>
      <c r="I118" s="5"/>
      <c r="J118" s="212"/>
      <c r="K118" s="5"/>
      <c r="L118" s="212"/>
      <c r="M118" s="5"/>
      <c r="N118" s="212"/>
      <c r="O118" s="5"/>
      <c r="P118" s="212"/>
      <c r="Q118" s="5"/>
      <c r="R118" s="212"/>
      <c r="S118" s="5"/>
      <c r="T118" s="212"/>
      <c r="U118" s="5"/>
      <c r="V118" s="212"/>
      <c r="W118" s="213"/>
      <c r="X118" s="212"/>
      <c r="Y118" s="213"/>
    </row>
    <row r="119" spans="1:27" x14ac:dyDescent="0.3">
      <c r="A119" s="234"/>
      <c r="B119" s="195"/>
      <c r="D119" s="195"/>
      <c r="F119" s="195"/>
      <c r="H119" s="195"/>
      <c r="J119" s="195"/>
      <c r="L119" s="195"/>
      <c r="N119" s="195"/>
      <c r="P119" s="195"/>
      <c r="R119" s="195"/>
      <c r="T119" s="195"/>
      <c r="V119" s="195"/>
      <c r="W119" s="196"/>
      <c r="X119" s="195"/>
      <c r="Y119" s="196"/>
    </row>
    <row r="120" spans="1:27" x14ac:dyDescent="0.3">
      <c r="A120" s="242" t="s">
        <v>212</v>
      </c>
      <c r="B120" s="215">
        <v>0.68</v>
      </c>
      <c r="C120" s="14">
        <v>0.68</v>
      </c>
      <c r="D120" s="215">
        <v>0.68</v>
      </c>
      <c r="E120" s="14">
        <v>0.68</v>
      </c>
      <c r="F120" s="215">
        <v>0.68</v>
      </c>
      <c r="G120" s="14">
        <v>0.68</v>
      </c>
      <c r="H120" s="215">
        <v>0.68</v>
      </c>
      <c r="I120" s="14">
        <v>0.68</v>
      </c>
      <c r="J120" s="215">
        <v>0.68</v>
      </c>
      <c r="K120" s="14">
        <v>0.68</v>
      </c>
      <c r="L120" s="215">
        <v>0.68</v>
      </c>
      <c r="M120" s="14">
        <v>0.68</v>
      </c>
      <c r="N120" s="215">
        <v>0.68</v>
      </c>
      <c r="O120" s="14">
        <v>0.68</v>
      </c>
      <c r="P120" s="215">
        <v>0.68</v>
      </c>
      <c r="Q120" s="14">
        <v>0.68</v>
      </c>
      <c r="R120" s="215">
        <v>0.68</v>
      </c>
      <c r="S120" s="14">
        <v>0.68</v>
      </c>
      <c r="T120" s="215">
        <v>0.68</v>
      </c>
      <c r="U120" s="14">
        <v>0.68</v>
      </c>
      <c r="V120" s="215">
        <v>0.68</v>
      </c>
      <c r="W120" s="216">
        <v>0.68</v>
      </c>
      <c r="X120" s="215">
        <v>0.68</v>
      </c>
      <c r="Y120" s="216">
        <v>0.68</v>
      </c>
      <c r="AA120" s="182" t="s">
        <v>177</v>
      </c>
    </row>
    <row r="121" spans="1:27" x14ac:dyDescent="0.3">
      <c r="A121" s="242" t="s">
        <v>213</v>
      </c>
      <c r="B121" s="215">
        <v>0.55000000000000004</v>
      </c>
      <c r="C121" s="14">
        <v>0.55000000000000004</v>
      </c>
      <c r="D121" s="215">
        <v>0.55000000000000004</v>
      </c>
      <c r="E121" s="14">
        <v>0.55000000000000004</v>
      </c>
      <c r="F121" s="215">
        <v>0.55000000000000004</v>
      </c>
      <c r="G121" s="14">
        <v>0.55000000000000004</v>
      </c>
      <c r="H121" s="215">
        <v>0.55000000000000004</v>
      </c>
      <c r="I121" s="14">
        <v>0.55000000000000004</v>
      </c>
      <c r="J121" s="215">
        <v>0.55000000000000004</v>
      </c>
      <c r="K121" s="14">
        <v>0.55000000000000004</v>
      </c>
      <c r="L121" s="215">
        <v>0.55000000000000004</v>
      </c>
      <c r="M121" s="14">
        <v>0.55000000000000004</v>
      </c>
      <c r="N121" s="215">
        <v>0.55000000000000004</v>
      </c>
      <c r="O121" s="14">
        <v>0.55000000000000004</v>
      </c>
      <c r="P121" s="215">
        <v>0.55000000000000004</v>
      </c>
      <c r="Q121" s="14">
        <v>0.55000000000000004</v>
      </c>
      <c r="R121" s="215">
        <v>0.55000000000000004</v>
      </c>
      <c r="S121" s="14">
        <v>0.55000000000000004</v>
      </c>
      <c r="T121" s="215">
        <v>0.55000000000000004</v>
      </c>
      <c r="U121" s="14">
        <v>0.55000000000000004</v>
      </c>
      <c r="V121" s="215">
        <v>0.55000000000000004</v>
      </c>
      <c r="W121" s="216">
        <v>0.55000000000000004</v>
      </c>
      <c r="X121" s="215">
        <v>0.55000000000000004</v>
      </c>
      <c r="Y121" s="216">
        <v>0.55000000000000004</v>
      </c>
      <c r="AA121" s="182" t="s">
        <v>177</v>
      </c>
    </row>
    <row r="122" spans="1:27" x14ac:dyDescent="0.3">
      <c r="A122" s="239" t="s">
        <v>214</v>
      </c>
      <c r="B122" s="201">
        <v>0.01</v>
      </c>
      <c r="D122" s="201">
        <v>0.01</v>
      </c>
      <c r="F122" s="201">
        <v>0.01</v>
      </c>
      <c r="H122" s="201">
        <v>0.01</v>
      </c>
      <c r="J122" s="201">
        <v>0.01</v>
      </c>
      <c r="L122" s="201">
        <v>0.01</v>
      </c>
      <c r="N122" s="201">
        <v>0.01</v>
      </c>
      <c r="P122" s="201">
        <v>0.01</v>
      </c>
      <c r="R122" s="201">
        <v>0.01</v>
      </c>
      <c r="T122" s="201">
        <v>0.01</v>
      </c>
      <c r="V122" s="201">
        <v>0.01</v>
      </c>
      <c r="W122" s="196"/>
      <c r="X122" s="201">
        <v>0.01</v>
      </c>
      <c r="Y122" s="196"/>
      <c r="AA122" s="182" t="s">
        <v>215</v>
      </c>
    </row>
    <row r="123" spans="1:27" x14ac:dyDescent="0.3">
      <c r="A123" s="234"/>
      <c r="B123" s="195"/>
      <c r="D123" s="195"/>
      <c r="F123" s="195"/>
      <c r="H123" s="195"/>
      <c r="J123" s="195"/>
      <c r="L123" s="195"/>
      <c r="N123" s="195"/>
      <c r="P123" s="195"/>
      <c r="R123" s="195"/>
      <c r="T123" s="195"/>
      <c r="V123" s="195"/>
      <c r="W123" s="196"/>
      <c r="X123" s="195"/>
      <c r="Y123" s="196"/>
    </row>
    <row r="124" spans="1:27" x14ac:dyDescent="0.3">
      <c r="A124" s="241" t="s">
        <v>216</v>
      </c>
      <c r="B124" s="203"/>
      <c r="C124" s="109"/>
      <c r="D124" s="203"/>
      <c r="E124" s="109"/>
      <c r="F124" s="203"/>
      <c r="G124" s="109"/>
      <c r="H124" s="203"/>
      <c r="I124" s="109"/>
      <c r="J124" s="203"/>
      <c r="K124" s="109"/>
      <c r="L124" s="203"/>
      <c r="M124" s="109"/>
      <c r="N124" s="203"/>
      <c r="O124" s="109"/>
      <c r="P124" s="203"/>
      <c r="Q124" s="109"/>
      <c r="R124" s="203"/>
      <c r="S124" s="109"/>
      <c r="T124" s="203"/>
      <c r="U124" s="109"/>
      <c r="V124" s="203"/>
      <c r="W124" s="204"/>
      <c r="X124" s="203"/>
      <c r="Y124" s="204"/>
      <c r="AA124" s="369" t="s">
        <v>503</v>
      </c>
    </row>
    <row r="125" spans="1:27" x14ac:dyDescent="0.3">
      <c r="A125" s="239" t="s">
        <v>166</v>
      </c>
      <c r="B125" s="212">
        <f t="shared" ref="B125:Y125" si="92">B109-B114</f>
        <v>7.9656315703355407E-2</v>
      </c>
      <c r="C125" s="5">
        <f t="shared" si="92"/>
        <v>0.15198425036200203</v>
      </c>
      <c r="D125" s="212">
        <f t="shared" si="92"/>
        <v>12.54124242955794</v>
      </c>
      <c r="E125" s="5">
        <f t="shared" si="92"/>
        <v>23.9291904705767</v>
      </c>
      <c r="F125" s="212">
        <f t="shared" si="92"/>
        <v>3.7809607198591095</v>
      </c>
      <c r="G125" s="5">
        <f t="shared" si="92"/>
        <v>7.2135557621144297</v>
      </c>
      <c r="H125" s="212">
        <f t="shared" si="92"/>
        <v>21.144797183999998</v>
      </c>
      <c r="I125" s="5">
        <f t="shared" si="92"/>
        <v>40.344084776489908</v>
      </c>
      <c r="J125" s="212">
        <f t="shared" si="92"/>
        <v>5.380312347887708</v>
      </c>
      <c r="K125" s="5">
        <f t="shared" si="92"/>
        <v>10.26600409282835</v>
      </c>
      <c r="L125" s="212">
        <f t="shared" si="92"/>
        <v>0</v>
      </c>
      <c r="M125" s="5">
        <f t="shared" si="92"/>
        <v>0</v>
      </c>
      <c r="N125" s="212">
        <f t="shared" si="92"/>
        <v>16.070872443270666</v>
      </c>
      <c r="O125" s="5">
        <f t="shared" si="92"/>
        <v>30.660435092498787</v>
      </c>
      <c r="P125" s="212">
        <f t="shared" si="92"/>
        <v>5.162736768000002</v>
      </c>
      <c r="Q125" s="5">
        <f t="shared" si="92"/>
        <v>9.8509430485556564</v>
      </c>
      <c r="R125" s="212">
        <f t="shared" si="92"/>
        <v>26.12957999883384</v>
      </c>
      <c r="S125" s="5">
        <f t="shared" si="92"/>
        <v>49.859275539234702</v>
      </c>
      <c r="T125" s="212">
        <f t="shared" si="92"/>
        <v>9.4617306480864443</v>
      </c>
      <c r="U125" s="5">
        <f t="shared" si="92"/>
        <v>18.054426230562761</v>
      </c>
      <c r="V125" s="212">
        <f t="shared" ref="V125:W125" si="93">V109-V114</f>
        <v>13.318373376000004</v>
      </c>
      <c r="W125" s="213">
        <f t="shared" si="93"/>
        <v>4.7330406656747055</v>
      </c>
      <c r="X125" s="212">
        <f t="shared" si="92"/>
        <v>13.318373376000004</v>
      </c>
      <c r="Y125" s="213">
        <f t="shared" si="92"/>
        <v>4.7330406656747055</v>
      </c>
    </row>
    <row r="126" spans="1:27" x14ac:dyDescent="0.3">
      <c r="A126" s="239" t="s">
        <v>167</v>
      </c>
      <c r="B126" s="212">
        <f t="shared" ref="B126:Y126" si="94">B110-B115</f>
        <v>21.792408997285595</v>
      </c>
      <c r="C126" s="5">
        <f t="shared" si="94"/>
        <v>41.579916366820925</v>
      </c>
      <c r="D126" s="212">
        <f t="shared" si="94"/>
        <v>2.6905436033908252</v>
      </c>
      <c r="E126" s="5">
        <f t="shared" si="94"/>
        <v>5.1336644448551825</v>
      </c>
      <c r="F126" s="212">
        <f t="shared" si="94"/>
        <v>26.801536999996827</v>
      </c>
      <c r="G126" s="5">
        <f t="shared" si="94"/>
        <v>51.133665749125889</v>
      </c>
      <c r="H126" s="212">
        <f t="shared" si="94"/>
        <v>2.6368805145599992</v>
      </c>
      <c r="I126" s="5">
        <f t="shared" si="94"/>
        <v>5.0311445458262085</v>
      </c>
      <c r="J126" s="212">
        <f t="shared" si="94"/>
        <v>1.7042972349675094</v>
      </c>
      <c r="K126" s="5">
        <f t="shared" si="94"/>
        <v>3.2519157361638094</v>
      </c>
      <c r="L126" s="212">
        <f t="shared" si="94"/>
        <v>0</v>
      </c>
      <c r="M126" s="5">
        <f t="shared" si="94"/>
        <v>0</v>
      </c>
      <c r="N126" s="212">
        <f t="shared" si="94"/>
        <v>40.363054922823153</v>
      </c>
      <c r="O126" s="5">
        <f t="shared" si="94"/>
        <v>77.005702706226117</v>
      </c>
      <c r="P126" s="212">
        <f t="shared" si="94"/>
        <v>13.734904012559998</v>
      </c>
      <c r="Q126" s="5">
        <f t="shared" si="94"/>
        <v>26.207370874250849</v>
      </c>
      <c r="R126" s="212">
        <f t="shared" si="94"/>
        <v>4.2440073885008269</v>
      </c>
      <c r="S126" s="5">
        <f t="shared" si="94"/>
        <v>8.0982217771297655</v>
      </c>
      <c r="T126" s="212">
        <f t="shared" si="94"/>
        <v>0.58257232591644814</v>
      </c>
      <c r="U126" s="5">
        <f t="shared" si="94"/>
        <v>1.1116369164824051</v>
      </c>
      <c r="V126" s="212">
        <f t="shared" ref="V126:W126" si="95">V110-V115</f>
        <v>14.604588841995497</v>
      </c>
      <c r="W126" s="213">
        <f t="shared" si="95"/>
        <v>27.864310705475354</v>
      </c>
      <c r="X126" s="212">
        <f t="shared" si="94"/>
        <v>14.604588841995497</v>
      </c>
      <c r="Y126" s="213">
        <f t="shared" si="94"/>
        <v>27.864310705475354</v>
      </c>
    </row>
    <row r="127" spans="1:27" x14ac:dyDescent="0.3">
      <c r="A127" s="239" t="s">
        <v>168</v>
      </c>
      <c r="B127" s="212">
        <f t="shared" ref="B127:Y127" si="96">B111-B116</f>
        <v>10.364381581501341</v>
      </c>
      <c r="C127" s="5">
        <f t="shared" si="96"/>
        <v>19.775240057504561</v>
      </c>
      <c r="D127" s="212">
        <f t="shared" si="96"/>
        <v>3.3595934477879359</v>
      </c>
      <c r="E127" s="5">
        <f t="shared" si="96"/>
        <v>6.4102382174150137</v>
      </c>
      <c r="F127" s="212">
        <f t="shared" si="96"/>
        <v>6.8602111605004072</v>
      </c>
      <c r="G127" s="5">
        <f t="shared" si="96"/>
        <v>13.088344315831311</v>
      </c>
      <c r="H127" s="212">
        <f t="shared" si="96"/>
        <v>0</v>
      </c>
      <c r="I127" s="5">
        <f t="shared" si="96"/>
        <v>0</v>
      </c>
      <c r="J127" s="212">
        <f t="shared" si="96"/>
        <v>18.327219352389548</v>
      </c>
      <c r="K127" s="5">
        <f t="shared" si="96"/>
        <v>34.969588513882485</v>
      </c>
      <c r="L127" s="212">
        <f t="shared" si="96"/>
        <v>17.148416910073998</v>
      </c>
      <c r="M127" s="5">
        <f t="shared" si="96"/>
        <v>32.719072435883461</v>
      </c>
      <c r="N127" s="212">
        <f t="shared" si="96"/>
        <v>0</v>
      </c>
      <c r="O127" s="5">
        <f t="shared" si="96"/>
        <v>0</v>
      </c>
      <c r="P127" s="212">
        <f t="shared" si="96"/>
        <v>0</v>
      </c>
      <c r="Q127" s="5">
        <f t="shared" si="96"/>
        <v>0</v>
      </c>
      <c r="R127" s="212">
        <f t="shared" si="96"/>
        <v>0</v>
      </c>
      <c r="S127" s="5">
        <f t="shared" si="96"/>
        <v>0</v>
      </c>
      <c r="T127" s="212">
        <f t="shared" si="96"/>
        <v>2.6906843657778241</v>
      </c>
      <c r="U127" s="5">
        <f t="shared" si="96"/>
        <v>5.1342364519210815</v>
      </c>
      <c r="V127" s="212">
        <f t="shared" ref="V127:W127" si="97">V111-V116</f>
        <v>5.4549607550561774</v>
      </c>
      <c r="W127" s="213">
        <f t="shared" si="97"/>
        <v>10.407600173445992</v>
      </c>
      <c r="X127" s="212">
        <f t="shared" si="96"/>
        <v>5.4549607550561774</v>
      </c>
      <c r="Y127" s="213">
        <f t="shared" si="96"/>
        <v>10.407600173445992</v>
      </c>
    </row>
    <row r="128" spans="1:27" x14ac:dyDescent="0.3">
      <c r="A128" s="243" t="s">
        <v>529</v>
      </c>
      <c r="B128" s="212"/>
      <c r="C128" s="5"/>
      <c r="D128" s="212"/>
      <c r="E128" s="5"/>
      <c r="F128" s="212"/>
      <c r="G128" s="5"/>
      <c r="H128" s="212"/>
      <c r="I128" s="5"/>
      <c r="J128" s="212"/>
      <c r="K128" s="5"/>
      <c r="L128" s="212"/>
      <c r="M128" s="5"/>
      <c r="N128" s="212"/>
      <c r="O128" s="5"/>
      <c r="P128" s="212"/>
      <c r="Q128" s="5"/>
      <c r="R128" s="212"/>
      <c r="S128" s="5"/>
      <c r="T128" s="212"/>
      <c r="U128" s="5"/>
      <c r="V128" s="212"/>
      <c r="W128" s="213"/>
      <c r="X128" s="212"/>
      <c r="Y128" s="213"/>
    </row>
    <row r="129" spans="1:27" x14ac:dyDescent="0.3">
      <c r="A129" s="241" t="s">
        <v>504</v>
      </c>
      <c r="B129" s="203"/>
      <c r="C129" s="109"/>
      <c r="D129" s="203"/>
      <c r="E129" s="109"/>
      <c r="F129" s="203"/>
      <c r="G129" s="109"/>
      <c r="H129" s="203"/>
      <c r="I129" s="109"/>
      <c r="J129" s="203"/>
      <c r="K129" s="109"/>
      <c r="L129" s="203"/>
      <c r="M129" s="109"/>
      <c r="N129" s="203"/>
      <c r="O129" s="109"/>
      <c r="P129" s="203"/>
      <c r="Q129" s="109"/>
      <c r="R129" s="203"/>
      <c r="S129" s="109"/>
      <c r="T129" s="203"/>
      <c r="U129" s="109"/>
      <c r="V129" s="203"/>
      <c r="W129" s="204"/>
      <c r="X129" s="203"/>
      <c r="Y129" s="204"/>
      <c r="AA129" s="369" t="s">
        <v>502</v>
      </c>
    </row>
    <row r="130" spans="1:27" x14ac:dyDescent="0.3">
      <c r="A130" s="370" t="s">
        <v>505</v>
      </c>
      <c r="B130" s="212">
        <f t="shared" ref="B130:Y130" si="98">B52*B133</f>
        <v>10.245674113870502</v>
      </c>
      <c r="C130" s="5">
        <f t="shared" si="98"/>
        <v>19.548746209264916</v>
      </c>
      <c r="D130" s="212">
        <f t="shared" si="98"/>
        <v>27.413109014004299</v>
      </c>
      <c r="E130" s="5">
        <f t="shared" si="98"/>
        <v>52.305304731272457</v>
      </c>
      <c r="F130" s="212">
        <f t="shared" si="98"/>
        <v>8.6376044386402757</v>
      </c>
      <c r="G130" s="5">
        <f t="shared" si="98"/>
        <v>16.479367516820041</v>
      </c>
      <c r="H130" s="212">
        <f t="shared" si="98"/>
        <v>14.813568000000002</v>
      </c>
      <c r="I130" s="5">
        <f t="shared" si="98"/>
        <v>28.264155859888067</v>
      </c>
      <c r="J130" s="212">
        <f t="shared" si="98"/>
        <v>11.077073749897483</v>
      </c>
      <c r="K130" s="5">
        <f t="shared" si="98"/>
        <v>21.135814633076837</v>
      </c>
      <c r="L130" s="212">
        <f t="shared" si="98"/>
        <v>24.714920502616852</v>
      </c>
      <c r="M130" s="5">
        <f t="shared" si="98"/>
        <v>47.155914065581939</v>
      </c>
      <c r="N130" s="212">
        <f t="shared" si="98"/>
        <v>1.5162563450941062</v>
      </c>
      <c r="O130" s="5">
        <f t="shared" si="98"/>
        <v>2.8927539196425882</v>
      </c>
      <c r="P130" s="212">
        <f t="shared" si="98"/>
        <v>17.008824000000001</v>
      </c>
      <c r="Q130" s="5">
        <f t="shared" si="98"/>
        <v>32.454290055120374</v>
      </c>
      <c r="R130" s="212">
        <f t="shared" si="98"/>
        <v>5.1367853812030244</v>
      </c>
      <c r="S130" s="5">
        <f t="shared" si="98"/>
        <v>9.8017801173514751</v>
      </c>
      <c r="T130" s="212">
        <f t="shared" si="98"/>
        <v>31.44063955285494</v>
      </c>
      <c r="U130" s="5">
        <f t="shared" si="98"/>
        <v>59.993539085107493</v>
      </c>
      <c r="V130" s="212">
        <f t="shared" ref="V130:W130" si="99">V52*V133</f>
        <v>17.497775342465758</v>
      </c>
      <c r="W130" s="213">
        <f t="shared" si="99"/>
        <v>32.893692213964734</v>
      </c>
      <c r="X130" s="212">
        <f t="shared" si="98"/>
        <v>17.497775342465758</v>
      </c>
      <c r="Y130" s="213">
        <f t="shared" si="98"/>
        <v>32.893692213964734</v>
      </c>
    </row>
    <row r="131" spans="1:27" x14ac:dyDescent="0.3">
      <c r="A131" s="370"/>
      <c r="B131" s="212"/>
      <c r="C131" s="5">
        <f>SUM(B130:C130)</f>
        <v>29.794420323135419</v>
      </c>
      <c r="D131" s="212"/>
      <c r="E131" s="5">
        <f>SUM(D130:E130)</f>
        <v>79.718413745276763</v>
      </c>
      <c r="F131" s="212"/>
      <c r="G131" s="5">
        <f>SUM(F130:G130)</f>
        <v>25.116971955460315</v>
      </c>
      <c r="H131" s="212"/>
      <c r="I131" s="5">
        <f>SUM(H130:I130)</f>
        <v>43.077723859888067</v>
      </c>
      <c r="J131" s="212"/>
      <c r="K131" s="5">
        <f>SUM(J130:K130)</f>
        <v>32.21288838297432</v>
      </c>
      <c r="L131" s="212"/>
      <c r="M131" s="5">
        <f>SUM(L130:M130)</f>
        <v>71.870834568198788</v>
      </c>
      <c r="N131" s="212"/>
      <c r="O131" s="5">
        <f>SUM(N130:O130)</f>
        <v>4.4090102647366942</v>
      </c>
      <c r="P131" s="212"/>
      <c r="Q131" s="5">
        <f>SUM(P130:Q130)</f>
        <v>49.463114055120371</v>
      </c>
      <c r="R131" s="212"/>
      <c r="S131" s="5">
        <f>SUM(R130:S130)</f>
        <v>14.9385654985545</v>
      </c>
      <c r="T131" s="212"/>
      <c r="U131" s="5">
        <f>SUM(T130:U130)</f>
        <v>91.434178637962432</v>
      </c>
      <c r="V131" s="212"/>
      <c r="W131" s="5">
        <f>SUM(V130:W130)</f>
        <v>50.391467556430491</v>
      </c>
      <c r="X131" s="212"/>
      <c r="Y131" s="5">
        <f>SUM(X130:Y130)</f>
        <v>50.391467556430491</v>
      </c>
    </row>
    <row r="132" spans="1:27" x14ac:dyDescent="0.3">
      <c r="A132" s="239"/>
      <c r="B132" s="212"/>
      <c r="C132" s="5"/>
      <c r="D132" s="212"/>
      <c r="E132" s="5"/>
      <c r="F132" s="212"/>
      <c r="G132" s="5"/>
      <c r="H132" s="212"/>
      <c r="I132" s="5"/>
      <c r="J132" s="212"/>
      <c r="K132" s="5"/>
      <c r="L132" s="212"/>
      <c r="M132" s="5"/>
      <c r="N132" s="212"/>
      <c r="O132" s="5"/>
      <c r="P132" s="212"/>
      <c r="Q132" s="5"/>
      <c r="R132" s="212"/>
      <c r="S132" s="5"/>
      <c r="T132" s="212"/>
      <c r="U132" s="5"/>
      <c r="V132" s="212"/>
      <c r="W132" s="213"/>
      <c r="X132" s="212"/>
      <c r="Y132" s="213"/>
    </row>
    <row r="133" spans="1:27" x14ac:dyDescent="0.3">
      <c r="A133" s="234" t="s">
        <v>506</v>
      </c>
      <c r="B133" s="215">
        <v>0.14000000000000001</v>
      </c>
      <c r="C133" s="14">
        <v>0.14000000000000001</v>
      </c>
      <c r="D133" s="215">
        <v>0.14000000000000001</v>
      </c>
      <c r="E133" s="14">
        <v>0.14000000000000001</v>
      </c>
      <c r="F133" s="215">
        <v>0.14000000000000001</v>
      </c>
      <c r="G133" s="14">
        <v>0.14000000000000001</v>
      </c>
      <c r="H133" s="215">
        <v>0.14000000000000001</v>
      </c>
      <c r="I133" s="14">
        <v>0.14000000000000001</v>
      </c>
      <c r="J133" s="215">
        <v>0.14000000000000001</v>
      </c>
      <c r="K133" s="14">
        <v>0.14000000000000001</v>
      </c>
      <c r="L133" s="215">
        <v>0.14000000000000001</v>
      </c>
      <c r="M133" s="14">
        <v>0.14000000000000001</v>
      </c>
      <c r="N133" s="215">
        <v>0.14000000000000001</v>
      </c>
      <c r="O133" s="14">
        <v>0.14000000000000001</v>
      </c>
      <c r="P133" s="215">
        <v>0.14000000000000001</v>
      </c>
      <c r="Q133" s="14">
        <v>0.14000000000000001</v>
      </c>
      <c r="R133" s="215">
        <v>0.14000000000000001</v>
      </c>
      <c r="S133" s="14">
        <v>0.14000000000000001</v>
      </c>
      <c r="T133" s="215">
        <v>0.14000000000000001</v>
      </c>
      <c r="U133" s="14">
        <v>0.14000000000000001</v>
      </c>
      <c r="V133" s="215">
        <v>0.14000000000000001</v>
      </c>
      <c r="W133" s="216">
        <v>0.14000000000000001</v>
      </c>
      <c r="X133" s="215">
        <v>0.14000000000000001</v>
      </c>
      <c r="Y133" s="216">
        <v>0.14000000000000001</v>
      </c>
      <c r="AA133" s="182" t="s">
        <v>177</v>
      </c>
    </row>
    <row r="134" spans="1:27" x14ac:dyDescent="0.3">
      <c r="A134" s="241" t="s">
        <v>217</v>
      </c>
      <c r="B134" s="225"/>
      <c r="C134" s="226"/>
      <c r="D134" s="225"/>
      <c r="E134" s="226"/>
      <c r="F134" s="225"/>
      <c r="G134" s="226"/>
      <c r="H134" s="225"/>
      <c r="I134" s="226"/>
      <c r="J134" s="225"/>
      <c r="K134" s="226"/>
      <c r="L134" s="225"/>
      <c r="M134" s="226"/>
      <c r="N134" s="225"/>
      <c r="O134" s="226"/>
      <c r="P134" s="225"/>
      <c r="Q134" s="226"/>
      <c r="R134" s="225"/>
      <c r="S134" s="226"/>
      <c r="T134" s="225"/>
      <c r="U134" s="226"/>
      <c r="V134" s="225"/>
      <c r="W134" s="227"/>
      <c r="X134" s="225"/>
      <c r="Y134" s="227"/>
    </row>
    <row r="135" spans="1:27" x14ac:dyDescent="0.3">
      <c r="A135" s="239" t="s">
        <v>166</v>
      </c>
      <c r="B135" s="212">
        <f>B55+B79+B89+B99+B114</f>
        <v>0.69340575439908458</v>
      </c>
      <c r="C135" s="5">
        <f t="shared" ref="C135:Y135" si="100">C55+C79+C89+C99+C114</f>
        <v>1.3230181793934532</v>
      </c>
      <c r="D135" s="212">
        <f t="shared" si="100"/>
        <v>109.17112586972333</v>
      </c>
      <c r="E135" s="5">
        <f t="shared" si="100"/>
        <v>208.30285990380901</v>
      </c>
      <c r="F135" s="212">
        <f t="shared" si="100"/>
        <v>32.913145645233186</v>
      </c>
      <c r="G135" s="5">
        <f t="shared" si="100"/>
        <v>62.793778885735243</v>
      </c>
      <c r="H135" s="212">
        <f t="shared" si="100"/>
        <v>184.064802816</v>
      </c>
      <c r="I135" s="5">
        <f t="shared" si="100"/>
        <v>351.19400505745733</v>
      </c>
      <c r="J135" s="212">
        <f t="shared" si="100"/>
        <v>46.835451897916919</v>
      </c>
      <c r="K135" s="5">
        <f t="shared" si="100"/>
        <v>89.365246808067909</v>
      </c>
      <c r="L135" s="212">
        <f t="shared" si="100"/>
        <v>0</v>
      </c>
      <c r="M135" s="5">
        <f t="shared" si="100"/>
        <v>0</v>
      </c>
      <c r="N135" s="212">
        <f t="shared" si="100"/>
        <v>139.8964455232537</v>
      </c>
      <c r="O135" s="5">
        <f t="shared" si="100"/>
        <v>266.89813529277671</v>
      </c>
      <c r="P135" s="212">
        <f t="shared" si="100"/>
        <v>44.941463232000011</v>
      </c>
      <c r="Q135" s="5">
        <f t="shared" si="100"/>
        <v>85.75215330776868</v>
      </c>
      <c r="R135" s="212">
        <f t="shared" si="100"/>
        <v>227.45718241220888</v>
      </c>
      <c r="S135" s="5">
        <f t="shared" si="100"/>
        <v>434.02344514433184</v>
      </c>
      <c r="T135" s="212">
        <f t="shared" si="100"/>
        <v>82.364071449025801</v>
      </c>
      <c r="U135" s="5">
        <f t="shared" si="100"/>
        <v>157.16321964058213</v>
      </c>
      <c r="V135" s="212">
        <f t="shared" ref="V135:W135" si="101">V55+V79+V89+V99+V114</f>
        <v>115.93602662400002</v>
      </c>
      <c r="W135" s="213">
        <f t="shared" si="101"/>
        <v>41.200972005857778</v>
      </c>
      <c r="X135" s="212">
        <f t="shared" si="100"/>
        <v>115.93602662400002</v>
      </c>
      <c r="Y135" s="213">
        <f t="shared" si="100"/>
        <v>41.200972005857778</v>
      </c>
    </row>
    <row r="136" spans="1:27" x14ac:dyDescent="0.3">
      <c r="A136" s="239" t="s">
        <v>167</v>
      </c>
      <c r="B136" s="212">
        <f t="shared" ref="B136:Y136" si="102">B56+B80+B90+B100+B115</f>
        <v>63.004977700298525</v>
      </c>
      <c r="C136" s="5">
        <f t="shared" si="102"/>
        <v>120.21349745216961</v>
      </c>
      <c r="D136" s="212">
        <f t="shared" si="102"/>
        <v>7.7787471662464878</v>
      </c>
      <c r="E136" s="5">
        <f t="shared" si="102"/>
        <v>14.842159667120963</v>
      </c>
      <c r="F136" s="212">
        <f t="shared" si="102"/>
        <v>77.487084664612212</v>
      </c>
      <c r="G136" s="5">
        <f t="shared" si="102"/>
        <v>147.83475616025191</v>
      </c>
      <c r="H136" s="212">
        <f t="shared" si="102"/>
        <v>7.6235994854399998</v>
      </c>
      <c r="I136" s="5">
        <f t="shared" si="102"/>
        <v>14.545759945871147</v>
      </c>
      <c r="J136" s="212">
        <f t="shared" si="102"/>
        <v>4.9273675662559029</v>
      </c>
      <c r="K136" s="5">
        <f t="shared" si="102"/>
        <v>9.4017544579752901</v>
      </c>
      <c r="L136" s="212">
        <f t="shared" si="102"/>
        <v>0</v>
      </c>
      <c r="M136" s="5">
        <f t="shared" si="102"/>
        <v>0</v>
      </c>
      <c r="N136" s="212">
        <f t="shared" si="102"/>
        <v>116.69537661692911</v>
      </c>
      <c r="O136" s="5">
        <f t="shared" si="102"/>
        <v>222.63452298485748</v>
      </c>
      <c r="P136" s="212">
        <f t="shared" si="102"/>
        <v>39.709575987440004</v>
      </c>
      <c r="Q136" s="5">
        <f t="shared" si="102"/>
        <v>75.769265239161783</v>
      </c>
      <c r="R136" s="212">
        <f t="shared" si="102"/>
        <v>12.270033611506769</v>
      </c>
      <c r="S136" s="5">
        <f t="shared" si="102"/>
        <v>23.413119795231701</v>
      </c>
      <c r="T136" s="212">
        <f t="shared" si="102"/>
        <v>1.6843000885192976</v>
      </c>
      <c r="U136" s="5">
        <f t="shared" si="102"/>
        <v>3.2139016454090226</v>
      </c>
      <c r="V136" s="212">
        <f t="shared" ref="V136:W136" si="103">V56+V80+V90+V100+V115</f>
        <v>42.223959472611227</v>
      </c>
      <c r="W136" s="213">
        <f t="shared" si="103"/>
        <v>80.559715763931194</v>
      </c>
      <c r="X136" s="212">
        <f t="shared" si="102"/>
        <v>42.223959472611227</v>
      </c>
      <c r="Y136" s="213">
        <f t="shared" si="102"/>
        <v>80.559715763931194</v>
      </c>
    </row>
    <row r="137" spans="1:27" x14ac:dyDescent="0.3">
      <c r="A137" s="239" t="s">
        <v>168</v>
      </c>
      <c r="B137" s="212">
        <f t="shared" ref="B137:Y137" si="104">B57+B81+B91+B101+B116</f>
        <v>90.221619791764795</v>
      </c>
      <c r="C137" s="5">
        <f t="shared" si="104"/>
        <v>172.14285056268722</v>
      </c>
      <c r="D137" s="212">
        <f t="shared" si="104"/>
        <v>29.245156627793747</v>
      </c>
      <c r="E137" s="5">
        <f t="shared" si="104"/>
        <v>55.800924606876656</v>
      </c>
      <c r="F137" s="212">
        <f t="shared" si="104"/>
        <v>59.71792510212002</v>
      </c>
      <c r="G137" s="5">
        <f t="shared" si="104"/>
        <v>113.9336307989912</v>
      </c>
      <c r="H137" s="212">
        <f t="shared" si="104"/>
        <v>0</v>
      </c>
      <c r="I137" s="5">
        <f t="shared" si="104"/>
        <v>0</v>
      </c>
      <c r="J137" s="212">
        <f t="shared" si="104"/>
        <v>159.53787529424824</v>
      </c>
      <c r="K137" s="5">
        <f t="shared" si="104"/>
        <v>304.40918200128147</v>
      </c>
      <c r="L137" s="212">
        <f t="shared" si="104"/>
        <v>149.27643664266282</v>
      </c>
      <c r="M137" s="5">
        <f t="shared" si="104"/>
        <v>284.81850943410365</v>
      </c>
      <c r="N137" s="212">
        <f t="shared" si="104"/>
        <v>0</v>
      </c>
      <c r="O137" s="5">
        <f t="shared" si="104"/>
        <v>0</v>
      </c>
      <c r="P137" s="212">
        <f t="shared" si="104"/>
        <v>0</v>
      </c>
      <c r="Q137" s="5">
        <f t="shared" si="104"/>
        <v>0</v>
      </c>
      <c r="R137" s="212">
        <f t="shared" si="104"/>
        <v>0</v>
      </c>
      <c r="S137" s="5">
        <f t="shared" si="104"/>
        <v>0</v>
      </c>
      <c r="T137" s="212">
        <f t="shared" si="104"/>
        <v>23.422323842469698</v>
      </c>
      <c r="U137" s="5">
        <f t="shared" si="104"/>
        <v>44.693368865636003</v>
      </c>
      <c r="V137" s="212">
        <f t="shared" ref="V137:W137" si="105">V57+V81+V91+V101+V116</f>
        <v>47.48526396404494</v>
      </c>
      <c r="W137" s="213">
        <f t="shared" si="105"/>
        <v>90.597836292450694</v>
      </c>
      <c r="X137" s="212">
        <f t="shared" si="104"/>
        <v>47.48526396404494</v>
      </c>
      <c r="Y137" s="213">
        <f t="shared" si="104"/>
        <v>90.597836292450694</v>
      </c>
    </row>
    <row r="138" spans="1:27" x14ac:dyDescent="0.3">
      <c r="A138" s="239" t="s">
        <v>299</v>
      </c>
      <c r="B138" s="212">
        <f>B130</f>
        <v>10.245674113870502</v>
      </c>
      <c r="C138" s="5">
        <f t="shared" ref="C138:Y138" si="106">C130</f>
        <v>19.548746209264916</v>
      </c>
      <c r="D138" s="212">
        <f t="shared" si="106"/>
        <v>27.413109014004299</v>
      </c>
      <c r="E138" s="5">
        <f t="shared" si="106"/>
        <v>52.305304731272457</v>
      </c>
      <c r="F138" s="212">
        <f t="shared" si="106"/>
        <v>8.6376044386402757</v>
      </c>
      <c r="G138" s="5">
        <f t="shared" si="106"/>
        <v>16.479367516820041</v>
      </c>
      <c r="H138" s="212">
        <f t="shared" si="106"/>
        <v>14.813568000000002</v>
      </c>
      <c r="I138" s="5">
        <f t="shared" si="106"/>
        <v>28.264155859888067</v>
      </c>
      <c r="J138" s="212">
        <f t="shared" si="106"/>
        <v>11.077073749897483</v>
      </c>
      <c r="K138" s="5">
        <f t="shared" si="106"/>
        <v>21.135814633076837</v>
      </c>
      <c r="L138" s="212">
        <f t="shared" si="106"/>
        <v>24.714920502616852</v>
      </c>
      <c r="M138" s="5">
        <f t="shared" si="106"/>
        <v>47.155914065581939</v>
      </c>
      <c r="N138" s="212">
        <f t="shared" si="106"/>
        <v>1.5162563450941062</v>
      </c>
      <c r="O138" s="5">
        <f t="shared" si="106"/>
        <v>2.8927539196425882</v>
      </c>
      <c r="P138" s="212">
        <f t="shared" si="106"/>
        <v>17.008824000000001</v>
      </c>
      <c r="Q138" s="5">
        <f t="shared" si="106"/>
        <v>32.454290055120374</v>
      </c>
      <c r="R138" s="212">
        <f t="shared" si="106"/>
        <v>5.1367853812030244</v>
      </c>
      <c r="S138" s="5">
        <f t="shared" si="106"/>
        <v>9.8017801173514751</v>
      </c>
      <c r="T138" s="212">
        <f t="shared" si="106"/>
        <v>31.44063955285494</v>
      </c>
      <c r="U138" s="5">
        <f t="shared" si="106"/>
        <v>59.993539085107493</v>
      </c>
      <c r="V138" s="212">
        <f t="shared" ref="V138:W138" si="107">V130</f>
        <v>17.497775342465758</v>
      </c>
      <c r="W138" s="213">
        <f t="shared" si="107"/>
        <v>32.893692213964734</v>
      </c>
      <c r="X138" s="212">
        <f t="shared" si="106"/>
        <v>17.497775342465758</v>
      </c>
      <c r="Y138" s="213">
        <f t="shared" si="106"/>
        <v>32.893692213964734</v>
      </c>
    </row>
    <row r="139" spans="1:27" x14ac:dyDescent="0.3">
      <c r="A139" s="365" t="s">
        <v>218</v>
      </c>
      <c r="B139" s="212"/>
      <c r="C139" s="5"/>
      <c r="D139" s="212"/>
      <c r="E139" s="5"/>
      <c r="F139" s="212"/>
      <c r="G139" s="5"/>
      <c r="H139" s="212"/>
      <c r="I139" s="5"/>
      <c r="J139" s="212"/>
      <c r="K139" s="5"/>
      <c r="L139" s="212"/>
      <c r="M139" s="5"/>
      <c r="N139" s="212"/>
      <c r="O139" s="5"/>
      <c r="P139" s="212"/>
      <c r="Q139" s="5"/>
      <c r="R139" s="212"/>
      <c r="S139" s="5"/>
      <c r="T139" s="212"/>
      <c r="U139" s="5"/>
      <c r="V139" s="212"/>
      <c r="W139" s="213"/>
      <c r="X139" s="212"/>
      <c r="Y139" s="213"/>
    </row>
    <row r="140" spans="1:27" x14ac:dyDescent="0.3">
      <c r="B140" s="228">
        <f>IF(B43=0,"",B135/B43)</f>
        <v>0.53817599999999999</v>
      </c>
      <c r="C140" s="264">
        <f t="shared" ref="C140:Y140" si="108">IF(C43=0,"",C135/C43)</f>
        <v>0.53817599999999999</v>
      </c>
      <c r="D140" s="228">
        <f t="shared" si="108"/>
        <v>0.53817599999999999</v>
      </c>
      <c r="E140" s="264">
        <f t="shared" si="108"/>
        <v>0.53817599999999999</v>
      </c>
      <c r="F140" s="228">
        <f t="shared" si="108"/>
        <v>0.53817599999999999</v>
      </c>
      <c r="G140" s="264">
        <f t="shared" si="108"/>
        <v>0.53817599999999999</v>
      </c>
      <c r="H140" s="228">
        <f t="shared" si="108"/>
        <v>0.53817599999999999</v>
      </c>
      <c r="I140" s="264">
        <f t="shared" si="108"/>
        <v>0.5381760000000001</v>
      </c>
      <c r="J140" s="228">
        <f t="shared" si="108"/>
        <v>0.53817599999999999</v>
      </c>
      <c r="K140" s="264">
        <f t="shared" si="108"/>
        <v>0.53817599999999999</v>
      </c>
      <c r="L140" s="228" t="str">
        <f t="shared" si="108"/>
        <v/>
      </c>
      <c r="M140" s="264" t="str">
        <f t="shared" si="108"/>
        <v/>
      </c>
      <c r="N140" s="228">
        <f t="shared" si="108"/>
        <v>0.5381760000000001</v>
      </c>
      <c r="O140" s="264">
        <f t="shared" si="108"/>
        <v>0.53817599999999999</v>
      </c>
      <c r="P140" s="228">
        <f t="shared" si="108"/>
        <v>0.53817599999999999</v>
      </c>
      <c r="Q140" s="264">
        <f t="shared" si="108"/>
        <v>0.53817599999999988</v>
      </c>
      <c r="R140" s="228">
        <f t="shared" si="108"/>
        <v>0.5381760000000001</v>
      </c>
      <c r="S140" s="264">
        <f t="shared" si="108"/>
        <v>0.53817599999999999</v>
      </c>
      <c r="T140" s="228">
        <f t="shared" si="108"/>
        <v>0.53817599999999999</v>
      </c>
      <c r="U140" s="264">
        <f t="shared" si="108"/>
        <v>0.53817599999999999</v>
      </c>
      <c r="V140" s="228">
        <f t="shared" ref="V140:W140" si="109">IF(V43=0,"",V135/V43)</f>
        <v>0.5381760000000001</v>
      </c>
      <c r="W140" s="229">
        <f t="shared" si="109"/>
        <v>0.5381760000000001</v>
      </c>
      <c r="X140" s="228">
        <f t="shared" si="108"/>
        <v>0.5381760000000001</v>
      </c>
      <c r="Y140" s="229">
        <f t="shared" si="108"/>
        <v>0.5381760000000001</v>
      </c>
    </row>
    <row r="141" spans="1:27" x14ac:dyDescent="0.3">
      <c r="A141" s="239"/>
      <c r="B141" s="228">
        <f t="shared" ref="B141:Y141" si="110">IF(B44=0,"",B136/B44)</f>
        <v>0.47552391999999993</v>
      </c>
      <c r="C141" s="264">
        <f t="shared" si="110"/>
        <v>0.47552392000000004</v>
      </c>
      <c r="D141" s="228">
        <f t="shared" si="110"/>
        <v>0.47552392000000004</v>
      </c>
      <c r="E141" s="264">
        <f t="shared" si="110"/>
        <v>0.47552392000000016</v>
      </c>
      <c r="F141" s="228">
        <f t="shared" si="110"/>
        <v>0.47552391999999999</v>
      </c>
      <c r="G141" s="264">
        <f t="shared" si="110"/>
        <v>0.47552392000000004</v>
      </c>
      <c r="H141" s="228">
        <f t="shared" si="110"/>
        <v>0.47552391999999999</v>
      </c>
      <c r="I141" s="264">
        <f t="shared" si="110"/>
        <v>0.47552391999999993</v>
      </c>
      <c r="J141" s="228">
        <f t="shared" si="110"/>
        <v>0.47552391999999993</v>
      </c>
      <c r="K141" s="264">
        <f t="shared" si="110"/>
        <v>0.47552391999999999</v>
      </c>
      <c r="L141" s="228" t="str">
        <f t="shared" si="110"/>
        <v/>
      </c>
      <c r="M141" s="264" t="str">
        <f t="shared" si="110"/>
        <v/>
      </c>
      <c r="N141" s="228">
        <f t="shared" si="110"/>
        <v>0.47552391999999993</v>
      </c>
      <c r="O141" s="264">
        <f t="shared" si="110"/>
        <v>0.47552391999999999</v>
      </c>
      <c r="P141" s="228">
        <f t="shared" si="110"/>
        <v>0.47552391999999993</v>
      </c>
      <c r="Q141" s="264">
        <f t="shared" si="110"/>
        <v>0.47552391999999999</v>
      </c>
      <c r="R141" s="228">
        <f t="shared" si="110"/>
        <v>0.47552392000000004</v>
      </c>
      <c r="S141" s="264">
        <f t="shared" si="110"/>
        <v>0.47552391999999993</v>
      </c>
      <c r="T141" s="228">
        <f t="shared" si="110"/>
        <v>0.47552391999999993</v>
      </c>
      <c r="U141" s="264">
        <f t="shared" si="110"/>
        <v>0.47552392000000004</v>
      </c>
      <c r="V141" s="228">
        <f t="shared" ref="V141:W141" si="111">IF(V44=0,"",V136/V44)</f>
        <v>0.47552391999999999</v>
      </c>
      <c r="W141" s="229">
        <f t="shared" si="111"/>
        <v>0.47552392000000004</v>
      </c>
      <c r="X141" s="228">
        <f t="shared" si="110"/>
        <v>0.47552391999999999</v>
      </c>
      <c r="Y141" s="229">
        <f t="shared" si="110"/>
        <v>0.47552392000000004</v>
      </c>
    </row>
    <row r="142" spans="1:27" x14ac:dyDescent="0.3">
      <c r="A142" s="239"/>
      <c r="B142" s="228">
        <f t="shared" ref="B142:Y142" si="112">IF(B45=0,"",B137/B45)</f>
        <v>0.53817599999999999</v>
      </c>
      <c r="C142" s="264">
        <f t="shared" si="112"/>
        <v>0.53817599999999999</v>
      </c>
      <c r="D142" s="228">
        <f t="shared" si="112"/>
        <v>0.53817599999999999</v>
      </c>
      <c r="E142" s="264">
        <f t="shared" si="112"/>
        <v>0.53817599999999999</v>
      </c>
      <c r="F142" s="228">
        <f t="shared" si="112"/>
        <v>0.53817599999999999</v>
      </c>
      <c r="G142" s="264">
        <f t="shared" si="112"/>
        <v>0.53817599999999999</v>
      </c>
      <c r="H142" s="228" t="str">
        <f t="shared" si="112"/>
        <v/>
      </c>
      <c r="I142" s="264" t="str">
        <f t="shared" si="112"/>
        <v/>
      </c>
      <c r="J142" s="228">
        <f t="shared" si="112"/>
        <v>0.53817599999999999</v>
      </c>
      <c r="K142" s="264">
        <f t="shared" si="112"/>
        <v>0.53817599999999999</v>
      </c>
      <c r="L142" s="228">
        <f t="shared" si="112"/>
        <v>0.5381760000000001</v>
      </c>
      <c r="M142" s="264">
        <f t="shared" si="112"/>
        <v>0.53817599999999999</v>
      </c>
      <c r="N142" s="228" t="str">
        <f t="shared" si="112"/>
        <v/>
      </c>
      <c r="O142" s="264" t="str">
        <f t="shared" si="112"/>
        <v/>
      </c>
      <c r="P142" s="228" t="str">
        <f t="shared" si="112"/>
        <v/>
      </c>
      <c r="Q142" s="264" t="str">
        <f t="shared" si="112"/>
        <v/>
      </c>
      <c r="R142" s="228" t="str">
        <f t="shared" si="112"/>
        <v/>
      </c>
      <c r="S142" s="264" t="str">
        <f t="shared" si="112"/>
        <v/>
      </c>
      <c r="T142" s="228">
        <f t="shared" si="112"/>
        <v>0.53817599999999999</v>
      </c>
      <c r="U142" s="264">
        <f t="shared" si="112"/>
        <v>0.53817599999999999</v>
      </c>
      <c r="V142" s="228">
        <f t="shared" ref="V142:W142" si="113">IF(V45=0,"",V137/V45)</f>
        <v>0.53817599999999999</v>
      </c>
      <c r="W142" s="229">
        <f t="shared" si="113"/>
        <v>0.53817599999999999</v>
      </c>
      <c r="X142" s="228">
        <f t="shared" si="112"/>
        <v>0.53817599999999999</v>
      </c>
      <c r="Y142" s="229">
        <f t="shared" si="112"/>
        <v>0.53817599999999999</v>
      </c>
    </row>
    <row r="143" spans="1:27" x14ac:dyDescent="0.3">
      <c r="A143" s="239"/>
      <c r="B143" s="228">
        <f t="shared" ref="B143:Y143" si="114">IF(B46=0,"",B138/B46)</f>
        <v>8.4000000000000005E-2</v>
      </c>
      <c r="C143" s="264">
        <f t="shared" si="114"/>
        <v>8.4000000000000005E-2</v>
      </c>
      <c r="D143" s="228">
        <f t="shared" si="114"/>
        <v>8.4000000000000005E-2</v>
      </c>
      <c r="E143" s="264">
        <f t="shared" si="114"/>
        <v>8.4000000000000005E-2</v>
      </c>
      <c r="F143" s="228">
        <f t="shared" si="114"/>
        <v>8.3999999999999991E-2</v>
      </c>
      <c r="G143" s="264">
        <f t="shared" si="114"/>
        <v>8.4000000000000005E-2</v>
      </c>
      <c r="H143" s="228">
        <f t="shared" si="114"/>
        <v>8.4000000000000005E-2</v>
      </c>
      <c r="I143" s="264">
        <f t="shared" si="114"/>
        <v>8.4000000000000005E-2</v>
      </c>
      <c r="J143" s="228">
        <f t="shared" si="114"/>
        <v>8.4000000000000005E-2</v>
      </c>
      <c r="K143" s="264">
        <f t="shared" si="114"/>
        <v>8.4000000000000005E-2</v>
      </c>
      <c r="L143" s="228">
        <f t="shared" si="114"/>
        <v>8.4000000000000019E-2</v>
      </c>
      <c r="M143" s="264">
        <f t="shared" si="114"/>
        <v>8.3999999999999991E-2</v>
      </c>
      <c r="N143" s="228">
        <f t="shared" si="114"/>
        <v>8.4000000000000005E-2</v>
      </c>
      <c r="O143" s="264">
        <f t="shared" si="114"/>
        <v>8.4000000000000005E-2</v>
      </c>
      <c r="P143" s="228">
        <f t="shared" si="114"/>
        <v>8.4000000000000005E-2</v>
      </c>
      <c r="Q143" s="264">
        <f t="shared" si="114"/>
        <v>8.4000000000000019E-2</v>
      </c>
      <c r="R143" s="228">
        <f t="shared" si="114"/>
        <v>8.4000000000000005E-2</v>
      </c>
      <c r="S143" s="264">
        <f t="shared" si="114"/>
        <v>8.4000000000000005E-2</v>
      </c>
      <c r="T143" s="228">
        <f t="shared" si="114"/>
        <v>8.4000000000000005E-2</v>
      </c>
      <c r="U143" s="264">
        <f t="shared" si="114"/>
        <v>8.4000000000000019E-2</v>
      </c>
      <c r="V143" s="228">
        <f t="shared" ref="V143:W143" si="115">IF(V46=0,"",V138/V46)</f>
        <v>8.4000000000000005E-2</v>
      </c>
      <c r="W143" s="229">
        <f t="shared" si="115"/>
        <v>8.4000000000000005E-2</v>
      </c>
      <c r="X143" s="228">
        <f t="shared" si="114"/>
        <v>8.4000000000000005E-2</v>
      </c>
      <c r="Y143" s="229">
        <f t="shared" si="114"/>
        <v>8.4000000000000005E-2</v>
      </c>
    </row>
    <row r="144" spans="1:27" x14ac:dyDescent="0.3">
      <c r="A144" s="239"/>
      <c r="B144" s="195"/>
      <c r="D144" s="195"/>
      <c r="F144" s="195"/>
      <c r="H144" s="195"/>
      <c r="J144" s="195"/>
      <c r="L144" s="195"/>
      <c r="P144" s="195"/>
      <c r="R144" s="195"/>
      <c r="T144" s="195"/>
      <c r="V144" s="195"/>
      <c r="W144" s="196"/>
      <c r="X144" s="195"/>
      <c r="Y144" s="196"/>
    </row>
    <row r="145" spans="1:26" x14ac:dyDescent="0.3">
      <c r="A145" s="241" t="s">
        <v>219</v>
      </c>
      <c r="B145" s="203"/>
      <c r="C145" s="109"/>
      <c r="D145" s="203"/>
      <c r="E145" s="109"/>
      <c r="F145" s="203"/>
      <c r="G145" s="109"/>
      <c r="H145" s="203"/>
      <c r="I145" s="109"/>
      <c r="J145" s="203"/>
      <c r="K145" s="109"/>
      <c r="L145" s="203"/>
      <c r="M145" s="109"/>
      <c r="N145" s="109"/>
      <c r="O145" s="109"/>
      <c r="P145" s="203"/>
      <c r="Q145" s="109"/>
      <c r="R145" s="203"/>
      <c r="S145" s="109"/>
      <c r="T145" s="203"/>
      <c r="U145" s="109"/>
      <c r="V145" s="203"/>
      <c r="W145" s="204"/>
      <c r="X145" s="203"/>
      <c r="Y145" s="204"/>
    </row>
    <row r="146" spans="1:26" x14ac:dyDescent="0.3">
      <c r="A146" s="239" t="s">
        <v>166</v>
      </c>
      <c r="B146" s="212">
        <f>B43-B135</f>
        <v>0.59503102910498207</v>
      </c>
      <c r="C146" s="5">
        <f t="shared" ref="C146:Y146" si="116">C43-C135</f>
        <v>1.1353192035323056</v>
      </c>
      <c r="D146" s="212">
        <f t="shared" si="116"/>
        <v>93.682821295745455</v>
      </c>
      <c r="E146" s="5">
        <f t="shared" si="116"/>
        <v>178.75055738683386</v>
      </c>
      <c r="F146" s="212">
        <f t="shared" si="116"/>
        <v>28.243698296587311</v>
      </c>
      <c r="G146" s="5">
        <f t="shared" si="116"/>
        <v>53.885112194014219</v>
      </c>
      <c r="H146" s="212">
        <f t="shared" si="116"/>
        <v>157.95119718400002</v>
      </c>
      <c r="I146" s="5">
        <f t="shared" si="116"/>
        <v>301.36947799912133</v>
      </c>
      <c r="J146" s="212">
        <f t="shared" si="116"/>
        <v>40.190821845090802</v>
      </c>
      <c r="K146" s="5">
        <f t="shared" si="116"/>
        <v>76.68683802675919</v>
      </c>
      <c r="L146" s="212">
        <f t="shared" si="116"/>
        <v>0</v>
      </c>
      <c r="M146" s="5">
        <f t="shared" si="116"/>
        <v>0</v>
      </c>
      <c r="N146" s="5">
        <f t="shared" si="116"/>
        <v>120.04908442095353</v>
      </c>
      <c r="O146" s="5">
        <f t="shared" si="116"/>
        <v>229.03281534934916</v>
      </c>
      <c r="P146" s="212">
        <f t="shared" si="116"/>
        <v>38.565536768000008</v>
      </c>
      <c r="Q146" s="5">
        <f t="shared" si="116"/>
        <v>73.586340619438573</v>
      </c>
      <c r="R146" s="212">
        <f t="shared" si="116"/>
        <v>195.18742160619561</v>
      </c>
      <c r="S146" s="5">
        <f t="shared" si="116"/>
        <v>372.44775599494574</v>
      </c>
      <c r="T146" s="212">
        <f t="shared" si="116"/>
        <v>70.678932046161293</v>
      </c>
      <c r="U146" s="5">
        <f t="shared" si="116"/>
        <v>134.86619014465938</v>
      </c>
      <c r="V146" s="212">
        <f t="shared" ref="V146:W146" si="117">V43-V135</f>
        <v>99.487973375999985</v>
      </c>
      <c r="W146" s="213">
        <f t="shared" si="117"/>
        <v>35.355715780029684</v>
      </c>
      <c r="X146" s="212">
        <f t="shared" si="116"/>
        <v>99.487973375999985</v>
      </c>
      <c r="Y146" s="213">
        <f t="shared" si="116"/>
        <v>35.355715780029684</v>
      </c>
    </row>
    <row r="147" spans="1:26" x14ac:dyDescent="0.3">
      <c r="A147" s="239" t="s">
        <v>167</v>
      </c>
      <c r="B147" s="212">
        <f t="shared" ref="B147:Y147" si="118">B44-B136</f>
        <v>69.490939014676684</v>
      </c>
      <c r="C147" s="5">
        <f t="shared" si="118"/>
        <v>132.58871164000308</v>
      </c>
      <c r="D147" s="212">
        <f t="shared" si="118"/>
        <v>8.5795196613118119</v>
      </c>
      <c r="E147" s="5">
        <f t="shared" si="118"/>
        <v>16.370065507841758</v>
      </c>
      <c r="F147" s="212">
        <f t="shared" si="118"/>
        <v>85.463886686339407</v>
      </c>
      <c r="G147" s="5">
        <f t="shared" si="118"/>
        <v>163.05340307315089</v>
      </c>
      <c r="H147" s="212">
        <f t="shared" si="118"/>
        <v>8.4084005145600003</v>
      </c>
      <c r="I147" s="5">
        <f t="shared" si="118"/>
        <v>16.043153322405974</v>
      </c>
      <c r="J147" s="212">
        <f t="shared" si="118"/>
        <v>5.4346086856556806</v>
      </c>
      <c r="K147" s="5">
        <f t="shared" si="118"/>
        <v>10.369605220367053</v>
      </c>
      <c r="L147" s="212">
        <f t="shared" si="118"/>
        <v>0</v>
      </c>
      <c r="M147" s="5">
        <f t="shared" si="118"/>
        <v>0</v>
      </c>
      <c r="N147" s="212">
        <f t="shared" si="118"/>
        <v>128.70842266393382</v>
      </c>
      <c r="O147" s="5">
        <f t="shared" si="118"/>
        <v>245.55332965746067</v>
      </c>
      <c r="P147" s="212">
        <f t="shared" si="118"/>
        <v>43.797424012560015</v>
      </c>
      <c r="Q147" s="5">
        <f t="shared" si="118"/>
        <v>83.56922868804547</v>
      </c>
      <c r="R147" s="212">
        <f t="shared" si="118"/>
        <v>13.533155451005097</v>
      </c>
      <c r="S147" s="5">
        <f t="shared" si="118"/>
        <v>25.823351411583097</v>
      </c>
      <c r="T147" s="212">
        <f t="shared" si="118"/>
        <v>1.8576880590365557</v>
      </c>
      <c r="U147" s="5">
        <f t="shared" si="118"/>
        <v>3.5447523575463333</v>
      </c>
      <c r="V147" s="212">
        <f t="shared" ref="V147:W147" si="119">V44-V136</f>
        <v>46.570647268961793</v>
      </c>
      <c r="W147" s="213">
        <f t="shared" si="119"/>
        <v>88.852825594516531</v>
      </c>
      <c r="X147" s="212">
        <f t="shared" si="118"/>
        <v>46.570647268961793</v>
      </c>
      <c r="Y147" s="213">
        <f t="shared" si="118"/>
        <v>88.852825594516531</v>
      </c>
    </row>
    <row r="148" spans="1:26" x14ac:dyDescent="0.3">
      <c r="A148" s="239" t="s">
        <v>168</v>
      </c>
      <c r="B148" s="212">
        <f t="shared" ref="B148:Y148" si="120">B45-B137</f>
        <v>77.421715830345448</v>
      </c>
      <c r="C148" s="5">
        <f t="shared" si="120"/>
        <v>147.7206338042991</v>
      </c>
      <c r="D148" s="212">
        <f t="shared" si="120"/>
        <v>25.096093498175726</v>
      </c>
      <c r="E148" s="5">
        <f t="shared" si="120"/>
        <v>47.884346766942791</v>
      </c>
      <c r="F148" s="212">
        <f t="shared" si="120"/>
        <v>51.245635335580701</v>
      </c>
      <c r="G148" s="5">
        <f t="shared" si="120"/>
        <v>97.769661059046314</v>
      </c>
      <c r="H148" s="212">
        <f t="shared" si="120"/>
        <v>0</v>
      </c>
      <c r="I148" s="5">
        <f t="shared" si="120"/>
        <v>0</v>
      </c>
      <c r="J148" s="212">
        <f t="shared" si="120"/>
        <v>136.90394911681477</v>
      </c>
      <c r="K148" s="5">
        <f t="shared" si="120"/>
        <v>261.22210219065846</v>
      </c>
      <c r="L148" s="212">
        <f t="shared" si="120"/>
        <v>128.09831927856516</v>
      </c>
      <c r="M148" s="5">
        <f t="shared" si="120"/>
        <v>244.41079368254151</v>
      </c>
      <c r="N148" s="212">
        <f t="shared" si="120"/>
        <v>0</v>
      </c>
      <c r="O148" s="5">
        <f t="shared" si="120"/>
        <v>0</v>
      </c>
      <c r="P148" s="212">
        <f t="shared" si="120"/>
        <v>0</v>
      </c>
      <c r="Q148" s="5">
        <f t="shared" si="120"/>
        <v>0</v>
      </c>
      <c r="R148" s="212">
        <f t="shared" si="120"/>
        <v>0</v>
      </c>
      <c r="S148" s="5">
        <f t="shared" si="120"/>
        <v>0</v>
      </c>
      <c r="T148" s="212">
        <f t="shared" si="120"/>
        <v>20.099356504609506</v>
      </c>
      <c r="U148" s="5">
        <f t="shared" si="120"/>
        <v>38.352639996959141</v>
      </c>
      <c r="V148" s="212">
        <f t="shared" ref="V148:W148" si="121">V45-V137</f>
        <v>40.748443901123586</v>
      </c>
      <c r="W148" s="213">
        <f t="shared" si="121"/>
        <v>77.744557817377114</v>
      </c>
      <c r="X148" s="212">
        <f t="shared" si="120"/>
        <v>40.748443901123586</v>
      </c>
      <c r="Y148" s="213">
        <f t="shared" si="120"/>
        <v>77.744557817377114</v>
      </c>
    </row>
    <row r="149" spans="1:26" x14ac:dyDescent="0.3">
      <c r="A149" s="239" t="s">
        <v>299</v>
      </c>
      <c r="B149" s="212">
        <f t="shared" ref="B149:Y149" si="122">B46-B138</f>
        <v>111.72663676554022</v>
      </c>
      <c r="C149" s="5">
        <f t="shared" si="122"/>
        <v>213.17442294865074</v>
      </c>
      <c r="D149" s="212">
        <f t="shared" si="122"/>
        <v>298.93342686699924</v>
      </c>
      <c r="E149" s="5">
        <f t="shared" si="122"/>
        <v>570.37689445054241</v>
      </c>
      <c r="F149" s="212">
        <f t="shared" si="122"/>
        <v>94.191019830886816</v>
      </c>
      <c r="G149" s="5">
        <f t="shared" si="122"/>
        <v>179.70357911198994</v>
      </c>
      <c r="H149" s="212">
        <f t="shared" si="122"/>
        <v>161.538432</v>
      </c>
      <c r="I149" s="5">
        <f t="shared" si="122"/>
        <v>308.21389009116029</v>
      </c>
      <c r="J149" s="212">
        <f t="shared" si="122"/>
        <v>120.79285184412016</v>
      </c>
      <c r="K149" s="5">
        <f t="shared" si="122"/>
        <v>230.4810262368855</v>
      </c>
      <c r="L149" s="212">
        <f t="shared" si="122"/>
        <v>269.51032357615514</v>
      </c>
      <c r="M149" s="5">
        <f t="shared" si="122"/>
        <v>514.22401528658406</v>
      </c>
      <c r="N149" s="212">
        <f t="shared" si="122"/>
        <v>16.534414429835728</v>
      </c>
      <c r="O149" s="5">
        <f t="shared" si="122"/>
        <v>31.544792742769175</v>
      </c>
      <c r="P149" s="212">
        <f t="shared" si="122"/>
        <v>185.47717599999999</v>
      </c>
      <c r="Q149" s="5">
        <f t="shared" si="122"/>
        <v>353.9063058391697</v>
      </c>
      <c r="R149" s="212">
        <f t="shared" si="122"/>
        <v>56.015421537880592</v>
      </c>
      <c r="S149" s="5">
        <f t="shared" si="122"/>
        <v>106.88607842254703</v>
      </c>
      <c r="T149" s="212">
        <f t="shared" si="122"/>
        <v>342.85268845732293</v>
      </c>
      <c r="U149" s="5">
        <f t="shared" si="122"/>
        <v>654.21525954712445</v>
      </c>
      <c r="V149" s="212">
        <f t="shared" ref="V149:W149" si="123">V46-V138</f>
        <v>190.80907397260276</v>
      </c>
      <c r="W149" s="213">
        <f t="shared" si="123"/>
        <v>358.69788176180583</v>
      </c>
      <c r="X149" s="212">
        <f t="shared" si="122"/>
        <v>190.80907397260276</v>
      </c>
      <c r="Y149" s="213">
        <f t="shared" si="122"/>
        <v>358.69788176180583</v>
      </c>
    </row>
    <row r="150" spans="1:26" x14ac:dyDescent="0.3">
      <c r="A150" s="242" t="s">
        <v>220</v>
      </c>
      <c r="B150" s="230"/>
      <c r="C150" s="5">
        <f>SUM(B146:C149)</f>
        <v>753.85341023615263</v>
      </c>
      <c r="D150" s="230"/>
      <c r="E150" s="5">
        <f>SUM(D146:E149)</f>
        <v>1239.673725434393</v>
      </c>
      <c r="F150" s="230"/>
      <c r="G150" s="5">
        <f>SUM(F146:G149)</f>
        <v>753.55599558759559</v>
      </c>
      <c r="H150" s="230"/>
      <c r="I150" s="5">
        <f>SUM(H146:I149)</f>
        <v>953.52455111124755</v>
      </c>
      <c r="J150" s="230"/>
      <c r="K150" s="5">
        <f>SUM(J146:K149)</f>
        <v>882.08180316635162</v>
      </c>
      <c r="L150" s="230"/>
      <c r="M150" s="5">
        <f>SUM(L146:M149)</f>
        <v>1156.2434518238458</v>
      </c>
      <c r="N150" s="230"/>
      <c r="O150" s="5">
        <f>SUM(N146:O149)</f>
        <v>771.42285926430191</v>
      </c>
      <c r="P150" s="230"/>
      <c r="Q150" s="5">
        <f>SUM(P146:Q149)</f>
        <v>778.90201192721383</v>
      </c>
      <c r="R150" s="230"/>
      <c r="S150" s="5">
        <f>SUM(R146:S149)</f>
        <v>769.89318442415708</v>
      </c>
      <c r="T150" s="230"/>
      <c r="U150" s="5">
        <f>SUM(T146:U149)</f>
        <v>1266.4675071134197</v>
      </c>
      <c r="V150" s="230"/>
      <c r="W150" s="213">
        <f>SUM(V146:W149)</f>
        <v>938.26711947241733</v>
      </c>
      <c r="X150" s="230"/>
      <c r="Y150" s="213">
        <f>SUM(X146:Y149)</f>
        <v>938.26711947241733</v>
      </c>
    </row>
    <row r="151" spans="1:26" x14ac:dyDescent="0.3">
      <c r="A151" s="234"/>
      <c r="B151" s="195"/>
      <c r="D151" s="195"/>
      <c r="F151" s="195"/>
      <c r="H151" s="195"/>
      <c r="J151" s="195"/>
      <c r="L151" s="195"/>
      <c r="N151" s="195"/>
      <c r="P151" s="195"/>
      <c r="R151" s="195"/>
      <c r="T151" s="195"/>
      <c r="V151" s="195"/>
      <c r="W151" s="196"/>
      <c r="X151" s="195"/>
      <c r="Y151" s="196"/>
    </row>
    <row r="152" spans="1:26" x14ac:dyDescent="0.3">
      <c r="A152" s="241" t="s">
        <v>498</v>
      </c>
      <c r="B152" s="195"/>
      <c r="D152" s="195"/>
      <c r="F152" s="195"/>
      <c r="H152" s="195"/>
      <c r="J152" s="195"/>
      <c r="L152" s="195"/>
      <c r="N152" s="195"/>
      <c r="P152" s="195"/>
      <c r="R152" s="195"/>
      <c r="T152" s="195"/>
      <c r="V152" s="195"/>
      <c r="W152" s="196"/>
      <c r="X152" s="195"/>
      <c r="Y152" s="196"/>
    </row>
    <row r="153" spans="1:26" x14ac:dyDescent="0.3">
      <c r="A153" s="239" t="s">
        <v>499</v>
      </c>
      <c r="B153" s="212">
        <f>C150</f>
        <v>753.85341023615263</v>
      </c>
      <c r="C153" s="5"/>
      <c r="D153" s="212">
        <f>E150</f>
        <v>1239.673725434393</v>
      </c>
      <c r="E153" s="5"/>
      <c r="F153" s="212">
        <f>G150</f>
        <v>753.55599558759559</v>
      </c>
      <c r="G153" s="5"/>
      <c r="H153" s="212">
        <f>I150</f>
        <v>953.52455111124755</v>
      </c>
      <c r="I153" s="5"/>
      <c r="J153" s="212">
        <f>K150</f>
        <v>882.08180316635162</v>
      </c>
      <c r="K153" s="5"/>
      <c r="L153" s="212">
        <f>M150</f>
        <v>1156.2434518238458</v>
      </c>
      <c r="M153" s="5"/>
      <c r="N153" s="212">
        <f>O150</f>
        <v>771.42285926430191</v>
      </c>
      <c r="O153" s="5"/>
      <c r="P153" s="212">
        <f>Q150</f>
        <v>778.90201192721383</v>
      </c>
      <c r="Q153" s="5"/>
      <c r="R153" s="212">
        <f>S150</f>
        <v>769.89318442415708</v>
      </c>
      <c r="S153" s="5"/>
      <c r="T153" s="212">
        <f>U150</f>
        <v>1266.4675071134197</v>
      </c>
      <c r="U153" s="5"/>
      <c r="V153" s="212">
        <f>W150</f>
        <v>938.26711947241733</v>
      </c>
      <c r="W153" s="213"/>
      <c r="X153" s="212">
        <f>Y150</f>
        <v>938.26711947241733</v>
      </c>
      <c r="Y153" s="213"/>
      <c r="Z153" s="6"/>
    </row>
    <row r="154" spans="1:26" x14ac:dyDescent="0.3">
      <c r="A154" s="239"/>
      <c r="B154" s="212"/>
      <c r="C154" s="5"/>
      <c r="D154" s="212"/>
      <c r="E154" s="5"/>
      <c r="F154" s="212"/>
      <c r="G154" s="5"/>
      <c r="H154" s="212"/>
      <c r="I154" s="5"/>
      <c r="J154" s="212"/>
      <c r="K154" s="5"/>
      <c r="L154" s="212"/>
      <c r="M154" s="5"/>
      <c r="N154" s="212"/>
      <c r="O154" s="5"/>
      <c r="P154" s="212"/>
      <c r="Q154" s="5"/>
      <c r="R154" s="212"/>
      <c r="S154" s="5"/>
      <c r="T154" s="212"/>
      <c r="U154" s="5"/>
      <c r="V154" s="212"/>
      <c r="W154" s="213"/>
      <c r="X154" s="212"/>
      <c r="Y154" s="213"/>
    </row>
    <row r="155" spans="1:26" x14ac:dyDescent="0.3">
      <c r="A155" s="241" t="s">
        <v>607</v>
      </c>
      <c r="B155" s="212"/>
      <c r="C155" s="5"/>
      <c r="D155" s="212"/>
      <c r="E155" s="5"/>
      <c r="F155" s="212"/>
      <c r="G155" s="5"/>
      <c r="H155" s="212"/>
      <c r="I155" s="5"/>
      <c r="J155" s="212"/>
      <c r="K155" s="5"/>
      <c r="L155" s="212"/>
      <c r="M155" s="5"/>
      <c r="N155" s="212"/>
      <c r="O155" s="5"/>
      <c r="P155" s="212"/>
      <c r="Q155" s="5"/>
      <c r="R155" s="212"/>
      <c r="S155" s="5"/>
      <c r="T155" s="212"/>
      <c r="U155" s="5"/>
      <c r="V155" s="212"/>
      <c r="W155" s="213"/>
      <c r="X155" s="212"/>
      <c r="Y155" s="213"/>
    </row>
    <row r="156" spans="1:26" x14ac:dyDescent="0.3">
      <c r="A156" s="239" t="s">
        <v>608</v>
      </c>
      <c r="B156" s="212"/>
      <c r="C156" s="5">
        <f>Excreted_N_after_losses_DK*'Parameters SH, country spec'!B79*44/28</f>
        <v>7.1077607250837245</v>
      </c>
      <c r="D156" s="212"/>
      <c r="E156" s="5">
        <f>Excreted_N_after_losses_FR*'Parameters SH, country spec'!C79*44/28</f>
        <v>11.68835226838142</v>
      </c>
      <c r="F156" s="212"/>
      <c r="G156" s="5">
        <f>Excreted_N_after_losses_DE*'Parameters SH, country spec'!D79*44/28</f>
        <v>7.104956529825901</v>
      </c>
      <c r="H156" s="212"/>
      <c r="I156" s="5">
        <f>Excreted_N_after_losses_GR*'Parameters SH, country spec'!E79*44/28</f>
        <v>8.9903743390489055</v>
      </c>
      <c r="J156" s="212"/>
      <c r="K156" s="5">
        <f>Excreted_N_after_losses_HU*'Parameters SH, country spec'!F79*44/28</f>
        <v>8.3167712869970298</v>
      </c>
      <c r="L156" s="212"/>
      <c r="M156" s="5">
        <f>Excreted_N_after_losses_IE*'Parameters SH, country spec'!G79*44/28</f>
        <v>10.901723974339118</v>
      </c>
      <c r="N156" s="212"/>
      <c r="O156" s="5">
        <f>Excreted_N_after_losses_IT*'Parameters SH, country spec'!H79*44/28</f>
        <v>7.2734155302062744</v>
      </c>
      <c r="P156" s="212"/>
      <c r="Q156" s="5">
        <f>Excreted_N_after_losses_NL*'Parameters SH, country spec'!I79*44/28</f>
        <v>7.3439332553137309</v>
      </c>
      <c r="R156" s="212"/>
      <c r="S156" s="5">
        <f>Excreted_N_after_losses_PL*'Parameters SH, country spec'!J79*44/28</f>
        <v>7.2589928817134819</v>
      </c>
      <c r="T156" s="212"/>
      <c r="U156" s="5">
        <f>Excreted_N_after_losses_ES*'Parameters SH, country spec'!K79*44/28</f>
        <v>11.940979352783671</v>
      </c>
      <c r="V156" s="212"/>
      <c r="W156" s="213">
        <f>Excreted_N_after_losses_SE*'Parameters SH, country spec'!J79*44/28</f>
        <v>8.84651855502565</v>
      </c>
      <c r="X156" s="212"/>
      <c r="Y156" s="213">
        <f>Excreted_N_after_losses_GB*'Parameters SH, country spec'!L79*44/28</f>
        <v>8.84651855502565</v>
      </c>
    </row>
    <row r="157" spans="1:26" x14ac:dyDescent="0.3">
      <c r="A157" s="239"/>
      <c r="B157" s="212"/>
      <c r="C157" s="5"/>
      <c r="D157" s="212"/>
      <c r="E157" s="5"/>
      <c r="F157" s="212"/>
      <c r="G157" s="5"/>
      <c r="H157" s="212"/>
      <c r="I157" s="5"/>
      <c r="J157" s="212"/>
      <c r="K157" s="5"/>
      <c r="L157" s="212"/>
      <c r="M157" s="5"/>
      <c r="N157" s="212"/>
      <c r="O157" s="5"/>
      <c r="P157" s="212"/>
      <c r="Q157" s="5"/>
      <c r="R157" s="212"/>
      <c r="S157" s="5"/>
      <c r="T157" s="212"/>
      <c r="U157" s="5"/>
      <c r="V157" s="212"/>
      <c r="W157" s="213"/>
      <c r="X157" s="212"/>
      <c r="Y157" s="213"/>
    </row>
    <row r="158" spans="1:26" x14ac:dyDescent="0.3">
      <c r="A158" s="241" t="s">
        <v>221</v>
      </c>
      <c r="B158" s="212"/>
      <c r="C158" s="5"/>
      <c r="D158" s="212"/>
      <c r="E158" s="5"/>
      <c r="F158" s="212"/>
      <c r="G158" s="5"/>
      <c r="H158" s="212"/>
      <c r="I158" s="5"/>
      <c r="J158" s="212"/>
      <c r="K158" s="5"/>
      <c r="L158" s="212"/>
      <c r="M158" s="5"/>
      <c r="N158" s="212"/>
      <c r="O158" s="5"/>
      <c r="P158" s="212"/>
      <c r="Q158" s="5"/>
      <c r="R158" s="212"/>
      <c r="S158" s="5"/>
      <c r="T158" s="212"/>
      <c r="U158" s="5"/>
      <c r="V158" s="212"/>
      <c r="W158" s="213"/>
      <c r="X158" s="212"/>
      <c r="Y158" s="213"/>
    </row>
    <row r="159" spans="1:26" x14ac:dyDescent="0.3">
      <c r="A159" s="239" t="s">
        <v>500</v>
      </c>
      <c r="B159" s="212"/>
      <c r="C159" s="5">
        <f>(C58+C82+C117+C131)*17/14</f>
        <v>467.98999093956849</v>
      </c>
      <c r="D159" s="212"/>
      <c r="E159" s="5">
        <f>(E58+E82+E117+E131)*17/14</f>
        <v>447.2295119406312</v>
      </c>
      <c r="F159" s="212"/>
      <c r="G159" s="5">
        <f>(G58+G82+G117+G131)*17/14</f>
        <v>516.73555150861228</v>
      </c>
      <c r="H159" s="212"/>
      <c r="I159" s="5">
        <f>(I58+I82+I117+I131)*17/14</f>
        <v>508.82259030323632</v>
      </c>
      <c r="J159" s="212"/>
      <c r="K159" s="5">
        <f>(K58+K82+K117+K131)*17/14</f>
        <v>538.36326237998639</v>
      </c>
      <c r="L159" s="212"/>
      <c r="M159" s="5">
        <f>(M58+M82+M117+M131)*17/14</f>
        <v>435.97081066147479</v>
      </c>
      <c r="N159" s="212"/>
      <c r="O159" s="5">
        <f>(O58+O82+O117+O131)*17/14</f>
        <v>738.5363402602851</v>
      </c>
      <c r="P159" s="212"/>
      <c r="Q159" s="5">
        <f>(Q58+Q82+Q117+Q131)*17/14</f>
        <v>303.35397885916279</v>
      </c>
      <c r="R159" s="212"/>
      <c r="S159" s="5">
        <f>(S58+S82+S117+S131)*17/14</f>
        <v>592.23025520440387</v>
      </c>
      <c r="T159" s="212"/>
      <c r="U159" s="5">
        <f>(U58+U82+U117+U131)*17/14</f>
        <v>364.01671800062076</v>
      </c>
      <c r="V159" s="212"/>
      <c r="W159" s="213">
        <f>(W58+W82+W117+W131)*17/14</f>
        <v>445.39078368191531</v>
      </c>
      <c r="X159" s="212"/>
      <c r="Y159" s="213">
        <f>(Y58+Y82+Y117+Y131)*17/14</f>
        <v>445.39078368191531</v>
      </c>
    </row>
    <row r="160" spans="1:26" x14ac:dyDescent="0.3">
      <c r="A160" s="245"/>
      <c r="B160" s="231"/>
      <c r="C160" s="232"/>
      <c r="D160" s="231"/>
      <c r="E160" s="232"/>
      <c r="F160" s="231"/>
      <c r="G160" s="232"/>
      <c r="H160" s="231"/>
      <c r="I160" s="232"/>
      <c r="J160" s="231"/>
      <c r="K160" s="232"/>
      <c r="L160" s="231"/>
      <c r="M160" s="232"/>
      <c r="N160" s="231"/>
      <c r="O160" s="232"/>
      <c r="P160" s="231"/>
      <c r="Q160" s="232"/>
      <c r="R160" s="231"/>
      <c r="S160" s="232"/>
      <c r="T160" s="231"/>
      <c r="U160" s="232"/>
      <c r="V160" s="231"/>
      <c r="W160" s="233"/>
      <c r="X160" s="231"/>
      <c r="Y160" s="233"/>
    </row>
    <row r="161" spans="1:24" x14ac:dyDescent="0.3">
      <c r="A161" s="181"/>
      <c r="B161" t="s">
        <v>40</v>
      </c>
      <c r="D161" t="s">
        <v>42</v>
      </c>
      <c r="F161" t="s">
        <v>44</v>
      </c>
      <c r="H161" t="s">
        <v>46</v>
      </c>
      <c r="J161" t="s">
        <v>48</v>
      </c>
      <c r="L161" t="s">
        <v>50</v>
      </c>
      <c r="N161" t="s">
        <v>52</v>
      </c>
      <c r="P161" t="s">
        <v>54</v>
      </c>
      <c r="R161" t="s">
        <v>56</v>
      </c>
      <c r="T161" t="s">
        <v>58</v>
      </c>
      <c r="V161" s="16" t="s">
        <v>60</v>
      </c>
      <c r="X161" s="16" t="s">
        <v>60</v>
      </c>
    </row>
    <row r="162" spans="1:24" x14ac:dyDescent="0.3">
      <c r="B162" s="175"/>
      <c r="C162" s="175"/>
      <c r="L162" s="182"/>
      <c r="M162" s="182"/>
    </row>
  </sheetData>
  <phoneticPr fontId="79" type="noConversion"/>
  <pageMargins left="0.7" right="0.7" top="0.75" bottom="0.75"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tabColor theme="4" tint="0.79998168889431442"/>
  </sheetPr>
  <dimension ref="A1:U221"/>
  <sheetViews>
    <sheetView zoomScale="80" zoomScaleNormal="90" workbookViewId="0">
      <selection activeCell="G22" sqref="G22"/>
    </sheetView>
  </sheetViews>
  <sheetFormatPr defaultColWidth="8.6640625" defaultRowHeight="14.4" x14ac:dyDescent="0.3"/>
  <cols>
    <col min="1" max="1" width="8.6640625" customWidth="1"/>
    <col min="2" max="2" width="30.44140625" customWidth="1"/>
    <col min="3" max="3" width="19" customWidth="1"/>
    <col min="4" max="4" width="12.6640625" customWidth="1"/>
    <col min="5" max="5" width="10.33203125" customWidth="1"/>
    <col min="6" max="6" width="12.6640625" style="15" customWidth="1"/>
    <col min="7" max="11" width="12.6640625" customWidth="1"/>
    <col min="12" max="12" width="14.33203125" customWidth="1"/>
    <col min="13" max="17" width="12.6640625" customWidth="1"/>
    <col min="18" max="18" width="8.88671875" customWidth="1"/>
    <col min="19" max="19" width="8.6640625" style="3"/>
  </cols>
  <sheetData>
    <row r="1" spans="1:21" x14ac:dyDescent="0.3">
      <c r="F1" s="6"/>
    </row>
    <row r="2" spans="1:21" ht="21" x14ac:dyDescent="0.4">
      <c r="A2" s="2" t="s">
        <v>222</v>
      </c>
      <c r="G2" t="s">
        <v>456</v>
      </c>
      <c r="R2" t="s">
        <v>223</v>
      </c>
    </row>
    <row r="3" spans="1:21" x14ac:dyDescent="0.3">
      <c r="I3" s="7"/>
      <c r="J3" s="7"/>
      <c r="K3" s="7"/>
      <c r="L3" s="7"/>
      <c r="M3" s="7"/>
      <c r="N3" s="7"/>
      <c r="O3" s="7"/>
      <c r="P3" s="7"/>
    </row>
    <row r="4" spans="1:21" ht="28.8" x14ac:dyDescent="0.3">
      <c r="A4" s="153" t="s">
        <v>224</v>
      </c>
      <c r="B4" s="145"/>
      <c r="C4" s="145"/>
      <c r="D4" s="145"/>
      <c r="E4" s="145"/>
      <c r="F4" s="296" t="s">
        <v>65</v>
      </c>
      <c r="G4" s="146" t="s">
        <v>66</v>
      </c>
      <c r="H4" s="147"/>
      <c r="I4" s="146" t="s">
        <v>67</v>
      </c>
      <c r="J4" s="95"/>
      <c r="K4" s="146" t="s">
        <v>68</v>
      </c>
      <c r="L4" s="95"/>
      <c r="M4" s="95"/>
      <c r="N4" s="95"/>
      <c r="O4" s="96" t="s">
        <v>69</v>
      </c>
      <c r="P4" s="96" t="s">
        <v>305</v>
      </c>
      <c r="Q4" s="148" t="s">
        <v>70</v>
      </c>
      <c r="R4" s="146" t="s">
        <v>225</v>
      </c>
      <c r="S4" s="354" t="s">
        <v>225</v>
      </c>
      <c r="T4" s="354" t="s">
        <v>225</v>
      </c>
      <c r="U4" s="354" t="s">
        <v>225</v>
      </c>
    </row>
    <row r="5" spans="1:21" ht="47.25" customHeight="1" x14ac:dyDescent="0.3">
      <c r="A5" s="89" t="s">
        <v>19</v>
      </c>
      <c r="B5" s="89" t="s">
        <v>224</v>
      </c>
      <c r="C5" s="89" t="s">
        <v>226</v>
      </c>
      <c r="D5" s="89" t="s">
        <v>22</v>
      </c>
      <c r="E5" s="149" t="s">
        <v>23</v>
      </c>
      <c r="F5" s="297"/>
      <c r="G5" s="90" t="s">
        <v>227</v>
      </c>
      <c r="H5" s="90" t="s">
        <v>76</v>
      </c>
      <c r="I5" s="90" t="s">
        <v>228</v>
      </c>
      <c r="J5" s="90" t="s">
        <v>229</v>
      </c>
      <c r="K5" s="90" t="s">
        <v>77</v>
      </c>
      <c r="L5" s="90" t="s">
        <v>78</v>
      </c>
      <c r="M5" s="90" t="s">
        <v>79</v>
      </c>
      <c r="N5" s="90" t="s">
        <v>80</v>
      </c>
      <c r="O5" s="90" t="s">
        <v>81</v>
      </c>
      <c r="P5" s="90" t="s">
        <v>305</v>
      </c>
      <c r="Q5" s="149" t="s">
        <v>230</v>
      </c>
      <c r="R5" s="90" t="s">
        <v>585</v>
      </c>
      <c r="S5" s="90" t="s">
        <v>643</v>
      </c>
      <c r="T5" s="90" t="s">
        <v>645</v>
      </c>
      <c r="U5" s="90" t="s">
        <v>644</v>
      </c>
    </row>
    <row r="6" spans="1:21" x14ac:dyDescent="0.3">
      <c r="B6" s="16" t="s">
        <v>299</v>
      </c>
      <c r="C6" s="15" t="s">
        <v>302</v>
      </c>
      <c r="D6" s="21" t="s">
        <v>90</v>
      </c>
      <c r="E6" s="21" t="s">
        <v>40</v>
      </c>
      <c r="F6" s="110">
        <f>SUM(G6:Q6)</f>
        <v>4.4308428633357926E-2</v>
      </c>
      <c r="G6" s="18">
        <f>'Forage crops, CF'!F8</f>
        <v>7.1853792860260158E-3</v>
      </c>
      <c r="H6" s="18">
        <f>'Forage crops, CF'!G8</f>
        <v>2.7E-2</v>
      </c>
      <c r="I6" s="18">
        <f>'Forage crops, CF'!H8</f>
        <v>0</v>
      </c>
      <c r="J6" s="18">
        <f>'Forage crops, CF'!I8</f>
        <v>0</v>
      </c>
      <c r="K6" s="18">
        <f>'Forage crops, CF'!J8</f>
        <v>1.012304934733191E-2</v>
      </c>
      <c r="L6" s="18">
        <f>'Forage crops, CF'!K8</f>
        <v>0</v>
      </c>
      <c r="M6" s="18">
        <f>'Forage crops, CF'!L8</f>
        <v>0</v>
      </c>
      <c r="N6" s="18">
        <f>'Forage crops, CF'!M8</f>
        <v>0</v>
      </c>
      <c r="O6" s="18">
        <f>'Forage crops, CF'!N8</f>
        <v>0</v>
      </c>
      <c r="P6" s="18">
        <f>'Forage crops, CF'!O8</f>
        <v>0</v>
      </c>
      <c r="Q6" s="18">
        <f>'Forage crops, CF'!P8</f>
        <v>0</v>
      </c>
      <c r="R6" s="151">
        <f>'Parameters SH, country spec'!B15</f>
        <v>1.3213875800981024E-2</v>
      </c>
      <c r="S6" s="151">
        <f>'Parameters SH, country spec'!B33</f>
        <v>1.3213875800981E-2</v>
      </c>
      <c r="T6" s="264">
        <f>'Parameters D24m, country spec'!B11</f>
        <v>1.3213875800981024E-2</v>
      </c>
      <c r="U6" s="151"/>
    </row>
    <row r="7" spans="1:21" x14ac:dyDescent="0.3">
      <c r="B7" s="16" t="s">
        <v>300</v>
      </c>
      <c r="C7" s="15" t="s">
        <v>302</v>
      </c>
      <c r="D7" s="21" t="s">
        <v>90</v>
      </c>
      <c r="E7" s="21" t="s">
        <v>40</v>
      </c>
      <c r="F7" s="318">
        <f>SUM(G7:Q7)</f>
        <v>9.8920344355526768E-2</v>
      </c>
      <c r="G7" s="18">
        <f>'Forage crops, CF'!F73</f>
        <v>9.4395684303457683E-3</v>
      </c>
      <c r="H7" s="18">
        <f>'Forage crops, CF'!G73</f>
        <v>2.7E-2</v>
      </c>
      <c r="I7" s="18">
        <f>'Forage crops, CF'!H73</f>
        <v>0</v>
      </c>
      <c r="J7" s="18">
        <f>'Forage crops, CF'!I73</f>
        <v>0</v>
      </c>
      <c r="K7" s="18">
        <f>'Forage crops, CF'!J73</f>
        <v>1.5780775925181002E-2</v>
      </c>
      <c r="L7" s="18">
        <f>'Forage crops, CF'!K73</f>
        <v>0</v>
      </c>
      <c r="M7" s="18">
        <f>'Forage crops, CF'!L73</f>
        <v>0</v>
      </c>
      <c r="N7" s="18">
        <f>'Forage crops, CF'!M73</f>
        <v>0</v>
      </c>
      <c r="O7" s="18">
        <f>'Forage crops, CF'!N73</f>
        <v>0</v>
      </c>
      <c r="P7" s="18">
        <f>'Forage crops, CF'!O73</f>
        <v>4.6700000000000005E-2</v>
      </c>
      <c r="Q7" s="18">
        <f>'Forage crops, CF'!P73</f>
        <v>0</v>
      </c>
      <c r="R7" s="151">
        <f>'Parameters SH, country spec'!B16</f>
        <v>0.2760369962266197</v>
      </c>
      <c r="S7" s="151">
        <f>'Parameters SH, country spec'!B34</f>
        <v>0.2760369962266197</v>
      </c>
      <c r="T7" s="264">
        <f>'Parameters D24m, country spec'!B12</f>
        <v>0.2760369962266197</v>
      </c>
    </row>
    <row r="8" spans="1:21" x14ac:dyDescent="0.3">
      <c r="B8" s="16" t="s">
        <v>301</v>
      </c>
      <c r="C8" s="15" t="s">
        <v>302</v>
      </c>
      <c r="D8" s="21" t="s">
        <v>90</v>
      </c>
      <c r="E8" s="21" t="s">
        <v>40</v>
      </c>
      <c r="F8" s="318">
        <f>SUM(G8:Q8)</f>
        <v>9.1005040208180149E-2</v>
      </c>
      <c r="G8" s="18">
        <f>'Forage crops, CF'!F138*'Forage, input data per ha'!$D$78+'Forage crops, CF'!F203*'Forage, input data per ha'!$E$78</f>
        <v>7.1820976717223654E-3</v>
      </c>
      <c r="H8" s="18">
        <f>'Forage crops, CF'!G138*'Forage, input data per ha'!$D$78+'Forage crops, CF'!G203*'Forage, input data per ha'!$E$78</f>
        <v>2.7E-2</v>
      </c>
      <c r="I8" s="18">
        <f>'Forage crops, CF'!H138*'Forage, input data per ha'!$D$78+'Forage crops, CF'!H203*'Forage, input data per ha'!$E$78</f>
        <v>0</v>
      </c>
      <c r="J8" s="18">
        <f>'Forage crops, CF'!I138*'Forage, input data per ha'!$D$78+'Forage crops, CF'!I203*'Forage, input data per ha'!$E$78</f>
        <v>0</v>
      </c>
      <c r="K8" s="18">
        <f>'Forage crops, CF'!J138*'Forage, input data per ha'!$D$78+'Forage crops, CF'!J203*'Forage, input data per ha'!$E$78</f>
        <v>1.0122942536457786E-2</v>
      </c>
      <c r="L8" s="18">
        <f>'Forage crops, CF'!K138*'Forage, input data per ha'!$D$78+'Forage crops, CF'!K203*'Forage, input data per ha'!$E$78</f>
        <v>0</v>
      </c>
      <c r="M8" s="18">
        <f>'Forage crops, CF'!L138*'Forage, input data per ha'!$D$78+'Forage crops, CF'!L203*'Forage, input data per ha'!$E$78</f>
        <v>0</v>
      </c>
      <c r="N8" s="18">
        <f>'Forage crops, CF'!M138*'Forage, input data per ha'!$D$78+'Forage crops, CF'!M203*'Forage, input data per ha'!$E$78</f>
        <v>0</v>
      </c>
      <c r="O8" s="18">
        <f>'Forage crops, CF'!N138*'Forage, input data per ha'!$D$78+'Forage crops, CF'!N203*'Forage, input data per ha'!$E$78</f>
        <v>0</v>
      </c>
      <c r="P8" s="18">
        <f>'Forage crops, CF'!O138*'Forage, input data per ha'!$D$78+'Forage crops, CF'!O203*'Forage, input data per ha'!$E$78</f>
        <v>4.6700000000000005E-2</v>
      </c>
      <c r="Q8" s="18">
        <f>'Forage crops, CF'!P138*'Forage, input data per ha'!$D$78+'Forage crops, CF'!P203*'Forage, input data per ha'!$E$78</f>
        <v>0</v>
      </c>
      <c r="R8" s="151">
        <f>'Parameters SH, country spec'!B17</f>
        <v>0.61590538837145792</v>
      </c>
      <c r="S8" s="151">
        <f>'Parameters SH, country spec'!B35</f>
        <v>0.61590538837145792</v>
      </c>
      <c r="T8" s="264">
        <f>'Parameters D24m, country spec'!B13</f>
        <v>0.61590538837145792</v>
      </c>
    </row>
    <row r="9" spans="1:21" x14ac:dyDescent="0.3">
      <c r="A9" s="20" t="s">
        <v>231</v>
      </c>
      <c r="B9" s="15" t="s">
        <v>113</v>
      </c>
      <c r="C9" s="15" t="s">
        <v>232</v>
      </c>
      <c r="D9" s="21" t="s">
        <v>90</v>
      </c>
      <c r="E9" s="21" t="s">
        <v>40</v>
      </c>
      <c r="F9" s="110">
        <f>SUM(G9:Q9)</f>
        <v>0.16400000000000001</v>
      </c>
      <c r="G9" s="254">
        <v>6.4000000000000001E-2</v>
      </c>
      <c r="H9" s="254">
        <v>2.7E-2</v>
      </c>
      <c r="I9" s="254">
        <v>0</v>
      </c>
      <c r="J9" s="254"/>
      <c r="K9" s="254">
        <v>3.3000000000000002E-2</v>
      </c>
      <c r="L9" s="254"/>
      <c r="M9" s="254">
        <v>0</v>
      </c>
      <c r="N9" s="254">
        <v>0.04</v>
      </c>
      <c r="O9" s="254"/>
      <c r="P9" s="254"/>
      <c r="R9" s="151">
        <f>'Parameters SH, country spec'!B18</f>
        <v>5.1639112390513857E-3</v>
      </c>
      <c r="S9" s="151">
        <f>'Parameters SH, country spec'!B36</f>
        <v>5.1639112390513857E-3</v>
      </c>
      <c r="T9" s="264">
        <f>'Parameters D24m, country spec'!B14</f>
        <v>5.1639112390513857E-3</v>
      </c>
    </row>
    <row r="10" spans="1:21" x14ac:dyDescent="0.3">
      <c r="A10" s="20" t="s">
        <v>233</v>
      </c>
      <c r="B10" s="15" t="s">
        <v>114</v>
      </c>
      <c r="C10" s="15" t="s">
        <v>232</v>
      </c>
      <c r="D10" s="21" t="s">
        <v>90</v>
      </c>
      <c r="E10" s="21" t="s">
        <v>40</v>
      </c>
      <c r="F10" s="110">
        <f>SUM(G10:Q10)</f>
        <v>0.161</v>
      </c>
      <c r="G10" s="254">
        <v>6.3E-2</v>
      </c>
      <c r="H10" s="254">
        <v>2.7E-2</v>
      </c>
      <c r="I10" s="254">
        <v>0</v>
      </c>
      <c r="J10" s="254"/>
      <c r="K10" s="254">
        <v>2.7E-2</v>
      </c>
      <c r="L10" s="254"/>
      <c r="M10" s="254">
        <v>4.0000000000000001E-3</v>
      </c>
      <c r="N10" s="254">
        <v>0.04</v>
      </c>
      <c r="O10" s="254"/>
      <c r="P10" s="254"/>
      <c r="R10" s="151">
        <f>'Parameters SH, country spec'!B19</f>
        <v>3.1075970320211814E-4</v>
      </c>
      <c r="S10" s="151">
        <f>'Parameters SH, country spec'!B37</f>
        <v>3.1075970320211814E-4</v>
      </c>
      <c r="T10" s="264">
        <f>'Parameters D24m, country spec'!B15</f>
        <v>3.1075970320211814E-4</v>
      </c>
    </row>
    <row r="11" spans="1:21" x14ac:dyDescent="0.3">
      <c r="A11" s="20" t="s">
        <v>234</v>
      </c>
      <c r="B11" s="15" t="s">
        <v>115</v>
      </c>
      <c r="C11" s="15" t="s">
        <v>232</v>
      </c>
      <c r="D11" s="21" t="s">
        <v>90</v>
      </c>
      <c r="E11" s="21" t="s">
        <v>40</v>
      </c>
      <c r="F11" s="110">
        <f t="shared" ref="F11:F19" si="0">SUM(G11:Q11)</f>
        <v>0.16200000000000001</v>
      </c>
      <c r="G11" s="254">
        <v>5.7000000000000002E-2</v>
      </c>
      <c r="H11" s="254">
        <v>2.7E-2</v>
      </c>
      <c r="I11" s="254">
        <v>0</v>
      </c>
      <c r="J11" s="254"/>
      <c r="K11" s="254">
        <v>3.7999999999999999E-2</v>
      </c>
      <c r="L11" s="254"/>
      <c r="M11" s="254">
        <v>0</v>
      </c>
      <c r="N11" s="254">
        <v>0.04</v>
      </c>
      <c r="O11" s="254"/>
      <c r="P11" s="254"/>
      <c r="R11" s="151">
        <f>'Parameters SH, country spec'!B20</f>
        <v>8.6733359151412953E-5</v>
      </c>
      <c r="S11" s="151">
        <f>'Parameters SH, country spec'!B38</f>
        <v>8.6733359151412953E-5</v>
      </c>
      <c r="T11" s="264">
        <f>'Parameters D24m, country spec'!B16</f>
        <v>8.6733359151412953E-5</v>
      </c>
    </row>
    <row r="12" spans="1:21" x14ac:dyDescent="0.3">
      <c r="A12" s="20" t="s">
        <v>235</v>
      </c>
      <c r="B12" s="15" t="s">
        <v>116</v>
      </c>
      <c r="C12" s="15" t="s">
        <v>232</v>
      </c>
      <c r="D12" s="21" t="s">
        <v>90</v>
      </c>
      <c r="E12" s="21" t="s">
        <v>40</v>
      </c>
      <c r="F12" s="110">
        <f t="shared" si="0"/>
        <v>0.14799999999999999</v>
      </c>
      <c r="G12" s="254">
        <v>0.05</v>
      </c>
      <c r="H12" s="254">
        <v>2.7E-2</v>
      </c>
      <c r="I12" s="254">
        <v>0</v>
      </c>
      <c r="J12" s="254"/>
      <c r="K12" s="254">
        <v>3.1E-2</v>
      </c>
      <c r="L12" s="254"/>
      <c r="M12" s="254">
        <v>0</v>
      </c>
      <c r="N12" s="254">
        <v>0.04</v>
      </c>
      <c r="O12" s="254"/>
      <c r="P12" s="254"/>
      <c r="R12" s="151">
        <f>'Parameters SH, country spec'!B21</f>
        <v>6.2924072151971947E-5</v>
      </c>
      <c r="S12" s="151">
        <f>'Parameters SH, country spec'!B39</f>
        <v>6.2924072151971947E-5</v>
      </c>
      <c r="T12" s="264">
        <f>'Parameters D24m, country spec'!B17</f>
        <v>6.2924072151971947E-5</v>
      </c>
    </row>
    <row r="13" spans="1:21" x14ac:dyDescent="0.3">
      <c r="A13" s="20" t="s">
        <v>236</v>
      </c>
      <c r="B13" s="15" t="s">
        <v>117</v>
      </c>
      <c r="C13" s="15" t="s">
        <v>232</v>
      </c>
      <c r="D13" s="21" t="s">
        <v>90</v>
      </c>
      <c r="E13" s="21" t="s">
        <v>40</v>
      </c>
      <c r="F13" s="110">
        <f t="shared" si="0"/>
        <v>0.16600000000000001</v>
      </c>
      <c r="G13" s="254">
        <v>7.3999999999999996E-2</v>
      </c>
      <c r="H13" s="254">
        <v>2.7E-2</v>
      </c>
      <c r="I13" s="254">
        <v>0</v>
      </c>
      <c r="J13" s="254"/>
      <c r="K13" s="254">
        <v>2.5000000000000001E-2</v>
      </c>
      <c r="L13" s="254"/>
      <c r="M13" s="254">
        <v>0</v>
      </c>
      <c r="N13" s="254">
        <v>0.04</v>
      </c>
      <c r="O13" s="254"/>
      <c r="P13" s="254"/>
      <c r="R13" s="151">
        <f>'Parameters SH, country spec'!B22</f>
        <v>5.3306026591199238E-3</v>
      </c>
      <c r="S13" s="151">
        <f>'Parameters SH, country spec'!B40</f>
        <v>5.3306026591199238E-3</v>
      </c>
      <c r="T13" s="264">
        <f>'Parameters D24m, country spec'!B18</f>
        <v>5.3306026591199238E-3</v>
      </c>
    </row>
    <row r="14" spans="1:21" x14ac:dyDescent="0.3">
      <c r="A14" s="20" t="s">
        <v>237</v>
      </c>
      <c r="B14" s="15" t="s">
        <v>118</v>
      </c>
      <c r="C14" s="15" t="s">
        <v>238</v>
      </c>
      <c r="D14" s="21" t="s">
        <v>90</v>
      </c>
      <c r="E14" s="21" t="s">
        <v>40</v>
      </c>
      <c r="F14" s="110">
        <f t="shared" si="0"/>
        <v>0.11199999999999999</v>
      </c>
      <c r="G14" s="254">
        <v>0</v>
      </c>
      <c r="H14" s="254">
        <v>2.7E-2</v>
      </c>
      <c r="I14" s="254">
        <v>0</v>
      </c>
      <c r="J14" s="254"/>
      <c r="K14" s="254">
        <v>4.4999999999999998E-2</v>
      </c>
      <c r="L14" s="254"/>
      <c r="M14" s="254">
        <v>0</v>
      </c>
      <c r="N14" s="254">
        <v>0.04</v>
      </c>
      <c r="O14" s="254"/>
      <c r="P14" s="254"/>
      <c r="R14" s="151">
        <f>'Parameters SH, country spec'!B23</f>
        <v>2.439015630520557E-4</v>
      </c>
      <c r="S14" s="151">
        <f>'Parameters SH, country spec'!B41</f>
        <v>2.439015630520557E-4</v>
      </c>
      <c r="T14" s="264">
        <f>'Parameters D24m, country spec'!B19</f>
        <v>2.439015630520557E-4</v>
      </c>
    </row>
    <row r="15" spans="1:21" x14ac:dyDescent="0.3">
      <c r="A15" s="20" t="s">
        <v>239</v>
      </c>
      <c r="B15" s="15" t="s">
        <v>119</v>
      </c>
      <c r="C15" s="15" t="s">
        <v>238</v>
      </c>
      <c r="D15" s="21" t="s">
        <v>90</v>
      </c>
      <c r="E15" s="21" t="s">
        <v>40</v>
      </c>
      <c r="F15" s="110">
        <f t="shared" si="0"/>
        <v>0.126</v>
      </c>
      <c r="G15" s="254">
        <v>3.0000000000000001E-3</v>
      </c>
      <c r="H15" s="254">
        <v>2.7E-2</v>
      </c>
      <c r="I15" s="254">
        <v>0</v>
      </c>
      <c r="J15" s="254"/>
      <c r="K15" s="254">
        <v>4.7E-2</v>
      </c>
      <c r="L15" s="254"/>
      <c r="M15" s="254">
        <v>8.9999999999999993E-3</v>
      </c>
      <c r="N15" s="254">
        <v>0.04</v>
      </c>
      <c r="O15" s="254"/>
      <c r="P15" s="254"/>
      <c r="R15" s="151">
        <f>'Parameters SH, country spec'!B24</f>
        <v>2.3959170998341588E-4</v>
      </c>
      <c r="S15" s="151">
        <f>'Parameters SH, country spec'!B42</f>
        <v>2.3959170998341588E-4</v>
      </c>
      <c r="T15" s="264">
        <f>'Parameters D24m, country spec'!B20</f>
        <v>2.3959170998341588E-4</v>
      </c>
    </row>
    <row r="16" spans="1:21" x14ac:dyDescent="0.3">
      <c r="B16" s="16" t="s">
        <v>120</v>
      </c>
      <c r="C16" s="15" t="s">
        <v>240</v>
      </c>
      <c r="D16" s="21" t="s">
        <v>90</v>
      </c>
      <c r="E16" s="21" t="s">
        <v>40</v>
      </c>
      <c r="F16" s="110">
        <f>SUM(G16:P16)</f>
        <v>0.26008755742228495</v>
      </c>
      <c r="G16" s="18">
        <f>'Off-farm feed'!$F$74</f>
        <v>0.15910156565543246</v>
      </c>
      <c r="H16" s="18">
        <f>'Off-farm feed'!$G$74</f>
        <v>1.3034482758620692E-2</v>
      </c>
      <c r="I16" s="18">
        <f>'Off-farm feed'!$H$74</f>
        <v>0</v>
      </c>
      <c r="J16" s="18"/>
      <c r="K16" s="18">
        <f>'Off-farm feed'!$J$74</f>
        <v>2.4688740026345454E-2</v>
      </c>
      <c r="L16" s="18"/>
      <c r="M16" s="294">
        <f>'Off-farm feed'!$L$74</f>
        <v>1.931759303794134E-4</v>
      </c>
      <c r="N16" s="18">
        <f>'Off-farm feed'!$M$74</f>
        <v>3.6802128767029069E-2</v>
      </c>
      <c r="O16" s="18">
        <f>'Off-farm feed'!$N$74</f>
        <v>0</v>
      </c>
      <c r="P16" s="18">
        <f>'Off-farm feed'!$O$74</f>
        <v>2.6267464284477883E-2</v>
      </c>
      <c r="Q16" s="18">
        <f>'Off-farm feed'!$P$74</f>
        <v>1.6199999999999999E-2</v>
      </c>
      <c r="R16" s="151">
        <f>'Parameters SH, country spec'!B25</f>
        <v>1.5312279516773717E-2</v>
      </c>
      <c r="S16" s="151">
        <f>'Parameters SH, country spec'!B43</f>
        <v>1.5312279516773717E-2</v>
      </c>
      <c r="T16" s="264">
        <f>'Parameters D24m, country spec'!B21</f>
        <v>1.5312279516773717E-2</v>
      </c>
    </row>
    <row r="17" spans="1:21" x14ac:dyDescent="0.3">
      <c r="B17" s="16" t="s">
        <v>241</v>
      </c>
      <c r="C17" s="15" t="s">
        <v>240</v>
      </c>
      <c r="D17" s="21" t="s">
        <v>90</v>
      </c>
      <c r="E17" s="21" t="s">
        <v>40</v>
      </c>
      <c r="F17" s="110">
        <f>SUM(G17:P17)</f>
        <v>0.45511717059976015</v>
      </c>
      <c r="G17" s="18">
        <f>'Off-farm feed'!$F$23</f>
        <v>7.2632670993098931E-3</v>
      </c>
      <c r="H17" s="18">
        <f>'Off-farm feed'!$G$23</f>
        <v>2.1402439024390246E-2</v>
      </c>
      <c r="I17" s="18">
        <f>'Off-farm feed'!$H$23</f>
        <v>0</v>
      </c>
      <c r="J17" s="18"/>
      <c r="K17" s="18">
        <f>'Off-farm feed'!$J$23</f>
        <v>4.308361966433235E-2</v>
      </c>
      <c r="L17" s="18"/>
      <c r="M17" s="294">
        <f>'Off-farm feed'!$L$23</f>
        <v>1.7842060425123844E-4</v>
      </c>
      <c r="N17" s="18">
        <f>'Off-farm feed'!$M$23</f>
        <v>3.0432604948959403E-2</v>
      </c>
      <c r="O17" s="18">
        <f>'Off-farm feed'!$N$23</f>
        <v>0.31761120248475611</v>
      </c>
      <c r="P17" s="18">
        <f>'Off-farm feed'!$O$23</f>
        <v>3.5145616773760872E-2</v>
      </c>
      <c r="Q17" s="18">
        <f>'Off-farm feed'!$P$23</f>
        <v>0.251</v>
      </c>
      <c r="R17" s="151">
        <f>'Parameters SH, country spec'!B26</f>
        <v>3.7726798982461625E-2</v>
      </c>
      <c r="S17" s="151">
        <f>'Parameters SH, country spec'!B44</f>
        <v>3.7726798982461625E-2</v>
      </c>
      <c r="T17" s="264">
        <f>'Parameters D24m, country spec'!B22</f>
        <v>3.7726798982461625E-2</v>
      </c>
    </row>
    <row r="18" spans="1:21" x14ac:dyDescent="0.3">
      <c r="B18" s="15" t="s">
        <v>122</v>
      </c>
      <c r="C18" s="15" t="s">
        <v>242</v>
      </c>
      <c r="D18" s="21" t="s">
        <v>90</v>
      </c>
      <c r="E18" s="21" t="s">
        <v>40</v>
      </c>
      <c r="F18" s="110"/>
      <c r="G18" s="98"/>
      <c r="H18" s="6"/>
      <c r="I18" s="97"/>
      <c r="J18" s="6"/>
      <c r="K18" s="98"/>
      <c r="L18" s="6"/>
      <c r="M18" s="6"/>
      <c r="N18" s="98"/>
      <c r="O18" s="6"/>
      <c r="P18" s="6"/>
      <c r="Q18" s="6"/>
      <c r="R18" s="151">
        <f>'Parameters SH, country spec'!B27</f>
        <v>1.6611298610472246E-2</v>
      </c>
      <c r="S18" s="151">
        <f>'Parameters SH, country spec'!B45</f>
        <v>1.6611298610472246E-2</v>
      </c>
      <c r="T18" s="264">
        <f>'Parameters D24m, country spec'!B23</f>
        <v>1.6611298610472246E-2</v>
      </c>
    </row>
    <row r="19" spans="1:21" x14ac:dyDescent="0.3">
      <c r="A19" s="75"/>
      <c r="B19" s="15" t="s">
        <v>243</v>
      </c>
      <c r="C19" s="76" t="s">
        <v>244</v>
      </c>
      <c r="D19" s="21" t="s">
        <v>90</v>
      </c>
      <c r="E19" s="21" t="s">
        <v>40</v>
      </c>
      <c r="F19" s="110">
        <f t="shared" si="0"/>
        <v>3.2732795753753041E-2</v>
      </c>
      <c r="G19" s="73">
        <f>SUMPRODUCT(G9:G17,$R9:$R17)</f>
        <v>3.4635690202689745E-3</v>
      </c>
      <c r="H19" s="73">
        <f t="shared" ref="H19:P19" si="1">SUMPRODUCT(H9:H17,$R9:$R17)</f>
        <v>1.3158706144183623E-3</v>
      </c>
      <c r="I19" s="73">
        <f t="shared" si="1"/>
        <v>0</v>
      </c>
      <c r="J19" s="73">
        <f t="shared" si="1"/>
        <v>0</v>
      </c>
      <c r="K19" s="73">
        <f t="shared" si="1"/>
        <v>2.342995490657637E-3</v>
      </c>
      <c r="L19" s="73">
        <f t="shared" si="1"/>
        <v>0</v>
      </c>
      <c r="M19" s="73">
        <f t="shared" si="1"/>
        <v>1.3088566315457423E-5</v>
      </c>
      <c r="N19" s="73">
        <f t="shared" si="1"/>
        <v>2.1691862241435978E-3</v>
      </c>
      <c r="O19" s="73">
        <f t="shared" si="1"/>
        <v>1.198245399072031E-2</v>
      </c>
      <c r="P19" s="73">
        <f t="shared" si="1"/>
        <v>1.7281463744591038E-3</v>
      </c>
      <c r="Q19" s="73">
        <f>SUMPRODUCT(Q9:Q17,$R9:$R17)</f>
        <v>9.7174854727696026E-3</v>
      </c>
      <c r="R19" s="151">
        <f>'Parameters SH, country spec'!B28</f>
        <v>1.3754938185521381E-2</v>
      </c>
      <c r="S19" s="151">
        <f>'Parameters SH, country spec'!B46</f>
        <v>1.3754938185521381E-2</v>
      </c>
      <c r="T19" s="264">
        <f>'Parameters D24m, country spec'!B24</f>
        <v>1.3754938185521381E-2</v>
      </c>
    </row>
    <row r="20" spans="1:21" x14ac:dyDescent="0.3">
      <c r="A20" s="328"/>
      <c r="B20" s="329" t="s">
        <v>616</v>
      </c>
      <c r="C20" s="330"/>
      <c r="D20" s="331"/>
      <c r="E20" s="331"/>
      <c r="F20" s="332">
        <f>SUMPRODUCT(F6:F8,R6:R8)+SUMPRODUCT(F9:F19,R9:R19)/0.87</f>
        <v>0.11091354952332977</v>
      </c>
      <c r="G20" s="332">
        <f>SUMPRODUCT(G6:G8,R6:R8)+SUMPRODUCT(G9:G19,R9:R19)/0.87</f>
        <v>1.1159983271335912E-2</v>
      </c>
      <c r="H20" s="332">
        <f>SUMPRODUCT(H6:H8,R6:R8)+SUMPRODUCT(H9:H19,R9:R19)/0.87</f>
        <v>2.5972518264544504E-2</v>
      </c>
      <c r="I20" s="332">
        <f>SUMPRODUCT(I6:I8,R6:R8)+SUMPRODUCT(I9:I19,R9:R19)/0.87</f>
        <v>0</v>
      </c>
      <c r="J20" s="332">
        <f>SUMPRODUCT(J6:J8,R6:R8)+SUMPRODUCT(J9:J19,R9:R19)/0.87</f>
        <v>0</v>
      </c>
      <c r="K20" s="332">
        <f>SUMPRODUCT(K6:K8,R6:R8)+SUMPRODUCT(K9:K19,R9:R19)/0.87</f>
        <v>1.3454759220982182E-2</v>
      </c>
      <c r="L20" s="332">
        <f>SUMPRODUCT(L6:L8,R6:R8)+SUMPRODUCT(L9:L19,R9:R19)/0.87</f>
        <v>0</v>
      </c>
      <c r="M20" s="332">
        <f>SUMPRODUCT(M6:M8,R6:R8)+SUMPRODUCT(M9:M19,R9:R19)/0.87</f>
        <v>1.5251262915015676E-5</v>
      </c>
      <c r="N20" s="332">
        <f>SUMPRODUCT(N6:N8,R6:R8)+SUMPRODUCT(N9:N19,R9:R19)/0.87</f>
        <v>2.5276129270914685E-3</v>
      </c>
      <c r="O20" s="332">
        <f>SUMPRODUCT(O6:O8,R6:R8)+SUMPRODUCT(O9:O19,R9:R19)/0.87</f>
        <v>1.3962381499624737E-2</v>
      </c>
      <c r="P20" s="332">
        <f>SUMPRODUCT(P6:P8,R6:R8)+SUMPRODUCT(P9:P19,R9:R19)/0.87</f>
        <v>4.3667406971092664E-2</v>
      </c>
      <c r="Q20" s="332">
        <f>SUMPRODUCT(Q6:Q8,R6:R8)+SUMPRODUCT(Q9:Q19,R9:R19)/0.87</f>
        <v>1.1323159637662356E-2</v>
      </c>
      <c r="R20" s="335"/>
      <c r="S20" s="335"/>
      <c r="T20" s="335"/>
      <c r="U20" s="335"/>
    </row>
    <row r="21" spans="1:21" x14ac:dyDescent="0.3">
      <c r="A21" s="150"/>
      <c r="B21" s="23" t="s">
        <v>457</v>
      </c>
      <c r="C21" s="24"/>
      <c r="D21" s="94"/>
      <c r="E21" s="94"/>
      <c r="F21" s="327">
        <f>SUMPRODUCT(F6:F8,S6:S8)+SUMPRODUCT(F9:F19,S9:S19)/0.87</f>
        <v>0.11091354952332977</v>
      </c>
      <c r="G21" s="327">
        <f>SUMPRODUCT(G6:G8,S6:S8)+SUMPRODUCT(G9:G19,S9:S19)/0.87</f>
        <v>1.1159983271335912E-2</v>
      </c>
      <c r="H21" s="327">
        <f>SUMPRODUCT(H6:H8,S6:S8)+SUMPRODUCT(H9:H19,S9:S19)/0.87</f>
        <v>2.5972518264544504E-2</v>
      </c>
      <c r="I21" s="327">
        <f>SUMPRODUCT(I6:I8,S6:S8)+SUMPRODUCT(I9:I19,S9:S19)/0.87</f>
        <v>0</v>
      </c>
      <c r="J21" s="327">
        <f>SUMPRODUCT(J6:J8,S6:S8)+SUMPRODUCT(J9:J19,S9:S19)/0.87</f>
        <v>0</v>
      </c>
      <c r="K21" s="327">
        <f>SUMPRODUCT(K6:K8,S6:S8)+SUMPRODUCT(K9:K19,S9:S19)/0.87</f>
        <v>1.3454759220982182E-2</v>
      </c>
      <c r="L21" s="327">
        <f>SUMPRODUCT(L6:L8,S6:S8)+SUMPRODUCT(L9:L19,S9:S19)/0.87</f>
        <v>0</v>
      </c>
      <c r="M21" s="327">
        <f>SUMPRODUCT(M6:M8,S6:S8)+SUMPRODUCT(M9:M19,S9:S19)/0.87</f>
        <v>1.5251262915015676E-5</v>
      </c>
      <c r="N21" s="327">
        <f>SUMPRODUCT(N6:N8,S6:S8)+SUMPRODUCT(N9:N19,S9:S19)/0.87</f>
        <v>2.5276129270914685E-3</v>
      </c>
      <c r="O21" s="327">
        <f>SUMPRODUCT(O6:O8,S6:S8)+SUMPRODUCT(O9:O19,S9:S19)/0.87</f>
        <v>1.3962381499624737E-2</v>
      </c>
      <c r="P21" s="327">
        <f>SUMPRODUCT(P6:P8,S6:S8)+SUMPRODUCT(P9:P19,S9:S19)/0.87</f>
        <v>4.3667406971092664E-2</v>
      </c>
      <c r="Q21" s="327">
        <f>SUMPRODUCT(Q6:Q8,S6:S8)+SUMPRODUCT(Q9:Q19,S9:S19)/0.87</f>
        <v>1.1323159637662356E-2</v>
      </c>
      <c r="R21" s="152"/>
      <c r="S21" s="152"/>
      <c r="T21" s="152"/>
      <c r="U21" s="152"/>
    </row>
    <row r="22" spans="1:21" x14ac:dyDescent="0.3">
      <c r="A22" s="328"/>
      <c r="B22" s="329" t="s">
        <v>641</v>
      </c>
      <c r="C22" s="330"/>
      <c r="D22" s="331"/>
      <c r="E22" s="331"/>
      <c r="F22" s="332">
        <f>SUMPRODUCT(F6:F8,$T6:$T8)+SUMPRODUCT(F9:F19,$T9:$T19)/0.87</f>
        <v>0.11091354952332977</v>
      </c>
      <c r="G22" s="332">
        <f t="shared" ref="G22:Q22" si="2">SUMPRODUCT(G6:G8,$T6:$T8)+SUMPRODUCT(G9:G19,$T9:$T19)/0.87</f>
        <v>1.1159983271335912E-2</v>
      </c>
      <c r="H22" s="332">
        <f t="shared" si="2"/>
        <v>2.5972518264544504E-2</v>
      </c>
      <c r="I22" s="332">
        <f t="shared" si="2"/>
        <v>0</v>
      </c>
      <c r="J22" s="332">
        <f t="shared" si="2"/>
        <v>0</v>
      </c>
      <c r="K22" s="332">
        <f t="shared" si="2"/>
        <v>1.3454759220982182E-2</v>
      </c>
      <c r="L22" s="332">
        <f t="shared" si="2"/>
        <v>0</v>
      </c>
      <c r="M22" s="332">
        <f t="shared" si="2"/>
        <v>1.5251262915015676E-5</v>
      </c>
      <c r="N22" s="332">
        <f t="shared" si="2"/>
        <v>2.5276129270914685E-3</v>
      </c>
      <c r="O22" s="332">
        <f t="shared" si="2"/>
        <v>1.3962381499624737E-2</v>
      </c>
      <c r="P22" s="332">
        <f>SUMPRODUCT(P6:P8,$T6:$T8)+SUMPRODUCT(P9:P19,$T9:$T19)/0.87</f>
        <v>4.3667406971092664E-2</v>
      </c>
      <c r="Q22" s="332">
        <f t="shared" si="2"/>
        <v>1.1323159637662356E-2</v>
      </c>
      <c r="R22" s="335"/>
      <c r="S22" s="335"/>
      <c r="T22" s="335"/>
      <c r="U22" s="335"/>
    </row>
    <row r="23" spans="1:21" x14ac:dyDescent="0.3">
      <c r="A23" s="150"/>
      <c r="B23" s="23" t="s">
        <v>642</v>
      </c>
      <c r="C23" s="24"/>
      <c r="D23" s="94"/>
      <c r="E23" s="94"/>
      <c r="F23" s="327">
        <f>SUMPRODUCT(F6:F8,$U6:$U8)+SUMPRODUCT(F9:F19,$U9:$U19)/0.87</f>
        <v>0</v>
      </c>
      <c r="G23" s="327">
        <f t="shared" ref="G23:Q23" si="3">SUMPRODUCT(G6:G8,$U6:$U8)+SUMPRODUCT(G9:G19,$U9:$U19)/0.87</f>
        <v>0</v>
      </c>
      <c r="H23" s="327">
        <f t="shared" si="3"/>
        <v>0</v>
      </c>
      <c r="I23" s="327">
        <f t="shared" si="3"/>
        <v>0</v>
      </c>
      <c r="J23" s="327">
        <f t="shared" si="3"/>
        <v>0</v>
      </c>
      <c r="K23" s="327">
        <f t="shared" si="3"/>
        <v>0</v>
      </c>
      <c r="L23" s="327">
        <f>SUMPRODUCT(L6:L8,$U6:$U8)+SUMPRODUCT(L9:L19,$U9:$U19)/0.87</f>
        <v>0</v>
      </c>
      <c r="M23" s="327">
        <f t="shared" si="3"/>
        <v>0</v>
      </c>
      <c r="N23" s="327">
        <f t="shared" si="3"/>
        <v>0</v>
      </c>
      <c r="O23" s="327">
        <f t="shared" si="3"/>
        <v>0</v>
      </c>
      <c r="P23" s="327">
        <f t="shared" si="3"/>
        <v>0</v>
      </c>
      <c r="Q23" s="327">
        <f t="shared" si="3"/>
        <v>0</v>
      </c>
      <c r="R23" s="152"/>
      <c r="S23" s="152"/>
      <c r="T23" s="152"/>
      <c r="U23" s="152"/>
    </row>
    <row r="24" spans="1:21" x14ac:dyDescent="0.3">
      <c r="B24" s="16" t="s">
        <v>299</v>
      </c>
      <c r="C24" s="15" t="s">
        <v>302</v>
      </c>
      <c r="D24" s="21" t="s">
        <v>41</v>
      </c>
      <c r="E24" s="21" t="s">
        <v>42</v>
      </c>
      <c r="F24" s="110">
        <f>SUM(G24:Q24)</f>
        <v>5.868003361745662E-2</v>
      </c>
      <c r="G24" s="18">
        <f>'Forage crops, CF'!F13</f>
        <v>1.8033196435898471E-2</v>
      </c>
      <c r="H24" s="18">
        <f>'Forage crops, CF'!G13</f>
        <v>2.7E-2</v>
      </c>
      <c r="I24" s="18">
        <f>'Forage crops, CF'!H13</f>
        <v>0</v>
      </c>
      <c r="J24" s="18">
        <f>'Forage crops, CF'!I13</f>
        <v>0</v>
      </c>
      <c r="K24" s="18">
        <f>'Forage crops, CF'!J13</f>
        <v>1.3104747288322258E-2</v>
      </c>
      <c r="L24" s="18">
        <f>'Forage crops, CF'!K13</f>
        <v>0</v>
      </c>
      <c r="M24" s="18">
        <f>'Forage crops, CF'!L13</f>
        <v>5.4208989323589914E-4</v>
      </c>
      <c r="N24" s="18">
        <f>'Forage crops, CF'!M13</f>
        <v>0</v>
      </c>
      <c r="O24" s="18">
        <f>'Forage crops, CF'!N13</f>
        <v>0</v>
      </c>
      <c r="P24" s="18">
        <f>'Forage crops, CF'!O13</f>
        <v>0</v>
      </c>
      <c r="Q24" s="18">
        <f>'Forage crops, CF'!P13</f>
        <v>0</v>
      </c>
      <c r="R24" s="151">
        <f>'Parameters SH, country spec'!C15</f>
        <v>0.18889688285610365</v>
      </c>
      <c r="S24" s="151">
        <f>'Parameters SH, country spec'!C33</f>
        <v>0.18889688285610365</v>
      </c>
      <c r="T24" s="264">
        <f>'Parameters D24m, country spec'!C11</f>
        <v>0.18889688285610365</v>
      </c>
    </row>
    <row r="25" spans="1:21" x14ac:dyDescent="0.3">
      <c r="B25" s="16" t="s">
        <v>300</v>
      </c>
      <c r="C25" s="15" t="s">
        <v>302</v>
      </c>
      <c r="D25" s="21" t="s">
        <v>41</v>
      </c>
      <c r="E25" s="21" t="s">
        <v>42</v>
      </c>
      <c r="F25" s="318">
        <f>SUM(G25:Q25)</f>
        <v>0.10896977720496381</v>
      </c>
      <c r="G25" s="18">
        <f>'Forage crops, CF'!F78</f>
        <v>1.8290244595307845E-2</v>
      </c>
      <c r="H25" s="18">
        <f>'Forage crops, CF'!G78</f>
        <v>2.7E-2</v>
      </c>
      <c r="I25" s="18">
        <f>'Forage crops, CF'!H78</f>
        <v>0</v>
      </c>
      <c r="J25" s="18">
        <f>'Forage crops, CF'!I78</f>
        <v>0</v>
      </c>
      <c r="K25" s="18">
        <f>'Forage crops, CF'!J78</f>
        <v>1.6437442716420066E-2</v>
      </c>
      <c r="L25" s="18">
        <f>'Forage crops, CF'!K78</f>
        <v>0</v>
      </c>
      <c r="M25" s="18">
        <f>'Forage crops, CF'!L78</f>
        <v>5.4208989323589914E-4</v>
      </c>
      <c r="N25" s="18">
        <f>'Forage crops, CF'!M78</f>
        <v>0</v>
      </c>
      <c r="O25" s="18">
        <f>'Forage crops, CF'!N78</f>
        <v>0</v>
      </c>
      <c r="P25" s="18">
        <f>'Forage crops, CF'!O78</f>
        <v>4.6700000000000005E-2</v>
      </c>
      <c r="Q25" s="18">
        <f>'Forage crops, CF'!P78</f>
        <v>0</v>
      </c>
      <c r="R25" s="151">
        <f>'Parameters SH, country spec'!C16</f>
        <v>0.36965765773619236</v>
      </c>
      <c r="S25" s="151">
        <f>'Parameters SH, country spec'!C34</f>
        <v>0.36965765773619236</v>
      </c>
      <c r="T25" s="264">
        <f>'Parameters D24m, country spec'!C12</f>
        <v>0.36965765773619236</v>
      </c>
    </row>
    <row r="26" spans="1:21" x14ac:dyDescent="0.3">
      <c r="B26" s="16" t="s">
        <v>301</v>
      </c>
      <c r="C26" s="15" t="s">
        <v>302</v>
      </c>
      <c r="D26" s="21" t="s">
        <v>41</v>
      </c>
      <c r="E26" s="21" t="s">
        <v>42</v>
      </c>
      <c r="F26" s="318">
        <f>SUM(G26:Q26)</f>
        <v>0.10366137846294303</v>
      </c>
      <c r="G26" s="18">
        <f>'Forage crops, CF'!F143*'Forage, input data per ha'!$D$79+'Forage crops, CF'!F208*'Forage, input data per ha'!$E$79</f>
        <v>1.6340525210420186E-2</v>
      </c>
      <c r="H26" s="18">
        <f>'Forage crops, CF'!G143*'Forage, input data per ha'!$D$79+'Forage crops, CF'!G208*'Forage, input data per ha'!$E$79</f>
        <v>2.7E-2</v>
      </c>
      <c r="I26" s="18">
        <f>'Forage crops, CF'!H143*'Forage, input data per ha'!$D$79+'Forage crops, CF'!H208*'Forage, input data per ha'!$E$79</f>
        <v>0</v>
      </c>
      <c r="J26" s="18">
        <f>'Forage crops, CF'!I143*'Forage, input data per ha'!$D$79+'Forage crops, CF'!I208*'Forage, input data per ha'!$E$79</f>
        <v>0</v>
      </c>
      <c r="K26" s="18">
        <f>'Forage crops, CF'!J143*'Forage, input data per ha'!$D$79+'Forage crops, CF'!J208*'Forage, input data per ha'!$E$79</f>
        <v>1.3078763359286942E-2</v>
      </c>
      <c r="L26" s="18">
        <f>'Forage crops, CF'!K143*'Forage, input data per ha'!$D$79+'Forage crops, CF'!K208*'Forage, input data per ha'!$E$79</f>
        <v>0</v>
      </c>
      <c r="M26" s="18">
        <f>'Forage crops, CF'!L143*'Forage, input data per ha'!$D$79+'Forage crops, CF'!L208*'Forage, input data per ha'!$E$79</f>
        <v>5.4208989323589914E-4</v>
      </c>
      <c r="N26" s="18">
        <f>'Forage crops, CF'!M143*'Forage, input data per ha'!$D$79+'Forage crops, CF'!M208*'Forage, input data per ha'!$E$79</f>
        <v>0</v>
      </c>
      <c r="O26" s="18">
        <f>'Forage crops, CF'!N143*'Forage, input data per ha'!$D$79+'Forage crops, CF'!N208*'Forage, input data per ha'!$E$79</f>
        <v>0</v>
      </c>
      <c r="P26" s="18">
        <f>'Forage crops, CF'!O143*'Forage, input data per ha'!$D$79+'Forage crops, CF'!O208*'Forage, input data per ha'!$E$79</f>
        <v>4.6700000000000005E-2</v>
      </c>
      <c r="Q26" s="18">
        <f>'Forage crops, CF'!P143*'Forage, input data per ha'!$D$79+'Forage crops, CF'!P208*'Forage, input data per ha'!$E$79</f>
        <v>0</v>
      </c>
      <c r="R26" s="151">
        <f>'Parameters SH, country spec'!C17</f>
        <v>0.23243726980023638</v>
      </c>
      <c r="S26" s="151">
        <f>'Parameters SH, country spec'!C35</f>
        <v>0.23243726980023638</v>
      </c>
      <c r="T26" s="264">
        <f>'Parameters D24m, country spec'!C13</f>
        <v>0.23243726980023638</v>
      </c>
    </row>
    <row r="27" spans="1:21" x14ac:dyDescent="0.3">
      <c r="A27" s="20" t="s">
        <v>231</v>
      </c>
      <c r="B27" s="15" t="s">
        <v>113</v>
      </c>
      <c r="C27" s="15" t="s">
        <v>232</v>
      </c>
      <c r="D27" s="21" t="s">
        <v>41</v>
      </c>
      <c r="E27" s="21" t="s">
        <v>42</v>
      </c>
      <c r="F27" s="110">
        <f>SUM(G27:Q27)</f>
        <v>0.17100000000000001</v>
      </c>
      <c r="G27" s="72">
        <v>7.9000000000000001E-2</v>
      </c>
      <c r="H27" s="12">
        <v>2.7E-2</v>
      </c>
      <c r="I27" s="14">
        <v>0</v>
      </c>
      <c r="J27" s="12"/>
      <c r="K27" s="72">
        <v>0.03</v>
      </c>
      <c r="L27" s="12"/>
      <c r="M27" s="12">
        <v>0</v>
      </c>
      <c r="N27" s="72">
        <v>3.5000000000000003E-2</v>
      </c>
      <c r="O27" s="12"/>
      <c r="P27" s="12"/>
      <c r="R27" s="151">
        <f>'Parameters SH, country spec'!C18</f>
        <v>9.8050025013408561E-3</v>
      </c>
      <c r="S27" s="151">
        <f>'Parameters SH, country spec'!C36</f>
        <v>9.8050025013408561E-3</v>
      </c>
      <c r="T27" s="264">
        <f>'Parameters D24m, country spec'!C14</f>
        <v>9.8050025013408561E-3</v>
      </c>
    </row>
    <row r="28" spans="1:21" x14ac:dyDescent="0.3">
      <c r="A28" s="20" t="s">
        <v>233</v>
      </c>
      <c r="B28" s="15" t="s">
        <v>114</v>
      </c>
      <c r="C28" s="15" t="s">
        <v>232</v>
      </c>
      <c r="D28" s="21" t="s">
        <v>41</v>
      </c>
      <c r="E28" s="21" t="s">
        <v>42</v>
      </c>
      <c r="F28" s="110">
        <f t="shared" ref="F28:F37" si="4">SUM(G28:Q28)</f>
        <v>0.16600000000000001</v>
      </c>
      <c r="G28" s="72">
        <v>7.6999999999999999E-2</v>
      </c>
      <c r="H28" s="12">
        <v>2.7E-2</v>
      </c>
      <c r="I28" s="14">
        <v>0</v>
      </c>
      <c r="J28" s="12"/>
      <c r="K28" s="72">
        <v>0.02</v>
      </c>
      <c r="L28" s="12"/>
      <c r="M28" s="12">
        <v>7.0000000000000001E-3</v>
      </c>
      <c r="N28" s="72">
        <v>3.5000000000000003E-2</v>
      </c>
      <c r="O28" s="12"/>
      <c r="P28" s="12"/>
      <c r="R28" s="151">
        <f>'Parameters SH, country spec'!C19</f>
        <v>1.6126916347682995E-2</v>
      </c>
      <c r="S28" s="151">
        <f>'Parameters SH, country spec'!C37</f>
        <v>1.6126916347682995E-2</v>
      </c>
      <c r="T28" s="264">
        <f>'Parameters D24m, country spec'!C15</f>
        <v>1.6126916347682995E-2</v>
      </c>
    </row>
    <row r="29" spans="1:21" x14ac:dyDescent="0.3">
      <c r="A29" s="20" t="s">
        <v>234</v>
      </c>
      <c r="B29" s="15" t="s">
        <v>115</v>
      </c>
      <c r="C29" s="15" t="s">
        <v>232</v>
      </c>
      <c r="D29" s="21" t="s">
        <v>41</v>
      </c>
      <c r="E29" s="21" t="s">
        <v>42</v>
      </c>
      <c r="F29" s="110">
        <f t="shared" si="4"/>
        <v>0.17700000000000002</v>
      </c>
      <c r="G29" s="72">
        <v>7.0000000000000007E-2</v>
      </c>
      <c r="H29" s="12">
        <v>2.7E-2</v>
      </c>
      <c r="I29" s="14">
        <v>0</v>
      </c>
      <c r="J29" s="12"/>
      <c r="K29" s="72">
        <v>4.1000000000000002E-2</v>
      </c>
      <c r="L29" s="12"/>
      <c r="M29" s="12">
        <v>4.0000000000000001E-3</v>
      </c>
      <c r="N29" s="72">
        <v>3.5000000000000003E-2</v>
      </c>
      <c r="O29" s="12"/>
      <c r="P29" s="12"/>
      <c r="R29" s="151">
        <f>'Parameters SH, country spec'!C20</f>
        <v>1.1110741938309403E-3</v>
      </c>
      <c r="S29" s="151">
        <f>'Parameters SH, country spec'!C38</f>
        <v>1.1110741938309403E-3</v>
      </c>
      <c r="T29" s="264">
        <f>'Parameters D24m, country spec'!C16</f>
        <v>1.1110741938309403E-3</v>
      </c>
    </row>
    <row r="30" spans="1:21" x14ac:dyDescent="0.3">
      <c r="A30" s="20" t="s">
        <v>235</v>
      </c>
      <c r="B30" s="15" t="s">
        <v>116</v>
      </c>
      <c r="C30" s="15" t="s">
        <v>232</v>
      </c>
      <c r="D30" s="21" t="s">
        <v>41</v>
      </c>
      <c r="E30" s="21" t="s">
        <v>42</v>
      </c>
      <c r="F30" s="110">
        <f t="shared" si="4"/>
        <v>0.16500000000000001</v>
      </c>
      <c r="G30" s="72">
        <v>6.2E-2</v>
      </c>
      <c r="H30" s="12">
        <v>2.7E-2</v>
      </c>
      <c r="I30" s="12">
        <v>0</v>
      </c>
      <c r="J30" s="12"/>
      <c r="K30" s="72">
        <v>4.1000000000000002E-2</v>
      </c>
      <c r="L30" s="12"/>
      <c r="M30" s="12">
        <v>0</v>
      </c>
      <c r="N30" s="72">
        <v>3.5000000000000003E-2</v>
      </c>
      <c r="O30" s="12"/>
      <c r="P30" s="12"/>
      <c r="R30" s="151">
        <f>'Parameters SH, country spec'!C21</f>
        <v>1.7062794715375247E-4</v>
      </c>
      <c r="S30" s="151">
        <f>'Parameters SH, country spec'!C39</f>
        <v>1.7062794715375247E-4</v>
      </c>
      <c r="T30" s="264">
        <f>'Parameters D24m, country spec'!C17</f>
        <v>1.7062794715375247E-4</v>
      </c>
    </row>
    <row r="31" spans="1:21" x14ac:dyDescent="0.3">
      <c r="A31" s="20" t="s">
        <v>236</v>
      </c>
      <c r="B31" s="15" t="s">
        <v>117</v>
      </c>
      <c r="C31" s="15" t="s">
        <v>232</v>
      </c>
      <c r="D31" s="21" t="s">
        <v>41</v>
      </c>
      <c r="E31" s="21" t="s">
        <v>42</v>
      </c>
      <c r="F31" s="110">
        <f t="shared" si="4"/>
        <v>0.18</v>
      </c>
      <c r="G31" s="72">
        <v>9.0999999999999998E-2</v>
      </c>
      <c r="H31" s="12">
        <v>2.7E-2</v>
      </c>
      <c r="I31" s="12">
        <v>0</v>
      </c>
      <c r="J31" s="12"/>
      <c r="K31" s="72">
        <v>2.7E-2</v>
      </c>
      <c r="L31" s="12"/>
      <c r="M31" s="12">
        <v>0</v>
      </c>
      <c r="N31" s="72">
        <v>3.5000000000000003E-2</v>
      </c>
      <c r="O31" s="12"/>
      <c r="P31" s="12"/>
      <c r="R31" s="151">
        <f>'Parameters SH, country spec'!C22</f>
        <v>2.3886940717374589E-2</v>
      </c>
      <c r="S31" s="151">
        <f>'Parameters SH, country spec'!C40</f>
        <v>2.3886940717374589E-2</v>
      </c>
      <c r="T31" s="264">
        <f>'Parameters D24m, country spec'!C18</f>
        <v>2.3886940717374589E-2</v>
      </c>
    </row>
    <row r="32" spans="1:21" x14ac:dyDescent="0.3">
      <c r="A32" s="20" t="s">
        <v>237</v>
      </c>
      <c r="B32" s="15" t="s">
        <v>118</v>
      </c>
      <c r="C32" s="15" t="s">
        <v>238</v>
      </c>
      <c r="D32" s="21" t="s">
        <v>41</v>
      </c>
      <c r="E32" s="21" t="s">
        <v>42</v>
      </c>
      <c r="F32" s="110">
        <f t="shared" si="4"/>
        <v>0.115</v>
      </c>
      <c r="G32" s="72">
        <v>0</v>
      </c>
      <c r="H32" s="12">
        <v>2.7E-2</v>
      </c>
      <c r="I32" s="14">
        <v>0</v>
      </c>
      <c r="J32" s="12"/>
      <c r="K32" s="72">
        <v>5.0999999999999997E-2</v>
      </c>
      <c r="L32" s="14"/>
      <c r="M32" s="12">
        <v>2E-3</v>
      </c>
      <c r="N32" s="72">
        <v>3.5000000000000003E-2</v>
      </c>
      <c r="O32" s="12"/>
      <c r="P32" s="12"/>
      <c r="R32" s="151">
        <f>'Parameters SH, country spec'!C23</f>
        <v>0</v>
      </c>
      <c r="S32" s="151">
        <f>'Parameters SH, country spec'!C41</f>
        <v>0</v>
      </c>
      <c r="T32" s="264">
        <f>'Parameters D24m, country spec'!C19</f>
        <v>0</v>
      </c>
    </row>
    <row r="33" spans="1:21" x14ac:dyDescent="0.3">
      <c r="A33" s="20" t="s">
        <v>239</v>
      </c>
      <c r="B33" s="15" t="s">
        <v>119</v>
      </c>
      <c r="C33" s="15" t="s">
        <v>238</v>
      </c>
      <c r="D33" s="21" t="s">
        <v>41</v>
      </c>
      <c r="E33" s="21" t="s">
        <v>42</v>
      </c>
      <c r="F33" s="110">
        <f t="shared" si="4"/>
        <v>0.13800000000000001</v>
      </c>
      <c r="G33" s="72">
        <v>4.0000000000000001E-3</v>
      </c>
      <c r="H33" s="12">
        <v>2.7E-2</v>
      </c>
      <c r="I33" s="14">
        <v>0</v>
      </c>
      <c r="J33" s="12"/>
      <c r="K33" s="72">
        <v>6.9000000000000006E-2</v>
      </c>
      <c r="L33" s="12"/>
      <c r="M33" s="12">
        <v>3.0000000000000001E-3</v>
      </c>
      <c r="N33" s="72">
        <v>3.5000000000000003E-2</v>
      </c>
      <c r="O33" s="12"/>
      <c r="P33" s="12"/>
      <c r="R33" s="151">
        <f>'Parameters SH, country spec'!C24</f>
        <v>0</v>
      </c>
      <c r="S33" s="151">
        <f>'Parameters SH, country spec'!C42</f>
        <v>0</v>
      </c>
      <c r="T33" s="264">
        <f>'Parameters D24m, country spec'!C20</f>
        <v>0</v>
      </c>
    </row>
    <row r="34" spans="1:21" x14ac:dyDescent="0.3">
      <c r="B34" s="16" t="s">
        <v>120</v>
      </c>
      <c r="C34" s="15" t="s">
        <v>240</v>
      </c>
      <c r="D34" s="21" t="s">
        <v>41</v>
      </c>
      <c r="E34" s="21" t="s">
        <v>42</v>
      </c>
      <c r="F34" s="110">
        <f t="shared" si="4"/>
        <v>0.27628755742228495</v>
      </c>
      <c r="G34" s="18">
        <f>'Off-farm feed'!$F$74</f>
        <v>0.15910156565543246</v>
      </c>
      <c r="H34" s="18">
        <f>'Off-farm feed'!$G$74</f>
        <v>1.3034482758620692E-2</v>
      </c>
      <c r="I34" s="18">
        <f>'Off-farm feed'!$H$74</f>
        <v>0</v>
      </c>
      <c r="J34" s="18"/>
      <c r="K34" s="18">
        <f>'Off-farm feed'!$J$74</f>
        <v>2.4688740026345454E-2</v>
      </c>
      <c r="L34" s="18"/>
      <c r="M34" s="294">
        <f>'Off-farm feed'!$L$74</f>
        <v>1.931759303794134E-4</v>
      </c>
      <c r="N34" s="18">
        <f>'Off-farm feed'!$M$74</f>
        <v>3.6802128767029069E-2</v>
      </c>
      <c r="O34" s="18">
        <f>'Off-farm feed'!$N$74</f>
        <v>0</v>
      </c>
      <c r="P34" s="18">
        <f>'Off-farm feed'!$O$74</f>
        <v>2.6267464284477883E-2</v>
      </c>
      <c r="Q34" s="18">
        <f>'Off-farm feed'!$P$74</f>
        <v>1.6199999999999999E-2</v>
      </c>
      <c r="R34" s="151">
        <f>'Parameters SH, country spec'!C25</f>
        <v>3.0917251771110446E-2</v>
      </c>
      <c r="S34" s="151">
        <f>'Parameters SH, country spec'!C43</f>
        <v>3.0917251771110446E-2</v>
      </c>
      <c r="T34" s="264">
        <f>'Parameters D24m, country spec'!C21</f>
        <v>3.0917251771110446E-2</v>
      </c>
    </row>
    <row r="35" spans="1:21" x14ac:dyDescent="0.3">
      <c r="B35" s="16" t="s">
        <v>241</v>
      </c>
      <c r="C35" s="15" t="s">
        <v>240</v>
      </c>
      <c r="D35" s="21" t="s">
        <v>41</v>
      </c>
      <c r="E35" s="21" t="s">
        <v>42</v>
      </c>
      <c r="F35" s="110">
        <f t="shared" si="4"/>
        <v>0.7061171705997602</v>
      </c>
      <c r="G35" s="18">
        <f>'Off-farm feed'!$F$23</f>
        <v>7.2632670993098931E-3</v>
      </c>
      <c r="H35" s="18">
        <f>'Off-farm feed'!$G$23</f>
        <v>2.1402439024390246E-2</v>
      </c>
      <c r="I35" s="18">
        <f>'Off-farm feed'!$H$23</f>
        <v>0</v>
      </c>
      <c r="J35" s="18"/>
      <c r="K35" s="18">
        <f>'Off-farm feed'!$J$23</f>
        <v>4.308361966433235E-2</v>
      </c>
      <c r="L35" s="18"/>
      <c r="M35" s="294">
        <f>'Off-farm feed'!$L$23</f>
        <v>1.7842060425123844E-4</v>
      </c>
      <c r="N35" s="18">
        <f>'Off-farm feed'!$M$23</f>
        <v>3.0432604948959403E-2</v>
      </c>
      <c r="O35" s="18">
        <f>'Off-farm feed'!$N$23</f>
        <v>0.31761120248475611</v>
      </c>
      <c r="P35" s="18">
        <f>'Off-farm feed'!$O$23</f>
        <v>3.5145616773760872E-2</v>
      </c>
      <c r="Q35" s="18">
        <f>'Off-farm feed'!$P$23</f>
        <v>0.251</v>
      </c>
      <c r="R35" s="151">
        <f>'Parameters SH, country spec'!C26</f>
        <v>2.7855163642864746E-2</v>
      </c>
      <c r="S35" s="151">
        <f>'Parameters SH, country spec'!C44</f>
        <v>2.7855163642864746E-2</v>
      </c>
      <c r="T35" s="264">
        <f>'Parameters D24m, country spec'!C22</f>
        <v>2.7855163642864746E-2</v>
      </c>
    </row>
    <row r="36" spans="1:21" x14ac:dyDescent="0.3">
      <c r="B36" s="15" t="s">
        <v>122</v>
      </c>
      <c r="C36" s="15" t="s">
        <v>242</v>
      </c>
      <c r="D36" s="21" t="s">
        <v>41</v>
      </c>
      <c r="E36" s="21" t="s">
        <v>42</v>
      </c>
      <c r="F36" s="110"/>
      <c r="G36" s="98"/>
      <c r="H36" s="6"/>
      <c r="I36" s="97"/>
      <c r="J36" s="6"/>
      <c r="K36" s="98"/>
      <c r="L36" s="6"/>
      <c r="M36" s="6"/>
      <c r="N36" s="98"/>
      <c r="O36" s="6"/>
      <c r="P36" s="6"/>
      <c r="Q36" s="6"/>
      <c r="R36" s="151">
        <f>'Parameters SH, country spec'!C27</f>
        <v>5.6499694118849607E-2</v>
      </c>
      <c r="S36" s="151">
        <f>'Parameters SH, country spec'!C45</f>
        <v>5.6499694118849607E-2</v>
      </c>
      <c r="T36" s="264">
        <f>'Parameters D24m, country spec'!C23</f>
        <v>5.6499694118849607E-2</v>
      </c>
    </row>
    <row r="37" spans="1:21" x14ac:dyDescent="0.3">
      <c r="A37" s="75"/>
      <c r="B37" s="15" t="s">
        <v>243</v>
      </c>
      <c r="C37" s="76" t="s">
        <v>244</v>
      </c>
      <c r="D37" s="21" t="s">
        <v>41</v>
      </c>
      <c r="E37" s="21" t="s">
        <v>42</v>
      </c>
      <c r="F37" s="110">
        <f t="shared" si="4"/>
        <v>3.7089247926303415E-2</v>
      </c>
      <c r="G37" s="73">
        <f>SUMPRODUCT(G27:G35,$R27:$R35)</f>
        <v>9.3997361441302812E-3</v>
      </c>
      <c r="H37" s="73">
        <f t="shared" ref="H37:P37" si="5">SUMPRODUCT(H27:H35,$R27:$R35)</f>
        <v>2.3788739926346434E-3</v>
      </c>
      <c r="I37" s="73">
        <f t="shared" si="5"/>
        <v>0</v>
      </c>
      <c r="J37" s="73">
        <f t="shared" si="5"/>
        <v>0</v>
      </c>
      <c r="K37" s="73">
        <f>SUMPRODUCT(K27:K35,$R27:$R35)</f>
        <v>3.2775948565263091E-3</v>
      </c>
      <c r="L37" s="73">
        <f t="shared" si="5"/>
        <v>0</v>
      </c>
      <c r="M37" s="73">
        <f t="shared" si="5"/>
        <v>1.2827511521344061E-4</v>
      </c>
      <c r="N37" s="73">
        <f t="shared" si="5"/>
        <v>3.7740455314933942E-3</v>
      </c>
      <c r="O37" s="73">
        <f t="shared" si="5"/>
        <v>8.8471120200199309E-3</v>
      </c>
      <c r="P37" s="73">
        <f t="shared" si="5"/>
        <v>1.7911047132343756E-3</v>
      </c>
      <c r="Q37" s="73">
        <f>SUMPRODUCT(Q27:Q35,$R27:$R35)</f>
        <v>7.4925055530510407E-3</v>
      </c>
      <c r="R37" s="151">
        <f>'Parameters SH, country spec'!C28</f>
        <v>4.2635518367259616E-2</v>
      </c>
      <c r="S37" s="151">
        <f>'Parameters SH, country spec'!C46</f>
        <v>4.2635518367259616E-2</v>
      </c>
      <c r="T37" s="264">
        <f>'Parameters D24m, country spec'!C24</f>
        <v>4.2635518367259616E-2</v>
      </c>
    </row>
    <row r="38" spans="1:21" x14ac:dyDescent="0.3">
      <c r="A38" s="328"/>
      <c r="B38" s="329" t="s">
        <v>616</v>
      </c>
      <c r="C38" s="330"/>
      <c r="D38" s="331"/>
      <c r="E38" s="331"/>
      <c r="F38" s="332">
        <f>SUMPRODUCT(F24:F26,R24:R26)+SUMPRODUCT(F27:F37,R27:R37)/0.87</f>
        <v>0.11990968369469363</v>
      </c>
      <c r="G38" s="332">
        <f>SUMPRODUCT(G24:G26,R24:R26)+SUMPRODUCT(G27:G37,R27:R37)/0.87</f>
        <v>2.5230631749876088E-2</v>
      </c>
      <c r="H38" s="332">
        <f>SUMPRODUCT(H24:H26,R24:R26)+SUMPRODUCT(H27:H37,R27:R37)/0.87</f>
        <v>2.4207696717886897E-2</v>
      </c>
      <c r="I38" s="332">
        <f>SUMPRODUCT(I24:I26,R24:R26)+SUMPRODUCT(I27:I37,R27:R37)/0.87</f>
        <v>0</v>
      </c>
      <c r="J38" s="332">
        <f>SUMPRODUCT(J24:J26,R24:R26)+SUMPRODUCT(J27:J37,R27:R37)/0.87</f>
        <v>0</v>
      </c>
      <c r="K38" s="332">
        <f>SUMPRODUCT(K24:K26,R24:R26)+SUMPRODUCT(K27:K37,R27:R37)/0.87</f>
        <v>1.5519637882095054E-2</v>
      </c>
      <c r="L38" s="332">
        <f>SUMPRODUCT(L24:L26,R24:R26)+SUMPRODUCT(L27:L37,R27:R37)/0.87</f>
        <v>0</v>
      </c>
      <c r="M38" s="332">
        <f>SUMPRODUCT(M24:M26,R24:R26)+SUMPRODUCT(M27:M37,R27:R37)/0.87</f>
        <v>5.8251762149924536E-4</v>
      </c>
      <c r="N38" s="332">
        <f>SUMPRODUCT(N24:N26,R24:R26)+SUMPRODUCT(N27:N37,R27:R37)/0.87</f>
        <v>4.5229355391612118E-3</v>
      </c>
      <c r="O38" s="332">
        <f>SUMPRODUCT(O24:O26,R24:R26)+SUMPRODUCT(O27:O37,R27:R37)/0.87</f>
        <v>1.0602658881662867E-2</v>
      </c>
      <c r="P38" s="332">
        <f>SUMPRODUCT(P24:P26,R24:R26)+SUMPRODUCT(P27:P37,R27:R37)/0.87</f>
        <v>3.0264349657483595E-2</v>
      </c>
      <c r="Q38" s="332">
        <f>SUMPRODUCT(Q24:Q26,R24:R26)+SUMPRODUCT(Q27:Q37,R27:R37)/0.87</f>
        <v>8.9792556450286696E-3</v>
      </c>
      <c r="R38" s="335"/>
      <c r="S38" s="336"/>
      <c r="T38" s="336"/>
      <c r="U38" s="336"/>
    </row>
    <row r="39" spans="1:21" x14ac:dyDescent="0.3">
      <c r="A39" s="150"/>
      <c r="B39" s="23" t="s">
        <v>457</v>
      </c>
      <c r="C39" s="24"/>
      <c r="D39" s="94"/>
      <c r="E39" s="94"/>
      <c r="F39" s="327">
        <f>SUMPRODUCT(F24:F26,S24:S26)+SUMPRODUCT(F27:F37,S27:S37)/0.87</f>
        <v>0.11990968369469363</v>
      </c>
      <c r="G39" s="327">
        <f>SUMPRODUCT(G24:G26,S24:S26)+SUMPRODUCT(G27:G37,S27:S37)/0.87</f>
        <v>2.5230631749876088E-2</v>
      </c>
      <c r="H39" s="327">
        <f>SUMPRODUCT(H24:H26,S24:S26)+SUMPRODUCT(H27:H37,S27:S37)/0.87</f>
        <v>2.4207696717886897E-2</v>
      </c>
      <c r="I39" s="327">
        <f>SUMPRODUCT(I24:I26,S24:S26)+SUMPRODUCT(I27:I37,S27:S37)/0.87</f>
        <v>0</v>
      </c>
      <c r="J39" s="327">
        <f>SUMPRODUCT(J24:J26,S24:S26)+SUMPRODUCT(J27:J37,S27:S37)/0.87</f>
        <v>0</v>
      </c>
      <c r="K39" s="327">
        <f>SUMPRODUCT(K24:K26,S24:S26)+SUMPRODUCT(K27:K37,S27:S37)/0.87</f>
        <v>1.5519637882095054E-2</v>
      </c>
      <c r="L39" s="327">
        <f>SUMPRODUCT(L24:L26,S24:S26)+SUMPRODUCT(L27:L37,S27:S37)/0.87</f>
        <v>0</v>
      </c>
      <c r="M39" s="327">
        <f>SUMPRODUCT(M24:M26,S24:S26)+SUMPRODUCT(M27:M37,S27:S37)/0.87</f>
        <v>5.8251762149924536E-4</v>
      </c>
      <c r="N39" s="327">
        <f>SUMPRODUCT(N24:N26,S24:S26)+SUMPRODUCT(N27:N37,S27:S37)/0.87</f>
        <v>4.5229355391612118E-3</v>
      </c>
      <c r="O39" s="327">
        <f>SUMPRODUCT(O24:O26,S24:S26)+SUMPRODUCT(O27:O37,S27:S37)/0.87</f>
        <v>1.0602658881662867E-2</v>
      </c>
      <c r="P39" s="327">
        <f>SUMPRODUCT(P24:P26,S24:S26)+SUMPRODUCT(P27:P37,S27:S37)/0.87</f>
        <v>3.0264349657483595E-2</v>
      </c>
      <c r="Q39" s="327">
        <f>SUMPRODUCT(Q24:Q26,S24:S26)+SUMPRODUCT(Q27:Q37,S27:S37)/0.87</f>
        <v>8.9792556450286696E-3</v>
      </c>
      <c r="R39" s="152"/>
      <c r="S39" s="152"/>
      <c r="T39" s="152"/>
      <c r="U39" s="152"/>
    </row>
    <row r="40" spans="1:21" x14ac:dyDescent="0.3">
      <c r="A40" s="328"/>
      <c r="B40" s="329" t="s">
        <v>641</v>
      </c>
      <c r="C40" s="330"/>
      <c r="D40" s="331"/>
      <c r="E40" s="331"/>
      <c r="F40" s="332">
        <f>SUMPRODUCT(F24:F26,$T24:$T26)+SUMPRODUCT(F27:F37,$T27:$T37)/0.87</f>
        <v>0.11990968369469363</v>
      </c>
      <c r="G40" s="332">
        <f t="shared" ref="G40:O40" si="6">SUMPRODUCT(G24:G26,$T24:$T26)+SUMPRODUCT(G27:G37,$T27:$T37)/0.87</f>
        <v>2.5230631749876088E-2</v>
      </c>
      <c r="H40" s="332">
        <f t="shared" si="6"/>
        <v>2.4207696717886897E-2</v>
      </c>
      <c r="I40" s="332">
        <f t="shared" si="6"/>
        <v>0</v>
      </c>
      <c r="J40" s="332">
        <f t="shared" si="6"/>
        <v>0</v>
      </c>
      <c r="K40" s="332">
        <f t="shared" si="6"/>
        <v>1.5519637882095054E-2</v>
      </c>
      <c r="L40" s="332">
        <f t="shared" si="6"/>
        <v>0</v>
      </c>
      <c r="M40" s="332">
        <f t="shared" si="6"/>
        <v>5.8251762149924536E-4</v>
      </c>
      <c r="N40" s="332">
        <f t="shared" si="6"/>
        <v>4.5229355391612118E-3</v>
      </c>
      <c r="O40" s="332">
        <f t="shared" si="6"/>
        <v>1.0602658881662867E-2</v>
      </c>
      <c r="P40" s="332">
        <f>SUMPRODUCT(P24:P26,$T24:$T26)+SUMPRODUCT(P27:P37,$T27:$T37)/0.87</f>
        <v>3.0264349657483595E-2</v>
      </c>
      <c r="Q40" s="332">
        <f t="shared" ref="Q40" si="7">SUMPRODUCT(Q24:Q26,$T24:$T26)+SUMPRODUCT(Q27:Q37,$T27:$T37)/0.87</f>
        <v>8.9792556450286696E-3</v>
      </c>
      <c r="R40" s="335"/>
      <c r="S40" s="335"/>
      <c r="T40" s="335"/>
      <c r="U40" s="335"/>
    </row>
    <row r="41" spans="1:21" x14ac:dyDescent="0.3">
      <c r="A41" s="150"/>
      <c r="B41" s="23" t="s">
        <v>642</v>
      </c>
      <c r="C41" s="24"/>
      <c r="D41" s="94"/>
      <c r="E41" s="94"/>
      <c r="F41" s="327">
        <f>SUMPRODUCT(F24:F26,$U24:$U26)+SUMPRODUCT(F27:F37,$U27:$U37)/0.87</f>
        <v>0</v>
      </c>
      <c r="G41" s="327">
        <f t="shared" ref="G41:K41" si="8">SUMPRODUCT(G24:G26,$U24:$U26)+SUMPRODUCT(G27:G37,$U27:$U37)/0.87</f>
        <v>0</v>
      </c>
      <c r="H41" s="327">
        <f t="shared" si="8"/>
        <v>0</v>
      </c>
      <c r="I41" s="327">
        <f t="shared" si="8"/>
        <v>0</v>
      </c>
      <c r="J41" s="327">
        <f t="shared" si="8"/>
        <v>0</v>
      </c>
      <c r="K41" s="327">
        <f t="shared" si="8"/>
        <v>0</v>
      </c>
      <c r="L41" s="327">
        <f>SUMPRODUCT(L24:L26,$U24:$U26)+SUMPRODUCT(L27:L37,$U27:$U37)/0.87</f>
        <v>0</v>
      </c>
      <c r="M41" s="327">
        <f t="shared" ref="M41:Q41" si="9">SUMPRODUCT(M24:M26,$U24:$U26)+SUMPRODUCT(M27:M37,$U27:$U37)/0.87</f>
        <v>0</v>
      </c>
      <c r="N41" s="327">
        <f t="shared" si="9"/>
        <v>0</v>
      </c>
      <c r="O41" s="327">
        <f t="shared" si="9"/>
        <v>0</v>
      </c>
      <c r="P41" s="327">
        <f t="shared" si="9"/>
        <v>0</v>
      </c>
      <c r="Q41" s="327">
        <f t="shared" si="9"/>
        <v>0</v>
      </c>
      <c r="R41" s="152"/>
      <c r="S41" s="152"/>
      <c r="T41" s="152"/>
      <c r="U41" s="152"/>
    </row>
    <row r="42" spans="1:21" x14ac:dyDescent="0.3">
      <c r="B42" s="16" t="s">
        <v>299</v>
      </c>
      <c r="C42" s="15" t="s">
        <v>302</v>
      </c>
      <c r="D42" s="21" t="s">
        <v>43</v>
      </c>
      <c r="E42" s="21" t="s">
        <v>44</v>
      </c>
      <c r="F42" s="110">
        <f>SUM(G42:Q42)</f>
        <v>6.1305371870698483E-2</v>
      </c>
      <c r="G42" s="18">
        <f>'Forage crops, CF'!F18</f>
        <v>2.1132412362766816E-2</v>
      </c>
      <c r="H42" s="18">
        <f>'Forage crops, CF'!G18</f>
        <v>2.7E-2</v>
      </c>
      <c r="I42" s="18">
        <f>'Forage crops, CF'!H18</f>
        <v>0</v>
      </c>
      <c r="J42" s="18">
        <f>'Forage crops, CF'!I18</f>
        <v>0</v>
      </c>
      <c r="K42" s="18">
        <f>'Forage crops, CF'!J18</f>
        <v>1.3163101311885569E-2</v>
      </c>
      <c r="L42" s="18">
        <f>'Forage crops, CF'!K18</f>
        <v>0</v>
      </c>
      <c r="M42" s="18">
        <f>'Forage crops, CF'!L18</f>
        <v>9.8581960460988964E-6</v>
      </c>
      <c r="N42" s="18">
        <f>'Forage crops, CF'!M18</f>
        <v>0</v>
      </c>
      <c r="O42" s="18">
        <f>'Forage crops, CF'!N18</f>
        <v>0</v>
      </c>
      <c r="P42" s="18">
        <f>'Forage crops, CF'!O18</f>
        <v>0</v>
      </c>
      <c r="Q42" s="18">
        <f>'Forage crops, CF'!P18</f>
        <v>0</v>
      </c>
      <c r="R42" s="151">
        <f>'Parameters SH, country spec'!D15</f>
        <v>0.26457370102986028</v>
      </c>
      <c r="S42" s="151">
        <f>'Parameters SH, country spec'!D33</f>
        <v>0.26457370102986028</v>
      </c>
      <c r="T42" s="264">
        <f>'Parameters D24m, country spec'!D11</f>
        <v>0.26457370102986028</v>
      </c>
    </row>
    <row r="43" spans="1:21" x14ac:dyDescent="0.3">
      <c r="B43" s="16" t="s">
        <v>300</v>
      </c>
      <c r="C43" s="15" t="s">
        <v>302</v>
      </c>
      <c r="D43" s="21" t="s">
        <v>43</v>
      </c>
      <c r="E43" s="21" t="s">
        <v>44</v>
      </c>
      <c r="F43" s="110">
        <f>SUM(G43:Q43)</f>
        <v>9.9345728982403333E-2</v>
      </c>
      <c r="G43" s="18">
        <f>'Forage crops, CF'!F83</f>
        <v>1.2251094124540752E-2</v>
      </c>
      <c r="H43" s="18">
        <f>'Forage crops, CF'!G83</f>
        <v>2.7E-2</v>
      </c>
      <c r="I43" s="18">
        <f>'Forage crops, CF'!H83</f>
        <v>0</v>
      </c>
      <c r="J43" s="18">
        <f>'Forage crops, CF'!I83</f>
        <v>0</v>
      </c>
      <c r="K43" s="18">
        <f>'Forage crops, CF'!J83</f>
        <v>1.3384776661816474E-2</v>
      </c>
      <c r="L43" s="18">
        <f>'Forage crops, CF'!K83</f>
        <v>0</v>
      </c>
      <c r="M43" s="18">
        <f>'Forage crops, CF'!L83</f>
        <v>9.8581960460988964E-6</v>
      </c>
      <c r="N43" s="18">
        <f>'Forage crops, CF'!M83</f>
        <v>0</v>
      </c>
      <c r="O43" s="18">
        <f>'Forage crops, CF'!N83</f>
        <v>0</v>
      </c>
      <c r="P43" s="18">
        <f>'Forage crops, CF'!O83</f>
        <v>4.6700000000000005E-2</v>
      </c>
      <c r="Q43" s="18">
        <f>'Forage crops, CF'!P83</f>
        <v>0</v>
      </c>
      <c r="R43" s="151">
        <f>'Parameters SH, country spec'!D16</f>
        <v>0.47771254487501524</v>
      </c>
      <c r="S43" s="151">
        <f>'Parameters SH, country spec'!D34</f>
        <v>0.47771254487501524</v>
      </c>
      <c r="T43" s="264">
        <f>'Parameters D24m, country spec'!D12</f>
        <v>0.47771254487501524</v>
      </c>
    </row>
    <row r="44" spans="1:21" x14ac:dyDescent="0.3">
      <c r="B44" s="16" t="s">
        <v>301</v>
      </c>
      <c r="C44" s="15" t="s">
        <v>302</v>
      </c>
      <c r="D44" s="21" t="s">
        <v>43</v>
      </c>
      <c r="E44" s="21" t="s">
        <v>44</v>
      </c>
      <c r="F44" s="110">
        <f>SUM(G44:Q44)</f>
        <v>0.10564602713186666</v>
      </c>
      <c r="G44" s="18">
        <f>'Forage crops, CF'!F148*'Forage, input data per ha'!$D$80+'Forage crops, CF'!F213*'Forage, input data per ha'!$E$80</f>
        <v>1.8266539081179652E-2</v>
      </c>
      <c r="H44" s="18">
        <f>'Forage crops, CF'!G148*'Forage, input data per ha'!$D$80+'Forage crops, CF'!G213*'Forage, input data per ha'!$E$80</f>
        <v>2.7E-2</v>
      </c>
      <c r="I44" s="18">
        <f>'Forage crops, CF'!H148*'Forage, input data per ha'!$D$80+'Forage crops, CF'!H213*'Forage, input data per ha'!$E$80</f>
        <v>0</v>
      </c>
      <c r="J44" s="18">
        <f>'Forage crops, CF'!I148*'Forage, input data per ha'!$D$80+'Forage crops, CF'!I213*'Forage, input data per ha'!$E$80</f>
        <v>0</v>
      </c>
      <c r="K44" s="18">
        <f>'Forage crops, CF'!J148*'Forage, input data per ha'!$D$80+'Forage crops, CF'!J213*'Forage, input data per ha'!$E$80</f>
        <v>1.3669629854640911E-2</v>
      </c>
      <c r="L44" s="18">
        <f>'Forage crops, CF'!K148*'Forage, input data per ha'!$D$80+'Forage crops, CF'!K213*'Forage, input data per ha'!$E$80</f>
        <v>0</v>
      </c>
      <c r="M44" s="18">
        <f>'Forage crops, CF'!L148*'Forage, input data per ha'!$D$80+'Forage crops, CF'!L213*'Forage, input data per ha'!$E$80</f>
        <v>9.8581960460988964E-6</v>
      </c>
      <c r="N44" s="18">
        <f>'Forage crops, CF'!M148*'Forage, input data per ha'!$D$80+'Forage crops, CF'!M213*'Forage, input data per ha'!$E$80</f>
        <v>0</v>
      </c>
      <c r="O44" s="18">
        <f>'Forage crops, CF'!N148*'Forage, input data per ha'!$D$80+'Forage crops, CF'!N213*'Forage, input data per ha'!$E$80</f>
        <v>0</v>
      </c>
      <c r="P44" s="18">
        <f>'Forage crops, CF'!O148*'Forage, input data per ha'!$D$80+'Forage crops, CF'!O213*'Forage, input data per ha'!$E$80</f>
        <v>4.6699999999999998E-2</v>
      </c>
      <c r="Q44" s="18">
        <f>'Forage crops, CF'!P148*'Forage, input data per ha'!$D$80+'Forage crops, CF'!P213*'Forage, input data per ha'!$E$80</f>
        <v>0</v>
      </c>
      <c r="R44" s="151">
        <f>'Parameters SH, country spec'!D17</f>
        <v>0.13883749692306407</v>
      </c>
      <c r="S44" s="151">
        <f>'Parameters SH, country spec'!D35</f>
        <v>0.13883749692306407</v>
      </c>
      <c r="T44" s="264">
        <f>'Parameters D24m, country spec'!D13</f>
        <v>0.13883749692306407</v>
      </c>
    </row>
    <row r="45" spans="1:21" x14ac:dyDescent="0.3">
      <c r="A45" s="20" t="s">
        <v>231</v>
      </c>
      <c r="B45" s="15" t="s">
        <v>113</v>
      </c>
      <c r="C45" s="15" t="s">
        <v>232</v>
      </c>
      <c r="D45" s="21" t="s">
        <v>43</v>
      </c>
      <c r="E45" s="21" t="s">
        <v>44</v>
      </c>
      <c r="F45" s="110">
        <f>SUM(G45:Q45)</f>
        <v>0.17700000000000002</v>
      </c>
      <c r="G45" s="72">
        <v>7.9000000000000001E-2</v>
      </c>
      <c r="H45" s="12">
        <v>2.7E-2</v>
      </c>
      <c r="I45" s="14">
        <v>0</v>
      </c>
      <c r="J45" s="12"/>
      <c r="K45" s="72">
        <v>2.9000000000000001E-2</v>
      </c>
      <c r="L45" s="12"/>
      <c r="M45" s="12">
        <v>0</v>
      </c>
      <c r="N45" s="72">
        <v>4.2000000000000003E-2</v>
      </c>
      <c r="O45" s="12"/>
      <c r="P45" s="12"/>
      <c r="R45" s="151">
        <f>'Parameters SH, country spec'!D18</f>
        <v>1.298916356294802E-3</v>
      </c>
      <c r="S45" s="151">
        <f>'Parameters SH, country spec'!D36</f>
        <v>1.298916356294802E-3</v>
      </c>
      <c r="T45" s="264">
        <f>'Parameters D24m, country spec'!D14</f>
        <v>1.298916356294802E-3</v>
      </c>
    </row>
    <row r="46" spans="1:21" x14ac:dyDescent="0.3">
      <c r="A46" s="20" t="s">
        <v>233</v>
      </c>
      <c r="B46" s="15" t="s">
        <v>114</v>
      </c>
      <c r="C46" s="15" t="s">
        <v>232</v>
      </c>
      <c r="D46" s="21" t="s">
        <v>43</v>
      </c>
      <c r="E46" s="21" t="s">
        <v>44</v>
      </c>
      <c r="F46" s="110">
        <f t="shared" ref="F46:F55" si="10">SUM(G46:Q46)</f>
        <v>0.16700000000000001</v>
      </c>
      <c r="G46" s="72">
        <v>7.6999999999999999E-2</v>
      </c>
      <c r="H46" s="12">
        <v>2.7E-2</v>
      </c>
      <c r="I46" s="14">
        <v>0</v>
      </c>
      <c r="J46" s="12"/>
      <c r="K46" s="72">
        <v>1.9E-2</v>
      </c>
      <c r="L46" s="12"/>
      <c r="M46" s="12">
        <v>2E-3</v>
      </c>
      <c r="N46" s="72">
        <v>4.2000000000000003E-2</v>
      </c>
      <c r="O46" s="12"/>
      <c r="P46" s="12"/>
      <c r="R46" s="151">
        <f>'Parameters SH, country spec'!D19</f>
        <v>1.9338522642940996E-3</v>
      </c>
      <c r="S46" s="151">
        <f>'Parameters SH, country spec'!D37</f>
        <v>1.9338522642940996E-3</v>
      </c>
      <c r="T46" s="264">
        <f>'Parameters D24m, country spec'!D15</f>
        <v>1.9338522642940996E-3</v>
      </c>
    </row>
    <row r="47" spans="1:21" x14ac:dyDescent="0.3">
      <c r="A47" s="20" t="s">
        <v>234</v>
      </c>
      <c r="B47" s="15" t="s">
        <v>115</v>
      </c>
      <c r="C47" s="15" t="s">
        <v>232</v>
      </c>
      <c r="D47" s="21" t="s">
        <v>43</v>
      </c>
      <c r="E47" s="21" t="s">
        <v>44</v>
      </c>
      <c r="F47" s="110">
        <f t="shared" si="10"/>
        <v>0.18100000000000002</v>
      </c>
      <c r="G47" s="72">
        <v>7.0000000000000007E-2</v>
      </c>
      <c r="H47" s="12">
        <v>2.7E-2</v>
      </c>
      <c r="I47" s="14">
        <v>0</v>
      </c>
      <c r="J47" s="12"/>
      <c r="K47" s="72">
        <v>4.2000000000000003E-2</v>
      </c>
      <c r="L47" s="12"/>
      <c r="M47" s="12">
        <v>0</v>
      </c>
      <c r="N47" s="72">
        <v>4.2000000000000003E-2</v>
      </c>
      <c r="O47" s="12"/>
      <c r="P47" s="12"/>
      <c r="R47" s="151">
        <f>'Parameters SH, country spec'!D20</f>
        <v>2.5855421185781316E-7</v>
      </c>
      <c r="S47" s="151">
        <f>'Parameters SH, country spec'!D38</f>
        <v>2.5855421185781316E-7</v>
      </c>
      <c r="T47" s="264">
        <f>'Parameters D24m, country spec'!D16</f>
        <v>2.5855421185781316E-7</v>
      </c>
    </row>
    <row r="48" spans="1:21" x14ac:dyDescent="0.3">
      <c r="A48" s="20" t="s">
        <v>235</v>
      </c>
      <c r="B48" s="15" t="s">
        <v>116</v>
      </c>
      <c r="C48" s="15" t="s">
        <v>232</v>
      </c>
      <c r="D48" s="21" t="s">
        <v>43</v>
      </c>
      <c r="E48" s="21" t="s">
        <v>44</v>
      </c>
      <c r="F48" s="110">
        <f t="shared" si="10"/>
        <v>0.16700000000000001</v>
      </c>
      <c r="G48" s="72">
        <v>6.2E-2</v>
      </c>
      <c r="H48" s="12">
        <v>2.7E-2</v>
      </c>
      <c r="I48" s="12">
        <v>0</v>
      </c>
      <c r="J48" s="12"/>
      <c r="K48" s="72">
        <v>3.5999999999999997E-2</v>
      </c>
      <c r="L48" s="12"/>
      <c r="M48" s="12">
        <v>0</v>
      </c>
      <c r="N48" s="72">
        <v>4.2000000000000003E-2</v>
      </c>
      <c r="O48" s="12"/>
      <c r="P48" s="12"/>
      <c r="R48" s="151">
        <f>'Parameters SH, country spec'!D21</f>
        <v>2.1217635552166355E-4</v>
      </c>
      <c r="S48" s="151">
        <f>'Parameters SH, country spec'!D39</f>
        <v>2.1217635552166355E-4</v>
      </c>
      <c r="T48" s="264">
        <f>'Parameters D24m, country spec'!D17</f>
        <v>2.1217635552166355E-4</v>
      </c>
    </row>
    <row r="49" spans="1:21" x14ac:dyDescent="0.3">
      <c r="A49" s="20" t="s">
        <v>236</v>
      </c>
      <c r="B49" s="15" t="s">
        <v>117</v>
      </c>
      <c r="C49" s="15" t="s">
        <v>232</v>
      </c>
      <c r="D49" s="21" t="s">
        <v>43</v>
      </c>
      <c r="E49" s="21" t="s">
        <v>44</v>
      </c>
      <c r="F49" s="110">
        <f t="shared" si="10"/>
        <v>0.186</v>
      </c>
      <c r="G49" s="72">
        <v>9.0999999999999998E-2</v>
      </c>
      <c r="H49" s="12">
        <v>2.7E-2</v>
      </c>
      <c r="I49" s="12">
        <v>0</v>
      </c>
      <c r="J49" s="12"/>
      <c r="K49" s="72">
        <v>2.5999999999999999E-2</v>
      </c>
      <c r="L49" s="12"/>
      <c r="M49" s="12">
        <v>0</v>
      </c>
      <c r="N49" s="72">
        <v>4.2000000000000003E-2</v>
      </c>
      <c r="O49" s="12"/>
      <c r="P49" s="12"/>
      <c r="R49" s="151">
        <f>'Parameters SH, country spec'!D22</f>
        <v>4.3386015699034622E-3</v>
      </c>
      <c r="S49" s="151">
        <f>'Parameters SH, country spec'!D40</f>
        <v>4.3386015699034622E-3</v>
      </c>
      <c r="T49" s="264">
        <f>'Parameters D24m, country spec'!D18</f>
        <v>4.3386015699034622E-3</v>
      </c>
    </row>
    <row r="50" spans="1:21" x14ac:dyDescent="0.3">
      <c r="A50" s="20" t="s">
        <v>237</v>
      </c>
      <c r="B50" s="15" t="s">
        <v>118</v>
      </c>
      <c r="C50" s="15" t="s">
        <v>238</v>
      </c>
      <c r="D50" s="21" t="s">
        <v>43</v>
      </c>
      <c r="E50" s="21" t="s">
        <v>44</v>
      </c>
      <c r="F50" s="110">
        <f t="shared" si="10"/>
        <v>0.122</v>
      </c>
      <c r="G50" s="72">
        <v>0</v>
      </c>
      <c r="H50" s="12">
        <v>2.7E-2</v>
      </c>
      <c r="I50" s="14">
        <v>0</v>
      </c>
      <c r="J50" s="12"/>
      <c r="K50" s="72">
        <v>5.2999999999999999E-2</v>
      </c>
      <c r="L50" s="14"/>
      <c r="M50" s="12">
        <v>0</v>
      </c>
      <c r="N50" s="72">
        <v>4.2000000000000003E-2</v>
      </c>
      <c r="O50" s="12"/>
      <c r="P50" s="12"/>
      <c r="R50" s="151">
        <f>'Parameters SH, country spec'!D23</f>
        <v>2.7051994141606358E-4</v>
      </c>
      <c r="S50" s="151">
        <f>'Parameters SH, country spec'!D41</f>
        <v>2.7051994141606358E-4</v>
      </c>
      <c r="T50" s="264">
        <f>'Parameters D24m, country spec'!D19</f>
        <v>2.7051994141606358E-4</v>
      </c>
    </row>
    <row r="51" spans="1:21" x14ac:dyDescent="0.3">
      <c r="A51" s="20" t="s">
        <v>239</v>
      </c>
      <c r="B51" s="15" t="s">
        <v>119</v>
      </c>
      <c r="C51" s="15" t="s">
        <v>238</v>
      </c>
      <c r="D51" s="21" t="s">
        <v>43</v>
      </c>
      <c r="E51" s="21" t="s">
        <v>44</v>
      </c>
      <c r="F51" s="110">
        <f t="shared" si="10"/>
        <v>0.125</v>
      </c>
      <c r="G51" s="72">
        <v>4.0000000000000001E-3</v>
      </c>
      <c r="H51" s="12">
        <v>2.7E-2</v>
      </c>
      <c r="I51" s="14">
        <v>0</v>
      </c>
      <c r="J51" s="12"/>
      <c r="K51" s="72">
        <v>4.5999999999999999E-2</v>
      </c>
      <c r="L51" s="12"/>
      <c r="M51" s="12">
        <v>6.0000000000000001E-3</v>
      </c>
      <c r="N51" s="72">
        <v>4.2000000000000003E-2</v>
      </c>
      <c r="O51" s="12"/>
      <c r="P51" s="12"/>
      <c r="R51" s="151">
        <f>'Parameters SH, country spec'!D24</f>
        <v>2.6573972962751311E-4</v>
      </c>
      <c r="S51" s="151">
        <f>'Parameters SH, country spec'!D42</f>
        <v>2.6573972962751311E-4</v>
      </c>
      <c r="T51" s="264">
        <f>'Parameters D24m, country spec'!D20</f>
        <v>2.6573972962751311E-4</v>
      </c>
    </row>
    <row r="52" spans="1:21" x14ac:dyDescent="0.3">
      <c r="B52" s="16" t="s">
        <v>120</v>
      </c>
      <c r="C52" s="15" t="s">
        <v>240</v>
      </c>
      <c r="D52" s="21" t="s">
        <v>43</v>
      </c>
      <c r="E52" s="21" t="s">
        <v>44</v>
      </c>
      <c r="F52" s="110">
        <f t="shared" si="10"/>
        <v>0.27628755742228495</v>
      </c>
      <c r="G52" s="18">
        <f>'Off-farm feed'!$F$74</f>
        <v>0.15910156565543246</v>
      </c>
      <c r="H52" s="18">
        <f>'Off-farm feed'!$G$74</f>
        <v>1.3034482758620692E-2</v>
      </c>
      <c r="I52" s="18">
        <f>'Off-farm feed'!$H$74</f>
        <v>0</v>
      </c>
      <c r="J52" s="18"/>
      <c r="K52" s="18">
        <f>'Off-farm feed'!$J$74</f>
        <v>2.4688740026345454E-2</v>
      </c>
      <c r="L52" s="18"/>
      <c r="M52" s="294">
        <f>'Off-farm feed'!$L$74</f>
        <v>1.931759303794134E-4</v>
      </c>
      <c r="N52" s="18">
        <f>'Off-farm feed'!$M$74</f>
        <v>3.6802128767029069E-2</v>
      </c>
      <c r="O52" s="18">
        <f>'Off-farm feed'!$N$74</f>
        <v>0</v>
      </c>
      <c r="P52" s="18">
        <f>'Off-farm feed'!$O$74</f>
        <v>2.6267464284477883E-2</v>
      </c>
      <c r="Q52" s="18">
        <f>'Off-farm feed'!$P$74</f>
        <v>1.6199999999999999E-2</v>
      </c>
      <c r="R52" s="151">
        <f>'Parameters SH, country spec'!D25</f>
        <v>2.7355781220453596E-2</v>
      </c>
      <c r="S52" s="151">
        <f>'Parameters SH, country spec'!D43</f>
        <v>2.7355781220453596E-2</v>
      </c>
      <c r="T52" s="264">
        <f>'Parameters D24m, country spec'!D21</f>
        <v>2.7355781220453596E-2</v>
      </c>
    </row>
    <row r="53" spans="1:21" x14ac:dyDescent="0.3">
      <c r="B53" s="16" t="s">
        <v>241</v>
      </c>
      <c r="C53" s="15" t="s">
        <v>240</v>
      </c>
      <c r="D53" s="21" t="s">
        <v>43</v>
      </c>
      <c r="E53" s="21" t="s">
        <v>44</v>
      </c>
      <c r="F53" s="110">
        <f t="shared" si="10"/>
        <v>0.7061171705997602</v>
      </c>
      <c r="G53" s="18">
        <f>'Off-farm feed'!$F$23</f>
        <v>7.2632670993098931E-3</v>
      </c>
      <c r="H53" s="18">
        <f>'Off-farm feed'!$G$23</f>
        <v>2.1402439024390246E-2</v>
      </c>
      <c r="I53" s="18">
        <f>'Off-farm feed'!$H$23</f>
        <v>0</v>
      </c>
      <c r="J53" s="18"/>
      <c r="K53" s="18">
        <f>'Off-farm feed'!$J$23</f>
        <v>4.308361966433235E-2</v>
      </c>
      <c r="L53" s="18"/>
      <c r="M53" s="294">
        <f>'Off-farm feed'!$L$23</f>
        <v>1.7842060425123844E-4</v>
      </c>
      <c r="N53" s="18">
        <f>'Off-farm feed'!$M$23</f>
        <v>3.0432604948959403E-2</v>
      </c>
      <c r="O53" s="18">
        <f>'Off-farm feed'!$N$23</f>
        <v>0.31761120248475611</v>
      </c>
      <c r="P53" s="18">
        <f>'Off-farm feed'!$O$23</f>
        <v>3.5145616773760872E-2</v>
      </c>
      <c r="Q53" s="18">
        <f>'Off-farm feed'!$P$23</f>
        <v>0.251</v>
      </c>
      <c r="R53" s="151">
        <f>'Parameters SH, country spec'!D26</f>
        <v>2.6285117627784533E-2</v>
      </c>
      <c r="S53" s="151">
        <f>'Parameters SH, country spec'!D44</f>
        <v>2.6285117627784533E-2</v>
      </c>
      <c r="T53" s="264">
        <f>'Parameters D24m, country spec'!D22</f>
        <v>2.6285117627784533E-2</v>
      </c>
    </row>
    <row r="54" spans="1:21" x14ac:dyDescent="0.3">
      <c r="B54" s="15" t="s">
        <v>122</v>
      </c>
      <c r="C54" s="15" t="s">
        <v>242</v>
      </c>
      <c r="D54" s="21" t="s">
        <v>43</v>
      </c>
      <c r="E54" s="21" t="s">
        <v>44</v>
      </c>
      <c r="F54" s="110"/>
      <c r="G54" s="98"/>
      <c r="H54" s="6"/>
      <c r="I54" s="97"/>
      <c r="J54" s="6"/>
      <c r="K54" s="98"/>
      <c r="L54" s="6"/>
      <c r="M54" s="6"/>
      <c r="N54" s="98"/>
      <c r="O54" s="6"/>
      <c r="P54" s="6"/>
      <c r="Q54" s="6"/>
      <c r="R54" s="151">
        <f>'Parameters SH, country spec'!D27</f>
        <v>4.2051693837096289E-2</v>
      </c>
      <c r="S54" s="151">
        <f>'Parameters SH, country spec'!D45</f>
        <v>4.2051693837096289E-2</v>
      </c>
      <c r="T54" s="264">
        <f>'Parameters D24m, country spec'!D23</f>
        <v>4.2051693837096289E-2</v>
      </c>
    </row>
    <row r="55" spans="1:21" x14ac:dyDescent="0.3">
      <c r="A55" s="75"/>
      <c r="B55" s="15" t="s">
        <v>243</v>
      </c>
      <c r="C55" s="76" t="s">
        <v>244</v>
      </c>
      <c r="D55" s="21" t="s">
        <v>43</v>
      </c>
      <c r="E55" s="21" t="s">
        <v>44</v>
      </c>
      <c r="F55" s="110">
        <f t="shared" si="10"/>
        <v>2.7579977426934632E-2</v>
      </c>
      <c r="G55" s="73">
        <f>SUMPRODUCT(G45:G53,$R45:$R53)</f>
        <v>5.203833203083855E-3</v>
      </c>
      <c r="H55" s="73">
        <f t="shared" ref="H55:P55" si="11">SUMPRODUCT(H45:H53,$R45:$R53)</f>
        <v>1.143775834768461E-3</v>
      </c>
      <c r="I55" s="73">
        <f t="shared" si="11"/>
        <v>0</v>
      </c>
      <c r="J55" s="73">
        <f t="shared" si="11"/>
        <v>0</v>
      </c>
      <c r="K55" s="73">
        <f>SUMPRODUCT(K45:K53,$R45:$R53)</f>
        <v>2.0292639821822907E-3</v>
      </c>
      <c r="L55" s="73">
        <f t="shared" si="11"/>
        <v>0</v>
      </c>
      <c r="M55" s="73">
        <f t="shared" si="11"/>
        <v>1.5436427964834282E-5</v>
      </c>
      <c r="N55" s="73">
        <f t="shared" si="11"/>
        <v>2.1561183041944217E-3</v>
      </c>
      <c r="O55" s="73">
        <f t="shared" si="11"/>
        <v>8.3484478172139061E-3</v>
      </c>
      <c r="P55" s="73">
        <f t="shared" si="11"/>
        <v>1.6423736771815972E-3</v>
      </c>
      <c r="Q55" s="73">
        <f>SUMPRODUCT(Q45:Q53,$R45:$R53)</f>
        <v>7.0407281803452661E-3</v>
      </c>
      <c r="R55" s="151">
        <f>'Parameters SH, country spec'!D28</f>
        <v>1.4863599715456545E-2</v>
      </c>
      <c r="S55" s="151">
        <f>'Parameters SH, country spec'!D46</f>
        <v>1.4863599715456545E-2</v>
      </c>
      <c r="T55" s="264">
        <f>'Parameters D24m, country spec'!D24</f>
        <v>1.4863599715456545E-2</v>
      </c>
    </row>
    <row r="56" spans="1:21" x14ac:dyDescent="0.3">
      <c r="A56" s="328"/>
      <c r="B56" s="329" t="s">
        <v>616</v>
      </c>
      <c r="C56" s="330"/>
      <c r="D56" s="331"/>
      <c r="E56" s="331"/>
      <c r="F56" s="332">
        <f>SUMPRODUCT(F42:F44,R42:R44)+SUMPRODUCT(F45:F55,R45:R55)/0.87</f>
        <v>0.11051843639950534</v>
      </c>
      <c r="G56" s="332">
        <f>SUMPRODUCT(G42:G44,R42:R44)+SUMPRODUCT(G45:G55,R45:R55)/0.87</f>
        <v>2.0049985335608037E-2</v>
      </c>
      <c r="H56" s="332">
        <f>SUMPRODUCT(H42:H44,R42:R44)+SUMPRODUCT(H45:H55,R45:R55)/0.87</f>
        <v>2.5124566873527553E-2</v>
      </c>
      <c r="I56" s="332">
        <f>SUMPRODUCT(I42:I44,R42:R44)+SUMPRODUCT(I45:I55,R45:R55)/0.87</f>
        <v>0</v>
      </c>
      <c r="J56" s="332">
        <f>SUMPRODUCT(J42:J44,R42:R44)+SUMPRODUCT(J45:J55,R45:R55)/0.87</f>
        <v>0</v>
      </c>
      <c r="K56" s="332">
        <f>SUMPRODUCT(K42:K44,R42:R44)+SUMPRODUCT(K45:K55,R45:R55)/0.87</f>
        <v>1.4141699839642802E-2</v>
      </c>
      <c r="L56" s="332">
        <f>SUMPRODUCT(L42:L44,R42:R44)+SUMPRODUCT(L45:L55,R45:R55)/0.87</f>
        <v>0</v>
      </c>
      <c r="M56" s="332">
        <f>SUMPRODUCT(M42:M44,R42:R44)+SUMPRODUCT(M45:M55,R45:R55)/0.87</f>
        <v>2.669303640357837E-5</v>
      </c>
      <c r="N56" s="332">
        <f>SUMPRODUCT(N42:N44,R42:R44)+SUMPRODUCT(N45:N55,R45:R55)/0.87</f>
        <v>2.5151333144909616E-3</v>
      </c>
      <c r="O56" s="332">
        <f>SUMPRODUCT(O42:O44,R42:R44)+SUMPRODUCT(O45:O55,R45:R55)/0.87</f>
        <v>9.7385469009360348E-3</v>
      </c>
      <c r="P56" s="332">
        <f>SUMPRODUCT(P42:P44,R42:R44)+SUMPRODUCT(P45:P55,R45:R55)/0.87</f>
        <v>3.070873208082367E-2</v>
      </c>
      <c r="Q56" s="332">
        <f>SUMPRODUCT(Q42:Q44,R42:R44)+SUMPRODUCT(Q45:Q55,R45:R55)/0.87</f>
        <v>8.2130790180727047E-3</v>
      </c>
      <c r="R56" s="335"/>
      <c r="S56" s="336"/>
      <c r="T56" s="336"/>
      <c r="U56" s="336"/>
    </row>
    <row r="57" spans="1:21" x14ac:dyDescent="0.3">
      <c r="A57" s="150"/>
      <c r="B57" s="23" t="s">
        <v>457</v>
      </c>
      <c r="C57" s="24"/>
      <c r="D57" s="94"/>
      <c r="E57" s="94"/>
      <c r="F57" s="327">
        <f>SUMPRODUCT(F42:F44,S42:S44)+SUMPRODUCT(F45:F55,S45:S55)/0.87</f>
        <v>0.11051843639950534</v>
      </c>
      <c r="G57" s="327">
        <f>SUMPRODUCT(G42:G44,S42:S44)+SUMPRODUCT(G45:G55,S45:S55)/0.87</f>
        <v>2.0049985335608037E-2</v>
      </c>
      <c r="H57" s="327">
        <f>SUMPRODUCT(H42:H44,S42:S44)+SUMPRODUCT(H45:H55,S45:S55)/0.87</f>
        <v>2.5124566873527553E-2</v>
      </c>
      <c r="I57" s="327">
        <f>SUMPRODUCT(I42:I44,S42:S44)+SUMPRODUCT(I45:I55,S45:S55)/0.87</f>
        <v>0</v>
      </c>
      <c r="J57" s="327">
        <f>SUMPRODUCT(J42:J44,S42:S44)+SUMPRODUCT(J45:J55,S45:S55)/0.87</f>
        <v>0</v>
      </c>
      <c r="K57" s="327">
        <f>SUMPRODUCT(K42:K44,S42:S44)+SUMPRODUCT(K45:K55,S45:S55)/0.87</f>
        <v>1.4141699839642802E-2</v>
      </c>
      <c r="L57" s="327">
        <f>SUMPRODUCT(L42:L44,S42:S44)+SUMPRODUCT(L45:L55,S45:S55)/0.87</f>
        <v>0</v>
      </c>
      <c r="M57" s="327">
        <f>SUMPRODUCT(M42:M44,S42:S44)+SUMPRODUCT(M45:M55,S45:S55)/0.87</f>
        <v>2.669303640357837E-5</v>
      </c>
      <c r="N57" s="327">
        <f>SUMPRODUCT(N42:N44,S42:S44)+SUMPRODUCT(N45:N55,S45:S55)/0.87</f>
        <v>2.5151333144909616E-3</v>
      </c>
      <c r="O57" s="327">
        <f>SUMPRODUCT(O42:O44,S42:S44)+SUMPRODUCT(O45:O55,S45:S55)/0.87</f>
        <v>9.7385469009360348E-3</v>
      </c>
      <c r="P57" s="327">
        <f>SUMPRODUCT(P42:P44,S42:S44)+SUMPRODUCT(P45:P55,S45:S55)/0.87</f>
        <v>3.070873208082367E-2</v>
      </c>
      <c r="Q57" s="327">
        <f>SUMPRODUCT(Q42:Q44,S42:S44)+SUMPRODUCT(Q45:Q55,S45:S55)/0.87</f>
        <v>8.2130790180727047E-3</v>
      </c>
      <c r="R57" s="152"/>
      <c r="S57" s="152"/>
      <c r="T57" s="152"/>
      <c r="U57" s="152"/>
    </row>
    <row r="58" spans="1:21" x14ac:dyDescent="0.3">
      <c r="A58" s="328"/>
      <c r="B58" s="329" t="s">
        <v>641</v>
      </c>
      <c r="C58" s="330"/>
      <c r="D58" s="331"/>
      <c r="E58" s="331"/>
      <c r="F58" s="332">
        <f>SUMPRODUCT(F42:F44,$T42:$T44)+SUMPRODUCT(F45:F55,$T45:$T55)/0.87</f>
        <v>0.11051843639950534</v>
      </c>
      <c r="G58" s="332">
        <f t="shared" ref="G58:O58" si="12">SUMPRODUCT(G42:G44,$T42:$T44)+SUMPRODUCT(G45:G55,$T45:$T55)/0.87</f>
        <v>2.0049985335608037E-2</v>
      </c>
      <c r="H58" s="332">
        <f t="shared" si="12"/>
        <v>2.5124566873527553E-2</v>
      </c>
      <c r="I58" s="332">
        <f t="shared" si="12"/>
        <v>0</v>
      </c>
      <c r="J58" s="332">
        <f t="shared" si="12"/>
        <v>0</v>
      </c>
      <c r="K58" s="332">
        <f t="shared" si="12"/>
        <v>1.4141699839642802E-2</v>
      </c>
      <c r="L58" s="332">
        <f t="shared" si="12"/>
        <v>0</v>
      </c>
      <c r="M58" s="332">
        <f t="shared" si="12"/>
        <v>2.669303640357837E-5</v>
      </c>
      <c r="N58" s="332">
        <f t="shared" si="12"/>
        <v>2.5151333144909616E-3</v>
      </c>
      <c r="O58" s="332">
        <f t="shared" si="12"/>
        <v>9.7385469009360348E-3</v>
      </c>
      <c r="P58" s="332">
        <f>SUMPRODUCT(P42:P44,$T42:$T44)+SUMPRODUCT(P45:P55,$T45:$T55)/0.87</f>
        <v>3.070873208082367E-2</v>
      </c>
      <c r="Q58" s="332">
        <f t="shared" ref="Q58" si="13">SUMPRODUCT(Q42:Q44,$T42:$T44)+SUMPRODUCT(Q45:Q55,$T45:$T55)/0.87</f>
        <v>8.2130790180727047E-3</v>
      </c>
      <c r="R58" s="335"/>
      <c r="S58" s="335"/>
      <c r="T58" s="335"/>
      <c r="U58" s="335"/>
    </row>
    <row r="59" spans="1:21" x14ac:dyDescent="0.3">
      <c r="A59" s="150"/>
      <c r="B59" s="23" t="s">
        <v>642</v>
      </c>
      <c r="C59" s="24"/>
      <c r="D59" s="94"/>
      <c r="E59" s="94"/>
      <c r="F59" s="327">
        <f>SUMPRODUCT(F42:F44,$U42:$U44)+SUMPRODUCT(F45:F55,$U45:$U55)/0.87</f>
        <v>0</v>
      </c>
      <c r="G59" s="327">
        <f t="shared" ref="G59:K59" si="14">SUMPRODUCT(G42:G44,$U42:$U44)+SUMPRODUCT(G45:G55,$U45:$U55)/0.87</f>
        <v>0</v>
      </c>
      <c r="H59" s="327">
        <f t="shared" si="14"/>
        <v>0</v>
      </c>
      <c r="I59" s="327">
        <f t="shared" si="14"/>
        <v>0</v>
      </c>
      <c r="J59" s="327">
        <f t="shared" si="14"/>
        <v>0</v>
      </c>
      <c r="K59" s="327">
        <f t="shared" si="14"/>
        <v>0</v>
      </c>
      <c r="L59" s="327">
        <f>SUMPRODUCT(L42:L44,$U42:$U44)+SUMPRODUCT(L45:L55,$U45:$U55)/0.87</f>
        <v>0</v>
      </c>
      <c r="M59" s="327">
        <f t="shared" ref="M59:Q59" si="15">SUMPRODUCT(M42:M44,$U42:$U44)+SUMPRODUCT(M45:M55,$U45:$U55)/0.87</f>
        <v>0</v>
      </c>
      <c r="N59" s="327">
        <f t="shared" si="15"/>
        <v>0</v>
      </c>
      <c r="O59" s="327">
        <f t="shared" si="15"/>
        <v>0</v>
      </c>
      <c r="P59" s="327">
        <f t="shared" si="15"/>
        <v>0</v>
      </c>
      <c r="Q59" s="327">
        <f t="shared" si="15"/>
        <v>0</v>
      </c>
      <c r="R59" s="152"/>
      <c r="S59" s="152"/>
      <c r="T59" s="152"/>
      <c r="U59" s="152"/>
    </row>
    <row r="60" spans="1:21" x14ac:dyDescent="0.3">
      <c r="B60" s="16" t="s">
        <v>299</v>
      </c>
      <c r="C60" s="15" t="s">
        <v>302</v>
      </c>
      <c r="D60" s="21" t="s">
        <v>45</v>
      </c>
      <c r="E60" s="21" t="s">
        <v>46</v>
      </c>
      <c r="F60" s="110">
        <f>SUM(G60:Q60)</f>
        <v>8.4294355288487388E-2</v>
      </c>
      <c r="G60" s="18">
        <f>'Forage crops, CF'!F23</f>
        <v>2.175109426324023E-2</v>
      </c>
      <c r="H60" s="18">
        <f>'Forage crops, CF'!G23</f>
        <v>2.7E-2</v>
      </c>
      <c r="I60" s="18">
        <f>'Forage crops, CF'!H23</f>
        <v>0</v>
      </c>
      <c r="J60" s="18">
        <f>'Forage crops, CF'!I23</f>
        <v>0</v>
      </c>
      <c r="K60" s="18">
        <f>'Forage crops, CF'!J23</f>
        <v>3.241698856182381E-2</v>
      </c>
      <c r="L60" s="18">
        <f>'Forage crops, CF'!K23</f>
        <v>0</v>
      </c>
      <c r="M60" s="18">
        <f>'Forage crops, CF'!L23</f>
        <v>3.1262724634233347E-3</v>
      </c>
      <c r="N60" s="18">
        <f>'Forage crops, CF'!M23</f>
        <v>0</v>
      </c>
      <c r="O60" s="18">
        <f>'Forage crops, CF'!N23</f>
        <v>0</v>
      </c>
      <c r="P60" s="18">
        <f>'Forage crops, CF'!O23</f>
        <v>0</v>
      </c>
      <c r="Q60" s="18">
        <f>'Forage crops, CF'!P23</f>
        <v>0</v>
      </c>
      <c r="R60" s="151">
        <f>'Parameters SH, country spec'!E15</f>
        <v>0.3707697249953647</v>
      </c>
      <c r="S60" s="151">
        <f>'Parameters SH, country spec'!E33</f>
        <v>0.3707697249953647</v>
      </c>
      <c r="T60" s="264">
        <f>'Parameters D24m, country spec'!E11</f>
        <v>0.3707697249953647</v>
      </c>
    </row>
    <row r="61" spans="1:21" x14ac:dyDescent="0.3">
      <c r="B61" s="16" t="s">
        <v>300</v>
      </c>
      <c r="C61" s="15" t="s">
        <v>302</v>
      </c>
      <c r="D61" s="21" t="s">
        <v>45</v>
      </c>
      <c r="E61" s="21" t="s">
        <v>46</v>
      </c>
      <c r="F61" s="110">
        <f>SUM(G61:Q61)</f>
        <v>0.20767166151550936</v>
      </c>
      <c r="G61" s="18">
        <f>'Forage crops, CF'!F88</f>
        <v>9.9916129362765033E-2</v>
      </c>
      <c r="H61" s="18">
        <f>'Forage crops, CF'!G88</f>
        <v>2.7E-2</v>
      </c>
      <c r="I61" s="18">
        <f>'Forage crops, CF'!H88</f>
        <v>0</v>
      </c>
      <c r="J61" s="18">
        <f>'Forage crops, CF'!I88</f>
        <v>0</v>
      </c>
      <c r="K61" s="18">
        <f>'Forage crops, CF'!J88</f>
        <v>3.0929259689321011E-2</v>
      </c>
      <c r="L61" s="18">
        <f>'Forage crops, CF'!K88</f>
        <v>0</v>
      </c>
      <c r="M61" s="18">
        <f>'Forage crops, CF'!L88</f>
        <v>3.1262724634233347E-3</v>
      </c>
      <c r="N61" s="18">
        <f>'Forage crops, CF'!M88</f>
        <v>0</v>
      </c>
      <c r="O61" s="18">
        <f>'Forage crops, CF'!N88</f>
        <v>0</v>
      </c>
      <c r="P61" s="18">
        <f>'Forage crops, CF'!O88</f>
        <v>4.6700000000000005E-2</v>
      </c>
      <c r="Q61" s="18">
        <f>'Forage crops, CF'!P88</f>
        <v>0</v>
      </c>
      <c r="R61" s="151">
        <f>'Parameters SH, country spec'!E16</f>
        <v>0.13544388222799708</v>
      </c>
      <c r="S61" s="151">
        <f>'Parameters SH, country spec'!E34</f>
        <v>0.13544388222799708</v>
      </c>
      <c r="T61" s="264">
        <f>'Parameters D24m, country spec'!E12</f>
        <v>0.13544388222799708</v>
      </c>
    </row>
    <row r="62" spans="1:21" x14ac:dyDescent="0.3">
      <c r="B62" s="16" t="s">
        <v>301</v>
      </c>
      <c r="C62" s="15" t="s">
        <v>302</v>
      </c>
      <c r="D62" s="21" t="s">
        <v>45</v>
      </c>
      <c r="E62" s="21" t="s">
        <v>46</v>
      </c>
      <c r="F62" s="110">
        <f>SUM(G62:Q62)</f>
        <v>0.11487755723621174</v>
      </c>
      <c r="G62" s="18">
        <f>'Forage crops, CF'!F153*'Forage, input data per ha'!$D$81+'Forage crops, CF'!F218*'Forage, input data per ha'!$E$81</f>
        <v>9.1432299454412506E-3</v>
      </c>
      <c r="H62" s="18">
        <f>'Forage crops, CF'!G153*'Forage, input data per ha'!$D$81+'Forage crops, CF'!G218*'Forage, input data per ha'!$E$81</f>
        <v>2.7E-2</v>
      </c>
      <c r="I62" s="18">
        <f>'Forage crops, CF'!H153*'Forage, input data per ha'!$D$81+'Forage crops, CF'!H218*'Forage, input data per ha'!$E$81</f>
        <v>0</v>
      </c>
      <c r="J62" s="18">
        <f>'Forage crops, CF'!I153*'Forage, input data per ha'!$D$81+'Forage crops, CF'!I218*'Forage, input data per ha'!$E$81</f>
        <v>0</v>
      </c>
      <c r="K62" s="18">
        <f>'Forage crops, CF'!J153*'Forage, input data per ha'!$D$81+'Forage crops, CF'!J218*'Forage, input data per ha'!$E$81</f>
        <v>2.8908054827347138E-2</v>
      </c>
      <c r="L62" s="18">
        <f>'Forage crops, CF'!K153*'Forage, input data per ha'!$D$81+'Forage crops, CF'!K218*'Forage, input data per ha'!$E$81</f>
        <v>0</v>
      </c>
      <c r="M62" s="18">
        <f>'Forage crops, CF'!L153*'Forage, input data per ha'!$D$81+'Forage crops, CF'!L218*'Forage, input data per ha'!$E$81</f>
        <v>3.1262724634233347E-3</v>
      </c>
      <c r="N62" s="18">
        <f>'Forage crops, CF'!M153*'Forage, input data per ha'!$D$81+'Forage crops, CF'!M218*'Forage, input data per ha'!$E$81</f>
        <v>0</v>
      </c>
      <c r="O62" s="18">
        <f>'Forage crops, CF'!N153*'Forage, input data per ha'!$D$81+'Forage crops, CF'!N218*'Forage, input data per ha'!$E$81</f>
        <v>0</v>
      </c>
      <c r="P62" s="18">
        <f>'Forage crops, CF'!O153*'Forage, input data per ha'!$D$81+'Forage crops, CF'!O218*'Forage, input data per ha'!$E$81</f>
        <v>4.6700000000000005E-2</v>
      </c>
      <c r="Q62" s="18">
        <f>'Forage crops, CF'!P153*'Forage, input data per ha'!$D$81+'Forage crops, CF'!P218*'Forage, input data per ha'!$E$81</f>
        <v>0</v>
      </c>
      <c r="R62" s="151">
        <f>'Parameters SH, country spec'!E17</f>
        <v>3.5518223853143398E-2</v>
      </c>
      <c r="S62" s="151">
        <f>'Parameters SH, country spec'!E35</f>
        <v>3.5518223853143398E-2</v>
      </c>
      <c r="T62" s="264">
        <f>'Parameters D24m, country spec'!E13</f>
        <v>3.5518223853143398E-2</v>
      </c>
    </row>
    <row r="63" spans="1:21" x14ac:dyDescent="0.3">
      <c r="A63" s="20" t="s">
        <v>231</v>
      </c>
      <c r="B63" s="15" t="s">
        <v>113</v>
      </c>
      <c r="C63" s="15" t="s">
        <v>232</v>
      </c>
      <c r="D63" s="21" t="s">
        <v>45</v>
      </c>
      <c r="E63" s="21" t="s">
        <v>46</v>
      </c>
      <c r="F63" s="110">
        <f>SUM(G63:Q63)</f>
        <v>0.21899999999999997</v>
      </c>
      <c r="G63" s="72">
        <v>7.9000000000000001E-2</v>
      </c>
      <c r="H63" s="12">
        <v>2.7E-2</v>
      </c>
      <c r="I63" s="14">
        <v>0</v>
      </c>
      <c r="J63" s="12"/>
      <c r="K63" s="72">
        <v>6.6000000000000003E-2</v>
      </c>
      <c r="L63" s="12"/>
      <c r="M63" s="12">
        <v>1E-3</v>
      </c>
      <c r="N63" s="72">
        <v>4.5999999999999999E-2</v>
      </c>
      <c r="O63" s="12"/>
      <c r="P63" s="12"/>
      <c r="R63" s="151">
        <f>'Parameters SH, country spec'!E18</f>
        <v>6.7240073264057107E-2</v>
      </c>
      <c r="S63" s="151">
        <f>'Parameters SH, country spec'!E36</f>
        <v>6.7240073264057107E-2</v>
      </c>
      <c r="T63" s="264">
        <f>'Parameters D24m, country spec'!E14</f>
        <v>6.7240073264057107E-2</v>
      </c>
    </row>
    <row r="64" spans="1:21" x14ac:dyDescent="0.3">
      <c r="A64" s="20" t="s">
        <v>233</v>
      </c>
      <c r="B64" s="15" t="s">
        <v>114</v>
      </c>
      <c r="C64" s="15" t="s">
        <v>232</v>
      </c>
      <c r="D64" s="21" t="s">
        <v>45</v>
      </c>
      <c r="E64" s="21" t="s">
        <v>46</v>
      </c>
      <c r="F64" s="110">
        <f t="shared" ref="F64:F73" si="16">SUM(G64:Q64)</f>
        <v>0.182</v>
      </c>
      <c r="G64" s="72">
        <v>7.6999999999999999E-2</v>
      </c>
      <c r="H64" s="12">
        <v>2.7E-2</v>
      </c>
      <c r="I64" s="14">
        <v>0</v>
      </c>
      <c r="J64" s="12"/>
      <c r="K64" s="72">
        <v>1.7000000000000001E-2</v>
      </c>
      <c r="L64" s="12"/>
      <c r="M64" s="12">
        <v>1.4999999999999999E-2</v>
      </c>
      <c r="N64" s="72">
        <v>4.5999999999999999E-2</v>
      </c>
      <c r="O64" s="12"/>
      <c r="P64" s="12"/>
      <c r="R64" s="151">
        <f>'Parameters SH, country spec'!E19</f>
        <v>0.20110909949687941</v>
      </c>
      <c r="S64" s="151">
        <f>'Parameters SH, country spec'!E37</f>
        <v>0.20110909949687941</v>
      </c>
      <c r="T64" s="264">
        <f>'Parameters D24m, country spec'!E15</f>
        <v>0.20110909949687941</v>
      </c>
    </row>
    <row r="65" spans="1:21" x14ac:dyDescent="0.3">
      <c r="A65" s="20" t="s">
        <v>234</v>
      </c>
      <c r="B65" s="15" t="s">
        <v>115</v>
      </c>
      <c r="C65" s="15" t="s">
        <v>232</v>
      </c>
      <c r="D65" s="21" t="s">
        <v>45</v>
      </c>
      <c r="E65" s="21" t="s">
        <v>46</v>
      </c>
      <c r="F65" s="110">
        <f t="shared" si="16"/>
        <v>0.29500000000000004</v>
      </c>
      <c r="G65" s="72">
        <v>7.0000000000000007E-2</v>
      </c>
      <c r="H65" s="12">
        <v>2.7E-2</v>
      </c>
      <c r="I65" s="14">
        <v>0</v>
      </c>
      <c r="J65" s="12"/>
      <c r="K65" s="72">
        <v>0.13900000000000001</v>
      </c>
      <c r="L65" s="12"/>
      <c r="M65" s="12">
        <v>1.2999999999999999E-2</v>
      </c>
      <c r="N65" s="72">
        <v>4.5999999999999999E-2</v>
      </c>
      <c r="O65" s="12"/>
      <c r="P65" s="12"/>
      <c r="R65" s="151">
        <f>'Parameters SH, country spec'!E20</f>
        <v>1.8273719871874414E-2</v>
      </c>
      <c r="S65" s="151">
        <f>'Parameters SH, country spec'!E38</f>
        <v>1.8273719871874414E-2</v>
      </c>
      <c r="T65" s="264">
        <f>'Parameters D24m, country spec'!E16</f>
        <v>1.8273719871874414E-2</v>
      </c>
    </row>
    <row r="66" spans="1:21" x14ac:dyDescent="0.3">
      <c r="A66" s="20" t="s">
        <v>235</v>
      </c>
      <c r="B66" s="15" t="s">
        <v>116</v>
      </c>
      <c r="C66" s="15" t="s">
        <v>232</v>
      </c>
      <c r="D66" s="21" t="s">
        <v>45</v>
      </c>
      <c r="E66" s="21" t="s">
        <v>46</v>
      </c>
      <c r="F66" s="110">
        <f t="shared" si="16"/>
        <v>0.22499999999999998</v>
      </c>
      <c r="G66" s="72">
        <v>6.2E-2</v>
      </c>
      <c r="H66" s="12">
        <v>2.7E-2</v>
      </c>
      <c r="I66" s="12">
        <v>0</v>
      </c>
      <c r="J66" s="12"/>
      <c r="K66" s="72">
        <v>0.09</v>
      </c>
      <c r="L66" s="12"/>
      <c r="M66" s="12">
        <v>0</v>
      </c>
      <c r="N66" s="72">
        <v>4.5999999999999999E-2</v>
      </c>
      <c r="O66" s="12"/>
      <c r="P66" s="12"/>
      <c r="R66" s="151">
        <f>'Parameters SH, country spec'!E21</f>
        <v>4.0305382311056149E-3</v>
      </c>
      <c r="S66" s="151">
        <f>'Parameters SH, country spec'!E39</f>
        <v>4.0305382311056149E-3</v>
      </c>
      <c r="T66" s="264">
        <f>'Parameters D24m, country spec'!E17</f>
        <v>4.0305382311056149E-3</v>
      </c>
    </row>
    <row r="67" spans="1:21" x14ac:dyDescent="0.3">
      <c r="A67" s="20" t="s">
        <v>236</v>
      </c>
      <c r="B67" s="15" t="s">
        <v>117</v>
      </c>
      <c r="C67" s="15" t="s">
        <v>232</v>
      </c>
      <c r="D67" s="21" t="s">
        <v>45</v>
      </c>
      <c r="E67" s="21" t="s">
        <v>46</v>
      </c>
      <c r="F67" s="110">
        <f t="shared" si="16"/>
        <v>0.23199999999999998</v>
      </c>
      <c r="G67" s="72">
        <v>9.0999999999999998E-2</v>
      </c>
      <c r="H67" s="12">
        <v>2.7E-2</v>
      </c>
      <c r="I67" s="12">
        <v>0</v>
      </c>
      <c r="J67" s="12"/>
      <c r="K67" s="72">
        <v>6.6000000000000003E-2</v>
      </c>
      <c r="L67" s="12"/>
      <c r="M67" s="12">
        <v>2E-3</v>
      </c>
      <c r="N67" s="72">
        <v>4.5999999999999999E-2</v>
      </c>
      <c r="O67" s="12"/>
      <c r="P67" s="12"/>
      <c r="R67" s="151">
        <f>'Parameters SH, country spec'!E22</f>
        <v>2.8904067051552513E-3</v>
      </c>
      <c r="S67" s="151">
        <f>'Parameters SH, country spec'!E40</f>
        <v>2.8904067051552513E-3</v>
      </c>
      <c r="T67" s="264">
        <f>'Parameters D24m, country spec'!E18</f>
        <v>2.8904067051552513E-3</v>
      </c>
    </row>
    <row r="68" spans="1:21" x14ac:dyDescent="0.3">
      <c r="A68" s="20" t="s">
        <v>237</v>
      </c>
      <c r="B68" s="15" t="s">
        <v>118</v>
      </c>
      <c r="C68" s="15" t="s">
        <v>238</v>
      </c>
      <c r="D68" s="21" t="s">
        <v>45</v>
      </c>
      <c r="E68" s="21" t="s">
        <v>46</v>
      </c>
      <c r="F68" s="110">
        <f t="shared" si="16"/>
        <v>0.18</v>
      </c>
      <c r="G68" s="72">
        <v>0</v>
      </c>
      <c r="H68" s="12">
        <v>2.7E-2</v>
      </c>
      <c r="I68" s="14">
        <v>0</v>
      </c>
      <c r="J68" s="12"/>
      <c r="K68" s="72">
        <v>0.104</v>
      </c>
      <c r="L68" s="14"/>
      <c r="M68" s="12">
        <v>3.0000000000000001E-3</v>
      </c>
      <c r="N68" s="72">
        <v>4.5999999999999999E-2</v>
      </c>
      <c r="O68" s="12"/>
      <c r="P68" s="12"/>
      <c r="R68" s="151">
        <f>'Parameters SH, country spec'!E23</f>
        <v>2.7727022810161413E-4</v>
      </c>
      <c r="S68" s="151">
        <f>'Parameters SH, country spec'!E41</f>
        <v>2.7727022810161413E-4</v>
      </c>
      <c r="T68" s="264">
        <f>'Parameters D24m, country spec'!E19</f>
        <v>2.7727022810161413E-4</v>
      </c>
    </row>
    <row r="69" spans="1:21" x14ac:dyDescent="0.3">
      <c r="A69" s="20" t="s">
        <v>239</v>
      </c>
      <c r="B69" s="15" t="s">
        <v>119</v>
      </c>
      <c r="C69" s="15" t="s">
        <v>238</v>
      </c>
      <c r="D69" s="21" t="s">
        <v>45</v>
      </c>
      <c r="E69" s="21" t="s">
        <v>46</v>
      </c>
      <c r="F69" s="110">
        <f t="shared" si="16"/>
        <v>0.16499999999999998</v>
      </c>
      <c r="G69" s="72">
        <v>4.0000000000000001E-3</v>
      </c>
      <c r="H69" s="12">
        <v>2.7E-2</v>
      </c>
      <c r="I69" s="14">
        <v>0</v>
      </c>
      <c r="J69" s="12"/>
      <c r="K69" s="72">
        <v>6.5000000000000002E-2</v>
      </c>
      <c r="L69" s="12"/>
      <c r="M69" s="12">
        <v>2.3E-2</v>
      </c>
      <c r="N69" s="72">
        <v>4.5999999999999999E-2</v>
      </c>
      <c r="O69" s="12"/>
      <c r="P69" s="12"/>
      <c r="R69" s="151">
        <f>'Parameters SH, country spec'!E24</f>
        <v>2.7237073543292042E-4</v>
      </c>
      <c r="S69" s="151">
        <f>'Parameters SH, country spec'!E42</f>
        <v>2.7237073543292042E-4</v>
      </c>
      <c r="T69" s="264">
        <f>'Parameters D24m, country spec'!E20</f>
        <v>2.7237073543292042E-4</v>
      </c>
    </row>
    <row r="70" spans="1:21" x14ac:dyDescent="0.3">
      <c r="B70" s="16" t="s">
        <v>120</v>
      </c>
      <c r="C70" s="15" t="s">
        <v>240</v>
      </c>
      <c r="D70" s="21" t="s">
        <v>45</v>
      </c>
      <c r="E70" s="21" t="s">
        <v>46</v>
      </c>
      <c r="F70" s="110">
        <f t="shared" si="16"/>
        <v>0.27628755742228495</v>
      </c>
      <c r="G70" s="18">
        <f>'Off-farm feed'!$F$74</f>
        <v>0.15910156565543246</v>
      </c>
      <c r="H70" s="18">
        <f>'Off-farm feed'!$G$74</f>
        <v>1.3034482758620692E-2</v>
      </c>
      <c r="I70" s="18">
        <f>'Off-farm feed'!$H$74</f>
        <v>0</v>
      </c>
      <c r="J70" s="18"/>
      <c r="K70" s="18">
        <f>'Off-farm feed'!$J$74</f>
        <v>2.4688740026345454E-2</v>
      </c>
      <c r="L70" s="18"/>
      <c r="M70" s="294">
        <f>'Off-farm feed'!$L$74</f>
        <v>1.931759303794134E-4</v>
      </c>
      <c r="N70" s="18">
        <f>'Off-farm feed'!$M$74</f>
        <v>3.6802128767029069E-2</v>
      </c>
      <c r="O70" s="18">
        <f>'Off-farm feed'!$N$74</f>
        <v>0</v>
      </c>
      <c r="P70" s="18">
        <f>'Off-farm feed'!$O$74</f>
        <v>2.6267464284477883E-2</v>
      </c>
      <c r="Q70" s="18">
        <f>'Off-farm feed'!$P$74</f>
        <v>1.6199999999999999E-2</v>
      </c>
      <c r="R70" s="151">
        <f>'Parameters SH, country spec'!E25</f>
        <v>3.0258775338687637E-4</v>
      </c>
      <c r="S70" s="151">
        <f>'Parameters SH, country spec'!E43</f>
        <v>3.0258775338687637E-4</v>
      </c>
      <c r="T70" s="264">
        <f>'Parameters D24m, country spec'!E21</f>
        <v>3.0258775338687637E-4</v>
      </c>
    </row>
    <row r="71" spans="1:21" x14ac:dyDescent="0.3">
      <c r="B71" s="16" t="s">
        <v>241</v>
      </c>
      <c r="C71" s="15" t="s">
        <v>240</v>
      </c>
      <c r="D71" s="21" t="s">
        <v>45</v>
      </c>
      <c r="E71" s="21" t="s">
        <v>46</v>
      </c>
      <c r="F71" s="110">
        <f t="shared" si="16"/>
        <v>0.7061171705997602</v>
      </c>
      <c r="G71" s="18">
        <f>'Off-farm feed'!$F$23</f>
        <v>7.2632670993098931E-3</v>
      </c>
      <c r="H71" s="18">
        <f>'Off-farm feed'!$G$23</f>
        <v>2.1402439024390246E-2</v>
      </c>
      <c r="I71" s="18">
        <f>'Off-farm feed'!$H$23</f>
        <v>0</v>
      </c>
      <c r="J71" s="18"/>
      <c r="K71" s="18">
        <f>'Off-farm feed'!$J$23</f>
        <v>4.308361966433235E-2</v>
      </c>
      <c r="L71" s="18"/>
      <c r="M71" s="294">
        <f>'Off-farm feed'!$L$23</f>
        <v>1.7842060425123844E-4</v>
      </c>
      <c r="N71" s="18">
        <f>'Off-farm feed'!$M$23</f>
        <v>3.0432604948959403E-2</v>
      </c>
      <c r="O71" s="18">
        <f>'Off-farm feed'!$N$23</f>
        <v>0.31761120248475611</v>
      </c>
      <c r="P71" s="18">
        <f>'Off-farm feed'!$O$23</f>
        <v>3.5145616773760872E-2</v>
      </c>
      <c r="Q71" s="18">
        <f>'Off-farm feed'!$P$23</f>
        <v>0.251</v>
      </c>
      <c r="R71" s="151">
        <f>'Parameters SH, country spec'!E26</f>
        <v>5.3317910590755316E-2</v>
      </c>
      <c r="S71" s="151">
        <f>'Parameters SH, country spec'!E44</f>
        <v>5.3317910590755316E-2</v>
      </c>
      <c r="T71" s="264">
        <f>'Parameters D24m, country spec'!E22</f>
        <v>5.3317910590755316E-2</v>
      </c>
    </row>
    <row r="72" spans="1:21" x14ac:dyDescent="0.3">
      <c r="B72" s="15" t="s">
        <v>122</v>
      </c>
      <c r="C72" s="15" t="s">
        <v>242</v>
      </c>
      <c r="D72" s="21" t="s">
        <v>45</v>
      </c>
      <c r="E72" s="21" t="s">
        <v>46</v>
      </c>
      <c r="F72" s="110"/>
      <c r="G72" s="98"/>
      <c r="H72" s="6"/>
      <c r="I72" s="97"/>
      <c r="J72" s="6"/>
      <c r="K72" s="98"/>
      <c r="L72" s="6"/>
      <c r="M72" s="6"/>
      <c r="N72" s="98"/>
      <c r="O72" s="6"/>
      <c r="P72" s="6"/>
      <c r="Q72" s="6"/>
      <c r="R72" s="151">
        <f>'Parameters SH, country spec'!E27</f>
        <v>4.6947510766466367E-2</v>
      </c>
      <c r="S72" s="151">
        <f>'Parameters SH, country spec'!E45</f>
        <v>4.6947510766466367E-2</v>
      </c>
      <c r="T72" s="264">
        <f>'Parameters D24m, country spec'!E23</f>
        <v>4.6947510766466367E-2</v>
      </c>
    </row>
    <row r="73" spans="1:21" x14ac:dyDescent="0.3">
      <c r="A73" s="75"/>
      <c r="B73" s="15" t="s">
        <v>243</v>
      </c>
      <c r="C73" s="76" t="s">
        <v>244</v>
      </c>
      <c r="D73" s="21" t="s">
        <v>45</v>
      </c>
      <c r="E73" s="21" t="s">
        <v>46</v>
      </c>
      <c r="F73" s="110">
        <f t="shared" si="16"/>
        <v>9.6122768185387314E-2</v>
      </c>
      <c r="G73" s="73">
        <f>SUMPRODUCT(G63:G71,$R63:$R71)</f>
        <v>2.3025941114700632E-2</v>
      </c>
      <c r="H73" s="73">
        <f t="shared" ref="H73:P73" si="17">SUMPRODUCT(H63:H71,$R63:$R71)</f>
        <v>9.0856013255613943E-3</v>
      </c>
      <c r="I73" s="73">
        <f t="shared" si="17"/>
        <v>0</v>
      </c>
      <c r="J73" s="73">
        <f t="shared" si="17"/>
        <v>0</v>
      </c>
      <c r="K73" s="73">
        <f>SUMPRODUCT(K63:K71,$R63:$R71)</f>
        <v>1.3301401165498227E-2</v>
      </c>
      <c r="L73" s="73">
        <f t="shared" si="17"/>
        <v>0</v>
      </c>
      <c r="M73" s="73">
        <f t="shared" si="17"/>
        <v>3.3438835415569865E-3</v>
      </c>
      <c r="N73" s="73">
        <f t="shared" si="17"/>
        <v>1.5162038795675757E-2</v>
      </c>
      <c r="O73" s="73">
        <f t="shared" si="17"/>
        <v>1.693436569670451E-2</v>
      </c>
      <c r="P73" s="73">
        <f t="shared" si="17"/>
        <v>1.8818390658053427E-3</v>
      </c>
      <c r="Q73" s="73">
        <f>SUMPRODUCT(Q63:Q71,$R63:$R71)</f>
        <v>1.3387697479884452E-2</v>
      </c>
      <c r="R73" s="151">
        <f>'Parameters SH, country spec'!E28</f>
        <v>6.3606681280279728E-2</v>
      </c>
      <c r="S73" s="151">
        <f>'Parameters SH, country spec'!E46</f>
        <v>6.3606681280279728E-2</v>
      </c>
      <c r="T73" s="264">
        <f>'Parameters D24m, country spec'!E24</f>
        <v>6.3606681280279728E-2</v>
      </c>
    </row>
    <row r="74" spans="1:21" x14ac:dyDescent="0.3">
      <c r="A74" s="328"/>
      <c r="B74" s="329" t="s">
        <v>616</v>
      </c>
      <c r="C74" s="330"/>
      <c r="D74" s="331"/>
      <c r="E74" s="331"/>
      <c r="F74" s="332">
        <f>SUMPRODUCT(F60:F62,R60:R62)+SUMPRODUCT(F63:F73,R63:R73)/0.87</f>
        <v>0.18097548222967336</v>
      </c>
      <c r="G74" s="332">
        <f>SUMPRODUCT(G60:G62,R60:R62)+SUMPRODUCT(G63:G73,R63:R73)/0.87</f>
        <v>5.0072478492822384E-2</v>
      </c>
      <c r="H74" s="332">
        <f>SUMPRODUCT(H60:H62,R60:R62)+SUMPRODUCT(H63:H73,R63:R73)/0.87</f>
        <v>2.5734237914141575E-2</v>
      </c>
      <c r="I74" s="332">
        <f>SUMPRODUCT(I60:I62,R60:R62)+SUMPRODUCT(I63:I73,R63:R73)/0.87</f>
        <v>0</v>
      </c>
      <c r="J74" s="332">
        <f>SUMPRODUCT(J60:J62,R60:R62)+SUMPRODUCT(J63:J73,R63:R73)/0.87</f>
        <v>0</v>
      </c>
      <c r="K74" s="332">
        <f>SUMPRODUCT(K60:K62,R60:R62)+SUMPRODUCT(K63:K73,R63:R73)/0.87</f>
        <v>3.3496627002387251E-2</v>
      </c>
      <c r="L74" s="332">
        <f>SUMPRODUCT(L60:L62,R60:R62)+SUMPRODUCT(L63:L73,R63:R73)/0.87</f>
        <v>0</v>
      </c>
      <c r="M74" s="332">
        <f>SUMPRODUCT(M60:M62,R60:R62)+SUMPRODUCT(M63:M73,R63:R73)/0.87</f>
        <v>5.7816207040120512E-3</v>
      </c>
      <c r="N74" s="332">
        <f>SUMPRODUCT(N60:N62,R60:R62)+SUMPRODUCT(N63:N73,R63:R73)/0.87</f>
        <v>1.8536144557369585E-2</v>
      </c>
      <c r="O74" s="332">
        <f>SUMPRODUCT(O60:O62,R60:R62)+SUMPRODUCT(O63:O73,R63:R73)/0.87</f>
        <v>2.0702878733630452E-2</v>
      </c>
      <c r="P74" s="332">
        <f>SUMPRODUCT(P60:P62,R60:R62)+SUMPRODUCT(P63:P73,R63:R73)/0.87</f>
        <v>1.0284547139603977E-2</v>
      </c>
      <c r="Q74" s="332">
        <f>SUMPRODUCT(Q60:Q62,R60:R62)+SUMPRODUCT(Q63:Q73,R63:R73)/0.87</f>
        <v>1.6366947685706054E-2</v>
      </c>
      <c r="R74" s="335"/>
      <c r="S74" s="336"/>
      <c r="T74" s="336"/>
      <c r="U74" s="336"/>
    </row>
    <row r="75" spans="1:21" x14ac:dyDescent="0.3">
      <c r="A75" s="150"/>
      <c r="B75" s="23" t="s">
        <v>457</v>
      </c>
      <c r="C75" s="24"/>
      <c r="D75" s="94"/>
      <c r="E75" s="94"/>
      <c r="F75" s="327">
        <f>SUMPRODUCT(F60:F62,S60:S62)+SUMPRODUCT(F63:F73,S63:S73)/0.87</f>
        <v>0.18097548222967336</v>
      </c>
      <c r="G75" s="327">
        <f>SUMPRODUCT(G60:G62,S60:S62)+SUMPRODUCT(G63:G73,S63:S73)/0.87</f>
        <v>5.0072478492822384E-2</v>
      </c>
      <c r="H75" s="327">
        <f>SUMPRODUCT(H60:H62,S60:S62)+SUMPRODUCT(H63:H73,S63:S73)/0.87</f>
        <v>2.5734237914141575E-2</v>
      </c>
      <c r="I75" s="327">
        <f>SUMPRODUCT(I60:I62,S60:S62)+SUMPRODUCT(I63:I73,S63:S73)/0.87</f>
        <v>0</v>
      </c>
      <c r="J75" s="327">
        <f>SUMPRODUCT(J60:J62,S60:S62)+SUMPRODUCT(J63:J73,S63:S73)/0.87</f>
        <v>0</v>
      </c>
      <c r="K75" s="327">
        <f>SUMPRODUCT(K60:K62,S60:S62)+SUMPRODUCT(K63:K73,S63:S73)/0.87</f>
        <v>3.3496627002387251E-2</v>
      </c>
      <c r="L75" s="327">
        <f>SUMPRODUCT(L60:L62,S60:S62)+SUMPRODUCT(L63:L73,S63:S73)/0.87</f>
        <v>0</v>
      </c>
      <c r="M75" s="327">
        <f>SUMPRODUCT(M60:M62,S60:S62)+SUMPRODUCT(M63:M73,S63:S73)/0.87</f>
        <v>5.7816207040120512E-3</v>
      </c>
      <c r="N75" s="327">
        <f>SUMPRODUCT(N60:N62,S60:S62)+SUMPRODUCT(N63:N73,S63:S73)/0.87</f>
        <v>1.8536144557369585E-2</v>
      </c>
      <c r="O75" s="327">
        <f>SUMPRODUCT(O60:O62,S60:S62)+SUMPRODUCT(O63:O73,S63:S73)/0.87</f>
        <v>2.0702878733630452E-2</v>
      </c>
      <c r="P75" s="327">
        <f>SUMPRODUCT(P60:P62,S60:S62)+SUMPRODUCT(P63:P73,S63:S73)/0.87</f>
        <v>1.0284547139603977E-2</v>
      </c>
      <c r="Q75" s="327">
        <f>SUMPRODUCT(Q60:Q62,S60:S62)+SUMPRODUCT(Q63:Q73,S63:S73)/0.87</f>
        <v>1.6366947685706054E-2</v>
      </c>
      <c r="R75" s="152"/>
      <c r="S75" s="152"/>
      <c r="T75" s="152"/>
      <c r="U75" s="152"/>
    </row>
    <row r="76" spans="1:21" x14ac:dyDescent="0.3">
      <c r="A76" s="328"/>
      <c r="B76" s="329" t="s">
        <v>641</v>
      </c>
      <c r="C76" s="330"/>
      <c r="D76" s="331"/>
      <c r="E76" s="331"/>
      <c r="F76" s="332">
        <f>SUMPRODUCT(F60:F62,$T60:$T62)+SUMPRODUCT(F63:F73,$T63:$T73)/0.87</f>
        <v>0.18097548222967336</v>
      </c>
      <c r="G76" s="332">
        <f t="shared" ref="G76:O76" si="18">SUMPRODUCT(G60:G62,$T60:$T62)+SUMPRODUCT(G63:G73,$T63:$T73)/0.87</f>
        <v>5.0072478492822384E-2</v>
      </c>
      <c r="H76" s="332">
        <f t="shared" si="18"/>
        <v>2.5734237914141575E-2</v>
      </c>
      <c r="I76" s="332">
        <f t="shared" si="18"/>
        <v>0</v>
      </c>
      <c r="J76" s="332">
        <f t="shared" si="18"/>
        <v>0</v>
      </c>
      <c r="K76" s="332">
        <f t="shared" si="18"/>
        <v>3.3496627002387251E-2</v>
      </c>
      <c r="L76" s="332">
        <f t="shared" si="18"/>
        <v>0</v>
      </c>
      <c r="M76" s="332">
        <f t="shared" si="18"/>
        <v>5.7816207040120512E-3</v>
      </c>
      <c r="N76" s="332">
        <f t="shared" si="18"/>
        <v>1.8536144557369585E-2</v>
      </c>
      <c r="O76" s="332">
        <f t="shared" si="18"/>
        <v>2.0702878733630452E-2</v>
      </c>
      <c r="P76" s="332">
        <f>SUMPRODUCT(P60:P62,$T60:$T62)+SUMPRODUCT(P63:P73,$T63:$T73)/0.87</f>
        <v>1.0284547139603977E-2</v>
      </c>
      <c r="Q76" s="332">
        <f t="shared" ref="Q76" si="19">SUMPRODUCT(Q60:Q62,$T60:$T62)+SUMPRODUCT(Q63:Q73,$T63:$T73)/0.87</f>
        <v>1.6366947685706054E-2</v>
      </c>
      <c r="R76" s="335"/>
      <c r="S76" s="335"/>
      <c r="T76" s="335"/>
      <c r="U76" s="335"/>
    </row>
    <row r="77" spans="1:21" x14ac:dyDescent="0.3">
      <c r="A77" s="150"/>
      <c r="B77" s="23" t="s">
        <v>642</v>
      </c>
      <c r="C77" s="24"/>
      <c r="D77" s="94"/>
      <c r="E77" s="94"/>
      <c r="F77" s="327">
        <f>SUMPRODUCT(F60:F62,$U60:$U62)+SUMPRODUCT(F63:F73,$U63:$U73)/0.87</f>
        <v>0</v>
      </c>
      <c r="G77" s="327">
        <f t="shared" ref="G77:K77" si="20">SUMPRODUCT(G60:G62,$U60:$U62)+SUMPRODUCT(G63:G73,$U63:$U73)/0.87</f>
        <v>0</v>
      </c>
      <c r="H77" s="327">
        <f t="shared" si="20"/>
        <v>0</v>
      </c>
      <c r="I77" s="327">
        <f t="shared" si="20"/>
        <v>0</v>
      </c>
      <c r="J77" s="327">
        <f t="shared" si="20"/>
        <v>0</v>
      </c>
      <c r="K77" s="327">
        <f t="shared" si="20"/>
        <v>0</v>
      </c>
      <c r="L77" s="327">
        <f>SUMPRODUCT(L60:L62,$U60:$U62)+SUMPRODUCT(L63:L73,$U63:$U73)/0.87</f>
        <v>0</v>
      </c>
      <c r="M77" s="327">
        <f t="shared" ref="M77:Q77" si="21">SUMPRODUCT(M60:M62,$U60:$U62)+SUMPRODUCT(M63:M73,$U63:$U73)/0.87</f>
        <v>0</v>
      </c>
      <c r="N77" s="327">
        <f t="shared" si="21"/>
        <v>0</v>
      </c>
      <c r="O77" s="327">
        <f t="shared" si="21"/>
        <v>0</v>
      </c>
      <c r="P77" s="327">
        <f t="shared" si="21"/>
        <v>0</v>
      </c>
      <c r="Q77" s="327">
        <f t="shared" si="21"/>
        <v>0</v>
      </c>
      <c r="R77" s="152"/>
      <c r="S77" s="152"/>
      <c r="T77" s="152"/>
      <c r="U77" s="152"/>
    </row>
    <row r="78" spans="1:21" x14ac:dyDescent="0.3">
      <c r="B78" s="16" t="s">
        <v>299</v>
      </c>
      <c r="C78" s="15" t="s">
        <v>302</v>
      </c>
      <c r="D78" s="21" t="s">
        <v>96</v>
      </c>
      <c r="E78" s="21" t="s">
        <v>48</v>
      </c>
      <c r="F78" s="110">
        <f>SUM(G78:Q78)</f>
        <v>9.7457850533830021E-2</v>
      </c>
      <c r="G78" s="18">
        <f>'Forage crops, CF'!F28</f>
        <v>2.1751094263240234E-2</v>
      </c>
      <c r="H78" s="18">
        <f>'Forage crops, CF'!G28</f>
        <v>2.7E-2</v>
      </c>
      <c r="I78" s="18">
        <f>'Forage crops, CF'!H28</f>
        <v>0</v>
      </c>
      <c r="J78" s="18">
        <f>'Forage crops, CF'!I28</f>
        <v>0</v>
      </c>
      <c r="K78" s="18">
        <f>'Forage crops, CF'!J28</f>
        <v>4.869818254347158E-2</v>
      </c>
      <c r="L78" s="18">
        <f>'Forage crops, CF'!K28</f>
        <v>0</v>
      </c>
      <c r="M78" s="18">
        <f>'Forage crops, CF'!L28</f>
        <v>8.5737271182102421E-6</v>
      </c>
      <c r="N78" s="18">
        <f>'Forage crops, CF'!M28</f>
        <v>0</v>
      </c>
      <c r="O78" s="18">
        <f>'Forage crops, CF'!N28</f>
        <v>0</v>
      </c>
      <c r="P78" s="18">
        <f>'Forage crops, CF'!O28</f>
        <v>0</v>
      </c>
      <c r="Q78" s="18">
        <f>'Forage crops, CF'!P28</f>
        <v>0</v>
      </c>
      <c r="R78" s="151">
        <f>'Parameters SH, country spec'!F15</f>
        <v>7.7439143939213403E-2</v>
      </c>
      <c r="S78" s="151">
        <f>'Parameters SH, country spec'!F33</f>
        <v>7.7439143939213403E-2</v>
      </c>
      <c r="T78" s="264">
        <f>'Parameters D24m, country spec'!F11</f>
        <v>7.7439143939213403E-2</v>
      </c>
    </row>
    <row r="79" spans="1:21" x14ac:dyDescent="0.3">
      <c r="B79" s="16" t="s">
        <v>300</v>
      </c>
      <c r="C79" s="15" t="s">
        <v>302</v>
      </c>
      <c r="D79" s="21" t="s">
        <v>96</v>
      </c>
      <c r="E79" s="21" t="s">
        <v>48</v>
      </c>
      <c r="F79" s="110">
        <f>SUM(G79:Q79)</f>
        <v>0.14141963031873722</v>
      </c>
      <c r="G79" s="18">
        <f>'Forage crops, CF'!F93</f>
        <v>4.6200863620897606E-2</v>
      </c>
      <c r="H79" s="18">
        <f>'Forage crops, CF'!G93</f>
        <v>2.7E-2</v>
      </c>
      <c r="I79" s="18">
        <f>'Forage crops, CF'!H93</f>
        <v>0</v>
      </c>
      <c r="J79" s="18">
        <f>'Forage crops, CF'!I93</f>
        <v>0</v>
      </c>
      <c r="K79" s="18">
        <f>'Forage crops, CF'!J93</f>
        <v>2.151019297072139E-2</v>
      </c>
      <c r="L79" s="18">
        <f>'Forage crops, CF'!K93</f>
        <v>0</v>
      </c>
      <c r="M79" s="18">
        <f>'Forage crops, CF'!L93</f>
        <v>8.5737271182102438E-6</v>
      </c>
      <c r="N79" s="18">
        <f>'Forage crops, CF'!M93</f>
        <v>0</v>
      </c>
      <c r="O79" s="18">
        <f>'Forage crops, CF'!N93</f>
        <v>0</v>
      </c>
      <c r="P79" s="18">
        <f>'Forage crops, CF'!O93</f>
        <v>4.6700000000000005E-2</v>
      </c>
      <c r="Q79" s="18">
        <f>'Forage crops, CF'!P93</f>
        <v>0</v>
      </c>
      <c r="R79" s="151">
        <f>'Parameters SH, country spec'!F16</f>
        <v>0.38082943222890436</v>
      </c>
      <c r="S79" s="151">
        <f>'Parameters SH, country spec'!F34</f>
        <v>0.38082943222890436</v>
      </c>
      <c r="T79" s="264">
        <f>'Parameters D24m, country spec'!F12</f>
        <v>0.38082943222890436</v>
      </c>
    </row>
    <row r="80" spans="1:21" x14ac:dyDescent="0.3">
      <c r="B80" s="16" t="s">
        <v>301</v>
      </c>
      <c r="C80" s="15" t="s">
        <v>302</v>
      </c>
      <c r="D80" s="21" t="s">
        <v>96</v>
      </c>
      <c r="E80" s="21" t="s">
        <v>48</v>
      </c>
      <c r="F80" s="110">
        <f>SUM(G80:Q80)</f>
        <v>0.10832002494649134</v>
      </c>
      <c r="G80" s="18">
        <f>'Forage crops, CF'!F158*'Forage, input data per ha'!$D$82+'Forage crops, CF'!F223*'Forage, input data per ha'!$E$82</f>
        <v>3.55176519563914E-3</v>
      </c>
      <c r="H80" s="18">
        <f>'Forage crops, CF'!G158*'Forage, input data per ha'!$D$82+'Forage crops, CF'!G223*'Forage, input data per ha'!$E$82</f>
        <v>2.7E-2</v>
      </c>
      <c r="I80" s="18">
        <f>'Forage crops, CF'!H158*'Forage, input data per ha'!$D$82+'Forage crops, CF'!H223*'Forage, input data per ha'!$E$82</f>
        <v>0</v>
      </c>
      <c r="J80" s="18">
        <f>'Forage crops, CF'!I158*'Forage, input data per ha'!$D$82+'Forage crops, CF'!I223*'Forage, input data per ha'!$E$82</f>
        <v>0</v>
      </c>
      <c r="K80" s="18">
        <f>'Forage crops, CF'!J158*'Forage, input data per ha'!$D$82+'Forage crops, CF'!J223*'Forage, input data per ha'!$E$82</f>
        <v>3.105968602373399E-2</v>
      </c>
      <c r="L80" s="18">
        <f>'Forage crops, CF'!K158*'Forage, input data per ha'!$D$82+'Forage crops, CF'!K223*'Forage, input data per ha'!$E$82</f>
        <v>0</v>
      </c>
      <c r="M80" s="18">
        <f>'Forage crops, CF'!L158*'Forage, input data per ha'!$D$82+'Forage crops, CF'!L223*'Forage, input data per ha'!$E$82</f>
        <v>8.5737271182102438E-6</v>
      </c>
      <c r="N80" s="18">
        <f>'Forage crops, CF'!M158*'Forage, input data per ha'!$D$82+'Forage crops, CF'!M223*'Forage, input data per ha'!$E$82</f>
        <v>0</v>
      </c>
      <c r="O80" s="18">
        <f>'Forage crops, CF'!N158*'Forage, input data per ha'!$D$82+'Forage crops, CF'!N223*'Forage, input data per ha'!$E$82</f>
        <v>0</v>
      </c>
      <c r="P80" s="18">
        <f>'Forage crops, CF'!O158*'Forage, input data per ha'!$D$82+'Forage crops, CF'!O223*'Forage, input data per ha'!$E$82</f>
        <v>4.6700000000000005E-2</v>
      </c>
      <c r="Q80" s="18">
        <f>'Forage crops, CF'!P158*'Forage, input data per ha'!$D$82+'Forage crops, CF'!P223*'Forage, input data per ha'!$E$82</f>
        <v>0</v>
      </c>
      <c r="R80" s="151">
        <f>'Parameters SH, country spec'!F17</f>
        <v>0.18201404564523588</v>
      </c>
      <c r="S80" s="151">
        <f>'Parameters SH, country spec'!F35</f>
        <v>0.18201404564523588</v>
      </c>
      <c r="T80" s="264">
        <f>'Parameters D24m, country spec'!F13</f>
        <v>0.18201404564523588</v>
      </c>
    </row>
    <row r="81" spans="1:21" x14ac:dyDescent="0.3">
      <c r="A81" s="20" t="s">
        <v>231</v>
      </c>
      <c r="B81" s="15" t="s">
        <v>113</v>
      </c>
      <c r="C81" s="15" t="s">
        <v>232</v>
      </c>
      <c r="D81" s="21" t="s">
        <v>96</v>
      </c>
      <c r="E81" s="21" t="s">
        <v>48</v>
      </c>
      <c r="F81" s="110">
        <f>SUM(G81:Q81)</f>
        <v>0.18200000000000002</v>
      </c>
      <c r="G81" s="72">
        <v>7.9000000000000001E-2</v>
      </c>
      <c r="H81" s="12">
        <v>2.7E-2</v>
      </c>
      <c r="I81" s="14">
        <v>0</v>
      </c>
      <c r="J81" s="12"/>
      <c r="K81" s="72">
        <v>3.4000000000000002E-2</v>
      </c>
      <c r="L81" s="12"/>
      <c r="M81" s="12">
        <v>0</v>
      </c>
      <c r="N81" s="72">
        <v>4.2000000000000003E-2</v>
      </c>
      <c r="O81" s="12"/>
      <c r="P81" s="12"/>
      <c r="R81" s="151">
        <f>'Parameters SH, country spec'!F18</f>
        <v>1.3777713958130216E-2</v>
      </c>
      <c r="S81" s="151">
        <f>'Parameters SH, country spec'!F36</f>
        <v>1.3777713958130216E-2</v>
      </c>
      <c r="T81" s="264">
        <f>'Parameters D24m, country spec'!F14</f>
        <v>1.3777713958130216E-2</v>
      </c>
    </row>
    <row r="82" spans="1:21" x14ac:dyDescent="0.3">
      <c r="A82" s="20" t="s">
        <v>233</v>
      </c>
      <c r="B82" s="15" t="s">
        <v>114</v>
      </c>
      <c r="C82" s="15" t="s">
        <v>232</v>
      </c>
      <c r="D82" s="21" t="s">
        <v>96</v>
      </c>
      <c r="E82" s="21" t="s">
        <v>48</v>
      </c>
      <c r="F82" s="110">
        <f t="shared" ref="F82:F91" si="22">SUM(G82:Q82)</f>
        <v>0.17</v>
      </c>
      <c r="G82" s="72">
        <v>7.6999999999999999E-2</v>
      </c>
      <c r="H82" s="12">
        <v>2.7E-2</v>
      </c>
      <c r="I82" s="14">
        <v>0</v>
      </c>
      <c r="J82" s="12"/>
      <c r="K82" s="72">
        <v>2.4E-2</v>
      </c>
      <c r="L82" s="12"/>
      <c r="M82" s="12">
        <v>0</v>
      </c>
      <c r="N82" s="72">
        <v>4.2000000000000003E-2</v>
      </c>
      <c r="O82" s="12"/>
      <c r="P82" s="12"/>
      <c r="R82" s="151">
        <f>'Parameters SH, country spec'!F19</f>
        <v>8.1721304315358359E-2</v>
      </c>
      <c r="S82" s="151">
        <f>'Parameters SH, country spec'!F37</f>
        <v>8.1721304315358359E-2</v>
      </c>
      <c r="T82" s="264">
        <f>'Parameters D24m, country spec'!F15</f>
        <v>8.1721304315358359E-2</v>
      </c>
    </row>
    <row r="83" spans="1:21" x14ac:dyDescent="0.3">
      <c r="A83" s="20" t="s">
        <v>234</v>
      </c>
      <c r="B83" s="15" t="s">
        <v>115</v>
      </c>
      <c r="C83" s="15" t="s">
        <v>232</v>
      </c>
      <c r="D83" s="21" t="s">
        <v>96</v>
      </c>
      <c r="E83" s="21" t="s">
        <v>48</v>
      </c>
      <c r="F83" s="110">
        <f t="shared" si="22"/>
        <v>0.20300000000000001</v>
      </c>
      <c r="G83" s="72">
        <v>7.0000000000000007E-2</v>
      </c>
      <c r="H83" s="12">
        <v>2.7E-2</v>
      </c>
      <c r="I83" s="14">
        <v>0</v>
      </c>
      <c r="J83" s="12"/>
      <c r="K83" s="72">
        <v>6.3E-2</v>
      </c>
      <c r="L83" s="12"/>
      <c r="M83" s="12">
        <v>1E-3</v>
      </c>
      <c r="N83" s="72">
        <v>4.2000000000000003E-2</v>
      </c>
      <c r="O83" s="12"/>
      <c r="P83" s="12"/>
      <c r="R83" s="151">
        <f>'Parameters SH, country spec'!F20</f>
        <v>7.3794391499110061E-3</v>
      </c>
      <c r="S83" s="151">
        <f>'Parameters SH, country spec'!F38</f>
        <v>7.3794391499110061E-3</v>
      </c>
      <c r="T83" s="264">
        <f>'Parameters D24m, country spec'!F16</f>
        <v>7.3794391499110061E-3</v>
      </c>
    </row>
    <row r="84" spans="1:21" x14ac:dyDescent="0.3">
      <c r="A84" s="20" t="s">
        <v>235</v>
      </c>
      <c r="B84" s="15" t="s">
        <v>116</v>
      </c>
      <c r="C84" s="15" t="s">
        <v>232</v>
      </c>
      <c r="D84" s="21" t="s">
        <v>96</v>
      </c>
      <c r="E84" s="21" t="s">
        <v>48</v>
      </c>
      <c r="F84" s="110">
        <f t="shared" si="22"/>
        <v>0.186</v>
      </c>
      <c r="G84" s="72">
        <v>6.2E-2</v>
      </c>
      <c r="H84" s="12">
        <v>2.7E-2</v>
      </c>
      <c r="I84" s="12">
        <v>0</v>
      </c>
      <c r="J84" s="12"/>
      <c r="K84" s="72">
        <v>5.5E-2</v>
      </c>
      <c r="L84" s="12"/>
      <c r="M84" s="12">
        <v>0</v>
      </c>
      <c r="N84" s="72">
        <v>4.2000000000000003E-2</v>
      </c>
      <c r="O84" s="12"/>
      <c r="P84" s="12"/>
      <c r="R84" s="151">
        <f>'Parameters SH, country spec'!F21</f>
        <v>2.8681330795635538E-3</v>
      </c>
      <c r="S84" s="151">
        <f>'Parameters SH, country spec'!F39</f>
        <v>2.8681330795635538E-3</v>
      </c>
      <c r="T84" s="264">
        <f>'Parameters D24m, country spec'!F17</f>
        <v>2.8681330795635538E-3</v>
      </c>
    </row>
    <row r="85" spans="1:21" x14ac:dyDescent="0.3">
      <c r="A85" s="20" t="s">
        <v>236</v>
      </c>
      <c r="B85" s="15" t="s">
        <v>117</v>
      </c>
      <c r="C85" s="15" t="s">
        <v>232</v>
      </c>
      <c r="D85" s="21" t="s">
        <v>96</v>
      </c>
      <c r="E85" s="21" t="s">
        <v>48</v>
      </c>
      <c r="F85" s="110">
        <f t="shared" si="22"/>
        <v>0.19500000000000001</v>
      </c>
      <c r="G85" s="72">
        <v>9.0999999999999998E-2</v>
      </c>
      <c r="H85" s="12">
        <v>2.7E-2</v>
      </c>
      <c r="I85" s="12">
        <v>0</v>
      </c>
      <c r="J85" s="12"/>
      <c r="K85" s="72">
        <v>3.5000000000000003E-2</v>
      </c>
      <c r="L85" s="12"/>
      <c r="M85" s="12">
        <v>0</v>
      </c>
      <c r="N85" s="72">
        <v>4.2000000000000003E-2</v>
      </c>
      <c r="O85" s="12"/>
      <c r="P85" s="12"/>
      <c r="R85" s="151">
        <f>'Parameters SH, country spec'!F22</f>
        <v>1.2902756316192223E-2</v>
      </c>
      <c r="S85" s="151">
        <f>'Parameters SH, country spec'!F40</f>
        <v>1.2902756316192223E-2</v>
      </c>
      <c r="T85" s="264">
        <f>'Parameters D24m, country spec'!F18</f>
        <v>1.2902756316192223E-2</v>
      </c>
    </row>
    <row r="86" spans="1:21" x14ac:dyDescent="0.3">
      <c r="A86" s="20" t="s">
        <v>237</v>
      </c>
      <c r="B86" s="15" t="s">
        <v>118</v>
      </c>
      <c r="C86" s="15" t="s">
        <v>238</v>
      </c>
      <c r="D86" s="21" t="s">
        <v>96</v>
      </c>
      <c r="E86" s="21" t="s">
        <v>48</v>
      </c>
      <c r="F86" s="110">
        <f t="shared" si="22"/>
        <v>0.14599999999999999</v>
      </c>
      <c r="G86" s="72">
        <v>0</v>
      </c>
      <c r="H86" s="12">
        <v>2.7E-2</v>
      </c>
      <c r="I86" s="14">
        <v>0</v>
      </c>
      <c r="J86" s="12"/>
      <c r="K86" s="72">
        <v>7.0999999999999994E-2</v>
      </c>
      <c r="L86" s="14"/>
      <c r="M86" s="12">
        <v>6.0000000000000001E-3</v>
      </c>
      <c r="N86" s="72">
        <v>4.2000000000000003E-2</v>
      </c>
      <c r="O86" s="12"/>
      <c r="P86" s="12"/>
      <c r="R86" s="151">
        <f>'Parameters SH, country spec'!F23</f>
        <v>9.2331122908701521E-4</v>
      </c>
      <c r="S86" s="151">
        <f>'Parameters SH, country spec'!F41</f>
        <v>9.2331122908701521E-4</v>
      </c>
      <c r="T86" s="264">
        <f>'Parameters D24m, country spec'!F19</f>
        <v>9.2331122908701521E-4</v>
      </c>
    </row>
    <row r="87" spans="1:21" x14ac:dyDescent="0.3">
      <c r="A87" s="20" t="s">
        <v>239</v>
      </c>
      <c r="B87" s="15" t="s">
        <v>119</v>
      </c>
      <c r="C87" s="15" t="s">
        <v>238</v>
      </c>
      <c r="D87" s="21" t="s">
        <v>96</v>
      </c>
      <c r="E87" s="21" t="s">
        <v>48</v>
      </c>
      <c r="F87" s="110">
        <f t="shared" si="22"/>
        <v>0.17</v>
      </c>
      <c r="G87" s="72">
        <v>4.0000000000000001E-3</v>
      </c>
      <c r="H87" s="12">
        <v>2.7E-2</v>
      </c>
      <c r="I87" s="14">
        <v>0</v>
      </c>
      <c r="J87" s="12"/>
      <c r="K87" s="72">
        <v>8.8999999999999996E-2</v>
      </c>
      <c r="L87" s="12"/>
      <c r="M87" s="12">
        <v>8.0000000000000002E-3</v>
      </c>
      <c r="N87" s="72">
        <v>4.2000000000000003E-2</v>
      </c>
      <c r="O87" s="12"/>
      <c r="P87" s="12"/>
      <c r="R87" s="151">
        <f>'Parameters SH, country spec'!F24</f>
        <v>9.0699589423403552E-4</v>
      </c>
      <c r="S87" s="151">
        <f>'Parameters SH, country spec'!F42</f>
        <v>9.0699589423403552E-4</v>
      </c>
      <c r="T87" s="264">
        <f>'Parameters D24m, country spec'!F20</f>
        <v>9.0699589423403552E-4</v>
      </c>
    </row>
    <row r="88" spans="1:21" x14ac:dyDescent="0.3">
      <c r="B88" s="16" t="s">
        <v>120</v>
      </c>
      <c r="C88" s="15" t="s">
        <v>240</v>
      </c>
      <c r="D88" s="21" t="s">
        <v>96</v>
      </c>
      <c r="E88" s="21" t="s">
        <v>48</v>
      </c>
      <c r="F88" s="110">
        <f t="shared" si="22"/>
        <v>0.27628755742228495</v>
      </c>
      <c r="G88" s="18">
        <f>'Off-farm feed'!$F$74</f>
        <v>0.15910156565543246</v>
      </c>
      <c r="H88" s="18">
        <f>'Off-farm feed'!$G$74</f>
        <v>1.3034482758620692E-2</v>
      </c>
      <c r="I88" s="18">
        <f>'Off-farm feed'!$H$74</f>
        <v>0</v>
      </c>
      <c r="J88" s="18"/>
      <c r="K88" s="18">
        <f>'Off-farm feed'!$J$74</f>
        <v>2.4688740026345454E-2</v>
      </c>
      <c r="L88" s="18"/>
      <c r="M88" s="294">
        <f>'Off-farm feed'!$L$74</f>
        <v>1.931759303794134E-4</v>
      </c>
      <c r="N88" s="18">
        <f>'Off-farm feed'!$M$74</f>
        <v>3.6802128767029069E-2</v>
      </c>
      <c r="O88" s="18">
        <f>'Off-farm feed'!$N$74</f>
        <v>0</v>
      </c>
      <c r="P88" s="18">
        <f>'Off-farm feed'!$O$74</f>
        <v>2.6267464284477883E-2</v>
      </c>
      <c r="Q88" s="18">
        <f>'Off-farm feed'!$P$74</f>
        <v>1.6199999999999999E-2</v>
      </c>
      <c r="R88" s="151">
        <f>'Parameters SH, country spec'!F25</f>
        <v>3.9849321881062677E-4</v>
      </c>
      <c r="S88" s="151">
        <f>'Parameters SH, country spec'!F43</f>
        <v>3.9849321881062677E-4</v>
      </c>
      <c r="T88" s="264">
        <f>'Parameters D24m, country spec'!F21</f>
        <v>3.9849321881062677E-4</v>
      </c>
    </row>
    <row r="89" spans="1:21" x14ac:dyDescent="0.3">
      <c r="B89" s="16" t="s">
        <v>241</v>
      </c>
      <c r="C89" s="15" t="s">
        <v>240</v>
      </c>
      <c r="D89" s="21" t="s">
        <v>96</v>
      </c>
      <c r="E89" s="21" t="s">
        <v>48</v>
      </c>
      <c r="F89" s="110">
        <f t="shared" si="22"/>
        <v>0.7061171705997602</v>
      </c>
      <c r="G89" s="18">
        <f>'Off-farm feed'!$F$23</f>
        <v>7.2632670993098931E-3</v>
      </c>
      <c r="H89" s="18">
        <f>'Off-farm feed'!$G$23</f>
        <v>2.1402439024390246E-2</v>
      </c>
      <c r="I89" s="18">
        <f>'Off-farm feed'!$H$23</f>
        <v>0</v>
      </c>
      <c r="J89" s="18"/>
      <c r="K89" s="18">
        <f>'Off-farm feed'!$J$23</f>
        <v>4.308361966433235E-2</v>
      </c>
      <c r="L89" s="18"/>
      <c r="M89" s="294">
        <f>'Off-farm feed'!$L$23</f>
        <v>1.7842060425123844E-4</v>
      </c>
      <c r="N89" s="18">
        <f>'Off-farm feed'!$M$23</f>
        <v>3.0432604948959403E-2</v>
      </c>
      <c r="O89" s="18">
        <f>'Off-farm feed'!$N$23</f>
        <v>0.31761120248475611</v>
      </c>
      <c r="P89" s="18">
        <f>'Off-farm feed'!$O$23</f>
        <v>3.5145616773760872E-2</v>
      </c>
      <c r="Q89" s="18">
        <f>'Off-farm feed'!$P$23</f>
        <v>0.251</v>
      </c>
      <c r="R89" s="151">
        <f>'Parameters SH, country spec'!F26</f>
        <v>7.5984876674379837E-2</v>
      </c>
      <c r="S89" s="151">
        <f>'Parameters SH, country spec'!F44</f>
        <v>7.5984876674379837E-2</v>
      </c>
      <c r="T89" s="264">
        <f>'Parameters D24m, country spec'!F22</f>
        <v>7.5984876674379837E-2</v>
      </c>
    </row>
    <row r="90" spans="1:21" x14ac:dyDescent="0.3">
      <c r="B90" s="15" t="s">
        <v>122</v>
      </c>
      <c r="C90" s="15" t="s">
        <v>242</v>
      </c>
      <c r="D90" s="21" t="s">
        <v>96</v>
      </c>
      <c r="E90" s="21" t="s">
        <v>48</v>
      </c>
      <c r="F90" s="110"/>
      <c r="G90" s="98"/>
      <c r="H90" s="6"/>
      <c r="I90" s="97"/>
      <c r="J90" s="6"/>
      <c r="K90" s="98"/>
      <c r="L90" s="6"/>
      <c r="M90" s="6"/>
      <c r="N90" s="98"/>
      <c r="O90" s="6"/>
      <c r="P90" s="6"/>
      <c r="Q90" s="6"/>
      <c r="R90" s="151">
        <f>'Parameters SH, country spec'!F27</f>
        <v>9.4871367549450719E-2</v>
      </c>
      <c r="S90" s="151">
        <f>'Parameters SH, country spec'!F45</f>
        <v>9.4871367549450719E-2</v>
      </c>
      <c r="T90" s="264">
        <f>'Parameters D24m, country spec'!F23</f>
        <v>9.4871367549450719E-2</v>
      </c>
    </row>
    <row r="91" spans="1:21" x14ac:dyDescent="0.3">
      <c r="A91" s="75"/>
      <c r="B91" s="15" t="s">
        <v>243</v>
      </c>
      <c r="C91" s="76" t="s">
        <v>244</v>
      </c>
      <c r="D91" s="21" t="s">
        <v>96</v>
      </c>
      <c r="E91" s="21" t="s">
        <v>48</v>
      </c>
      <c r="F91" s="110">
        <f t="shared" si="22"/>
        <v>7.5001019641104685E-2</v>
      </c>
      <c r="G91" s="73">
        <f>SUMPRODUCT(G81:G89,$R81:$R89)</f>
        <v>9.8684429845620064E-3</v>
      </c>
      <c r="H91" s="73">
        <f t="shared" ref="H91:P91" si="23">SUMPRODUCT(H81:H89,$R81:$R89)</f>
        <v>4.8844064992361047E-3</v>
      </c>
      <c r="I91" s="73">
        <f t="shared" si="23"/>
        <v>0</v>
      </c>
      <c r="J91" s="73">
        <f t="shared" si="23"/>
        <v>0</v>
      </c>
      <c r="K91" s="73">
        <f>SUMPRODUCT(K81:K89,$R81:$R89)</f>
        <v>6.9338215892458099E-3</v>
      </c>
      <c r="L91" s="73">
        <f t="shared" si="23"/>
        <v>0</v>
      </c>
      <c r="M91" s="73">
        <f t="shared" si="23"/>
        <v>3.3809520586797697E-5</v>
      </c>
      <c r="N91" s="73">
        <f t="shared" si="23"/>
        <v>7.387228598262267E-3</v>
      </c>
      <c r="O91" s="73">
        <f t="shared" si="23"/>
        <v>2.4133648051205676E-2</v>
      </c>
      <c r="P91" s="73">
        <f t="shared" si="23"/>
        <v>2.6810027625919501E-3</v>
      </c>
      <c r="Q91" s="73">
        <f>SUMPRODUCT(Q81:Q89,$R81:$R89)</f>
        <v>1.907865963541407E-2</v>
      </c>
      <c r="R91" s="151">
        <f>'Parameters SH, country spec'!F28</f>
        <v>6.7982986801529061E-2</v>
      </c>
      <c r="S91" s="151">
        <f>'Parameters SH, country spec'!F46</f>
        <v>6.7982986801529061E-2</v>
      </c>
      <c r="T91" s="264">
        <f>'Parameters D24m, country spec'!F24</f>
        <v>6.7982986801529061E-2</v>
      </c>
    </row>
    <row r="92" spans="1:21" x14ac:dyDescent="0.3">
      <c r="A92" s="328"/>
      <c r="B92" s="329" t="s">
        <v>616</v>
      </c>
      <c r="C92" s="330"/>
      <c r="D92" s="331"/>
      <c r="E92" s="331"/>
      <c r="F92" s="332">
        <f>SUMPRODUCT(F78:F80,R78:R80)+SUMPRODUCT(F81:F91,R81:R91)/0.87</f>
        <v>0.17318832654032301</v>
      </c>
      <c r="G92" s="332">
        <f>SUMPRODUCT(G78:G80,R78:R80)+SUMPRODUCT(G81:G91,R81:R91)/0.87</f>
        <v>3.2039677443196232E-2</v>
      </c>
      <c r="H92" s="332">
        <f>SUMPRODUCT(H78:H80,R78:R80)+SUMPRODUCT(H81:H91,R81:R91)/0.87</f>
        <v>2.3283565319773165E-2</v>
      </c>
      <c r="I92" s="332">
        <f>SUMPRODUCT(I78:I80,R78:R80)+SUMPRODUCT(I81:I91,R81:R91)/0.87</f>
        <v>0</v>
      </c>
      <c r="J92" s="332">
        <f>SUMPRODUCT(J78:J80,R78:R80)+SUMPRODUCT(J81:J91,R81:R91)/0.87</f>
        <v>0</v>
      </c>
      <c r="K92" s="332">
        <f>SUMPRODUCT(K78:K80,R78:R80)+SUMPRODUCT(K81:K91,R81:R91)/0.87</f>
        <v>2.612788740376782E-2</v>
      </c>
      <c r="L92" s="332">
        <f>SUMPRODUCT(L78:L80,R78:R80)+SUMPRODUCT(L81:L91,R81:R91)/0.87</f>
        <v>0</v>
      </c>
      <c r="M92" s="332">
        <f>SUMPRODUCT(M78:M80,R78:R80)+SUMPRODUCT(M81:M91,R81:R91)/0.87</f>
        <v>4.6993048453380579E-5</v>
      </c>
      <c r="N92" s="332">
        <f>SUMPRODUCT(N78:N80,R78:R80)+SUMPRODUCT(N81:N91,R81:R91)/0.87</f>
        <v>9.0683154742043776E-3</v>
      </c>
      <c r="O92" s="332">
        <f>SUMPRODUCT(O78:O80,R78:R80)+SUMPRODUCT(O81:O91,R81:R91)/0.87</f>
        <v>2.962566152660177E-2</v>
      </c>
      <c r="P92" s="332">
        <f>SUMPRODUCT(P78:P80,R78:R80)+SUMPRODUCT(P81:P91,R81:R91)/0.87</f>
        <v>2.9575900000648907E-2</v>
      </c>
      <c r="Q92" s="332">
        <f>SUMPRODUCT(Q78:Q80,R78:R80)+SUMPRODUCT(Q81:Q91,R81:R91)/0.87</f>
        <v>2.3420326323677347E-2</v>
      </c>
      <c r="R92" s="335"/>
      <c r="S92" s="336"/>
      <c r="T92" s="336"/>
      <c r="U92" s="336"/>
    </row>
    <row r="93" spans="1:21" x14ac:dyDescent="0.3">
      <c r="A93" s="150"/>
      <c r="B93" s="23" t="s">
        <v>457</v>
      </c>
      <c r="C93" s="24"/>
      <c r="D93" s="94"/>
      <c r="E93" s="94"/>
      <c r="F93" s="327">
        <f>SUMPRODUCT(F78:F80,S78:S80)+SUMPRODUCT(F81:F91,S81:S91)/0.87</f>
        <v>0.17318832654032301</v>
      </c>
      <c r="G93" s="327">
        <f>SUMPRODUCT(G78:G80,S78:S80)+SUMPRODUCT(G81:G91,S81:S91)/0.87</f>
        <v>3.2039677443196232E-2</v>
      </c>
      <c r="H93" s="327">
        <f>SUMPRODUCT(H78:H80,S78:S80)+SUMPRODUCT(H81:H91,S81:S91)/0.87</f>
        <v>2.3283565319773165E-2</v>
      </c>
      <c r="I93" s="327">
        <f>SUMPRODUCT(I78:I80,S78:S80)+SUMPRODUCT(I81:I91,S81:S91)/0.87</f>
        <v>0</v>
      </c>
      <c r="J93" s="327">
        <f>SUMPRODUCT(J78:J80,S78:S80)+SUMPRODUCT(J81:J91,S81:S91)/0.87</f>
        <v>0</v>
      </c>
      <c r="K93" s="327">
        <f>SUMPRODUCT(K78:K80,S78:S80)+SUMPRODUCT(K81:K91,S81:S91)/0.87</f>
        <v>2.612788740376782E-2</v>
      </c>
      <c r="L93" s="327">
        <f>SUMPRODUCT(L78:L80,S78:S80)+SUMPRODUCT(L81:L91,S81:S91)/0.87</f>
        <v>0</v>
      </c>
      <c r="M93" s="327">
        <f>SUMPRODUCT(M78:M80,S78:S80)+SUMPRODUCT(M81:M91,S81:S91)/0.87</f>
        <v>4.6993048453380579E-5</v>
      </c>
      <c r="N93" s="327">
        <f>SUMPRODUCT(N78:N80,S78:S80)+SUMPRODUCT(N81:N91,S81:S91)/0.87</f>
        <v>9.0683154742043776E-3</v>
      </c>
      <c r="O93" s="327">
        <f>SUMPRODUCT(O78:O80,S78:S80)+SUMPRODUCT(O81:O91,S81:S91)/0.87</f>
        <v>2.962566152660177E-2</v>
      </c>
      <c r="P93" s="327">
        <f>SUMPRODUCT(P78:P80,S78:S80)+SUMPRODUCT(P81:P91,S81:S91)/0.87</f>
        <v>2.9575900000648907E-2</v>
      </c>
      <c r="Q93" s="327">
        <f>SUMPRODUCT(Q78:Q80,S78:S80)+SUMPRODUCT(Q81:Q91,S81:S91)/0.87</f>
        <v>2.3420326323677347E-2</v>
      </c>
      <c r="R93" s="152"/>
      <c r="S93" s="152"/>
      <c r="T93" s="152"/>
      <c r="U93" s="152"/>
    </row>
    <row r="94" spans="1:21" x14ac:dyDescent="0.3">
      <c r="A94" s="328"/>
      <c r="B94" s="329" t="s">
        <v>641</v>
      </c>
      <c r="C94" s="330"/>
      <c r="D94" s="331"/>
      <c r="E94" s="331"/>
      <c r="F94" s="332">
        <f>SUMPRODUCT(F78:F80,$T78:$T80)+SUMPRODUCT(F81:F91,$T81:$T91)/0.87</f>
        <v>0.17318832654032301</v>
      </c>
      <c r="G94" s="332">
        <f t="shared" ref="G94:O94" si="24">SUMPRODUCT(G78:G80,$T78:$T80)+SUMPRODUCT(G81:G91,$T81:$T91)/0.87</f>
        <v>3.2039677443196232E-2</v>
      </c>
      <c r="H94" s="332">
        <f t="shared" si="24"/>
        <v>2.3283565319773165E-2</v>
      </c>
      <c r="I94" s="332">
        <f t="shared" si="24"/>
        <v>0</v>
      </c>
      <c r="J94" s="332">
        <f t="shared" si="24"/>
        <v>0</v>
      </c>
      <c r="K94" s="332">
        <f t="shared" si="24"/>
        <v>2.612788740376782E-2</v>
      </c>
      <c r="L94" s="332">
        <f t="shared" si="24"/>
        <v>0</v>
      </c>
      <c r="M94" s="332">
        <f t="shared" si="24"/>
        <v>4.6993048453380579E-5</v>
      </c>
      <c r="N94" s="332">
        <f t="shared" si="24"/>
        <v>9.0683154742043776E-3</v>
      </c>
      <c r="O94" s="332">
        <f t="shared" si="24"/>
        <v>2.962566152660177E-2</v>
      </c>
      <c r="P94" s="332">
        <f>SUMPRODUCT(P78:P80,$T78:$T80)+SUMPRODUCT(P81:P91,$T81:$T91)/0.87</f>
        <v>2.9575900000648907E-2</v>
      </c>
      <c r="Q94" s="332">
        <f t="shared" ref="Q94" si="25">SUMPRODUCT(Q78:Q80,$T78:$T80)+SUMPRODUCT(Q81:Q91,$T81:$T91)/0.87</f>
        <v>2.3420326323677347E-2</v>
      </c>
      <c r="R94" s="335"/>
      <c r="S94" s="335"/>
      <c r="T94" s="335"/>
      <c r="U94" s="335"/>
    </row>
    <row r="95" spans="1:21" x14ac:dyDescent="0.3">
      <c r="A95" s="150"/>
      <c r="B95" s="23" t="s">
        <v>642</v>
      </c>
      <c r="C95" s="24"/>
      <c r="D95" s="94"/>
      <c r="E95" s="94"/>
      <c r="F95" s="327">
        <f>SUMPRODUCT(F78:F80,$U78:$U80)+SUMPRODUCT(F81:F91,$U81:$U91)/0.87</f>
        <v>0</v>
      </c>
      <c r="G95" s="327">
        <f t="shared" ref="G95:K95" si="26">SUMPRODUCT(G78:G80,$U78:$U80)+SUMPRODUCT(G81:G91,$U81:$U91)/0.87</f>
        <v>0</v>
      </c>
      <c r="H95" s="327">
        <f t="shared" si="26"/>
        <v>0</v>
      </c>
      <c r="I95" s="327">
        <f t="shared" si="26"/>
        <v>0</v>
      </c>
      <c r="J95" s="327">
        <f t="shared" si="26"/>
        <v>0</v>
      </c>
      <c r="K95" s="327">
        <f t="shared" si="26"/>
        <v>0</v>
      </c>
      <c r="L95" s="327">
        <f>SUMPRODUCT(L78:L80,$U78:$U80)+SUMPRODUCT(L81:L91,$U81:$U91)/0.87</f>
        <v>0</v>
      </c>
      <c r="M95" s="327">
        <f t="shared" ref="M95:Q95" si="27">SUMPRODUCT(M78:M80,$U78:$U80)+SUMPRODUCT(M81:M91,$U81:$U91)/0.87</f>
        <v>0</v>
      </c>
      <c r="N95" s="327">
        <f t="shared" si="27"/>
        <v>0</v>
      </c>
      <c r="O95" s="327">
        <f t="shared" si="27"/>
        <v>0</v>
      </c>
      <c r="P95" s="327">
        <f t="shared" si="27"/>
        <v>0</v>
      </c>
      <c r="Q95" s="327">
        <f t="shared" si="27"/>
        <v>0</v>
      </c>
      <c r="R95" s="152"/>
      <c r="S95" s="152"/>
      <c r="T95" s="152"/>
      <c r="U95" s="152"/>
    </row>
    <row r="96" spans="1:21" x14ac:dyDescent="0.3">
      <c r="B96" s="16" t="s">
        <v>299</v>
      </c>
      <c r="C96" s="15" t="s">
        <v>302</v>
      </c>
      <c r="D96" s="21" t="s">
        <v>49</v>
      </c>
      <c r="E96" s="21" t="s">
        <v>50</v>
      </c>
      <c r="F96" s="110">
        <f>SUM(G96:Q96)</f>
        <v>6.3462604134633421E-2</v>
      </c>
      <c r="G96" s="18">
        <f>'Forage crops, CF'!F33</f>
        <v>2.1751094263240234E-2</v>
      </c>
      <c r="H96" s="18">
        <f>'Forage crops, CF'!G33</f>
        <v>2.7E-2</v>
      </c>
      <c r="I96" s="18">
        <f>'Forage crops, CF'!H33</f>
        <v>0</v>
      </c>
      <c r="J96" s="18">
        <f>'Forage crops, CF'!I33</f>
        <v>0</v>
      </c>
      <c r="K96" s="18">
        <f>'Forage crops, CF'!J33</f>
        <v>1.4711509871393188E-2</v>
      </c>
      <c r="L96" s="18">
        <f>'Forage crops, CF'!K33</f>
        <v>0</v>
      </c>
      <c r="M96" s="18">
        <f>'Forage crops, CF'!L33</f>
        <v>0</v>
      </c>
      <c r="N96" s="18">
        <f>'Forage crops, CF'!M33</f>
        <v>0</v>
      </c>
      <c r="O96" s="18">
        <f>'Forage crops, CF'!N33</f>
        <v>0</v>
      </c>
      <c r="P96" s="18">
        <f>'Forage crops, CF'!O33</f>
        <v>0</v>
      </c>
      <c r="Q96" s="18">
        <f>'Forage crops, CF'!P33</f>
        <v>0</v>
      </c>
      <c r="R96" s="151">
        <f>'Parameters SH, country spec'!G15</f>
        <v>0.75114991922794239</v>
      </c>
      <c r="S96" s="151">
        <f>'Parameters SH, country spec'!G33</f>
        <v>0.75114991922794239</v>
      </c>
      <c r="T96" s="264">
        <f>'Parameters D24m, country spec'!G11</f>
        <v>0.75114991922794239</v>
      </c>
    </row>
    <row r="97" spans="1:21" x14ac:dyDescent="0.3">
      <c r="B97" s="16" t="s">
        <v>300</v>
      </c>
      <c r="C97" s="15" t="s">
        <v>302</v>
      </c>
      <c r="D97" s="21" t="s">
        <v>49</v>
      </c>
      <c r="E97" s="21" t="s">
        <v>50</v>
      </c>
      <c r="F97" s="110">
        <f>SUM(G97:Q97)</f>
        <v>0.11934502755905853</v>
      </c>
      <c r="G97" s="18">
        <f>'Forage crops, CF'!F98</f>
        <v>3.2650334455802711E-2</v>
      </c>
      <c r="H97" s="18">
        <f>'Forage crops, CF'!G98</f>
        <v>2.7E-2</v>
      </c>
      <c r="I97" s="18">
        <f>'Forage crops, CF'!H98</f>
        <v>0</v>
      </c>
      <c r="J97" s="18">
        <f>'Forage crops, CF'!I98</f>
        <v>0</v>
      </c>
      <c r="K97" s="18">
        <f>'Forage crops, CF'!J98</f>
        <v>1.2994693103255812E-2</v>
      </c>
      <c r="L97" s="18">
        <f>'Forage crops, CF'!K98</f>
        <v>0</v>
      </c>
      <c r="M97" s="18">
        <f>'Forage crops, CF'!L98</f>
        <v>0</v>
      </c>
      <c r="N97" s="18">
        <f>'Forage crops, CF'!M98</f>
        <v>0</v>
      </c>
      <c r="O97" s="18">
        <f>'Forage crops, CF'!N98</f>
        <v>0</v>
      </c>
      <c r="P97" s="18">
        <f>'Forage crops, CF'!O98</f>
        <v>4.6700000000000005E-2</v>
      </c>
      <c r="Q97" s="18">
        <f>'Forage crops, CF'!P98</f>
        <v>0</v>
      </c>
      <c r="R97" s="151">
        <f>'Parameters SH, country spec'!G16</f>
        <v>1.9608947623101922E-2</v>
      </c>
      <c r="S97" s="151">
        <f>'Parameters SH, country spec'!G34</f>
        <v>1.9608947623101922E-2</v>
      </c>
      <c r="T97" s="264">
        <f>'Parameters D24m, country spec'!G12</f>
        <v>1.9608947623101922E-2</v>
      </c>
    </row>
    <row r="98" spans="1:21" x14ac:dyDescent="0.3">
      <c r="B98" s="16" t="s">
        <v>301</v>
      </c>
      <c r="C98" s="15" t="s">
        <v>302</v>
      </c>
      <c r="D98" s="21" t="s">
        <v>49</v>
      </c>
      <c r="E98" s="21" t="s">
        <v>50</v>
      </c>
      <c r="F98" s="110">
        <f>SUM(G98:Q98)</f>
        <v>0.11016077368953583</v>
      </c>
      <c r="G98" s="18">
        <f>'Forage crops, CF'!F163*'Forage, input data per ha'!$D$83+'Forage crops, CF'!F228*'Forage, input data per ha'!$E$83</f>
        <v>2.1749244169101699E-2</v>
      </c>
      <c r="H98" s="18">
        <f>'Forage crops, CF'!G163*'Forage, input data per ha'!$D$83+'Forage crops, CF'!G228*'Forage, input data per ha'!$E$83</f>
        <v>2.7E-2</v>
      </c>
      <c r="I98" s="18">
        <f>'Forage crops, CF'!H163*'Forage, input data per ha'!$D$83+'Forage crops, CF'!H228*'Forage, input data per ha'!$E$83</f>
        <v>0</v>
      </c>
      <c r="J98" s="18">
        <f>'Forage crops, CF'!I163*'Forage, input data per ha'!$D$83+'Forage crops, CF'!I228*'Forage, input data per ha'!$E$83</f>
        <v>0</v>
      </c>
      <c r="K98" s="18">
        <f>'Forage crops, CF'!J163*'Forage, input data per ha'!$D$83+'Forage crops, CF'!J228*'Forage, input data per ha'!$E$83</f>
        <v>1.4711529520434108E-2</v>
      </c>
      <c r="L98" s="18">
        <f>'Forage crops, CF'!K163*'Forage, input data per ha'!$D$83+'Forage crops, CF'!K228*'Forage, input data per ha'!$E$83</f>
        <v>0</v>
      </c>
      <c r="M98" s="18">
        <f>'Forage crops, CF'!L163*'Forage, input data per ha'!$D$83+'Forage crops, CF'!L228*'Forage, input data per ha'!$E$83</f>
        <v>0</v>
      </c>
      <c r="N98" s="18">
        <f>'Forage crops, CF'!M163*'Forage, input data per ha'!$D$83+'Forage crops, CF'!M228*'Forage, input data per ha'!$E$83</f>
        <v>0</v>
      </c>
      <c r="O98" s="18">
        <f>'Forage crops, CF'!N163*'Forage, input data per ha'!$D$83+'Forage crops, CF'!N228*'Forage, input data per ha'!$E$83</f>
        <v>0</v>
      </c>
      <c r="P98" s="18">
        <f>'Forage crops, CF'!O163*'Forage, input data per ha'!$D$83+'Forage crops, CF'!O228*'Forage, input data per ha'!$E$83</f>
        <v>4.6700000000000012E-2</v>
      </c>
      <c r="Q98" s="18">
        <f>'Forage crops, CF'!P163*'Forage, input data per ha'!$D$83+'Forage crops, CF'!P228*'Forage, input data per ha'!$E$83</f>
        <v>0</v>
      </c>
      <c r="R98" s="151">
        <f>'Parameters SH, country spec'!G17</f>
        <v>4.011237421254237E-4</v>
      </c>
      <c r="S98" s="151">
        <f>'Parameters SH, country spec'!G35</f>
        <v>4.011237421254237E-4</v>
      </c>
      <c r="T98" s="264">
        <f>'Parameters D24m, country spec'!G13</f>
        <v>4.011237421254237E-4</v>
      </c>
    </row>
    <row r="99" spans="1:21" x14ac:dyDescent="0.3">
      <c r="A99" s="20" t="s">
        <v>231</v>
      </c>
      <c r="B99" s="15" t="s">
        <v>113</v>
      </c>
      <c r="C99" s="15" t="s">
        <v>232</v>
      </c>
      <c r="D99" s="21" t="s">
        <v>49</v>
      </c>
      <c r="E99" s="21" t="s">
        <v>50</v>
      </c>
      <c r="F99" s="110">
        <f>SUM(G99:Q99)</f>
        <v>0.17200000000000001</v>
      </c>
      <c r="G99" s="72">
        <v>7.9000000000000001E-2</v>
      </c>
      <c r="H99" s="12">
        <v>2.7E-2</v>
      </c>
      <c r="I99" s="14">
        <v>0</v>
      </c>
      <c r="J99" s="12"/>
      <c r="K99" s="72">
        <v>2.5000000000000001E-2</v>
      </c>
      <c r="L99" s="12"/>
      <c r="M99" s="12">
        <v>0</v>
      </c>
      <c r="N99" s="72">
        <v>4.1000000000000002E-2</v>
      </c>
      <c r="O99" s="12"/>
      <c r="P99" s="12"/>
      <c r="R99" s="151">
        <f>'Parameters SH, country spec'!G18</f>
        <v>9.7140944486754449E-2</v>
      </c>
      <c r="S99" s="151">
        <f>'Parameters SH, country spec'!G36</f>
        <v>9.7140944486754449E-2</v>
      </c>
      <c r="T99" s="264">
        <f>'Parameters D24m, country spec'!G14</f>
        <v>9.7140944486754449E-2</v>
      </c>
    </row>
    <row r="100" spans="1:21" x14ac:dyDescent="0.3">
      <c r="A100" s="20" t="s">
        <v>233</v>
      </c>
      <c r="B100" s="15" t="s">
        <v>114</v>
      </c>
      <c r="C100" s="15" t="s">
        <v>232</v>
      </c>
      <c r="D100" s="21" t="s">
        <v>49</v>
      </c>
      <c r="E100" s="21" t="s">
        <v>50</v>
      </c>
      <c r="F100" s="110"/>
      <c r="G100" s="72"/>
      <c r="H100" s="12"/>
      <c r="I100" s="14"/>
      <c r="J100" s="12"/>
      <c r="K100" s="72"/>
      <c r="L100" s="12"/>
      <c r="M100" s="12"/>
      <c r="N100" s="72"/>
      <c r="O100" s="12"/>
      <c r="P100" s="12"/>
      <c r="R100" s="151">
        <f>'Parameters SH, country spec'!G19</f>
        <v>2.6773939262145888E-2</v>
      </c>
      <c r="S100" s="151">
        <f>'Parameters SH, country spec'!G37</f>
        <v>2.6773939262145888E-2</v>
      </c>
      <c r="T100" s="264">
        <f>'Parameters D24m, country spec'!G15</f>
        <v>2.6773939262145888E-2</v>
      </c>
    </row>
    <row r="101" spans="1:21" x14ac:dyDescent="0.3">
      <c r="A101" s="20" t="s">
        <v>234</v>
      </c>
      <c r="B101" s="15" t="s">
        <v>115</v>
      </c>
      <c r="C101" s="15" t="s">
        <v>232</v>
      </c>
      <c r="D101" s="21" t="s">
        <v>49</v>
      </c>
      <c r="E101" s="21" t="s">
        <v>50</v>
      </c>
      <c r="F101" s="110">
        <f t="shared" ref="F101:F109" si="28">SUM(G101:Q101)</f>
        <v>0.16200000000000001</v>
      </c>
      <c r="G101" s="72">
        <v>7.0000000000000007E-2</v>
      </c>
      <c r="H101" s="12">
        <v>2.7E-2</v>
      </c>
      <c r="I101" s="14">
        <v>0</v>
      </c>
      <c r="J101" s="12"/>
      <c r="K101" s="72">
        <v>2.4E-2</v>
      </c>
      <c r="L101" s="12"/>
      <c r="M101" s="12">
        <v>0</v>
      </c>
      <c r="N101" s="72">
        <v>4.1000000000000002E-2</v>
      </c>
      <c r="O101" s="12"/>
      <c r="P101" s="12"/>
      <c r="R101" s="151">
        <f>'Parameters SH, country spec'!G20</f>
        <v>5.5992035288690246E-3</v>
      </c>
      <c r="S101" s="151">
        <f>'Parameters SH, country spec'!G38</f>
        <v>5.5992035288690246E-3</v>
      </c>
      <c r="T101" s="264">
        <f>'Parameters D24m, country spec'!G16</f>
        <v>5.5992035288690246E-3</v>
      </c>
    </row>
    <row r="102" spans="1:21" x14ac:dyDescent="0.3">
      <c r="A102" s="20" t="s">
        <v>235</v>
      </c>
      <c r="B102" s="15" t="s">
        <v>116</v>
      </c>
      <c r="C102" s="15" t="s">
        <v>232</v>
      </c>
      <c r="D102" s="21" t="s">
        <v>49</v>
      </c>
      <c r="E102" s="21" t="s">
        <v>50</v>
      </c>
      <c r="F102" s="110">
        <f t="shared" si="28"/>
        <v>0.185</v>
      </c>
      <c r="G102" s="72">
        <v>6.2E-2</v>
      </c>
      <c r="H102" s="12">
        <v>2.7E-2</v>
      </c>
      <c r="I102" s="12">
        <v>0</v>
      </c>
      <c r="J102" s="12"/>
      <c r="K102" s="72">
        <v>5.5E-2</v>
      </c>
      <c r="L102" s="12"/>
      <c r="M102" s="12">
        <v>0</v>
      </c>
      <c r="N102" s="72">
        <v>4.1000000000000002E-2</v>
      </c>
      <c r="O102" s="12"/>
      <c r="P102" s="12"/>
      <c r="R102" s="151">
        <f>'Parameters SH, country spec'!G21</f>
        <v>0</v>
      </c>
      <c r="S102" s="151">
        <f>'Parameters SH, country spec'!G39</f>
        <v>0</v>
      </c>
      <c r="T102" s="264">
        <f>'Parameters D24m, country spec'!G17</f>
        <v>0</v>
      </c>
    </row>
    <row r="103" spans="1:21" x14ac:dyDescent="0.3">
      <c r="A103" s="20" t="s">
        <v>236</v>
      </c>
      <c r="B103" s="15" t="s">
        <v>117</v>
      </c>
      <c r="C103" s="15" t="s">
        <v>232</v>
      </c>
      <c r="D103" s="21" t="s">
        <v>49</v>
      </c>
      <c r="E103" s="21" t="s">
        <v>50</v>
      </c>
      <c r="F103" s="110">
        <f t="shared" si="28"/>
        <v>0.18</v>
      </c>
      <c r="G103" s="72">
        <v>9.0999999999999998E-2</v>
      </c>
      <c r="H103" s="12">
        <v>2.7E-2</v>
      </c>
      <c r="I103" s="12">
        <v>0</v>
      </c>
      <c r="J103" s="12"/>
      <c r="K103" s="72">
        <v>2.1000000000000001E-2</v>
      </c>
      <c r="L103" s="12"/>
      <c r="M103" s="12">
        <v>0</v>
      </c>
      <c r="N103" s="72">
        <v>4.1000000000000002E-2</v>
      </c>
      <c r="O103" s="12"/>
      <c r="P103" s="12"/>
      <c r="R103" s="151">
        <f>'Parameters SH, country spec'!G22</f>
        <v>4.1722075562431273E-2</v>
      </c>
      <c r="S103" s="151">
        <f>'Parameters SH, country spec'!G40</f>
        <v>4.1722075562431273E-2</v>
      </c>
      <c r="T103" s="264">
        <f>'Parameters D24m, country spec'!G18</f>
        <v>4.1722075562431273E-2</v>
      </c>
    </row>
    <row r="104" spans="1:21" x14ac:dyDescent="0.3">
      <c r="A104" s="20" t="s">
        <v>237</v>
      </c>
      <c r="B104" s="15" t="s">
        <v>118</v>
      </c>
      <c r="C104" s="15" t="s">
        <v>238</v>
      </c>
      <c r="D104" s="21" t="s">
        <v>49</v>
      </c>
      <c r="E104" s="21" t="s">
        <v>50</v>
      </c>
      <c r="F104" s="110">
        <f t="shared" si="28"/>
        <v>0.11399999999999999</v>
      </c>
      <c r="G104" s="72">
        <v>0</v>
      </c>
      <c r="H104" s="12">
        <v>2.7E-2</v>
      </c>
      <c r="I104" s="14">
        <v>0</v>
      </c>
      <c r="J104" s="12"/>
      <c r="K104" s="72">
        <v>4.4999999999999998E-2</v>
      </c>
      <c r="L104" s="14"/>
      <c r="M104" s="12">
        <v>1E-3</v>
      </c>
      <c r="N104" s="72">
        <v>4.1000000000000002E-2</v>
      </c>
      <c r="O104" s="12"/>
      <c r="P104" s="12"/>
      <c r="R104" s="151">
        <f>'Parameters SH, country spec'!G23</f>
        <v>8.7938670638632881E-5</v>
      </c>
      <c r="S104" s="151">
        <f>'Parameters SH, country spec'!G41</f>
        <v>8.7938670638632881E-5</v>
      </c>
      <c r="T104" s="264">
        <f>'Parameters D24m, country spec'!G19</f>
        <v>8.7938670638632881E-5</v>
      </c>
    </row>
    <row r="105" spans="1:21" x14ac:dyDescent="0.3">
      <c r="A105" s="20" t="s">
        <v>239</v>
      </c>
      <c r="B105" s="15" t="s">
        <v>119</v>
      </c>
      <c r="C105" s="15" t="s">
        <v>238</v>
      </c>
      <c r="D105" s="21" t="s">
        <v>49</v>
      </c>
      <c r="E105" s="21" t="s">
        <v>50</v>
      </c>
      <c r="F105" s="110">
        <f t="shared" si="28"/>
        <v>0.10700000000000001</v>
      </c>
      <c r="G105" s="72">
        <v>4.0000000000000001E-3</v>
      </c>
      <c r="H105" s="12">
        <v>2.7E-2</v>
      </c>
      <c r="I105" s="14">
        <v>0</v>
      </c>
      <c r="J105" s="12"/>
      <c r="K105" s="72">
        <v>3.5000000000000003E-2</v>
      </c>
      <c r="L105" s="12"/>
      <c r="M105" s="12">
        <v>0</v>
      </c>
      <c r="N105" s="72">
        <v>4.1000000000000002E-2</v>
      </c>
      <c r="O105" s="12"/>
      <c r="P105" s="12"/>
      <c r="R105" s="151">
        <f>'Parameters SH, country spec'!G24</f>
        <v>8.6384753409677397E-5</v>
      </c>
      <c r="S105" s="151">
        <f>'Parameters SH, country spec'!G42</f>
        <v>8.6384753409677397E-5</v>
      </c>
      <c r="T105" s="264">
        <f>'Parameters D24m, country spec'!G20</f>
        <v>8.6384753409677397E-5</v>
      </c>
    </row>
    <row r="106" spans="1:21" x14ac:dyDescent="0.3">
      <c r="B106" s="16" t="s">
        <v>120</v>
      </c>
      <c r="C106" s="15" t="s">
        <v>240</v>
      </c>
      <c r="D106" s="21" t="s">
        <v>49</v>
      </c>
      <c r="E106" s="21" t="s">
        <v>50</v>
      </c>
      <c r="F106" s="110">
        <f t="shared" si="28"/>
        <v>0.27628755742228495</v>
      </c>
      <c r="G106" s="18">
        <f>'Off-farm feed'!$F$74</f>
        <v>0.15910156565543246</v>
      </c>
      <c r="H106" s="18">
        <f>'Off-farm feed'!$G$74</f>
        <v>1.3034482758620692E-2</v>
      </c>
      <c r="I106" s="18">
        <f>'Off-farm feed'!$H$74</f>
        <v>0</v>
      </c>
      <c r="J106" s="18"/>
      <c r="K106" s="18">
        <f>'Off-farm feed'!$J$74</f>
        <v>2.4688740026345454E-2</v>
      </c>
      <c r="L106" s="18"/>
      <c r="M106" s="294">
        <f>'Off-farm feed'!$L$74</f>
        <v>1.931759303794134E-4</v>
      </c>
      <c r="N106" s="18">
        <f>'Off-farm feed'!$M$74</f>
        <v>3.6802128767029069E-2</v>
      </c>
      <c r="O106" s="18">
        <f>'Off-farm feed'!$N$74</f>
        <v>0</v>
      </c>
      <c r="P106" s="18">
        <f>'Off-farm feed'!$O$74</f>
        <v>2.6267464284477883E-2</v>
      </c>
      <c r="Q106" s="18">
        <f>'Off-farm feed'!$P$74</f>
        <v>1.6199999999999999E-2</v>
      </c>
      <c r="R106" s="151">
        <f>'Parameters SH, country spec'!G25</f>
        <v>4.7080431031984718E-3</v>
      </c>
      <c r="S106" s="151">
        <f>'Parameters SH, country spec'!G43</f>
        <v>4.7080431031984718E-3</v>
      </c>
      <c r="T106" s="264">
        <f>'Parameters D24m, country spec'!G21</f>
        <v>4.7080431031984718E-3</v>
      </c>
    </row>
    <row r="107" spans="1:21" x14ac:dyDescent="0.3">
      <c r="B107" s="16" t="s">
        <v>241</v>
      </c>
      <c r="C107" s="15" t="s">
        <v>240</v>
      </c>
      <c r="D107" s="21" t="s">
        <v>49</v>
      </c>
      <c r="E107" s="21" t="s">
        <v>50</v>
      </c>
      <c r="F107" s="110">
        <f t="shared" si="28"/>
        <v>0.7061171705997602</v>
      </c>
      <c r="G107" s="18">
        <f>'Off-farm feed'!$F$23</f>
        <v>7.2632670993098931E-3</v>
      </c>
      <c r="H107" s="18">
        <f>'Off-farm feed'!$G$23</f>
        <v>2.1402439024390246E-2</v>
      </c>
      <c r="I107" s="18">
        <f>'Off-farm feed'!$H$23</f>
        <v>0</v>
      </c>
      <c r="J107" s="18"/>
      <c r="K107" s="18">
        <f>'Off-farm feed'!$J$23</f>
        <v>4.308361966433235E-2</v>
      </c>
      <c r="L107" s="18"/>
      <c r="M107" s="294">
        <f>'Off-farm feed'!$L$23</f>
        <v>1.7842060425123844E-4</v>
      </c>
      <c r="N107" s="18">
        <f>'Off-farm feed'!$M$23</f>
        <v>3.0432604948959403E-2</v>
      </c>
      <c r="O107" s="18">
        <f>'Off-farm feed'!$N$23</f>
        <v>0.31761120248475611</v>
      </c>
      <c r="P107" s="18">
        <f>'Off-farm feed'!$O$23</f>
        <v>3.5145616773760872E-2</v>
      </c>
      <c r="Q107" s="18">
        <f>'Off-farm feed'!$P$23</f>
        <v>0.251</v>
      </c>
      <c r="R107" s="151">
        <f>'Parameters SH, country spec'!G26</f>
        <v>8.9589881795904755E-3</v>
      </c>
      <c r="S107" s="151">
        <f>'Parameters SH, country spec'!G44</f>
        <v>8.9589881795904755E-3</v>
      </c>
      <c r="T107" s="264">
        <f>'Parameters D24m, country spec'!G22</f>
        <v>8.9589881795904755E-3</v>
      </c>
    </row>
    <row r="108" spans="1:21" x14ac:dyDescent="0.3">
      <c r="B108" s="15" t="s">
        <v>122</v>
      </c>
      <c r="C108" s="15" t="s">
        <v>242</v>
      </c>
      <c r="D108" s="21" t="s">
        <v>49</v>
      </c>
      <c r="E108" s="21" t="s">
        <v>50</v>
      </c>
      <c r="F108" s="110"/>
      <c r="G108" s="98"/>
      <c r="H108" s="6"/>
      <c r="I108" s="97"/>
      <c r="J108" s="6"/>
      <c r="K108" s="98"/>
      <c r="L108" s="6"/>
      <c r="M108" s="6"/>
      <c r="N108" s="98"/>
      <c r="O108" s="6"/>
      <c r="P108" s="6"/>
      <c r="Q108" s="6"/>
      <c r="R108" s="151">
        <f>'Parameters SH, country spec'!G27</f>
        <v>1.7413738591251369E-2</v>
      </c>
      <c r="S108" s="151">
        <f>'Parameters SH, country spec'!G45</f>
        <v>1.7413738591251369E-2</v>
      </c>
      <c r="T108" s="264">
        <f>'Parameters D24m, country spec'!G23</f>
        <v>1.7413738591251369E-2</v>
      </c>
    </row>
    <row r="109" spans="1:21" x14ac:dyDescent="0.3">
      <c r="A109" s="75"/>
      <c r="B109" s="15" t="s">
        <v>243</v>
      </c>
      <c r="C109" s="76" t="s">
        <v>244</v>
      </c>
      <c r="D109" s="21" t="s">
        <v>49</v>
      </c>
      <c r="E109" s="21" t="s">
        <v>50</v>
      </c>
      <c r="F109" s="110">
        <f t="shared" si="28"/>
        <v>3.2771424315734481E-2</v>
      </c>
      <c r="G109" s="73">
        <f>SUMPRODUCT(G99:G107,$R99:$R107)</f>
        <v>1.2677261829649381E-2</v>
      </c>
      <c r="H109" s="73">
        <f t="shared" ref="H109:P109" si="29">SUMPRODUCT(H99:H107,$R99:$R107)</f>
        <v>4.1582978739461837E-3</v>
      </c>
      <c r="I109" s="73">
        <f t="shared" si="29"/>
        <v>0</v>
      </c>
      <c r="J109" s="73">
        <f t="shared" si="29"/>
        <v>0</v>
      </c>
      <c r="K109" s="73">
        <f>SUMPRODUCT(K99:K107,$R99:$R107)</f>
        <v>3.9482700817352733E-3</v>
      </c>
      <c r="L109" s="73">
        <f t="shared" si="29"/>
        <v>0</v>
      </c>
      <c r="M109" s="73">
        <f t="shared" si="29"/>
        <v>2.5958873618476134E-6</v>
      </c>
      <c r="N109" s="73">
        <f t="shared" si="29"/>
        <v>6.3760097836227329E-3</v>
      </c>
      <c r="O109" s="73">
        <f t="shared" si="29"/>
        <v>2.8454750087664469E-3</v>
      </c>
      <c r="P109" s="73">
        <f t="shared" si="29"/>
        <v>4.3853751930358865E-4</v>
      </c>
      <c r="Q109" s="73">
        <f>SUMPRODUCT(Q99:Q107,$R99:$R107)</f>
        <v>2.3249763313490245E-3</v>
      </c>
      <c r="R109" s="151">
        <f>'Parameters SH, country spec'!G28</f>
        <v>2.6348753268541039E-2</v>
      </c>
      <c r="S109" s="151">
        <f>'Parameters SH, country spec'!G46</f>
        <v>2.6348753268541039E-2</v>
      </c>
      <c r="T109" s="264">
        <f>'Parameters D24m, country spec'!G24</f>
        <v>2.6348753268541039E-2</v>
      </c>
    </row>
    <row r="110" spans="1:21" x14ac:dyDescent="0.3">
      <c r="A110" s="328"/>
      <c r="B110" s="329" t="s">
        <v>616</v>
      </c>
      <c r="C110" s="330"/>
      <c r="D110" s="331"/>
      <c r="E110" s="331"/>
      <c r="F110" s="332">
        <f>SUMPRODUCT(F96:F98,R96:R98)+SUMPRODUCT(F99:F109,R99:R109)/0.87</f>
        <v>8.871516512034032E-2</v>
      </c>
      <c r="G110" s="332">
        <f>SUMPRODUCT(G96:G98,R96:R98)+SUMPRODUCT(G99:G109,R99:R109)/0.87</f>
        <v>3.194280343620938E-2</v>
      </c>
      <c r="H110" s="332">
        <f>SUMPRODUCT(H96:H98,R96:R98)+SUMPRODUCT(H99:H109,R99:R109)/0.87</f>
        <v>2.5726910365146492E-2</v>
      </c>
      <c r="I110" s="332">
        <f>SUMPRODUCT(I96:I98,R96:R98)+SUMPRODUCT(I99:I109,R99:R109)/0.87</f>
        <v>0</v>
      </c>
      <c r="J110" s="332">
        <f>SUMPRODUCT(J96:J98,R96:R98)+SUMPRODUCT(J99:J109,R99:R109)/0.87</f>
        <v>0</v>
      </c>
      <c r="K110" s="332">
        <f>SUMPRODUCT(K96:K98,R96:R98)+SUMPRODUCT(K99:K109,R99:R109)/0.87</f>
        <v>1.5969081329942618E-2</v>
      </c>
      <c r="L110" s="332">
        <f>SUMPRODUCT(L96:L98,R96:R98)+SUMPRODUCT(L99:L109,R99:R109)/0.87</f>
        <v>0</v>
      </c>
      <c r="M110" s="332">
        <f>SUMPRODUCT(M96:M98,R96:R98)+SUMPRODUCT(M99:M109,R99:R109)/0.87</f>
        <v>3.0623974223653565E-6</v>
      </c>
      <c r="N110" s="332">
        <f>SUMPRODUCT(N96:N98,R96:R98)+SUMPRODUCT(N99:N109,R99:R109)/0.87</f>
        <v>7.5218502209761055E-3</v>
      </c>
      <c r="O110" s="332">
        <f>SUMPRODUCT(O96:O98,R96:R98)+SUMPRODUCT(O99:O109,R99:R109)/0.87</f>
        <v>3.3568387674761304E-3</v>
      </c>
      <c r="P110" s="332">
        <f>SUMPRODUCT(P96:P98,R96:R98)+SUMPRODUCT(P99:P109,R99:R109)/0.87</f>
        <v>1.4518179605707345E-3</v>
      </c>
      <c r="Q110" s="332">
        <f>SUMPRODUCT(Q96:Q98,R96:R98)+SUMPRODUCT(Q99:Q109,R99:R109)/0.87</f>
        <v>2.74280064259648E-3</v>
      </c>
      <c r="R110" s="335"/>
      <c r="S110" s="336"/>
      <c r="T110" s="336"/>
      <c r="U110" s="336"/>
    </row>
    <row r="111" spans="1:21" x14ac:dyDescent="0.3">
      <c r="A111" s="150"/>
      <c r="B111" s="23" t="s">
        <v>457</v>
      </c>
      <c r="C111" s="24"/>
      <c r="D111" s="94"/>
      <c r="E111" s="94"/>
      <c r="F111" s="327">
        <f>SUMPRODUCT(F96:F98,S96:S98)+SUMPRODUCT(F99:F109,S99:S109)/0.87</f>
        <v>8.871516512034032E-2</v>
      </c>
      <c r="G111" s="327">
        <f>SUMPRODUCT(G96:G98,S96:S98)+SUMPRODUCT(G99:G109,S99:S109)/0.87</f>
        <v>3.194280343620938E-2</v>
      </c>
      <c r="H111" s="327">
        <f>SUMPRODUCT(H96:H98,S96:S98)+SUMPRODUCT(H99:H109,S99:S109)/0.87</f>
        <v>2.5726910365146492E-2</v>
      </c>
      <c r="I111" s="327">
        <f>SUMPRODUCT(I96:I98,S96:S98)+SUMPRODUCT(I99:I109,S99:S109)/0.87</f>
        <v>0</v>
      </c>
      <c r="J111" s="327">
        <f>SUMPRODUCT(J96:J98,S96:S98)+SUMPRODUCT(J99:J109,S99:S109)/0.87</f>
        <v>0</v>
      </c>
      <c r="K111" s="327">
        <f>SUMPRODUCT(K96:K98,S96:S98)+SUMPRODUCT(K99:K109,S99:S109)/0.87</f>
        <v>1.5969081329942618E-2</v>
      </c>
      <c r="L111" s="327">
        <f>SUMPRODUCT(L96:L98,S96:S98)+SUMPRODUCT(L99:L109,S99:S109)/0.87</f>
        <v>0</v>
      </c>
      <c r="M111" s="327">
        <f>SUMPRODUCT(M96:M98,S96:S98)+SUMPRODUCT(M99:M109,S99:S109)/0.87</f>
        <v>3.0623974223653565E-6</v>
      </c>
      <c r="N111" s="327">
        <f>SUMPRODUCT(N96:N98,S96:S98)+SUMPRODUCT(N99:N109,S99:S109)/0.87</f>
        <v>7.5218502209761055E-3</v>
      </c>
      <c r="O111" s="327">
        <f>SUMPRODUCT(O96:O98,S96:S98)+SUMPRODUCT(O99:O109,S99:S109)/0.87</f>
        <v>3.3568387674761304E-3</v>
      </c>
      <c r="P111" s="327">
        <f>SUMPRODUCT(P96:P98,S96:S98)+SUMPRODUCT(P99:P109,S99:S109)/0.87</f>
        <v>1.4518179605707345E-3</v>
      </c>
      <c r="Q111" s="327">
        <f>SUMPRODUCT(Q96:Q98,S96:S98)+SUMPRODUCT(Q99:Q109,S99:S109)/0.87</f>
        <v>2.74280064259648E-3</v>
      </c>
      <c r="R111" s="152"/>
      <c r="S111" s="152"/>
      <c r="T111" s="152"/>
      <c r="U111" s="152"/>
    </row>
    <row r="112" spans="1:21" x14ac:dyDescent="0.3">
      <c r="A112" s="328"/>
      <c r="B112" s="329" t="s">
        <v>641</v>
      </c>
      <c r="C112" s="330"/>
      <c r="D112" s="331"/>
      <c r="E112" s="331"/>
      <c r="F112" s="332">
        <f>SUMPRODUCT(F96:F98,$T96:$T98)+SUMPRODUCT(F99:F109,$T99:$T109)/0.87</f>
        <v>8.871516512034032E-2</v>
      </c>
      <c r="G112" s="332">
        <f t="shared" ref="G112:O112" si="30">SUMPRODUCT(G96:G98,$T96:$T98)+SUMPRODUCT(G99:G109,$T99:$T109)/0.87</f>
        <v>3.194280343620938E-2</v>
      </c>
      <c r="H112" s="332">
        <f t="shared" si="30"/>
        <v>2.5726910365146492E-2</v>
      </c>
      <c r="I112" s="332">
        <f t="shared" si="30"/>
        <v>0</v>
      </c>
      <c r="J112" s="332">
        <f t="shared" si="30"/>
        <v>0</v>
      </c>
      <c r="K112" s="332">
        <f t="shared" si="30"/>
        <v>1.5969081329942618E-2</v>
      </c>
      <c r="L112" s="332">
        <f t="shared" si="30"/>
        <v>0</v>
      </c>
      <c r="M112" s="332">
        <f t="shared" si="30"/>
        <v>3.0623974223653565E-6</v>
      </c>
      <c r="N112" s="332">
        <f t="shared" si="30"/>
        <v>7.5218502209761055E-3</v>
      </c>
      <c r="O112" s="332">
        <f t="shared" si="30"/>
        <v>3.3568387674761304E-3</v>
      </c>
      <c r="P112" s="332">
        <f>SUMPRODUCT(P96:P98,$T96:$T98)+SUMPRODUCT(P99:P109,$T99:$T109)/0.87</f>
        <v>1.4518179605707345E-3</v>
      </c>
      <c r="Q112" s="332">
        <f t="shared" ref="Q112" si="31">SUMPRODUCT(Q96:Q98,$T96:$T98)+SUMPRODUCT(Q99:Q109,$T99:$T109)/0.87</f>
        <v>2.74280064259648E-3</v>
      </c>
      <c r="R112" s="335"/>
      <c r="S112" s="335"/>
      <c r="T112" s="335"/>
      <c r="U112" s="335"/>
    </row>
    <row r="113" spans="1:21" x14ac:dyDescent="0.3">
      <c r="A113" s="150"/>
      <c r="B113" s="23" t="s">
        <v>642</v>
      </c>
      <c r="C113" s="24"/>
      <c r="D113" s="94"/>
      <c r="E113" s="94"/>
      <c r="F113" s="327">
        <f>SUMPRODUCT(F96:F98,$U96:$U98)+SUMPRODUCT(F99:F109,$U99:$U109)/0.87</f>
        <v>0</v>
      </c>
      <c r="G113" s="327">
        <f t="shared" ref="G113:K113" si="32">SUMPRODUCT(G96:G98,$U96:$U98)+SUMPRODUCT(G99:G109,$U99:$U109)/0.87</f>
        <v>0</v>
      </c>
      <c r="H113" s="327">
        <f t="shared" si="32"/>
        <v>0</v>
      </c>
      <c r="I113" s="327">
        <f t="shared" si="32"/>
        <v>0</v>
      </c>
      <c r="J113" s="327">
        <f t="shared" si="32"/>
        <v>0</v>
      </c>
      <c r="K113" s="327">
        <f t="shared" si="32"/>
        <v>0</v>
      </c>
      <c r="L113" s="327">
        <f>SUMPRODUCT(L96:L98,$U96:$U98)+SUMPRODUCT(L99:L109,$U99:$U109)/0.87</f>
        <v>0</v>
      </c>
      <c r="M113" s="327">
        <f t="shared" ref="M113:Q113" si="33">SUMPRODUCT(M96:M98,$U96:$U98)+SUMPRODUCT(M99:M109,$U99:$U109)/0.87</f>
        <v>0</v>
      </c>
      <c r="N113" s="327">
        <f t="shared" si="33"/>
        <v>0</v>
      </c>
      <c r="O113" s="327">
        <f t="shared" si="33"/>
        <v>0</v>
      </c>
      <c r="P113" s="327">
        <f t="shared" si="33"/>
        <v>0</v>
      </c>
      <c r="Q113" s="327">
        <f t="shared" si="33"/>
        <v>0</v>
      </c>
      <c r="R113" s="152"/>
      <c r="S113" s="152"/>
      <c r="T113" s="152"/>
      <c r="U113" s="152"/>
    </row>
    <row r="114" spans="1:21" x14ac:dyDescent="0.3">
      <c r="B114" s="16" t="s">
        <v>299</v>
      </c>
      <c r="C114" s="15" t="s">
        <v>302</v>
      </c>
      <c r="D114" s="21" t="s">
        <v>51</v>
      </c>
      <c r="E114" s="21" t="s">
        <v>52</v>
      </c>
      <c r="F114" s="110">
        <f>SUM(G114:Q114)</f>
        <v>6.1293077534017679E-2</v>
      </c>
      <c r="G114" s="18">
        <f>'Forage crops, CF'!F38</f>
        <v>2.175109426324023E-2</v>
      </c>
      <c r="H114" s="18">
        <f>'Forage crops, CF'!G38</f>
        <v>2.7E-2</v>
      </c>
      <c r="I114" s="18">
        <f>'Forage crops, CF'!H38</f>
        <v>0</v>
      </c>
      <c r="J114" s="18">
        <f>'Forage crops, CF'!I38</f>
        <v>0</v>
      </c>
      <c r="K114" s="18">
        <f>'Forage crops, CF'!J38</f>
        <v>1.2125602631526086E-2</v>
      </c>
      <c r="L114" s="18">
        <f>'Forage crops, CF'!K38</f>
        <v>0</v>
      </c>
      <c r="M114" s="18">
        <f>'Forage crops, CF'!L38</f>
        <v>4.1638063925135904E-4</v>
      </c>
      <c r="N114" s="18">
        <f>'Forage crops, CF'!M38</f>
        <v>0</v>
      </c>
      <c r="O114" s="18">
        <f>'Forage crops, CF'!N38</f>
        <v>0</v>
      </c>
      <c r="P114" s="18">
        <f>'Forage crops, CF'!O38</f>
        <v>0</v>
      </c>
      <c r="Q114" s="18">
        <f>'Forage crops, CF'!P38</f>
        <v>0</v>
      </c>
      <c r="R114" s="151">
        <f>'Parameters SH, country spec'!H15</f>
        <v>0.40067105954621879</v>
      </c>
      <c r="S114" s="151">
        <f>'Parameters SH, country spec'!H33</f>
        <v>0.40067105954621879</v>
      </c>
      <c r="T114" s="264">
        <f>'Parameters D24m, country spec'!H11</f>
        <v>0.40067105954621879</v>
      </c>
    </row>
    <row r="115" spans="1:21" x14ac:dyDescent="0.3">
      <c r="B115" s="16" t="s">
        <v>300</v>
      </c>
      <c r="C115" s="15" t="s">
        <v>302</v>
      </c>
      <c r="D115" s="21" t="s">
        <v>51</v>
      </c>
      <c r="E115" s="21" t="s">
        <v>52</v>
      </c>
      <c r="F115" s="110">
        <f>SUM(G115:Q115)</f>
        <v>0.11379318203702314</v>
      </c>
      <c r="G115" s="18">
        <f>'Forage crops, CF'!F103</f>
        <v>2.8884517815723723E-2</v>
      </c>
      <c r="H115" s="18">
        <f>'Forage crops, CF'!G103</f>
        <v>2.7E-2</v>
      </c>
      <c r="I115" s="18">
        <f>'Forage crops, CF'!H103</f>
        <v>0</v>
      </c>
      <c r="J115" s="18">
        <f>'Forage crops, CF'!I103</f>
        <v>0</v>
      </c>
      <c r="K115" s="18">
        <f>'Forage crops, CF'!J103</f>
        <v>1.0792283582048061E-2</v>
      </c>
      <c r="L115" s="18">
        <f>'Forage crops, CF'!K103</f>
        <v>0</v>
      </c>
      <c r="M115" s="18">
        <f>'Forage crops, CF'!L103</f>
        <v>4.1638063925135904E-4</v>
      </c>
      <c r="N115" s="18">
        <f>'Forage crops, CF'!M103</f>
        <v>0</v>
      </c>
      <c r="O115" s="18">
        <f>'Forage crops, CF'!N103</f>
        <v>0</v>
      </c>
      <c r="P115" s="18">
        <f>'Forage crops, CF'!O103</f>
        <v>4.6700000000000005E-2</v>
      </c>
      <c r="Q115" s="18">
        <f>'Forage crops, CF'!P103</f>
        <v>0</v>
      </c>
      <c r="R115" s="151">
        <f>'Parameters SH, country spec'!H16</f>
        <v>0.27744597499526535</v>
      </c>
      <c r="S115" s="151">
        <f>'Parameters SH, country spec'!H34</f>
        <v>0.27744597499526535</v>
      </c>
      <c r="T115" s="264">
        <f>'Parameters D24m, country spec'!H12</f>
        <v>0.27744597499526535</v>
      </c>
    </row>
    <row r="116" spans="1:21" x14ac:dyDescent="0.3">
      <c r="B116" s="16" t="s">
        <v>301</v>
      </c>
      <c r="C116" s="15" t="s">
        <v>302</v>
      </c>
      <c r="D116" s="21" t="s">
        <v>51</v>
      </c>
      <c r="E116" s="21" t="s">
        <v>52</v>
      </c>
      <c r="F116" s="110">
        <f>SUM(G116:Q116)</f>
        <v>9.9725813271742694E-2</v>
      </c>
      <c r="G116" s="18">
        <f>'Forage crops, CF'!F168*'Forage, input data per ha'!$D$84+'Forage crops, CF'!F233*'Forage, input data per ha'!$E$84</f>
        <v>1.179535691260062E-2</v>
      </c>
      <c r="H116" s="18">
        <f>'Forage crops, CF'!G168*'Forage, input data per ha'!$D$84+'Forage crops, CF'!G233*'Forage, input data per ha'!$E$84</f>
        <v>2.7E-2</v>
      </c>
      <c r="I116" s="18">
        <f>'Forage crops, CF'!H168*'Forage, input data per ha'!$D$84+'Forage crops, CF'!H233*'Forage, input data per ha'!$E$84</f>
        <v>0</v>
      </c>
      <c r="J116" s="18">
        <f>'Forage crops, CF'!I168*'Forage, input data per ha'!$D$84+'Forage crops, CF'!I233*'Forage, input data per ha'!$E$84</f>
        <v>0</v>
      </c>
      <c r="K116" s="18">
        <f>'Forage crops, CF'!J168*'Forage, input data per ha'!$D$84+'Forage crops, CF'!J233*'Forage, input data per ha'!$E$84</f>
        <v>1.3814075719890705E-2</v>
      </c>
      <c r="L116" s="18">
        <f>'Forage crops, CF'!K168*'Forage, input data per ha'!$D$84+'Forage crops, CF'!K233*'Forage, input data per ha'!$E$84</f>
        <v>0</v>
      </c>
      <c r="M116" s="18">
        <f>'Forage crops, CF'!L168*'Forage, input data per ha'!$D$84+'Forage crops, CF'!L233*'Forage, input data per ha'!$E$84</f>
        <v>4.1638063925135904E-4</v>
      </c>
      <c r="N116" s="18">
        <f>'Forage crops, CF'!M168*'Forage, input data per ha'!$D$84+'Forage crops, CF'!M233*'Forage, input data per ha'!$E$84</f>
        <v>0</v>
      </c>
      <c r="O116" s="18">
        <f>'Forage crops, CF'!N168*'Forage, input data per ha'!$D$84+'Forage crops, CF'!N233*'Forage, input data per ha'!$E$84</f>
        <v>0</v>
      </c>
      <c r="P116" s="18">
        <f>'Forage crops, CF'!O168*'Forage, input data per ha'!$D$84+'Forage crops, CF'!O233*'Forage, input data per ha'!$E$84</f>
        <v>4.6700000000000005E-2</v>
      </c>
      <c r="Q116" s="18">
        <f>'Forage crops, CF'!P168*'Forage, input data per ha'!$D$84+'Forage crops, CF'!P233*'Forage, input data per ha'!$E$84</f>
        <v>0</v>
      </c>
      <c r="R116" s="151">
        <f>'Parameters SH, country spec'!H17</f>
        <v>7.1895313213819118E-2</v>
      </c>
      <c r="S116" s="151">
        <f>'Parameters SH, country spec'!H35</f>
        <v>7.1895313213819118E-2</v>
      </c>
      <c r="T116" s="264">
        <f>'Parameters D24m, country spec'!H13</f>
        <v>7.1895313213819118E-2</v>
      </c>
    </row>
    <row r="117" spans="1:21" x14ac:dyDescent="0.3">
      <c r="A117" s="20" t="s">
        <v>231</v>
      </c>
      <c r="B117" s="15" t="s">
        <v>113</v>
      </c>
      <c r="C117" s="15" t="s">
        <v>232</v>
      </c>
      <c r="D117" s="21" t="s">
        <v>51</v>
      </c>
      <c r="E117" s="21" t="s">
        <v>52</v>
      </c>
      <c r="F117" s="110">
        <f>SUM(G117:Q117)</f>
        <v>0.192</v>
      </c>
      <c r="G117" s="72">
        <v>7.9000000000000001E-2</v>
      </c>
      <c r="H117" s="12">
        <v>2.7E-2</v>
      </c>
      <c r="I117" s="14">
        <v>0</v>
      </c>
      <c r="J117" s="12"/>
      <c r="K117" s="72">
        <v>4.4999999999999998E-2</v>
      </c>
      <c r="L117" s="12"/>
      <c r="M117" s="12">
        <v>0</v>
      </c>
      <c r="N117" s="72">
        <v>4.1000000000000002E-2</v>
      </c>
      <c r="O117" s="12"/>
      <c r="P117" s="12"/>
      <c r="R117" s="151">
        <f>'Parameters SH, country spec'!H18</f>
        <v>3.0038264722936558E-3</v>
      </c>
      <c r="S117" s="151">
        <f>'Parameters SH, country spec'!H36</f>
        <v>3.0038264722936558E-3</v>
      </c>
      <c r="T117" s="264">
        <f>'Parameters D24m, country spec'!H14</f>
        <v>3.0038264722936558E-3</v>
      </c>
    </row>
    <row r="118" spans="1:21" x14ac:dyDescent="0.3">
      <c r="A118" s="20" t="s">
        <v>233</v>
      </c>
      <c r="B118" s="15" t="s">
        <v>114</v>
      </c>
      <c r="C118" s="15" t="s">
        <v>232</v>
      </c>
      <c r="D118" s="21" t="s">
        <v>51</v>
      </c>
      <c r="E118" s="21" t="s">
        <v>52</v>
      </c>
      <c r="F118" s="110">
        <f t="shared" ref="F118:F127" si="34">SUM(G118:Q118)</f>
        <v>0.17100000000000001</v>
      </c>
      <c r="G118" s="72">
        <v>7.6999999999999999E-2</v>
      </c>
      <c r="H118" s="12">
        <v>2.7E-2</v>
      </c>
      <c r="I118" s="14">
        <v>0</v>
      </c>
      <c r="J118" s="12"/>
      <c r="K118" s="72">
        <v>1.7999999999999999E-2</v>
      </c>
      <c r="L118" s="12"/>
      <c r="M118" s="12">
        <v>8.0000000000000002E-3</v>
      </c>
      <c r="N118" s="72">
        <v>4.1000000000000002E-2</v>
      </c>
      <c r="O118" s="12"/>
      <c r="P118" s="12"/>
      <c r="R118" s="151">
        <f>'Parameters SH, country spec'!H19</f>
        <v>1.964163410545296E-2</v>
      </c>
      <c r="S118" s="151">
        <f>'Parameters SH, country spec'!H37</f>
        <v>1.964163410545296E-2</v>
      </c>
      <c r="T118" s="264">
        <f>'Parameters D24m, country spec'!H15</f>
        <v>1.964163410545296E-2</v>
      </c>
    </row>
    <row r="119" spans="1:21" x14ac:dyDescent="0.3">
      <c r="A119" s="20" t="s">
        <v>234</v>
      </c>
      <c r="B119" s="15" t="s">
        <v>115</v>
      </c>
      <c r="C119" s="15" t="s">
        <v>232</v>
      </c>
      <c r="D119" s="21" t="s">
        <v>51</v>
      </c>
      <c r="E119" s="21" t="s">
        <v>52</v>
      </c>
      <c r="F119" s="110">
        <f t="shared" si="34"/>
        <v>0.22500000000000001</v>
      </c>
      <c r="G119" s="72">
        <v>7.0000000000000007E-2</v>
      </c>
      <c r="H119" s="12">
        <v>2.7E-2</v>
      </c>
      <c r="I119" s="14">
        <v>0</v>
      </c>
      <c r="J119" s="12"/>
      <c r="K119" s="72">
        <v>7.9000000000000001E-2</v>
      </c>
      <c r="L119" s="12"/>
      <c r="M119" s="12">
        <v>8.0000000000000002E-3</v>
      </c>
      <c r="N119" s="72">
        <v>4.1000000000000002E-2</v>
      </c>
      <c r="O119" s="12"/>
      <c r="P119" s="12"/>
      <c r="R119" s="151">
        <f>'Parameters SH, country spec'!H20</f>
        <v>6.238152652520509E-4</v>
      </c>
      <c r="S119" s="151">
        <f>'Parameters SH, country spec'!H38</f>
        <v>6.238152652520509E-4</v>
      </c>
      <c r="T119" s="264">
        <f>'Parameters D24m, country spec'!H16</f>
        <v>6.238152652520509E-4</v>
      </c>
    </row>
    <row r="120" spans="1:21" x14ac:dyDescent="0.3">
      <c r="A120" s="20" t="s">
        <v>235</v>
      </c>
      <c r="B120" s="15" t="s">
        <v>116</v>
      </c>
      <c r="C120" s="15" t="s">
        <v>232</v>
      </c>
      <c r="D120" s="21" t="s">
        <v>51</v>
      </c>
      <c r="E120" s="21" t="s">
        <v>52</v>
      </c>
      <c r="F120" s="110">
        <f t="shared" si="34"/>
        <v>0.187</v>
      </c>
      <c r="G120" s="72">
        <v>6.2E-2</v>
      </c>
      <c r="H120" s="12">
        <v>2.7E-2</v>
      </c>
      <c r="I120" s="12">
        <v>0</v>
      </c>
      <c r="J120" s="12"/>
      <c r="K120" s="72">
        <v>5.7000000000000002E-2</v>
      </c>
      <c r="L120" s="12"/>
      <c r="M120" s="12">
        <v>0</v>
      </c>
      <c r="N120" s="72">
        <v>4.1000000000000002E-2</v>
      </c>
      <c r="O120" s="12"/>
      <c r="P120" s="12"/>
      <c r="R120" s="151">
        <f>'Parameters SH, country spec'!H21</f>
        <v>4.9703321891174883E-5</v>
      </c>
      <c r="S120" s="151">
        <f>'Parameters SH, country spec'!H39</f>
        <v>4.9703321891174883E-5</v>
      </c>
      <c r="T120" s="264">
        <f>'Parameters D24m, country spec'!H17</f>
        <v>4.9703321891174883E-5</v>
      </c>
    </row>
    <row r="121" spans="1:21" x14ac:dyDescent="0.3">
      <c r="A121" s="20" t="s">
        <v>236</v>
      </c>
      <c r="B121" s="15" t="s">
        <v>117</v>
      </c>
      <c r="C121" s="15" t="s">
        <v>232</v>
      </c>
      <c r="D121" s="21" t="s">
        <v>51</v>
      </c>
      <c r="E121" s="21" t="s">
        <v>52</v>
      </c>
      <c r="F121" s="110">
        <f t="shared" si="34"/>
        <v>0.20899999999999999</v>
      </c>
      <c r="G121" s="72">
        <v>9.0999999999999998E-2</v>
      </c>
      <c r="H121" s="12">
        <v>2.7E-2</v>
      </c>
      <c r="I121" s="12">
        <v>0</v>
      </c>
      <c r="J121" s="12"/>
      <c r="K121" s="72">
        <v>4.8000000000000001E-2</v>
      </c>
      <c r="L121" s="12"/>
      <c r="M121" s="12">
        <v>2E-3</v>
      </c>
      <c r="N121" s="72">
        <v>4.1000000000000002E-2</v>
      </c>
      <c r="O121" s="12"/>
      <c r="P121" s="12"/>
      <c r="R121" s="151">
        <f>'Parameters SH, country spec'!H22</f>
        <v>2.8451429826063719E-3</v>
      </c>
      <c r="S121" s="151">
        <f>'Parameters SH, country spec'!H40</f>
        <v>2.8451429826063719E-3</v>
      </c>
      <c r="T121" s="264">
        <f>'Parameters D24m, country spec'!H18</f>
        <v>2.8451429826063719E-3</v>
      </c>
    </row>
    <row r="122" spans="1:21" x14ac:dyDescent="0.3">
      <c r="A122" s="20" t="s">
        <v>237</v>
      </c>
      <c r="B122" s="15" t="s">
        <v>118</v>
      </c>
      <c r="C122" s="15" t="s">
        <v>238</v>
      </c>
      <c r="D122" s="21" t="s">
        <v>51</v>
      </c>
      <c r="E122" s="21" t="s">
        <v>52</v>
      </c>
      <c r="F122" s="110">
        <f t="shared" si="34"/>
        <v>0.127</v>
      </c>
      <c r="G122" s="72">
        <v>0</v>
      </c>
      <c r="H122" s="12">
        <v>2.7E-2</v>
      </c>
      <c r="I122" s="14">
        <v>0</v>
      </c>
      <c r="J122" s="12"/>
      <c r="K122" s="72">
        <v>5.8000000000000003E-2</v>
      </c>
      <c r="L122" s="14"/>
      <c r="M122" s="12">
        <v>1E-3</v>
      </c>
      <c r="N122" s="72">
        <v>4.1000000000000002E-2</v>
      </c>
      <c r="O122" s="12"/>
      <c r="P122" s="12"/>
      <c r="R122" s="151">
        <f>'Parameters SH, country spec'!H23</f>
        <v>7.8267619629308958E-4</v>
      </c>
      <c r="S122" s="151">
        <f>'Parameters SH, country spec'!H41</f>
        <v>7.8267619629308958E-4</v>
      </c>
      <c r="T122" s="264">
        <f>'Parameters D24m, country spec'!H19</f>
        <v>7.8267619629308958E-4</v>
      </c>
    </row>
    <row r="123" spans="1:21" x14ac:dyDescent="0.3">
      <c r="A123" s="20" t="s">
        <v>239</v>
      </c>
      <c r="B123" s="15" t="s">
        <v>119</v>
      </c>
      <c r="C123" s="15" t="s">
        <v>238</v>
      </c>
      <c r="D123" s="21" t="s">
        <v>51</v>
      </c>
      <c r="E123" s="21" t="s">
        <v>52</v>
      </c>
      <c r="F123" s="110">
        <f t="shared" si="34"/>
        <v>0.159</v>
      </c>
      <c r="G123" s="72">
        <v>4.0000000000000001E-3</v>
      </c>
      <c r="H123" s="12">
        <v>2.7E-2</v>
      </c>
      <c r="I123" s="14">
        <v>0</v>
      </c>
      <c r="J123" s="12"/>
      <c r="K123" s="72">
        <v>8.6999999999999994E-2</v>
      </c>
      <c r="L123" s="12"/>
      <c r="M123" s="12">
        <v>0</v>
      </c>
      <c r="N123" s="72">
        <v>4.1000000000000002E-2</v>
      </c>
      <c r="O123" s="12"/>
      <c r="P123" s="12"/>
      <c r="R123" s="151">
        <f>'Parameters SH, country spec'!H24</f>
        <v>7.6884594730627475E-4</v>
      </c>
      <c r="S123" s="151">
        <f>'Parameters SH, country spec'!H42</f>
        <v>7.6884594730627475E-4</v>
      </c>
      <c r="T123" s="264">
        <f>'Parameters D24m, country spec'!H20</f>
        <v>7.6884594730627475E-4</v>
      </c>
    </row>
    <row r="124" spans="1:21" x14ac:dyDescent="0.3">
      <c r="B124" s="16" t="s">
        <v>120</v>
      </c>
      <c r="C124" s="15" t="s">
        <v>240</v>
      </c>
      <c r="D124" s="21" t="s">
        <v>51</v>
      </c>
      <c r="E124" s="21" t="s">
        <v>52</v>
      </c>
      <c r="F124" s="110">
        <f t="shared" si="34"/>
        <v>0.27628755742228495</v>
      </c>
      <c r="G124" s="18">
        <f>'Off-farm feed'!$F$74</f>
        <v>0.15910156565543246</v>
      </c>
      <c r="H124" s="18">
        <f>'Off-farm feed'!$G$74</f>
        <v>1.3034482758620692E-2</v>
      </c>
      <c r="I124" s="18">
        <f>'Off-farm feed'!$H$74</f>
        <v>0</v>
      </c>
      <c r="J124" s="18"/>
      <c r="K124" s="18">
        <f>'Off-farm feed'!$J$74</f>
        <v>2.4688740026345454E-2</v>
      </c>
      <c r="L124" s="18"/>
      <c r="M124" s="294">
        <f>'Off-farm feed'!$L$74</f>
        <v>1.931759303794134E-4</v>
      </c>
      <c r="N124" s="18">
        <f>'Off-farm feed'!$M$74</f>
        <v>3.6802128767029069E-2</v>
      </c>
      <c r="O124" s="18">
        <f>'Off-farm feed'!$N$74</f>
        <v>0</v>
      </c>
      <c r="P124" s="18">
        <f>'Off-farm feed'!$O$74</f>
        <v>2.6267464284477883E-2</v>
      </c>
      <c r="Q124" s="18">
        <f>'Off-farm feed'!$P$74</f>
        <v>1.6199999999999999E-2</v>
      </c>
      <c r="R124" s="151">
        <f>'Parameters SH, country spec'!H25</f>
        <v>1.3183641649379223E-3</v>
      </c>
      <c r="S124" s="151">
        <f>'Parameters SH, country spec'!H43</f>
        <v>1.3183641649379223E-3</v>
      </c>
      <c r="T124" s="264">
        <f>'Parameters D24m, country spec'!H21</f>
        <v>1.3183641649379223E-3</v>
      </c>
    </row>
    <row r="125" spans="1:21" x14ac:dyDescent="0.3">
      <c r="B125" s="16" t="s">
        <v>241</v>
      </c>
      <c r="C125" s="15" t="s">
        <v>240</v>
      </c>
      <c r="D125" s="21" t="s">
        <v>51</v>
      </c>
      <c r="E125" s="21" t="s">
        <v>52</v>
      </c>
      <c r="F125" s="110">
        <f t="shared" si="34"/>
        <v>0.7061171705997602</v>
      </c>
      <c r="G125" s="18">
        <f>'Off-farm feed'!$F$23</f>
        <v>7.2632670993098931E-3</v>
      </c>
      <c r="H125" s="18">
        <f>'Off-farm feed'!$G$23</f>
        <v>2.1402439024390246E-2</v>
      </c>
      <c r="I125" s="18">
        <f>'Off-farm feed'!$H$23</f>
        <v>0</v>
      </c>
      <c r="J125" s="18"/>
      <c r="K125" s="18">
        <f>'Off-farm feed'!$J$23</f>
        <v>4.308361966433235E-2</v>
      </c>
      <c r="L125" s="18"/>
      <c r="M125" s="294">
        <f>'Off-farm feed'!$L$23</f>
        <v>1.7842060425123844E-4</v>
      </c>
      <c r="N125" s="18">
        <f>'Off-farm feed'!$M$23</f>
        <v>3.0432604948959403E-2</v>
      </c>
      <c r="O125" s="18">
        <f>'Off-farm feed'!$N$23</f>
        <v>0.31761120248475611</v>
      </c>
      <c r="P125" s="18">
        <f>'Off-farm feed'!$O$23</f>
        <v>3.5145616773760872E-2</v>
      </c>
      <c r="Q125" s="18">
        <f>'Off-farm feed'!$P$23</f>
        <v>0.251</v>
      </c>
      <c r="R125" s="151">
        <f>'Parameters SH, country spec'!H26</f>
        <v>3.2548889626891842E-2</v>
      </c>
      <c r="S125" s="151">
        <f>'Parameters SH, country spec'!H44</f>
        <v>3.2548889626891842E-2</v>
      </c>
      <c r="T125" s="264">
        <f>'Parameters D24m, country spec'!H22</f>
        <v>3.2548889626891842E-2</v>
      </c>
    </row>
    <row r="126" spans="1:21" x14ac:dyDescent="0.3">
      <c r="B126" s="15" t="s">
        <v>122</v>
      </c>
      <c r="C126" s="15" t="s">
        <v>242</v>
      </c>
      <c r="D126" s="21" t="s">
        <v>51</v>
      </c>
      <c r="E126" s="21" t="s">
        <v>52</v>
      </c>
      <c r="F126" s="110"/>
      <c r="G126" s="98"/>
      <c r="H126" s="6"/>
      <c r="I126" s="97"/>
      <c r="J126" s="6"/>
      <c r="K126" s="98"/>
      <c r="L126" s="6"/>
      <c r="M126" s="6"/>
      <c r="N126" s="98"/>
      <c r="O126" s="6"/>
      <c r="P126" s="6"/>
      <c r="Q126" s="6"/>
      <c r="R126" s="151">
        <f>'Parameters SH, country spec'!H27</f>
        <v>7.1183592363716075E-2</v>
      </c>
      <c r="S126" s="151">
        <f>'Parameters SH, country spec'!H45</f>
        <v>7.1183592363716075E-2</v>
      </c>
      <c r="T126" s="264">
        <f>'Parameters D24m, country spec'!H23</f>
        <v>7.1183592363716075E-2</v>
      </c>
    </row>
    <row r="127" spans="1:21" x14ac:dyDescent="0.3">
      <c r="A127" s="75"/>
      <c r="B127" s="15" t="s">
        <v>243</v>
      </c>
      <c r="C127" s="76" t="s">
        <v>244</v>
      </c>
      <c r="D127" s="21" t="s">
        <v>51</v>
      </c>
      <c r="E127" s="21" t="s">
        <v>52</v>
      </c>
      <c r="F127" s="110">
        <f t="shared" si="34"/>
        <v>2.824896580093237E-2</v>
      </c>
      <c r="G127" s="73">
        <f>SUMPRODUCT(G117:G125,$R117:$R125)</f>
        <v>2.5046052690540911E-3</v>
      </c>
      <c r="H127" s="73">
        <f t="shared" ref="H127:P127" si="35">SUMPRODUCT(H117:H125,$R117:$R125)</f>
        <v>1.4621322163882082E-3</v>
      </c>
      <c r="I127" s="73">
        <f t="shared" si="35"/>
        <v>0</v>
      </c>
      <c r="J127" s="73">
        <f t="shared" si="35"/>
        <v>0</v>
      </c>
      <c r="K127" s="73">
        <f>SUMPRODUCT(K117:K125,$R117:$R125)</f>
        <v>2.2245605117293707E-3</v>
      </c>
      <c r="L127" s="73">
        <f t="shared" si="35"/>
        <v>0</v>
      </c>
      <c r="M127" s="73">
        <f t="shared" si="35"/>
        <v>1.7465862590622361E-4</v>
      </c>
      <c r="N127" s="73">
        <f t="shared" si="35"/>
        <v>2.1754075232372832E-3</v>
      </c>
      <c r="O127" s="73">
        <f t="shared" si="35"/>
        <v>1.0337891973940722E-2</v>
      </c>
      <c r="P127" s="73">
        <f t="shared" si="35"/>
        <v>1.1785808848546236E-3</v>
      </c>
      <c r="Q127" s="73">
        <f>SUMPRODUCT(Q117:Q125,$R117:$R125)</f>
        <v>8.1911287958218466E-3</v>
      </c>
      <c r="R127" s="151">
        <f>'Parameters SH, country spec'!H28</f>
        <v>0.11722116179805527</v>
      </c>
      <c r="S127" s="151">
        <f>'Parameters SH, country spec'!H46</f>
        <v>0.11722116179805527</v>
      </c>
      <c r="T127" s="264">
        <f>'Parameters D24m, country spec'!H24</f>
        <v>0.11722116179805527</v>
      </c>
    </row>
    <row r="128" spans="1:21" x14ac:dyDescent="0.3">
      <c r="A128" s="328"/>
      <c r="B128" s="329" t="s">
        <v>616</v>
      </c>
      <c r="C128" s="330"/>
      <c r="D128" s="331"/>
      <c r="E128" s="331"/>
      <c r="F128" s="332">
        <f>SUMPRODUCT(F114:F116,R114:R116)+SUMPRODUCT(F117:F127,R117:R127)/0.87</f>
        <v>9.9575896859810331E-2</v>
      </c>
      <c r="G128" s="332">
        <f>SUMPRODUCT(G114:G116,R114:R116)+SUMPRODUCT(G117:G127,R117:R127)/0.87</f>
        <v>2.0793277622137774E-2</v>
      </c>
      <c r="H128" s="332">
        <f>SUMPRODUCT(H114:H116,R114:R116)+SUMPRODUCT(H117:H127,R117:R127)/0.87</f>
        <v>2.2127948393411118E-2</v>
      </c>
      <c r="I128" s="332">
        <f>SUMPRODUCT(I114:I116,R114:R116)+SUMPRODUCT(I117:I127,R117:R127)/0.87</f>
        <v>0</v>
      </c>
      <c r="J128" s="332">
        <f>SUMPRODUCT(J114:J116,R114:R116)+SUMPRODUCT(J117:J127,R117:R127)/0.87</f>
        <v>0</v>
      </c>
      <c r="K128" s="332">
        <f>SUMPRODUCT(K114:K116,R114:R116)+SUMPRODUCT(K117:K127,R117:R127)/0.87</f>
        <v>1.1702517638491172E-2</v>
      </c>
      <c r="L128" s="332">
        <f>SUMPRODUCT(L114:L116,R114:R116)+SUMPRODUCT(L117:L127,R117:R127)/0.87</f>
        <v>0</v>
      </c>
      <c r="M128" s="332">
        <f>SUMPRODUCT(M114:M116,R114:R116)+SUMPRODUCT(M117:M127,R117:R127)/0.87</f>
        <v>5.3658063569327508E-4</v>
      </c>
      <c r="N128" s="332">
        <f>SUMPRODUCT(N114:N116,R114:R116)+SUMPRODUCT(N117:N127,R117:R127)/0.87</f>
        <v>2.7935762304544683E-3</v>
      </c>
      <c r="O128" s="332">
        <f>SUMPRODUCT(O114:O116,R114:R116)+SUMPRODUCT(O117:O127,R117:R127)/0.87</f>
        <v>1.3275530668584877E-2</v>
      </c>
      <c r="P128" s="332">
        <f>SUMPRODUCT(P114:P116,R114:R116)+SUMPRODUCT(P117:P127,R117:R127)/0.87</f>
        <v>1.7827727246088686E-2</v>
      </c>
      <c r="Q128" s="332">
        <f>SUMPRODUCT(Q114:Q116,R114:R116)+SUMPRODUCT(Q117:Q127,R117:R127)/0.87</f>
        <v>1.0518738424948952E-2</v>
      </c>
      <c r="R128" s="335"/>
      <c r="S128" s="336"/>
      <c r="T128" s="336"/>
      <c r="U128" s="336"/>
    </row>
    <row r="129" spans="1:21" x14ac:dyDescent="0.3">
      <c r="A129" s="150"/>
      <c r="B129" s="23" t="s">
        <v>457</v>
      </c>
      <c r="C129" s="24"/>
      <c r="D129" s="94"/>
      <c r="E129" s="94"/>
      <c r="F129" s="327">
        <f>SUMPRODUCT(F114:F116,S114:S116)+SUMPRODUCT(F117:F127,S117:S127)/0.87</f>
        <v>9.9575896859810331E-2</v>
      </c>
      <c r="G129" s="327">
        <f>SUMPRODUCT(G114:G116,S114:S116)+SUMPRODUCT(G117:G127,S117:S127)/0.87</f>
        <v>2.0793277622137774E-2</v>
      </c>
      <c r="H129" s="327">
        <f>SUMPRODUCT(H114:H116,S114:S116)+SUMPRODUCT(H117:H127,S117:S127)/0.87</f>
        <v>2.2127948393411118E-2</v>
      </c>
      <c r="I129" s="327">
        <f>SUMPRODUCT(I114:I116,S114:S116)+SUMPRODUCT(I117:I127,S117:S127)/0.87</f>
        <v>0</v>
      </c>
      <c r="J129" s="327">
        <f>SUMPRODUCT(J114:J116,S114:S116)+SUMPRODUCT(J117:J127,S117:S127)/0.87</f>
        <v>0</v>
      </c>
      <c r="K129" s="327">
        <f>SUMPRODUCT(K114:K116,S114:S116)+SUMPRODUCT(K117:K127,S117:S127)/0.87</f>
        <v>1.1702517638491172E-2</v>
      </c>
      <c r="L129" s="327">
        <f>SUMPRODUCT(L114:L116,S114:S116)+SUMPRODUCT(L117:L127,S117:S127)/0.87</f>
        <v>0</v>
      </c>
      <c r="M129" s="327">
        <f>SUMPRODUCT(M114:M116,S114:S116)+SUMPRODUCT(M117:M127,S117:S127)/0.87</f>
        <v>5.3658063569327508E-4</v>
      </c>
      <c r="N129" s="327">
        <f>SUMPRODUCT(N114:N116,S114:S116)+SUMPRODUCT(N117:N127,S117:S127)/0.87</f>
        <v>2.7935762304544683E-3</v>
      </c>
      <c r="O129" s="327">
        <f>SUMPRODUCT(O114:O116,S114:S116)+SUMPRODUCT(O117:O127,S117:S127)/0.87</f>
        <v>1.3275530668584877E-2</v>
      </c>
      <c r="P129" s="327">
        <f>SUMPRODUCT(P114:P116,S114:S116)+SUMPRODUCT(P117:P127,S117:S127)/0.87</f>
        <v>1.7827727246088686E-2</v>
      </c>
      <c r="Q129" s="327">
        <f>SUMPRODUCT(Q114:Q116,S114:S116)+SUMPRODUCT(Q117:Q127,S117:S127)/0.87</f>
        <v>1.0518738424948952E-2</v>
      </c>
      <c r="R129" s="152"/>
      <c r="S129" s="152"/>
      <c r="T129" s="152"/>
      <c r="U129" s="152"/>
    </row>
    <row r="130" spans="1:21" x14ac:dyDescent="0.3">
      <c r="A130" s="328"/>
      <c r="B130" s="329" t="s">
        <v>641</v>
      </c>
      <c r="C130" s="330"/>
      <c r="D130" s="331"/>
      <c r="E130" s="331"/>
      <c r="F130" s="332">
        <f>SUMPRODUCT(F114:F116,$T114:$T116)+SUMPRODUCT(F117:F127,$T117:$T127)/0.87</f>
        <v>9.9575896859810331E-2</v>
      </c>
      <c r="G130" s="332">
        <f t="shared" ref="G130:O130" si="36">SUMPRODUCT(G114:G116,$T114:$T116)+SUMPRODUCT(G117:G127,$T117:$T127)/0.87</f>
        <v>2.0793277622137774E-2</v>
      </c>
      <c r="H130" s="332">
        <f t="shared" si="36"/>
        <v>2.2127948393411118E-2</v>
      </c>
      <c r="I130" s="332">
        <f t="shared" si="36"/>
        <v>0</v>
      </c>
      <c r="J130" s="332">
        <f t="shared" si="36"/>
        <v>0</v>
      </c>
      <c r="K130" s="332">
        <f t="shared" si="36"/>
        <v>1.1702517638491172E-2</v>
      </c>
      <c r="L130" s="332">
        <f t="shared" si="36"/>
        <v>0</v>
      </c>
      <c r="M130" s="332">
        <f t="shared" si="36"/>
        <v>5.3658063569327508E-4</v>
      </c>
      <c r="N130" s="332">
        <f t="shared" si="36"/>
        <v>2.7935762304544683E-3</v>
      </c>
      <c r="O130" s="332">
        <f t="shared" si="36"/>
        <v>1.3275530668584877E-2</v>
      </c>
      <c r="P130" s="332">
        <f>SUMPRODUCT(P114:P116,$T114:$T116)+SUMPRODUCT(P117:P127,$T117:$T127)/0.87</f>
        <v>1.7827727246088686E-2</v>
      </c>
      <c r="Q130" s="332">
        <f t="shared" ref="Q130" si="37">SUMPRODUCT(Q114:Q116,$T114:$T116)+SUMPRODUCT(Q117:Q127,$T117:$T127)/0.87</f>
        <v>1.0518738424948952E-2</v>
      </c>
      <c r="R130" s="335"/>
      <c r="S130" s="335"/>
      <c r="T130" s="335"/>
      <c r="U130" s="335"/>
    </row>
    <row r="131" spans="1:21" x14ac:dyDescent="0.3">
      <c r="A131" s="150"/>
      <c r="B131" s="23" t="s">
        <v>642</v>
      </c>
      <c r="C131" s="24"/>
      <c r="D131" s="94"/>
      <c r="E131" s="94"/>
      <c r="F131" s="327">
        <f>SUMPRODUCT(F114:F116,$U114:$U116)+SUMPRODUCT(F117:F127,$U117:$U127)/0.87</f>
        <v>0</v>
      </c>
      <c r="G131" s="327">
        <f t="shared" ref="G131:K131" si="38">SUMPRODUCT(G114:G116,$U114:$U116)+SUMPRODUCT(G117:G127,$U117:$U127)/0.87</f>
        <v>0</v>
      </c>
      <c r="H131" s="327">
        <f t="shared" si="38"/>
        <v>0</v>
      </c>
      <c r="I131" s="327">
        <f t="shared" si="38"/>
        <v>0</v>
      </c>
      <c r="J131" s="327">
        <f t="shared" si="38"/>
        <v>0</v>
      </c>
      <c r="K131" s="327">
        <f t="shared" si="38"/>
        <v>0</v>
      </c>
      <c r="L131" s="327">
        <f>SUMPRODUCT(L114:L116,$U114:$U116)+SUMPRODUCT(L117:L127,$U117:$U127)/0.87</f>
        <v>0</v>
      </c>
      <c r="M131" s="327">
        <f t="shared" ref="M131:Q131" si="39">SUMPRODUCT(M114:M116,$U114:$U116)+SUMPRODUCT(M117:M127,$U117:$U127)/0.87</f>
        <v>0</v>
      </c>
      <c r="N131" s="327">
        <f t="shared" si="39"/>
        <v>0</v>
      </c>
      <c r="O131" s="327">
        <f t="shared" si="39"/>
        <v>0</v>
      </c>
      <c r="P131" s="327">
        <f t="shared" si="39"/>
        <v>0</v>
      </c>
      <c r="Q131" s="327">
        <f t="shared" si="39"/>
        <v>0</v>
      </c>
      <c r="R131" s="152"/>
      <c r="S131" s="152"/>
      <c r="T131" s="152"/>
      <c r="U131" s="152"/>
    </row>
    <row r="132" spans="1:21" x14ac:dyDescent="0.3">
      <c r="B132" s="16" t="s">
        <v>299</v>
      </c>
      <c r="C132" s="15" t="s">
        <v>302</v>
      </c>
      <c r="D132" s="21" t="s">
        <v>53</v>
      </c>
      <c r="E132" s="21" t="s">
        <v>54</v>
      </c>
      <c r="F132" s="110">
        <f>SUM(G132:Q132)</f>
        <v>0.14487727946271467</v>
      </c>
      <c r="G132" s="18">
        <f>'Forage crops, CF'!F43</f>
        <v>9.7200179188847394E-2</v>
      </c>
      <c r="H132" s="18">
        <f>'Forage crops, CF'!G43</f>
        <v>2.7E-2</v>
      </c>
      <c r="I132" s="18">
        <f>'Forage crops, CF'!H43</f>
        <v>0</v>
      </c>
      <c r="J132" s="18">
        <f>'Forage crops, CF'!I43</f>
        <v>0</v>
      </c>
      <c r="K132" s="18">
        <f>'Forage crops, CF'!J43</f>
        <v>2.0602019827343845E-2</v>
      </c>
      <c r="L132" s="18">
        <f>'Forage crops, CF'!K43</f>
        <v>0</v>
      </c>
      <c r="M132" s="18">
        <f>'Forage crops, CF'!L43</f>
        <v>7.5080446523445883E-5</v>
      </c>
      <c r="N132" s="18">
        <f>'Forage crops, CF'!M43</f>
        <v>0</v>
      </c>
      <c r="O132" s="18">
        <f>'Forage crops, CF'!N43</f>
        <v>0</v>
      </c>
      <c r="P132" s="18">
        <f>'Forage crops, CF'!O43</f>
        <v>0</v>
      </c>
      <c r="Q132" s="18">
        <f>'Forage crops, CF'!P43</f>
        <v>0</v>
      </c>
      <c r="R132" s="151">
        <f>'Parameters SH, country spec'!I15</f>
        <v>0.47949543012015922</v>
      </c>
      <c r="S132" s="151">
        <f>'Parameters SH, country spec'!I33</f>
        <v>0.47949543012015922</v>
      </c>
      <c r="T132" s="264">
        <f>'Parameters D24m, country spec'!I11</f>
        <v>0.47949543012015922</v>
      </c>
    </row>
    <row r="133" spans="1:21" x14ac:dyDescent="0.3">
      <c r="B133" s="16" t="s">
        <v>300</v>
      </c>
      <c r="C133" s="15" t="s">
        <v>302</v>
      </c>
      <c r="D133" s="21" t="s">
        <v>53</v>
      </c>
      <c r="E133" s="21" t="s">
        <v>54</v>
      </c>
      <c r="F133" s="110">
        <f>SUM(G133:Q133)</f>
        <v>8.7857793091351333E-2</v>
      </c>
      <c r="G133" s="18">
        <f>'Forage crops, CF'!F108</f>
        <v>1.1809033777784657E-3</v>
      </c>
      <c r="H133" s="18">
        <f>'Forage crops, CF'!G108</f>
        <v>2.7E-2</v>
      </c>
      <c r="I133" s="18">
        <f>'Forage crops, CF'!H108</f>
        <v>0</v>
      </c>
      <c r="J133" s="18">
        <f>'Forage crops, CF'!I108</f>
        <v>0</v>
      </c>
      <c r="K133" s="18">
        <f>'Forage crops, CF'!J108</f>
        <v>1.2901809267049416E-2</v>
      </c>
      <c r="L133" s="18">
        <f>'Forage crops, CF'!K108</f>
        <v>0</v>
      </c>
      <c r="M133" s="18">
        <f>'Forage crops, CF'!L108</f>
        <v>7.5080446523445869E-5</v>
      </c>
      <c r="N133" s="18">
        <f>'Forage crops, CF'!M108</f>
        <v>0</v>
      </c>
      <c r="O133" s="18">
        <f>'Forage crops, CF'!N108</f>
        <v>0</v>
      </c>
      <c r="P133" s="18">
        <f>'Forage crops, CF'!O108</f>
        <v>4.6700000000000005E-2</v>
      </c>
      <c r="Q133" s="18">
        <f>'Forage crops, CF'!P108</f>
        <v>0</v>
      </c>
      <c r="R133" s="151">
        <f>'Parameters SH, country spec'!I16</f>
        <v>0.16379583021525312</v>
      </c>
      <c r="S133" s="151">
        <f>'Parameters SH, country spec'!I34</f>
        <v>0.16379583021525312</v>
      </c>
      <c r="T133" s="264">
        <f>'Parameters D24m, country spec'!I12</f>
        <v>0.16379583021525312</v>
      </c>
    </row>
    <row r="134" spans="1:21" x14ac:dyDescent="0.3">
      <c r="B134" s="16" t="s">
        <v>301</v>
      </c>
      <c r="C134" s="15" t="s">
        <v>302</v>
      </c>
      <c r="D134" s="21" t="s">
        <v>53</v>
      </c>
      <c r="E134" s="21" t="s">
        <v>54</v>
      </c>
      <c r="F134" s="110">
        <f>SUM(G134:Q134)</f>
        <v>0.17781777497909301</v>
      </c>
      <c r="G134" s="18">
        <f>'Forage crops, CF'!F173*'Forage, input data per ha'!$D$85+'Forage crops, CF'!F238*'Forage, input data per ha'!$E$85</f>
        <v>8.4018371465200886E-2</v>
      </c>
      <c r="H134" s="18">
        <f>'Forage crops, CF'!G173*'Forage, input data per ha'!$D$85+'Forage crops, CF'!G238*'Forage, input data per ha'!$E$85</f>
        <v>2.7E-2</v>
      </c>
      <c r="I134" s="18">
        <f>'Forage crops, CF'!H173*'Forage, input data per ha'!$D$85+'Forage crops, CF'!H238*'Forage, input data per ha'!$E$85</f>
        <v>0</v>
      </c>
      <c r="J134" s="18">
        <f>'Forage crops, CF'!I173*'Forage, input data per ha'!$D$85+'Forage crops, CF'!I238*'Forage, input data per ha'!$E$85</f>
        <v>0</v>
      </c>
      <c r="K134" s="18">
        <f>'Forage crops, CF'!J173*'Forage, input data per ha'!$D$85+'Forage crops, CF'!J238*'Forage, input data per ha'!$E$85</f>
        <v>2.0024323067368698E-2</v>
      </c>
      <c r="L134" s="18">
        <f>'Forage crops, CF'!K173*'Forage, input data per ha'!$D$85+'Forage crops, CF'!K238*'Forage, input data per ha'!$E$85</f>
        <v>0</v>
      </c>
      <c r="M134" s="18">
        <f>'Forage crops, CF'!L173*'Forage, input data per ha'!$D$85+'Forage crops, CF'!L238*'Forage, input data per ha'!$E$85</f>
        <v>7.5080446523445883E-5</v>
      </c>
      <c r="N134" s="18">
        <f>'Forage crops, CF'!M173*'Forage, input data per ha'!$D$85+'Forage crops, CF'!M238*'Forage, input data per ha'!$E$85</f>
        <v>0</v>
      </c>
      <c r="O134" s="18">
        <f>'Forage crops, CF'!N173*'Forage, input data per ha'!$D$85+'Forage crops, CF'!N238*'Forage, input data per ha'!$E$85</f>
        <v>0</v>
      </c>
      <c r="P134" s="18">
        <f>'Forage crops, CF'!O173*'Forage, input data per ha'!$D$85+'Forage crops, CF'!O238*'Forage, input data per ha'!$E$85</f>
        <v>4.6699999999999998E-2</v>
      </c>
      <c r="Q134" s="18">
        <f>'Forage crops, CF'!P173*'Forage, input data per ha'!$D$85+'Forage crops, CF'!P238*'Forage, input data per ha'!$E$85</f>
        <v>0</v>
      </c>
      <c r="R134" s="151">
        <f>'Parameters SH, country spec'!I17</f>
        <v>0.1711074910334601</v>
      </c>
      <c r="S134" s="151">
        <f>'Parameters SH, country spec'!I35</f>
        <v>0.1711074910334601</v>
      </c>
      <c r="T134" s="264">
        <f>'Parameters D24m, country spec'!I13</f>
        <v>0.1711074910334601</v>
      </c>
    </row>
    <row r="135" spans="1:21" x14ac:dyDescent="0.3">
      <c r="A135" s="20" t="s">
        <v>231</v>
      </c>
      <c r="B135" s="15" t="s">
        <v>113</v>
      </c>
      <c r="C135" s="15" t="s">
        <v>232</v>
      </c>
      <c r="D135" s="21" t="s">
        <v>53</v>
      </c>
      <c r="E135" s="21" t="s">
        <v>54</v>
      </c>
      <c r="F135" s="110">
        <f>SUM(G135:Q135)</f>
        <v>0.17699999999999999</v>
      </c>
      <c r="G135" s="72">
        <v>7.9000000000000001E-2</v>
      </c>
      <c r="H135" s="12">
        <v>2.7E-2</v>
      </c>
      <c r="I135" s="14">
        <v>0</v>
      </c>
      <c r="J135" s="12"/>
      <c r="K135" s="72">
        <v>2.7E-2</v>
      </c>
      <c r="L135" s="12"/>
      <c r="M135" s="12">
        <v>1E-3</v>
      </c>
      <c r="N135" s="72">
        <v>4.2999999999999997E-2</v>
      </c>
      <c r="O135" s="12"/>
      <c r="P135" s="12"/>
      <c r="R135" s="151">
        <f>'Parameters SH, country spec'!I18</f>
        <v>3.7649623151768418E-3</v>
      </c>
      <c r="S135" s="151">
        <f>'Parameters SH, country spec'!I36</f>
        <v>3.7649623151768418E-3</v>
      </c>
      <c r="T135" s="264">
        <f>'Parameters D24m, country spec'!I14</f>
        <v>3.7649623151768418E-3</v>
      </c>
    </row>
    <row r="136" spans="1:21" x14ac:dyDescent="0.3">
      <c r="A136" s="20" t="s">
        <v>233</v>
      </c>
      <c r="B136" s="15" t="s">
        <v>114</v>
      </c>
      <c r="C136" s="15" t="s">
        <v>232</v>
      </c>
      <c r="D136" s="21" t="s">
        <v>53</v>
      </c>
      <c r="E136" s="21" t="s">
        <v>54</v>
      </c>
      <c r="F136" s="110">
        <f t="shared" ref="F136:F145" si="40">SUM(G136:Q136)</f>
        <v>0.17199999999999999</v>
      </c>
      <c r="G136" s="72">
        <v>7.6999999999999999E-2</v>
      </c>
      <c r="H136" s="12">
        <v>2.7E-2</v>
      </c>
      <c r="I136" s="14">
        <v>0</v>
      </c>
      <c r="J136" s="12"/>
      <c r="K136" s="72">
        <v>0.02</v>
      </c>
      <c r="L136" s="12"/>
      <c r="M136" s="12">
        <v>5.0000000000000001E-3</v>
      </c>
      <c r="N136" s="72">
        <v>4.2999999999999997E-2</v>
      </c>
      <c r="O136" s="12"/>
      <c r="P136" s="12"/>
      <c r="R136" s="151">
        <f>'Parameters SH, country spec'!I19</f>
        <v>1.1306927408010266E-2</v>
      </c>
      <c r="S136" s="151">
        <f>'Parameters SH, country spec'!I37</f>
        <v>1.1306927408010266E-2</v>
      </c>
      <c r="T136" s="264">
        <f>'Parameters D24m, country spec'!I15</f>
        <v>1.1306927408010266E-2</v>
      </c>
    </row>
    <row r="137" spans="1:21" x14ac:dyDescent="0.3">
      <c r="A137" s="20" t="s">
        <v>234</v>
      </c>
      <c r="B137" s="15" t="s">
        <v>115</v>
      </c>
      <c r="C137" s="15" t="s">
        <v>232</v>
      </c>
      <c r="D137" s="21" t="s">
        <v>53</v>
      </c>
      <c r="E137" s="21" t="s">
        <v>54</v>
      </c>
      <c r="F137" s="110">
        <f t="shared" si="40"/>
        <v>0.17899999999999999</v>
      </c>
      <c r="G137" s="72">
        <v>7.0000000000000007E-2</v>
      </c>
      <c r="H137" s="12">
        <v>2.7E-2</v>
      </c>
      <c r="I137" s="14">
        <v>0</v>
      </c>
      <c r="J137" s="12"/>
      <c r="K137" s="72">
        <v>3.5999999999999997E-2</v>
      </c>
      <c r="L137" s="12"/>
      <c r="M137" s="12">
        <v>3.0000000000000001E-3</v>
      </c>
      <c r="N137" s="72">
        <v>4.2999999999999997E-2</v>
      </c>
      <c r="O137" s="12"/>
      <c r="P137" s="12"/>
      <c r="R137" s="151">
        <f>'Parameters SH, country spec'!I20</f>
        <v>1.2367044164683077E-4</v>
      </c>
      <c r="S137" s="151">
        <f>'Parameters SH, country spec'!I38</f>
        <v>1.2367044164683077E-4</v>
      </c>
      <c r="T137" s="264">
        <f>'Parameters D24m, country spec'!I16</f>
        <v>1.2367044164683077E-4</v>
      </c>
    </row>
    <row r="138" spans="1:21" x14ac:dyDescent="0.3">
      <c r="A138" s="20" t="s">
        <v>235</v>
      </c>
      <c r="B138" s="15" t="s">
        <v>116</v>
      </c>
      <c r="C138" s="15" t="s">
        <v>232</v>
      </c>
      <c r="D138" s="21" t="s">
        <v>53</v>
      </c>
      <c r="E138" s="21" t="s">
        <v>54</v>
      </c>
      <c r="F138" s="110">
        <f t="shared" si="40"/>
        <v>0.184</v>
      </c>
      <c r="G138" s="72">
        <v>6.2E-2</v>
      </c>
      <c r="H138" s="12">
        <v>2.7E-2</v>
      </c>
      <c r="I138" s="12">
        <v>0</v>
      </c>
      <c r="J138" s="12"/>
      <c r="K138" s="72">
        <v>5.1999999999999998E-2</v>
      </c>
      <c r="L138" s="12"/>
      <c r="M138" s="12">
        <v>0</v>
      </c>
      <c r="N138" s="72">
        <v>4.2999999999999997E-2</v>
      </c>
      <c r="O138" s="12"/>
      <c r="P138" s="12"/>
      <c r="R138" s="151">
        <f>'Parameters SH, country spec'!I21</f>
        <v>4.6537012747958835E-4</v>
      </c>
      <c r="S138" s="151">
        <f>'Parameters SH, country spec'!I39</f>
        <v>4.6537012747958835E-4</v>
      </c>
      <c r="T138" s="264">
        <f>'Parameters D24m, country spec'!I17</f>
        <v>4.6537012747958835E-4</v>
      </c>
    </row>
    <row r="139" spans="1:21" x14ac:dyDescent="0.3">
      <c r="A139" s="20" t="s">
        <v>236</v>
      </c>
      <c r="B139" s="15" t="s">
        <v>117</v>
      </c>
      <c r="C139" s="15" t="s">
        <v>232</v>
      </c>
      <c r="D139" s="21" t="s">
        <v>53</v>
      </c>
      <c r="E139" s="21" t="s">
        <v>54</v>
      </c>
      <c r="F139" s="110">
        <f t="shared" si="40"/>
        <v>0.184</v>
      </c>
      <c r="G139" s="72">
        <v>9.0999999999999998E-2</v>
      </c>
      <c r="H139" s="12">
        <v>2.7E-2</v>
      </c>
      <c r="I139" s="12">
        <v>0</v>
      </c>
      <c r="J139" s="12"/>
      <c r="K139" s="72">
        <v>2.1999999999999999E-2</v>
      </c>
      <c r="L139" s="12"/>
      <c r="M139" s="12">
        <v>1E-3</v>
      </c>
      <c r="N139" s="72">
        <v>4.2999999999999997E-2</v>
      </c>
      <c r="O139" s="12"/>
      <c r="P139" s="12"/>
      <c r="R139" s="151">
        <f>'Parameters SH, country spec'!I22</f>
        <v>1.2739490248206042E-2</v>
      </c>
      <c r="S139" s="151">
        <f>'Parameters SH, country spec'!I40</f>
        <v>1.2739490248206042E-2</v>
      </c>
      <c r="T139" s="264">
        <f>'Parameters D24m, country spec'!I18</f>
        <v>1.2739490248206042E-2</v>
      </c>
    </row>
    <row r="140" spans="1:21" x14ac:dyDescent="0.3">
      <c r="A140" s="20" t="s">
        <v>237</v>
      </c>
      <c r="B140" s="15" t="s">
        <v>118</v>
      </c>
      <c r="C140" s="15" t="s">
        <v>238</v>
      </c>
      <c r="D140" s="21" t="s">
        <v>53</v>
      </c>
      <c r="E140" s="21" t="s">
        <v>54</v>
      </c>
      <c r="F140" s="110">
        <f t="shared" si="40"/>
        <v>0.105</v>
      </c>
      <c r="G140" s="72">
        <v>0</v>
      </c>
      <c r="H140" s="12">
        <v>2.7E-2</v>
      </c>
      <c r="I140" s="14">
        <v>0</v>
      </c>
      <c r="J140" s="12"/>
      <c r="K140" s="72">
        <v>3.4000000000000002E-2</v>
      </c>
      <c r="L140" s="14"/>
      <c r="M140" s="12">
        <v>1E-3</v>
      </c>
      <c r="N140" s="72">
        <v>4.2999999999999997E-2</v>
      </c>
      <c r="O140" s="12"/>
      <c r="P140" s="12"/>
      <c r="R140" s="151">
        <f>'Parameters SH, country spec'!I23</f>
        <v>0</v>
      </c>
      <c r="S140" s="151">
        <f>'Parameters SH, country spec'!I41</f>
        <v>0</v>
      </c>
      <c r="T140" s="264">
        <f>'Parameters D24m, country spec'!I19</f>
        <v>0</v>
      </c>
    </row>
    <row r="141" spans="1:21" x14ac:dyDescent="0.3">
      <c r="A141" s="20" t="s">
        <v>239</v>
      </c>
      <c r="B141" s="15" t="s">
        <v>119</v>
      </c>
      <c r="C141" s="15" t="s">
        <v>238</v>
      </c>
      <c r="D141" s="21" t="s">
        <v>53</v>
      </c>
      <c r="E141" s="21" t="s">
        <v>54</v>
      </c>
      <c r="F141" s="110">
        <f t="shared" si="40"/>
        <v>0.109</v>
      </c>
      <c r="G141" s="72">
        <v>4.0000000000000001E-3</v>
      </c>
      <c r="H141" s="12">
        <v>2.7E-2</v>
      </c>
      <c r="I141" s="14">
        <v>0</v>
      </c>
      <c r="J141" s="12"/>
      <c r="K141" s="72">
        <v>3.4000000000000002E-2</v>
      </c>
      <c r="L141" s="12"/>
      <c r="M141" s="12">
        <v>1E-3</v>
      </c>
      <c r="N141" s="72">
        <v>4.2999999999999997E-2</v>
      </c>
      <c r="O141" s="12"/>
      <c r="P141" s="12"/>
      <c r="R141" s="151">
        <f>'Parameters SH, country spec'!I24</f>
        <v>0</v>
      </c>
      <c r="S141" s="151">
        <f>'Parameters SH, country spec'!I42</f>
        <v>0</v>
      </c>
      <c r="T141" s="264">
        <f>'Parameters D24m, country spec'!I20</f>
        <v>0</v>
      </c>
    </row>
    <row r="142" spans="1:21" x14ac:dyDescent="0.3">
      <c r="B142" s="16" t="s">
        <v>120</v>
      </c>
      <c r="C142" s="15" t="s">
        <v>240</v>
      </c>
      <c r="D142" s="21" t="s">
        <v>53</v>
      </c>
      <c r="E142" s="21" t="s">
        <v>54</v>
      </c>
      <c r="F142" s="110">
        <f t="shared" si="40"/>
        <v>0.27628755742228495</v>
      </c>
      <c r="G142" s="18">
        <f>'Off-farm feed'!$F$74</f>
        <v>0.15910156565543246</v>
      </c>
      <c r="H142" s="18">
        <f>'Off-farm feed'!$G$74</f>
        <v>1.3034482758620692E-2</v>
      </c>
      <c r="I142" s="18">
        <f>'Off-farm feed'!$H$74</f>
        <v>0</v>
      </c>
      <c r="J142" s="18"/>
      <c r="K142" s="18">
        <f>'Off-farm feed'!$J$74</f>
        <v>2.4688740026345454E-2</v>
      </c>
      <c r="L142" s="18"/>
      <c r="M142" s="294">
        <f>'Off-farm feed'!$L$74</f>
        <v>1.931759303794134E-4</v>
      </c>
      <c r="N142" s="18">
        <f>'Off-farm feed'!$M$74</f>
        <v>3.6802128767029069E-2</v>
      </c>
      <c r="O142" s="18">
        <f>'Off-farm feed'!$N$74</f>
        <v>0</v>
      </c>
      <c r="P142" s="18">
        <f>'Off-farm feed'!$O$74</f>
        <v>2.6267464284477883E-2</v>
      </c>
      <c r="Q142" s="18">
        <f>'Off-farm feed'!$P$74</f>
        <v>1.6199999999999999E-2</v>
      </c>
      <c r="R142" s="151">
        <f>'Parameters SH, country spec'!I25</f>
        <v>4.3197597637154396E-2</v>
      </c>
      <c r="S142" s="151">
        <f>'Parameters SH, country spec'!I43</f>
        <v>4.3197597637154396E-2</v>
      </c>
      <c r="T142" s="264">
        <f>'Parameters D24m, country spec'!I21</f>
        <v>4.3197597637154396E-2</v>
      </c>
    </row>
    <row r="143" spans="1:21" x14ac:dyDescent="0.3">
      <c r="B143" s="16" t="s">
        <v>241</v>
      </c>
      <c r="C143" s="15" t="s">
        <v>240</v>
      </c>
      <c r="D143" s="21" t="s">
        <v>53</v>
      </c>
      <c r="E143" s="21" t="s">
        <v>54</v>
      </c>
      <c r="F143" s="110">
        <f t="shared" si="40"/>
        <v>0.7061171705997602</v>
      </c>
      <c r="G143" s="18">
        <f>'Off-farm feed'!$F$23</f>
        <v>7.2632670993098931E-3</v>
      </c>
      <c r="H143" s="18">
        <f>'Off-farm feed'!$G$23</f>
        <v>2.1402439024390246E-2</v>
      </c>
      <c r="I143" s="18">
        <f>'Off-farm feed'!$H$23</f>
        <v>0</v>
      </c>
      <c r="J143" s="18"/>
      <c r="K143" s="18">
        <f>'Off-farm feed'!$J$23</f>
        <v>4.308361966433235E-2</v>
      </c>
      <c r="L143" s="18"/>
      <c r="M143" s="294">
        <f>'Off-farm feed'!$L$23</f>
        <v>1.7842060425123844E-4</v>
      </c>
      <c r="N143" s="18">
        <f>'Off-farm feed'!$M$23</f>
        <v>3.0432604948959403E-2</v>
      </c>
      <c r="O143" s="18">
        <f>'Off-farm feed'!$N$23</f>
        <v>0.31761120248475611</v>
      </c>
      <c r="P143" s="18">
        <f>'Off-farm feed'!$O$23</f>
        <v>3.5145616773760872E-2</v>
      </c>
      <c r="Q143" s="18">
        <f>'Off-farm feed'!$P$23</f>
        <v>0.251</v>
      </c>
      <c r="R143" s="151">
        <f>'Parameters SH, country spec'!I26</f>
        <v>5.5787586237705654E-2</v>
      </c>
      <c r="S143" s="151">
        <f>'Parameters SH, country spec'!I44</f>
        <v>5.5787586237705654E-2</v>
      </c>
      <c r="T143" s="264">
        <f>'Parameters D24m, country spec'!I22</f>
        <v>5.5787586237705654E-2</v>
      </c>
    </row>
    <row r="144" spans="1:21" x14ac:dyDescent="0.3">
      <c r="B144" s="15" t="s">
        <v>122</v>
      </c>
      <c r="C144" s="15" t="s">
        <v>242</v>
      </c>
      <c r="D144" s="21" t="s">
        <v>53</v>
      </c>
      <c r="E144" s="21" t="s">
        <v>54</v>
      </c>
      <c r="F144" s="110"/>
      <c r="G144" s="98"/>
      <c r="H144" s="6"/>
      <c r="I144" s="97"/>
      <c r="J144" s="6"/>
      <c r="K144" s="98"/>
      <c r="L144" s="6"/>
      <c r="M144" s="6"/>
      <c r="N144" s="98"/>
      <c r="O144" s="6"/>
      <c r="P144" s="6"/>
      <c r="Q144" s="6"/>
      <c r="R144" s="151">
        <f>'Parameters SH, country spec'!I27</f>
        <v>3.963187482955613E-2</v>
      </c>
      <c r="S144" s="151">
        <f>'Parameters SH, country spec'!I45</f>
        <v>3.963187482955613E-2</v>
      </c>
      <c r="T144" s="264">
        <f>'Parameters D24m, country spec'!I23</f>
        <v>3.963187482955613E-2</v>
      </c>
    </row>
    <row r="145" spans="1:21" x14ac:dyDescent="0.3">
      <c r="A145" s="75"/>
      <c r="B145" s="15" t="s">
        <v>243</v>
      </c>
      <c r="C145" s="76" t="s">
        <v>244</v>
      </c>
      <c r="D145" s="21" t="s">
        <v>53</v>
      </c>
      <c r="E145" s="21" t="s">
        <v>54</v>
      </c>
      <c r="F145" s="110">
        <f t="shared" si="40"/>
        <v>5.6390552448583896E-2</v>
      </c>
      <c r="G145" s="73">
        <f>SUMPRODUCT(G135:G143,$R135:$R143)</f>
        <v>9.6428744810164377E-3</v>
      </c>
      <c r="H145" s="73">
        <f t="shared" ref="H145:P145" si="41">SUMPRODUCT(H135:H143,$R135:$R143)</f>
        <v>2.523860108979759E-3</v>
      </c>
      <c r="I145" s="73">
        <f t="shared" si="41"/>
        <v>0</v>
      </c>
      <c r="J145" s="73">
        <f t="shared" si="41"/>
        <v>0</v>
      </c>
      <c r="K145" s="73">
        <f>SUMPRODUCT(K135:K143,$R135:$R143)</f>
        <v>4.1067381039415693E-3</v>
      </c>
      <c r="L145" s="73">
        <f t="shared" si="41"/>
        <v>0</v>
      </c>
      <c r="M145" s="73">
        <f t="shared" si="41"/>
        <v>9.1708491888337079E-5</v>
      </c>
      <c r="N145" s="73">
        <f t="shared" si="41"/>
        <v>4.5087432069393085E-3</v>
      </c>
      <c r="O145" s="73">
        <f t="shared" si="41"/>
        <v>1.7718762348679723E-2</v>
      </c>
      <c r="P145" s="73">
        <f t="shared" si="41"/>
        <v>3.0953804797527384E-3</v>
      </c>
      <c r="Q145" s="73">
        <f>SUMPRODUCT(Q135:Q143,$R135:$R143)</f>
        <v>1.4702485227386021E-2</v>
      </c>
      <c r="R145" s="151">
        <f>'Parameters SH, country spec'!I28</f>
        <v>1.8583769386191842E-2</v>
      </c>
      <c r="S145" s="151">
        <f>'Parameters SH, country spec'!I46</f>
        <v>1.8583769386191842E-2</v>
      </c>
      <c r="T145" s="264">
        <f>'Parameters D24m, country spec'!I24</f>
        <v>1.8583769386191842E-2</v>
      </c>
    </row>
    <row r="146" spans="1:21" x14ac:dyDescent="0.3">
      <c r="A146" s="328"/>
      <c r="B146" s="329" t="s">
        <v>616</v>
      </c>
      <c r="C146" s="330"/>
      <c r="D146" s="331"/>
      <c r="E146" s="331"/>
      <c r="F146" s="332">
        <f>SUMPRODUCT(F132:F134,R132:R134)+SUMPRODUCT(F135:F145,R135:R145)/0.87</f>
        <v>0.18030595298716207</v>
      </c>
      <c r="G146" s="332">
        <f>SUMPRODUCT(G132:G134,R132:R134)+SUMPRODUCT(G135:G145,R135:R145)/0.87</f>
        <v>7.246638340034775E-2</v>
      </c>
      <c r="H146" s="332">
        <f>SUMPRODUCT(H132:H134,R132:R134)+SUMPRODUCT(H135:H145,R135:R145)/0.87</f>
        <v>2.4943666221681451E-2</v>
      </c>
      <c r="I146" s="332">
        <f>SUMPRODUCT(I132:I134,R132:R134)+SUMPRODUCT(I135:I145,R135:R145)/0.87</f>
        <v>0</v>
      </c>
      <c r="J146" s="332">
        <f>SUMPRODUCT(J132:J134,R132:R134)+SUMPRODUCT(J135:J145,R135:R145)/0.87</f>
        <v>0</v>
      </c>
      <c r="K146" s="332">
        <f>SUMPRODUCT(K132:K134,R132:R134)+SUMPRODUCT(K135:K145,R135:R145)/0.87</f>
        <v>2.022625983717688E-2</v>
      </c>
      <c r="L146" s="332">
        <f>SUMPRODUCT(L132:L134,R132:R134)+SUMPRODUCT(L135:L145,R135:R145)/0.87</f>
        <v>0</v>
      </c>
      <c r="M146" s="332">
        <f>SUMPRODUCT(M132:M134,R132:R134)+SUMPRODUCT(M135:M145,R135:R145)/0.87</f>
        <v>1.6851643494958455E-4</v>
      </c>
      <c r="N146" s="332">
        <f>SUMPRODUCT(N132:N134,R132:R134)+SUMPRODUCT(N135:N145,R135:R145)/0.87</f>
        <v>5.2787731619754344E-3</v>
      </c>
      <c r="O146" s="332">
        <f>SUMPRODUCT(O132:O134,R132:R134)+SUMPRODUCT(O135:O145,R135:R145)/0.87</f>
        <v>2.0744877864340608E-2</v>
      </c>
      <c r="P146" s="332">
        <f>SUMPRODUCT(P132:P134,R132:R134)+SUMPRODUCT(P135:P145,R135:R145)/0.87</f>
        <v>1.9264013052603394E-2</v>
      </c>
      <c r="Q146" s="332">
        <f>SUMPRODUCT(Q132:Q134,R132:R134)+SUMPRODUCT(Q135:Q145,R135:R145)/0.87</f>
        <v>1.7213463014086959E-2</v>
      </c>
      <c r="R146" s="335"/>
      <c r="S146" s="336"/>
      <c r="T146" s="336"/>
      <c r="U146" s="336"/>
    </row>
    <row r="147" spans="1:21" x14ac:dyDescent="0.3">
      <c r="A147" s="150"/>
      <c r="B147" s="23" t="s">
        <v>457</v>
      </c>
      <c r="C147" s="24"/>
      <c r="D147" s="94"/>
      <c r="E147" s="94"/>
      <c r="F147" s="327">
        <f>SUMPRODUCT(F132:F134,S132:S134)+SUMPRODUCT(F135:F145,S135:S145)/0.87</f>
        <v>0.18030595298716207</v>
      </c>
      <c r="G147" s="327">
        <f>SUMPRODUCT(G132:G134,S132:S134)+SUMPRODUCT(G135:G145,S135:S145)/0.87</f>
        <v>7.246638340034775E-2</v>
      </c>
      <c r="H147" s="327">
        <f>SUMPRODUCT(H132:H134,S132:S134)+SUMPRODUCT(H135:H145,S135:S145)/0.87</f>
        <v>2.4943666221681451E-2</v>
      </c>
      <c r="I147" s="327">
        <f>SUMPRODUCT(I132:I134,S132:S134)+SUMPRODUCT(I135:I145,S135:S145)/0.87</f>
        <v>0</v>
      </c>
      <c r="J147" s="327">
        <f>SUMPRODUCT(J132:J134,S132:S134)+SUMPRODUCT(J135:J145,S135:S145)/0.87</f>
        <v>0</v>
      </c>
      <c r="K147" s="327">
        <f>SUMPRODUCT(K132:K134,S132:S134)+SUMPRODUCT(K135:K145,S135:S145)/0.87</f>
        <v>2.022625983717688E-2</v>
      </c>
      <c r="L147" s="327">
        <f>SUMPRODUCT(L132:L134,S132:S134)+SUMPRODUCT(L135:L145,S135:S145)/0.87</f>
        <v>0</v>
      </c>
      <c r="M147" s="327">
        <f>SUMPRODUCT(M132:M134,S132:S134)+SUMPRODUCT(M135:M145,S135:S145)/0.87</f>
        <v>1.6851643494958455E-4</v>
      </c>
      <c r="N147" s="327">
        <f>SUMPRODUCT(N132:N134,S132:S134)+SUMPRODUCT(N135:N145,S135:S145)/0.87</f>
        <v>5.2787731619754344E-3</v>
      </c>
      <c r="O147" s="327">
        <f>SUMPRODUCT(O132:O134,S132:S134)+SUMPRODUCT(O135:O145,S135:S145)/0.87</f>
        <v>2.0744877864340608E-2</v>
      </c>
      <c r="P147" s="327">
        <f>SUMPRODUCT(P132:P134,S132:S134)+SUMPRODUCT(P135:P145,S135:S145)/0.87</f>
        <v>1.9264013052603394E-2</v>
      </c>
      <c r="Q147" s="327">
        <f>SUMPRODUCT(Q132:Q134,S132:S134)+SUMPRODUCT(Q135:Q145,S135:S145)/0.87</f>
        <v>1.7213463014086959E-2</v>
      </c>
      <c r="R147" s="152"/>
      <c r="S147" s="152"/>
      <c r="T147" s="152"/>
      <c r="U147" s="152"/>
    </row>
    <row r="148" spans="1:21" x14ac:dyDescent="0.3">
      <c r="A148" s="328"/>
      <c r="B148" s="329" t="s">
        <v>641</v>
      </c>
      <c r="C148" s="330"/>
      <c r="D148" s="331"/>
      <c r="E148" s="331"/>
      <c r="F148" s="332">
        <f>SUMPRODUCT(F132:F134,$T132:$T134)+SUMPRODUCT(F135:F145,$T135:$T145)/0.87</f>
        <v>0.18030595298716207</v>
      </c>
      <c r="G148" s="332">
        <f t="shared" ref="G148:O148" si="42">SUMPRODUCT(G132:G134,$T132:$T134)+SUMPRODUCT(G135:G145,$T135:$T145)/0.87</f>
        <v>7.246638340034775E-2</v>
      </c>
      <c r="H148" s="332">
        <f t="shared" si="42"/>
        <v>2.4943666221681451E-2</v>
      </c>
      <c r="I148" s="332">
        <f t="shared" si="42"/>
        <v>0</v>
      </c>
      <c r="J148" s="332">
        <f t="shared" si="42"/>
        <v>0</v>
      </c>
      <c r="K148" s="332">
        <f t="shared" si="42"/>
        <v>2.022625983717688E-2</v>
      </c>
      <c r="L148" s="332">
        <f t="shared" si="42"/>
        <v>0</v>
      </c>
      <c r="M148" s="332">
        <f t="shared" si="42"/>
        <v>1.6851643494958455E-4</v>
      </c>
      <c r="N148" s="332">
        <f t="shared" si="42"/>
        <v>5.2787731619754344E-3</v>
      </c>
      <c r="O148" s="332">
        <f t="shared" si="42"/>
        <v>2.0744877864340608E-2</v>
      </c>
      <c r="P148" s="332">
        <f>SUMPRODUCT(P132:P134,$T132:$T134)+SUMPRODUCT(P135:P145,$T135:$T145)/0.87</f>
        <v>1.9264013052603394E-2</v>
      </c>
      <c r="Q148" s="332">
        <f t="shared" ref="Q148" si="43">SUMPRODUCT(Q132:Q134,$T132:$T134)+SUMPRODUCT(Q135:Q145,$T135:$T145)/0.87</f>
        <v>1.7213463014086959E-2</v>
      </c>
      <c r="R148" s="335"/>
      <c r="S148" s="335"/>
      <c r="T148" s="335"/>
      <c r="U148" s="335"/>
    </row>
    <row r="149" spans="1:21" x14ac:dyDescent="0.3">
      <c r="A149" s="150"/>
      <c r="B149" s="23" t="s">
        <v>642</v>
      </c>
      <c r="C149" s="24"/>
      <c r="D149" s="94"/>
      <c r="E149" s="94"/>
      <c r="F149" s="327">
        <f>SUMPRODUCT(F132:F134,$U132:$U134)+SUMPRODUCT(F135:F145,$U135:$U145)/0.87</f>
        <v>0</v>
      </c>
      <c r="G149" s="327">
        <f t="shared" ref="G149:K149" si="44">SUMPRODUCT(G132:G134,$U132:$U134)+SUMPRODUCT(G135:G145,$U135:$U145)/0.87</f>
        <v>0</v>
      </c>
      <c r="H149" s="327">
        <f t="shared" si="44"/>
        <v>0</v>
      </c>
      <c r="I149" s="327">
        <f t="shared" si="44"/>
        <v>0</v>
      </c>
      <c r="J149" s="327">
        <f t="shared" si="44"/>
        <v>0</v>
      </c>
      <c r="K149" s="327">
        <f t="shared" si="44"/>
        <v>0</v>
      </c>
      <c r="L149" s="327">
        <f>SUMPRODUCT(L132:L134,$U132:$U134)+SUMPRODUCT(L135:L145,$U135:$U145)/0.87</f>
        <v>0</v>
      </c>
      <c r="M149" s="327">
        <f t="shared" ref="M149:Q149" si="45">SUMPRODUCT(M132:M134,$U132:$U134)+SUMPRODUCT(M135:M145,$U135:$U145)/0.87</f>
        <v>0</v>
      </c>
      <c r="N149" s="327">
        <f t="shared" si="45"/>
        <v>0</v>
      </c>
      <c r="O149" s="327">
        <f t="shared" si="45"/>
        <v>0</v>
      </c>
      <c r="P149" s="327">
        <f t="shared" si="45"/>
        <v>0</v>
      </c>
      <c r="Q149" s="327">
        <f t="shared" si="45"/>
        <v>0</v>
      </c>
      <c r="R149" s="152"/>
      <c r="S149" s="152"/>
      <c r="T149" s="152"/>
      <c r="U149" s="152"/>
    </row>
    <row r="150" spans="1:21" x14ac:dyDescent="0.3">
      <c r="B150" s="16" t="s">
        <v>299</v>
      </c>
      <c r="C150" s="15" t="s">
        <v>302</v>
      </c>
      <c r="D150" s="21" t="s">
        <v>55</v>
      </c>
      <c r="E150" s="21" t="s">
        <v>56</v>
      </c>
      <c r="F150" s="110">
        <f>SUM(G150:Q150)</f>
        <v>0.13900206333363052</v>
      </c>
      <c r="G150" s="18">
        <f>'Forage crops, CF'!F48</f>
        <v>2.1751094263240234E-2</v>
      </c>
      <c r="H150" s="18">
        <f>'Forage crops, CF'!G48</f>
        <v>2.7E-2</v>
      </c>
      <c r="I150" s="18">
        <f>'Forage crops, CF'!H48</f>
        <v>0</v>
      </c>
      <c r="J150" s="18">
        <f>'Forage crops, CF'!I48</f>
        <v>0</v>
      </c>
      <c r="K150" s="18">
        <f>'Forage crops, CF'!J48</f>
        <v>1.5222817539100278E-2</v>
      </c>
      <c r="L150" s="18">
        <f>'Forage crops, CF'!K48</f>
        <v>0</v>
      </c>
      <c r="M150" s="18">
        <f>'Forage crops, CF'!L48</f>
        <v>7.5028151531290013E-2</v>
      </c>
      <c r="N150" s="18">
        <f>'Forage crops, CF'!M48</f>
        <v>0</v>
      </c>
      <c r="O150" s="18">
        <f>'Forage crops, CF'!N48</f>
        <v>0</v>
      </c>
      <c r="P150" s="18">
        <f>'Forage crops, CF'!O48</f>
        <v>0</v>
      </c>
      <c r="Q150" s="18">
        <f>'Forage crops, CF'!P48</f>
        <v>0</v>
      </c>
      <c r="R150" s="151">
        <f>'Parameters SH, country spec'!J15</f>
        <v>0.26557017524746096</v>
      </c>
      <c r="S150" s="151">
        <f>'Parameters SH, country spec'!J33</f>
        <v>0.26557017524746096</v>
      </c>
      <c r="T150" s="264">
        <f>'Parameters D24m, country spec'!J11</f>
        <v>0.26557017524746096</v>
      </c>
    </row>
    <row r="151" spans="1:21" x14ac:dyDescent="0.3">
      <c r="B151" s="16" t="s">
        <v>300</v>
      </c>
      <c r="C151" s="15" t="s">
        <v>302</v>
      </c>
      <c r="D151" s="21" t="s">
        <v>55</v>
      </c>
      <c r="E151" s="21" t="s">
        <v>56</v>
      </c>
      <c r="F151" s="110">
        <f>SUM(G151:Q151)</f>
        <v>0.11706797704376401</v>
      </c>
      <c r="G151" s="18">
        <f>'Forage crops, CF'!F113</f>
        <v>3.0058016193008835E-2</v>
      </c>
      <c r="H151" s="18">
        <f>'Forage crops, CF'!G113</f>
        <v>2.7E-2</v>
      </c>
      <c r="I151" s="18">
        <f>'Forage crops, CF'!H113</f>
        <v>0</v>
      </c>
      <c r="J151" s="18">
        <f>'Forage crops, CF'!I113</f>
        <v>0</v>
      </c>
      <c r="K151" s="18">
        <f>'Forage crops, CF'!J113</f>
        <v>1.329217950106977E-2</v>
      </c>
      <c r="L151" s="18">
        <f>'Forage crops, CF'!K113</f>
        <v>0</v>
      </c>
      <c r="M151" s="18">
        <f>'Forage crops, CF'!L113</f>
        <v>1.7781349685403136E-5</v>
      </c>
      <c r="N151" s="18">
        <f>'Forage crops, CF'!M113</f>
        <v>0</v>
      </c>
      <c r="O151" s="18">
        <f>'Forage crops, CF'!N113</f>
        <v>0</v>
      </c>
      <c r="P151" s="18">
        <f>'Forage crops, CF'!O113</f>
        <v>4.6700000000000005E-2</v>
      </c>
      <c r="Q151" s="18">
        <f>'Forage crops, CF'!P113</f>
        <v>0</v>
      </c>
      <c r="R151" s="151">
        <f>'Parameters SH, country spec'!J16</f>
        <v>0.3089723847114122</v>
      </c>
      <c r="S151" s="151">
        <f>'Parameters SH, country spec'!J34</f>
        <v>0.3089723847114122</v>
      </c>
      <c r="T151" s="264">
        <f>'Parameters D24m, country spec'!J12</f>
        <v>0.3089723847114122</v>
      </c>
    </row>
    <row r="152" spans="1:21" x14ac:dyDescent="0.3">
      <c r="B152" s="16" t="s">
        <v>301</v>
      </c>
      <c r="C152" s="15" t="s">
        <v>302</v>
      </c>
      <c r="D152" s="21" t="s">
        <v>55</v>
      </c>
      <c r="E152" s="21" t="s">
        <v>56</v>
      </c>
      <c r="F152" s="110">
        <f>SUM(G152:Q152)</f>
        <v>0.10597032311500743</v>
      </c>
      <c r="G152" s="18">
        <f>'Forage crops, CF'!F178*'Forage, input data per ha'!$D$86+'Forage crops, CF'!F243*'Forage, input data per ha'!$E$86</f>
        <v>1.7135505480033748E-2</v>
      </c>
      <c r="H152" s="18">
        <f>'Forage crops, CF'!G178*'Forage, input data per ha'!$D$86+'Forage crops, CF'!G243*'Forage, input data per ha'!$E$86</f>
        <v>2.7E-2</v>
      </c>
      <c r="I152" s="18">
        <f>'Forage crops, CF'!H178*'Forage, input data per ha'!$D$86+'Forage crops, CF'!H243*'Forage, input data per ha'!$E$86</f>
        <v>0</v>
      </c>
      <c r="J152" s="18">
        <f>'Forage crops, CF'!I178*'Forage, input data per ha'!$D$86+'Forage crops, CF'!I243*'Forage, input data per ha'!$E$86</f>
        <v>0</v>
      </c>
      <c r="K152" s="18">
        <f>'Forage crops, CF'!J178*'Forage, input data per ha'!$D$86+'Forage crops, CF'!J243*'Forage, input data per ha'!$E$86</f>
        <v>1.5117036285288273E-2</v>
      </c>
      <c r="L152" s="18">
        <f>'Forage crops, CF'!K178*'Forage, input data per ha'!$D$86+'Forage crops, CF'!K243*'Forage, input data per ha'!$E$86</f>
        <v>0</v>
      </c>
      <c r="M152" s="18">
        <f>'Forage crops, CF'!L178*'Forage, input data per ha'!$D$86+'Forage crops, CF'!L243*'Forage, input data per ha'!$E$86</f>
        <v>1.7781349685403136E-5</v>
      </c>
      <c r="N152" s="18">
        <f>'Forage crops, CF'!M178*'Forage, input data per ha'!$D$86+'Forage crops, CF'!M243*'Forage, input data per ha'!$E$86</f>
        <v>0</v>
      </c>
      <c r="O152" s="18">
        <f>'Forage crops, CF'!N178*'Forage, input data per ha'!$D$86+'Forage crops, CF'!N243*'Forage, input data per ha'!$E$86</f>
        <v>0</v>
      </c>
      <c r="P152" s="18">
        <f>'Forage crops, CF'!O178*'Forage, input data per ha'!$D$86+'Forage crops, CF'!O243*'Forage, input data per ha'!$E$86</f>
        <v>4.6700000000000005E-2</v>
      </c>
      <c r="Q152" s="18">
        <f>'Forage crops, CF'!P178*'Forage, input data per ha'!$D$86+'Forage crops, CF'!P243*'Forage, input data per ha'!$E$86</f>
        <v>0</v>
      </c>
      <c r="R152" s="151">
        <f>'Parameters SH, country spec'!J17</f>
        <v>0.15280804679497859</v>
      </c>
      <c r="S152" s="151">
        <f>'Parameters SH, country spec'!J35</f>
        <v>0.15280804679497859</v>
      </c>
      <c r="T152" s="264">
        <f>'Parameters D24m, country spec'!J13</f>
        <v>0.15280804679497859</v>
      </c>
    </row>
    <row r="153" spans="1:21" x14ac:dyDescent="0.3">
      <c r="A153" s="20" t="s">
        <v>231</v>
      </c>
      <c r="B153" s="15" t="s">
        <v>113</v>
      </c>
      <c r="C153" s="15" t="s">
        <v>232</v>
      </c>
      <c r="D153" s="21" t="s">
        <v>55</v>
      </c>
      <c r="E153" s="21" t="s">
        <v>56</v>
      </c>
      <c r="F153" s="110">
        <f>SUM(G153:Q153)</f>
        <v>0.20799999999999999</v>
      </c>
      <c r="G153" s="72">
        <v>7.9000000000000001E-2</v>
      </c>
      <c r="H153" s="12">
        <v>2.7E-2</v>
      </c>
      <c r="I153" s="14">
        <v>0</v>
      </c>
      <c r="J153" s="12"/>
      <c r="K153" s="72">
        <v>4.9000000000000002E-2</v>
      </c>
      <c r="L153" s="12"/>
      <c r="M153" s="12">
        <v>0</v>
      </c>
      <c r="N153" s="72">
        <v>5.2999999999999999E-2</v>
      </c>
      <c r="O153" s="12"/>
      <c r="P153" s="12"/>
      <c r="R153" s="151">
        <f>'Parameters SH, country spec'!J18</f>
        <v>1.4852072857038275E-2</v>
      </c>
      <c r="S153" s="151">
        <f>'Parameters SH, country spec'!J36</f>
        <v>1.4852072857038275E-2</v>
      </c>
      <c r="T153" s="264">
        <f>'Parameters D24m, country spec'!J14</f>
        <v>1.4852072857038275E-2</v>
      </c>
    </row>
    <row r="154" spans="1:21" x14ac:dyDescent="0.3">
      <c r="A154" s="20" t="s">
        <v>233</v>
      </c>
      <c r="B154" s="15" t="s">
        <v>114</v>
      </c>
      <c r="C154" s="15" t="s">
        <v>232</v>
      </c>
      <c r="D154" s="21" t="s">
        <v>55</v>
      </c>
      <c r="E154" s="21" t="s">
        <v>56</v>
      </c>
      <c r="F154" s="110">
        <f t="shared" ref="F154:F163" si="46">SUM(G154:Q154)</f>
        <v>0.186</v>
      </c>
      <c r="G154" s="72">
        <v>7.6999999999999999E-2</v>
      </c>
      <c r="H154" s="12">
        <v>2.7E-2</v>
      </c>
      <c r="I154" s="14">
        <v>0</v>
      </c>
      <c r="J154" s="12"/>
      <c r="K154" s="72">
        <v>2.8000000000000001E-2</v>
      </c>
      <c r="L154" s="12"/>
      <c r="M154" s="12">
        <v>1E-3</v>
      </c>
      <c r="N154" s="72">
        <v>5.2999999999999999E-2</v>
      </c>
      <c r="O154" s="12"/>
      <c r="P154" s="12"/>
      <c r="R154" s="151">
        <f>'Parameters SH, country spec'!J19</f>
        <v>2.0345709016517825E-2</v>
      </c>
      <c r="S154" s="151">
        <f>'Parameters SH, country spec'!J37</f>
        <v>2.0345709016517825E-2</v>
      </c>
      <c r="T154" s="264">
        <f>'Parameters D24m, country spec'!J15</f>
        <v>2.0345709016517825E-2</v>
      </c>
    </row>
    <row r="155" spans="1:21" x14ac:dyDescent="0.3">
      <c r="A155" s="20" t="s">
        <v>234</v>
      </c>
      <c r="B155" s="15" t="s">
        <v>115</v>
      </c>
      <c r="C155" s="15" t="s">
        <v>232</v>
      </c>
      <c r="D155" s="21" t="s">
        <v>55</v>
      </c>
      <c r="E155" s="21" t="s">
        <v>56</v>
      </c>
      <c r="F155" s="110">
        <f t="shared" si="46"/>
        <v>0.215</v>
      </c>
      <c r="G155" s="72">
        <v>7.0000000000000007E-2</v>
      </c>
      <c r="H155" s="12">
        <v>2.7E-2</v>
      </c>
      <c r="I155" s="14">
        <v>0</v>
      </c>
      <c r="J155" s="12"/>
      <c r="K155" s="72">
        <v>6.5000000000000002E-2</v>
      </c>
      <c r="L155" s="12"/>
      <c r="M155" s="12">
        <v>0</v>
      </c>
      <c r="N155" s="72">
        <v>5.2999999999999999E-2</v>
      </c>
      <c r="O155" s="12"/>
      <c r="P155" s="12"/>
      <c r="R155" s="151">
        <f>'Parameters SH, country spec'!J20</f>
        <v>4.4481071240192398E-4</v>
      </c>
      <c r="S155" s="151">
        <f>'Parameters SH, country spec'!J38</f>
        <v>4.4481071240192398E-4</v>
      </c>
      <c r="T155" s="264">
        <f>'Parameters D24m, country spec'!J16</f>
        <v>4.4481071240192398E-4</v>
      </c>
    </row>
    <row r="156" spans="1:21" x14ac:dyDescent="0.3">
      <c r="A156" s="20" t="s">
        <v>235</v>
      </c>
      <c r="B156" s="15" t="s">
        <v>116</v>
      </c>
      <c r="C156" s="15" t="s">
        <v>232</v>
      </c>
      <c r="D156" s="21" t="s">
        <v>55</v>
      </c>
      <c r="E156" s="21" t="s">
        <v>56</v>
      </c>
      <c r="F156" s="110">
        <f t="shared" si="46"/>
        <v>0.20399999999999999</v>
      </c>
      <c r="G156" s="72">
        <v>6.2E-2</v>
      </c>
      <c r="H156" s="12">
        <v>2.7E-2</v>
      </c>
      <c r="I156" s="12">
        <v>0</v>
      </c>
      <c r="J156" s="12"/>
      <c r="K156" s="72">
        <v>6.2E-2</v>
      </c>
      <c r="L156" s="12"/>
      <c r="M156" s="12">
        <v>0</v>
      </c>
      <c r="N156" s="72">
        <v>5.2999999999999999E-2</v>
      </c>
      <c r="O156" s="12"/>
      <c r="P156" s="12"/>
      <c r="R156" s="151">
        <f>'Parameters SH, country spec'!J21</f>
        <v>5.8075964903519491E-3</v>
      </c>
      <c r="S156" s="151">
        <f>'Parameters SH, country spec'!J39</f>
        <v>5.8075964903519491E-3</v>
      </c>
      <c r="T156" s="264">
        <f>'Parameters D24m, country spec'!J17</f>
        <v>5.8075964903519491E-3</v>
      </c>
    </row>
    <row r="157" spans="1:21" x14ac:dyDescent="0.3">
      <c r="A157" s="20" t="s">
        <v>236</v>
      </c>
      <c r="B157" s="15" t="s">
        <v>117</v>
      </c>
      <c r="C157" s="15" t="s">
        <v>232</v>
      </c>
      <c r="D157" s="21" t="s">
        <v>55</v>
      </c>
      <c r="E157" s="21" t="s">
        <v>56</v>
      </c>
      <c r="F157" s="110">
        <f t="shared" si="46"/>
        <v>0.21199999999999999</v>
      </c>
      <c r="G157" s="72">
        <v>9.0999999999999998E-2</v>
      </c>
      <c r="H157" s="12">
        <v>2.7E-2</v>
      </c>
      <c r="I157" s="12">
        <v>0</v>
      </c>
      <c r="J157" s="12"/>
      <c r="K157" s="72">
        <v>4.1000000000000002E-2</v>
      </c>
      <c r="L157" s="12"/>
      <c r="M157" s="12">
        <v>0</v>
      </c>
      <c r="N157" s="72">
        <v>5.2999999999999999E-2</v>
      </c>
      <c r="O157" s="12"/>
      <c r="P157" s="12"/>
      <c r="R157" s="151">
        <f>'Parameters SH, country spec'!J22</f>
        <v>2.3351211772125756E-2</v>
      </c>
      <c r="S157" s="151">
        <f>'Parameters SH, country spec'!J40</f>
        <v>2.3351211772125756E-2</v>
      </c>
      <c r="T157" s="264">
        <f>'Parameters D24m, country spec'!J18</f>
        <v>2.3351211772125756E-2</v>
      </c>
    </row>
    <row r="158" spans="1:21" x14ac:dyDescent="0.3">
      <c r="A158" s="20" t="s">
        <v>237</v>
      </c>
      <c r="B158" s="15" t="s">
        <v>118</v>
      </c>
      <c r="C158" s="15" t="s">
        <v>238</v>
      </c>
      <c r="D158" s="21" t="s">
        <v>55</v>
      </c>
      <c r="E158" s="21" t="s">
        <v>56</v>
      </c>
      <c r="F158" s="110">
        <f t="shared" si="46"/>
        <v>0.16200000000000001</v>
      </c>
      <c r="G158" s="72">
        <v>0</v>
      </c>
      <c r="H158" s="12">
        <v>2.7E-2</v>
      </c>
      <c r="I158" s="14">
        <v>0</v>
      </c>
      <c r="J158" s="12"/>
      <c r="K158" s="72">
        <v>8.2000000000000003E-2</v>
      </c>
      <c r="L158" s="14"/>
      <c r="M158" s="12">
        <v>0</v>
      </c>
      <c r="N158" s="72">
        <v>5.2999999999999999E-2</v>
      </c>
      <c r="O158" s="12"/>
      <c r="P158" s="12"/>
      <c r="R158" s="151">
        <f>'Parameters SH, country spec'!J23</f>
        <v>2.6962503550840627E-3</v>
      </c>
      <c r="S158" s="151">
        <f>'Parameters SH, country spec'!J41</f>
        <v>2.6962503550840627E-3</v>
      </c>
      <c r="T158" s="264">
        <f>'Parameters D24m, country spec'!J19</f>
        <v>2.6962503550840627E-3</v>
      </c>
    </row>
    <row r="159" spans="1:21" x14ac:dyDescent="0.3">
      <c r="A159" s="20" t="s">
        <v>239</v>
      </c>
      <c r="B159" s="15" t="s">
        <v>119</v>
      </c>
      <c r="C159" s="15" t="s">
        <v>238</v>
      </c>
      <c r="D159" s="21" t="s">
        <v>55</v>
      </c>
      <c r="E159" s="21" t="s">
        <v>56</v>
      </c>
      <c r="F159" s="110">
        <f t="shared" si="46"/>
        <v>0.15</v>
      </c>
      <c r="G159" s="72">
        <v>4.0000000000000001E-3</v>
      </c>
      <c r="H159" s="12">
        <v>2.7E-2</v>
      </c>
      <c r="I159" s="14">
        <v>0</v>
      </c>
      <c r="J159" s="12"/>
      <c r="K159" s="72">
        <v>6.6000000000000003E-2</v>
      </c>
      <c r="L159" s="12"/>
      <c r="M159" s="12">
        <v>0</v>
      </c>
      <c r="N159" s="72">
        <v>5.2999999999999999E-2</v>
      </c>
      <c r="O159" s="12"/>
      <c r="P159" s="12"/>
      <c r="R159" s="151">
        <f>'Parameters SH, country spec'!J24</f>
        <v>2.6486063692714159E-3</v>
      </c>
      <c r="S159" s="151">
        <f>'Parameters SH, country spec'!J42</f>
        <v>2.6486063692714159E-3</v>
      </c>
      <c r="T159" s="264">
        <f>'Parameters D24m, country spec'!J20</f>
        <v>2.6486063692714159E-3</v>
      </c>
    </row>
    <row r="160" spans="1:21" x14ac:dyDescent="0.3">
      <c r="B160" s="16" t="s">
        <v>120</v>
      </c>
      <c r="C160" s="15" t="s">
        <v>240</v>
      </c>
      <c r="D160" s="21" t="s">
        <v>55</v>
      </c>
      <c r="E160" s="21" t="s">
        <v>56</v>
      </c>
      <c r="F160" s="110">
        <f t="shared" si="46"/>
        <v>0.27628755742228495</v>
      </c>
      <c r="G160" s="18">
        <f>'Off-farm feed'!$F$74</f>
        <v>0.15910156565543246</v>
      </c>
      <c r="H160" s="18">
        <f>'Off-farm feed'!$G$74</f>
        <v>1.3034482758620692E-2</v>
      </c>
      <c r="I160" s="18">
        <f>'Off-farm feed'!$H$74</f>
        <v>0</v>
      </c>
      <c r="J160" s="18"/>
      <c r="K160" s="18">
        <f>'Off-farm feed'!$J$74</f>
        <v>2.4688740026345454E-2</v>
      </c>
      <c r="L160" s="18"/>
      <c r="M160" s="294">
        <f>'Off-farm feed'!$L$74</f>
        <v>1.931759303794134E-4</v>
      </c>
      <c r="N160" s="18">
        <f>'Off-farm feed'!$M$74</f>
        <v>3.6802128767029069E-2</v>
      </c>
      <c r="O160" s="18">
        <f>'Off-farm feed'!$N$74</f>
        <v>0</v>
      </c>
      <c r="P160" s="18">
        <f>'Off-farm feed'!$O$74</f>
        <v>2.6267464284477883E-2</v>
      </c>
      <c r="Q160" s="18">
        <f>'Off-farm feed'!$P$74</f>
        <v>1.6199999999999999E-2</v>
      </c>
      <c r="R160" s="151">
        <f>'Parameters SH, country spec'!J25</f>
        <v>1.9433337380001321E-2</v>
      </c>
      <c r="S160" s="151">
        <f>'Parameters SH, country spec'!J43</f>
        <v>1.9433337380001321E-2</v>
      </c>
      <c r="T160" s="264">
        <f>'Parameters D24m, country spec'!J21</f>
        <v>1.9433337380001321E-2</v>
      </c>
    </row>
    <row r="161" spans="1:21" x14ac:dyDescent="0.3">
      <c r="B161" s="16" t="s">
        <v>241</v>
      </c>
      <c r="C161" s="15" t="s">
        <v>240</v>
      </c>
      <c r="D161" s="21" t="s">
        <v>55</v>
      </c>
      <c r="E161" s="21" t="s">
        <v>56</v>
      </c>
      <c r="F161" s="110">
        <f t="shared" si="46"/>
        <v>0.7061171705997602</v>
      </c>
      <c r="G161" s="18">
        <f>'Off-farm feed'!$F$23</f>
        <v>7.2632670993098931E-3</v>
      </c>
      <c r="H161" s="18">
        <f>'Off-farm feed'!$G$23</f>
        <v>2.1402439024390246E-2</v>
      </c>
      <c r="I161" s="18">
        <f>'Off-farm feed'!$H$23</f>
        <v>0</v>
      </c>
      <c r="J161" s="18"/>
      <c r="K161" s="18">
        <f>'Off-farm feed'!$J$23</f>
        <v>4.308361966433235E-2</v>
      </c>
      <c r="L161" s="18"/>
      <c r="M161" s="294">
        <f>'Off-farm feed'!$L$23</f>
        <v>1.7842060425123844E-4</v>
      </c>
      <c r="N161" s="18">
        <f>'Off-farm feed'!$M$23</f>
        <v>3.0432604948959403E-2</v>
      </c>
      <c r="O161" s="18">
        <f>'Off-farm feed'!$N$23</f>
        <v>0.31761120248475611</v>
      </c>
      <c r="P161" s="18">
        <f>'Off-farm feed'!$O$23</f>
        <v>3.5145616773760872E-2</v>
      </c>
      <c r="Q161" s="18">
        <f>'Off-farm feed'!$P$23</f>
        <v>0.251</v>
      </c>
      <c r="R161" s="151">
        <f>'Parameters SH, country spec'!J26</f>
        <v>6.7782810502236002E-2</v>
      </c>
      <c r="S161" s="151">
        <f>'Parameters SH, country spec'!J44</f>
        <v>6.7782810502236002E-2</v>
      </c>
      <c r="T161" s="264">
        <f>'Parameters D24m, country spec'!J22</f>
        <v>6.7782810502236002E-2</v>
      </c>
    </row>
    <row r="162" spans="1:21" x14ac:dyDescent="0.3">
      <c r="B162" s="15" t="s">
        <v>122</v>
      </c>
      <c r="C162" s="15" t="s">
        <v>242</v>
      </c>
      <c r="D162" s="21" t="s">
        <v>55</v>
      </c>
      <c r="E162" s="21" t="s">
        <v>56</v>
      </c>
      <c r="F162" s="110"/>
      <c r="G162" s="98"/>
      <c r="H162" s="6"/>
      <c r="I162" s="97"/>
      <c r="J162" s="6"/>
      <c r="K162" s="98"/>
      <c r="L162" s="6"/>
      <c r="M162" s="6"/>
      <c r="N162" s="98"/>
      <c r="O162" s="6"/>
      <c r="P162" s="6"/>
      <c r="Q162" s="6"/>
      <c r="R162" s="151">
        <f>'Parameters SH, country spec'!J27</f>
        <v>4.7732591070968847E-2</v>
      </c>
      <c r="S162" s="151">
        <f>'Parameters SH, country spec'!J45</f>
        <v>4.7732591070968847E-2</v>
      </c>
      <c r="T162" s="264">
        <f>'Parameters D24m, country spec'!J23</f>
        <v>4.7732591070968847E-2</v>
      </c>
    </row>
    <row r="163" spans="1:21" x14ac:dyDescent="0.3">
      <c r="A163" s="75"/>
      <c r="B163" s="15" t="s">
        <v>243</v>
      </c>
      <c r="C163" s="76" t="s">
        <v>244</v>
      </c>
      <c r="D163" s="21" t="s">
        <v>55</v>
      </c>
      <c r="E163" s="21" t="s">
        <v>56</v>
      </c>
      <c r="F163" s="110">
        <f t="shared" si="46"/>
        <v>6.7170253111561828E-2</v>
      </c>
      <c r="G163" s="73">
        <f>SUMPRODUCT(G153:G161,$R153:$R161)</f>
        <v>8.8508948394764777E-3</v>
      </c>
      <c r="H163" s="73">
        <f t="shared" ref="H163:P163" si="47">SUMPRODUCT(H153:H161,$R153:$R161)</f>
        <v>3.5979699241633534E-3</v>
      </c>
      <c r="I163" s="73">
        <f t="shared" si="47"/>
        <v>0</v>
      </c>
      <c r="J163" s="73">
        <f t="shared" si="47"/>
        <v>0</v>
      </c>
      <c r="K163" s="73">
        <f>SUMPRODUCT(K153:K161,$R153:$R161)</f>
        <v>6.4398287751882451E-3</v>
      </c>
      <c r="L163" s="73">
        <f t="shared" si="47"/>
        <v>0</v>
      </c>
      <c r="M163" s="73">
        <f t="shared" si="47"/>
        <v>3.6193612052932754E-5</v>
      </c>
      <c r="N163" s="73">
        <f t="shared" si="47"/>
        <v>6.4957473303345866E-3</v>
      </c>
      <c r="O163" s="73">
        <f t="shared" si="47"/>
        <v>2.1528579951411532E-2</v>
      </c>
      <c r="P163" s="73">
        <f t="shared" si="47"/>
        <v>2.8927331773174339E-3</v>
      </c>
      <c r="Q163" s="73">
        <f>SUMPRODUCT(Q153:Q161,$R153:$R161)</f>
        <v>1.732830550161726E-2</v>
      </c>
      <c r="R163" s="151">
        <f>'Parameters SH, country spec'!J28</f>
        <v>6.7554396720150997E-2</v>
      </c>
      <c r="S163" s="151">
        <f>'Parameters SH, country spec'!J46</f>
        <v>6.7554396720150997E-2</v>
      </c>
      <c r="T163" s="264">
        <f>'Parameters D24m, country spec'!J24</f>
        <v>6.7554396720150997E-2</v>
      </c>
    </row>
    <row r="164" spans="1:21" x14ac:dyDescent="0.3">
      <c r="A164" s="328"/>
      <c r="B164" s="329" t="s">
        <v>616</v>
      </c>
      <c r="C164" s="330"/>
      <c r="D164" s="331"/>
      <c r="E164" s="331"/>
      <c r="F164" s="332">
        <f>SUMPRODUCT(F150:F152,R150:R152)+SUMPRODUCT(F153:F163,R153:R163)/0.87</f>
        <v>0.17170156491079305</v>
      </c>
      <c r="G164" s="332">
        <f>SUMPRODUCT(G150:G152,R150:R152)+SUMPRODUCT(G153:G163,R153:R163)/0.87</f>
        <v>2.8542685085766795E-2</v>
      </c>
      <c r="H164" s="332">
        <f>SUMPRODUCT(H150:H152,R150:R152)+SUMPRODUCT(H153:H163,R153:R163)/0.87</f>
        <v>2.4053441798224634E-2</v>
      </c>
      <c r="I164" s="332">
        <f>SUMPRODUCT(I150:I152,R150:R152)+SUMPRODUCT(I153:I163,R153:R163)/0.87</f>
        <v>0</v>
      </c>
      <c r="J164" s="332">
        <f>SUMPRODUCT(J150:J152,R150:R152)+SUMPRODUCT(J153:J163,R153:R163)/0.87</f>
        <v>0</v>
      </c>
      <c r="K164" s="332">
        <f>SUMPRODUCT(K150:K152,R150:R152)+SUMPRODUCT(K153:K163,R153:R163)/0.87</f>
        <v>1.8361794086409984E-2</v>
      </c>
      <c r="L164" s="332">
        <f>SUMPRODUCT(L150:L152,R150:R152)+SUMPRODUCT(L153:L163,R153:R163)/0.87</f>
        <v>0</v>
      </c>
      <c r="M164" s="332">
        <f>SUMPRODUCT(M150:M152,R150:R152)+SUMPRODUCT(M153:M163,R153:R163)/0.87</f>
        <v>1.997786267100007E-2</v>
      </c>
      <c r="N164" s="332">
        <f>SUMPRODUCT(N150:N152,R150:R152)+SUMPRODUCT(N153:N163,R153:R163)/0.87</f>
        <v>7.9707627844619201E-3</v>
      </c>
      <c r="O164" s="332">
        <f>SUMPRODUCT(O150:O152,R150:R152)+SUMPRODUCT(O153:O163,R153:R163)/0.87</f>
        <v>2.6417161129046754E-2</v>
      </c>
      <c r="P164" s="332">
        <f>SUMPRODUCT(P150:P152,R150:R152)+SUMPRODUCT(P153:P163,R153:R163)/0.87</f>
        <v>2.5114743877766244E-2</v>
      </c>
      <c r="Q164" s="332">
        <f>SUMPRODUCT(Q150:Q152,R150:R152)+SUMPRODUCT(Q153:Q163,R153:R163)/0.87</f>
        <v>2.1263113478116651E-2</v>
      </c>
      <c r="R164" s="335"/>
      <c r="S164" s="336"/>
      <c r="T164" s="336"/>
      <c r="U164" s="336"/>
    </row>
    <row r="165" spans="1:21" x14ac:dyDescent="0.3">
      <c r="A165" s="150"/>
      <c r="B165" s="23" t="s">
        <v>457</v>
      </c>
      <c r="C165" s="24"/>
      <c r="D165" s="94"/>
      <c r="E165" s="94"/>
      <c r="F165" s="327">
        <f>SUMPRODUCT(F150:F152,S150:S152)+SUMPRODUCT(F153:F163,S153:S163)/0.87</f>
        <v>0.17170156491079305</v>
      </c>
      <c r="G165" s="327">
        <f>SUMPRODUCT(G150:G152,S150:S152)+SUMPRODUCT(G153:G163,S153:S163)/0.87</f>
        <v>2.8542685085766795E-2</v>
      </c>
      <c r="H165" s="327">
        <f>SUMPRODUCT(H150:H152,S150:S152)+SUMPRODUCT(H153:H163,S153:S163)/0.87</f>
        <v>2.4053441798224634E-2</v>
      </c>
      <c r="I165" s="327">
        <f>SUMPRODUCT(I150:I152,S150:S152)+SUMPRODUCT(I153:I163,S153:S163)/0.87</f>
        <v>0</v>
      </c>
      <c r="J165" s="327">
        <f>SUMPRODUCT(J150:J152,S150:S152)+SUMPRODUCT(J153:J163,S153:S163)/0.87</f>
        <v>0</v>
      </c>
      <c r="K165" s="327">
        <f>SUMPRODUCT(K150:K152,S150:S152)+SUMPRODUCT(K153:K163,S153:S163)/0.87</f>
        <v>1.8361794086409984E-2</v>
      </c>
      <c r="L165" s="327">
        <f>SUMPRODUCT(L150:L152,S150:S152)+SUMPRODUCT(L153:L163,S153:S163)/0.87</f>
        <v>0</v>
      </c>
      <c r="M165" s="327">
        <f>SUMPRODUCT(M150:M152,S150:S152)+SUMPRODUCT(M153:M163,S153:S163)/0.87</f>
        <v>1.997786267100007E-2</v>
      </c>
      <c r="N165" s="327">
        <f>SUMPRODUCT(N150:N152,S150:S152)+SUMPRODUCT(N153:N163,S153:S163)/0.87</f>
        <v>7.9707627844619201E-3</v>
      </c>
      <c r="O165" s="327">
        <f>SUMPRODUCT(O150:O152,S150:S152)+SUMPRODUCT(O153:O163,S153:S163)/0.87</f>
        <v>2.6417161129046754E-2</v>
      </c>
      <c r="P165" s="327">
        <f>SUMPRODUCT(P150:P152,S150:S152)+SUMPRODUCT(P153:P163,S153:S163)/0.87</f>
        <v>2.5114743877766244E-2</v>
      </c>
      <c r="Q165" s="327">
        <f>SUMPRODUCT(Q150:Q152,S150:S152)+SUMPRODUCT(Q153:Q163,S153:S163)/0.87</f>
        <v>2.1263113478116651E-2</v>
      </c>
      <c r="R165" s="152"/>
      <c r="S165" s="152"/>
      <c r="T165" s="152"/>
      <c r="U165" s="152"/>
    </row>
    <row r="166" spans="1:21" x14ac:dyDescent="0.3">
      <c r="A166" s="328"/>
      <c r="B166" s="329" t="s">
        <v>641</v>
      </c>
      <c r="C166" s="330"/>
      <c r="D166" s="331"/>
      <c r="E166" s="331"/>
      <c r="F166" s="332">
        <f>SUMPRODUCT(F150:F152,$T150:$T152)+SUMPRODUCT(F153:F163,$T153:$T163)/0.87</f>
        <v>0.17170156491079305</v>
      </c>
      <c r="G166" s="332">
        <f t="shared" ref="G166:O166" si="48">SUMPRODUCT(G150:G152,$T150:$T152)+SUMPRODUCT(G153:G163,$T153:$T163)/0.87</f>
        <v>2.8542685085766795E-2</v>
      </c>
      <c r="H166" s="332">
        <f t="shared" si="48"/>
        <v>2.4053441798224634E-2</v>
      </c>
      <c r="I166" s="332">
        <f t="shared" si="48"/>
        <v>0</v>
      </c>
      <c r="J166" s="332">
        <f t="shared" si="48"/>
        <v>0</v>
      </c>
      <c r="K166" s="332">
        <f t="shared" si="48"/>
        <v>1.8361794086409984E-2</v>
      </c>
      <c r="L166" s="332">
        <f t="shared" si="48"/>
        <v>0</v>
      </c>
      <c r="M166" s="332">
        <f t="shared" si="48"/>
        <v>1.997786267100007E-2</v>
      </c>
      <c r="N166" s="332">
        <f t="shared" si="48"/>
        <v>7.9707627844619201E-3</v>
      </c>
      <c r="O166" s="332">
        <f t="shared" si="48"/>
        <v>2.6417161129046754E-2</v>
      </c>
      <c r="P166" s="332">
        <f>SUMPRODUCT(P150:P152,$T150:$T152)+SUMPRODUCT(P153:P163,$T153:$T163)/0.87</f>
        <v>2.5114743877766244E-2</v>
      </c>
      <c r="Q166" s="332">
        <f t="shared" ref="Q166" si="49">SUMPRODUCT(Q150:Q152,$T150:$T152)+SUMPRODUCT(Q153:Q163,$T153:$T163)/0.87</f>
        <v>2.1263113478116651E-2</v>
      </c>
      <c r="R166" s="335"/>
      <c r="S166" s="335"/>
      <c r="T166" s="335"/>
      <c r="U166" s="335"/>
    </row>
    <row r="167" spans="1:21" x14ac:dyDescent="0.3">
      <c r="A167" s="150"/>
      <c r="B167" s="23" t="s">
        <v>642</v>
      </c>
      <c r="C167" s="24"/>
      <c r="D167" s="94"/>
      <c r="E167" s="94"/>
      <c r="F167" s="327">
        <f>SUMPRODUCT(F150:F152,$U150:$U152)+SUMPRODUCT(F153:F163,$U153:$U163)/0.87</f>
        <v>0</v>
      </c>
      <c r="G167" s="327">
        <f t="shared" ref="G167:K167" si="50">SUMPRODUCT(G150:G152,$U150:$U152)+SUMPRODUCT(G153:G163,$U153:$U163)/0.87</f>
        <v>0</v>
      </c>
      <c r="H167" s="327">
        <f t="shared" si="50"/>
        <v>0</v>
      </c>
      <c r="I167" s="327">
        <f t="shared" si="50"/>
        <v>0</v>
      </c>
      <c r="J167" s="327">
        <f t="shared" si="50"/>
        <v>0</v>
      </c>
      <c r="K167" s="327">
        <f t="shared" si="50"/>
        <v>0</v>
      </c>
      <c r="L167" s="327">
        <f>SUMPRODUCT(L150:L152,$U150:$U152)+SUMPRODUCT(L153:L163,$U153:$U163)/0.87</f>
        <v>0</v>
      </c>
      <c r="M167" s="327">
        <f t="shared" ref="M167:Q167" si="51">SUMPRODUCT(M150:M152,$U150:$U152)+SUMPRODUCT(M153:M163,$U153:$U163)/0.87</f>
        <v>0</v>
      </c>
      <c r="N167" s="327">
        <f t="shared" si="51"/>
        <v>0</v>
      </c>
      <c r="O167" s="327">
        <f t="shared" si="51"/>
        <v>0</v>
      </c>
      <c r="P167" s="327">
        <f t="shared" si="51"/>
        <v>0</v>
      </c>
      <c r="Q167" s="327">
        <f t="shared" si="51"/>
        <v>0</v>
      </c>
      <c r="R167" s="152"/>
      <c r="S167" s="152"/>
      <c r="T167" s="152"/>
      <c r="U167" s="152"/>
    </row>
    <row r="168" spans="1:21" x14ac:dyDescent="0.3">
      <c r="B168" s="16" t="s">
        <v>299</v>
      </c>
      <c r="C168" s="15" t="s">
        <v>302</v>
      </c>
      <c r="D168" s="21" t="s">
        <v>57</v>
      </c>
      <c r="E168" s="21" t="s">
        <v>58</v>
      </c>
      <c r="F168" s="110">
        <f>SUM(G168:Q168)</f>
        <v>7.3790006479957662E-2</v>
      </c>
      <c r="G168" s="18">
        <f>'Forage crops, CF'!F53</f>
        <v>2.1751094263240234E-2</v>
      </c>
      <c r="H168" s="18">
        <f>'Forage crops, CF'!G53</f>
        <v>2.7E-2</v>
      </c>
      <c r="I168" s="18">
        <f>'Forage crops, CF'!H53</f>
        <v>0</v>
      </c>
      <c r="J168" s="18">
        <f>'Forage crops, CF'!I53</f>
        <v>0</v>
      </c>
      <c r="K168" s="18">
        <f>'Forage crops, CF'!J53</f>
        <v>2.1919113211738082E-2</v>
      </c>
      <c r="L168" s="18">
        <f>'Forage crops, CF'!K53</f>
        <v>0</v>
      </c>
      <c r="M168" s="18">
        <f>'Forage crops, CF'!L53</f>
        <v>3.1197990049793398E-3</v>
      </c>
      <c r="N168" s="18">
        <f>'Forage crops, CF'!M53</f>
        <v>0</v>
      </c>
      <c r="O168" s="18">
        <f>'Forage crops, CF'!N53</f>
        <v>0</v>
      </c>
      <c r="P168" s="18">
        <f>'Forage crops, CF'!O53</f>
        <v>0</v>
      </c>
      <c r="Q168" s="18">
        <f>'Forage crops, CF'!P53</f>
        <v>0</v>
      </c>
      <c r="R168" s="151">
        <f>'Parameters SH, country spec'!K15</f>
        <v>0.42695226222969923</v>
      </c>
      <c r="S168" s="151">
        <f>'Parameters SH, country spec'!K33</f>
        <v>0.42695226222969923</v>
      </c>
      <c r="T168" s="264">
        <f>'Parameters D24m, country spec'!K11</f>
        <v>0.42695226222969923</v>
      </c>
    </row>
    <row r="169" spans="1:21" x14ac:dyDescent="0.3">
      <c r="B169" s="16" t="s">
        <v>300</v>
      </c>
      <c r="C169" s="15" t="s">
        <v>302</v>
      </c>
      <c r="D169" s="21" t="s">
        <v>57</v>
      </c>
      <c r="E169" s="21" t="s">
        <v>58</v>
      </c>
      <c r="F169" s="110">
        <f>SUM(G169:Q169)</f>
        <v>0.11954794233360069</v>
      </c>
      <c r="G169" s="18">
        <f>'Forage crops, CF'!F118</f>
        <v>2.1225258539773455E-2</v>
      </c>
      <c r="H169" s="18">
        <f>'Forage crops, CF'!G118</f>
        <v>2.7E-2</v>
      </c>
      <c r="I169" s="18">
        <f>'Forage crops, CF'!H118</f>
        <v>0</v>
      </c>
      <c r="J169" s="18">
        <f>'Forage crops, CF'!I118</f>
        <v>0</v>
      </c>
      <c r="K169" s="18">
        <f>'Forage crops, CF'!J118</f>
        <v>2.150288478884789E-2</v>
      </c>
      <c r="L169" s="18">
        <f>'Forage crops, CF'!K118</f>
        <v>0</v>
      </c>
      <c r="M169" s="18">
        <f>'Forage crops, CF'!L118</f>
        <v>3.1197990049793402E-3</v>
      </c>
      <c r="N169" s="18">
        <f>'Forage crops, CF'!M118</f>
        <v>0</v>
      </c>
      <c r="O169" s="18">
        <f>'Forage crops, CF'!N118</f>
        <v>0</v>
      </c>
      <c r="P169" s="18">
        <f>'Forage crops, CF'!O118</f>
        <v>4.6700000000000005E-2</v>
      </c>
      <c r="Q169" s="18">
        <f>'Forage crops, CF'!P118</f>
        <v>0</v>
      </c>
      <c r="R169" s="151">
        <f>'Parameters SH, country spec'!K16</f>
        <v>8.4238508213965613E-2</v>
      </c>
      <c r="S169" s="151">
        <f>'Parameters SH, country spec'!K34</f>
        <v>8.4238508213965613E-2</v>
      </c>
      <c r="T169" s="264">
        <f>'Parameters D24m, country spec'!K12</f>
        <v>8.4238508213965613E-2</v>
      </c>
    </row>
    <row r="170" spans="1:21" x14ac:dyDescent="0.3">
      <c r="B170" s="16" t="s">
        <v>301</v>
      </c>
      <c r="C170" s="15" t="s">
        <v>302</v>
      </c>
      <c r="D170" s="21" t="s">
        <v>57</v>
      </c>
      <c r="E170" s="21" t="s">
        <v>58</v>
      </c>
      <c r="F170" s="110">
        <f>SUM(G170:Q170)</f>
        <v>0.10602880923845312</v>
      </c>
      <c r="G170" s="18">
        <f>'Forage crops, CF'!F183*'Forage, input data per ha'!$D$87+'Forage crops, CF'!F248*'Forage, input data per ha'!$E$87</f>
        <v>1.134336712888854E-2</v>
      </c>
      <c r="H170" s="18">
        <f>'Forage crops, CF'!G183*'Forage, input data per ha'!$D$87+'Forage crops, CF'!G248*'Forage, input data per ha'!$E$87</f>
        <v>2.7E-2</v>
      </c>
      <c r="I170" s="18">
        <f>'Forage crops, CF'!H183*'Forage, input data per ha'!$D$87+'Forage crops, CF'!H248*'Forage, input data per ha'!$E$87</f>
        <v>0</v>
      </c>
      <c r="J170" s="18">
        <f>'Forage crops, CF'!I183*'Forage, input data per ha'!$D$87+'Forage crops, CF'!I248*'Forage, input data per ha'!$E$87</f>
        <v>0</v>
      </c>
      <c r="K170" s="18">
        <f>'Forage crops, CF'!J183*'Forage, input data per ha'!$D$87+'Forage crops, CF'!J248*'Forage, input data per ha'!$E$87</f>
        <v>1.7865643104585233E-2</v>
      </c>
      <c r="L170" s="18">
        <f>'Forage crops, CF'!K183*'Forage, input data per ha'!$D$87+'Forage crops, CF'!K248*'Forage, input data per ha'!$E$87</f>
        <v>0</v>
      </c>
      <c r="M170" s="18">
        <f>'Forage crops, CF'!L183*'Forage, input data per ha'!$D$87+'Forage crops, CF'!L248*'Forage, input data per ha'!$E$87</f>
        <v>3.1197990049793402E-3</v>
      </c>
      <c r="N170" s="18">
        <f>'Forage crops, CF'!M183*'Forage, input data per ha'!$D$87+'Forage crops, CF'!M248*'Forage, input data per ha'!$E$87</f>
        <v>0</v>
      </c>
      <c r="O170" s="18">
        <f>'Forage crops, CF'!N183*'Forage, input data per ha'!$D$87+'Forage crops, CF'!N248*'Forage, input data per ha'!$E$87</f>
        <v>0</v>
      </c>
      <c r="P170" s="18">
        <f>'Forage crops, CF'!O183*'Forage, input data per ha'!$D$87+'Forage crops, CF'!O248*'Forage, input data per ha'!$E$87</f>
        <v>4.6700000000000005E-2</v>
      </c>
      <c r="Q170" s="18">
        <f>'Forage crops, CF'!P183*'Forage, input data per ha'!$D$87+'Forage crops, CF'!P248*'Forage, input data per ha'!$E$87</f>
        <v>0</v>
      </c>
      <c r="R170" s="151">
        <f>'Parameters SH, country spec'!K17</f>
        <v>6.2955748563960065E-2</v>
      </c>
      <c r="S170" s="151">
        <f>'Parameters SH, country spec'!K35</f>
        <v>6.2955748563960065E-2</v>
      </c>
      <c r="T170" s="264">
        <f>'Parameters D24m, country spec'!K13</f>
        <v>6.2955748563960065E-2</v>
      </c>
    </row>
    <row r="171" spans="1:21" x14ac:dyDescent="0.3">
      <c r="A171" s="20" t="s">
        <v>231</v>
      </c>
      <c r="B171" s="15" t="s">
        <v>113</v>
      </c>
      <c r="C171" s="15" t="s">
        <v>232</v>
      </c>
      <c r="D171" s="21" t="s">
        <v>57</v>
      </c>
      <c r="E171" s="21" t="s">
        <v>58</v>
      </c>
      <c r="F171" s="110">
        <f>SUM(G171:Q171)</f>
        <v>0.127</v>
      </c>
      <c r="G171" s="72">
        <v>0</v>
      </c>
      <c r="H171" s="12">
        <v>2.7E-2</v>
      </c>
      <c r="I171" s="14">
        <v>0</v>
      </c>
      <c r="J171" s="12"/>
      <c r="K171" s="72">
        <v>5.6000000000000001E-2</v>
      </c>
      <c r="L171" s="12"/>
      <c r="M171" s="12">
        <v>6.0000000000000001E-3</v>
      </c>
      <c r="N171" s="72">
        <v>3.7999999999999999E-2</v>
      </c>
      <c r="O171" s="12"/>
      <c r="P171" s="12"/>
      <c r="R171" s="151">
        <f>'Parameters SH, country spec'!K18</f>
        <v>7.4482644340220033E-2</v>
      </c>
      <c r="S171" s="151">
        <f>'Parameters SH, country spec'!K36</f>
        <v>7.4482644340220033E-2</v>
      </c>
      <c r="T171" s="264">
        <f>'Parameters D24m, country spec'!K14</f>
        <v>7.4482644340220033E-2</v>
      </c>
    </row>
    <row r="172" spans="1:21" x14ac:dyDescent="0.3">
      <c r="A172" s="20" t="s">
        <v>233</v>
      </c>
      <c r="B172" s="15" t="s">
        <v>114</v>
      </c>
      <c r="C172" s="15" t="s">
        <v>232</v>
      </c>
      <c r="D172" s="21" t="s">
        <v>57</v>
      </c>
      <c r="E172" s="21" t="s">
        <v>58</v>
      </c>
      <c r="F172" s="110">
        <f t="shared" ref="F172:F181" si="52">SUM(G172:Q172)</f>
        <v>9.8000000000000004E-2</v>
      </c>
      <c r="G172" s="72">
        <v>0</v>
      </c>
      <c r="H172" s="12">
        <v>2.7E-2</v>
      </c>
      <c r="I172" s="14">
        <v>0</v>
      </c>
      <c r="J172" s="12"/>
      <c r="K172" s="72">
        <v>1.4999999999999999E-2</v>
      </c>
      <c r="L172" s="12"/>
      <c r="M172" s="12">
        <v>1.7999999999999999E-2</v>
      </c>
      <c r="N172" s="72">
        <v>3.7999999999999999E-2</v>
      </c>
      <c r="O172" s="12"/>
      <c r="P172" s="12"/>
      <c r="R172" s="151">
        <f>'Parameters SH, country spec'!K19</f>
        <v>9.8235935846622865E-2</v>
      </c>
      <c r="S172" s="151">
        <f>'Parameters SH, country spec'!K37</f>
        <v>9.8235935846622865E-2</v>
      </c>
      <c r="T172" s="264">
        <f>'Parameters D24m, country spec'!K15</f>
        <v>9.8235935846622865E-2</v>
      </c>
    </row>
    <row r="173" spans="1:21" x14ac:dyDescent="0.3">
      <c r="A173" s="20" t="s">
        <v>234</v>
      </c>
      <c r="B173" s="15" t="s">
        <v>115</v>
      </c>
      <c r="C173" s="15" t="s">
        <v>232</v>
      </c>
      <c r="D173" s="21" t="s">
        <v>57</v>
      </c>
      <c r="E173" s="21" t="s">
        <v>58</v>
      </c>
      <c r="F173" s="110">
        <f t="shared" si="52"/>
        <v>0.23300000000000001</v>
      </c>
      <c r="G173" s="72">
        <v>0</v>
      </c>
      <c r="H173" s="12">
        <v>2.7E-2</v>
      </c>
      <c r="I173" s="14">
        <v>0</v>
      </c>
      <c r="J173" s="12"/>
      <c r="K173" s="72">
        <v>8.2000000000000003E-2</v>
      </c>
      <c r="L173" s="12"/>
      <c r="M173" s="12">
        <v>8.5999999999999993E-2</v>
      </c>
      <c r="N173" s="72">
        <v>3.7999999999999999E-2</v>
      </c>
      <c r="O173" s="12"/>
      <c r="P173" s="12"/>
      <c r="R173" s="151">
        <f>'Parameters SH, country spec'!K20</f>
        <v>1.1613149284971752E-2</v>
      </c>
      <c r="S173" s="151">
        <f>'Parameters SH, country spec'!K38</f>
        <v>1.1613149284971752E-2</v>
      </c>
      <c r="T173" s="264">
        <f>'Parameters D24m, country spec'!K16</f>
        <v>1.1613149284971752E-2</v>
      </c>
    </row>
    <row r="174" spans="1:21" x14ac:dyDescent="0.3">
      <c r="A174" s="20" t="s">
        <v>235</v>
      </c>
      <c r="B174" s="15" t="s">
        <v>116</v>
      </c>
      <c r="C174" s="15" t="s">
        <v>232</v>
      </c>
      <c r="D174" s="21" t="s">
        <v>57</v>
      </c>
      <c r="E174" s="21" t="s">
        <v>58</v>
      </c>
      <c r="F174" s="110">
        <f t="shared" si="52"/>
        <v>0.14299999999999999</v>
      </c>
      <c r="G174" s="72">
        <v>0</v>
      </c>
      <c r="H174" s="12">
        <v>2.7E-2</v>
      </c>
      <c r="I174" s="12">
        <v>0</v>
      </c>
      <c r="J174" s="12"/>
      <c r="K174" s="72">
        <v>7.8E-2</v>
      </c>
      <c r="L174" s="12"/>
      <c r="M174" s="12">
        <v>0</v>
      </c>
      <c r="N174" s="72">
        <v>3.7999999999999999E-2</v>
      </c>
      <c r="O174" s="12"/>
      <c r="P174" s="12"/>
      <c r="R174" s="151">
        <f>'Parameters SH, country spec'!K21</f>
        <v>3.0653721191027461E-3</v>
      </c>
      <c r="S174" s="151">
        <f>'Parameters SH, country spec'!K39</f>
        <v>3.0653721191027461E-3</v>
      </c>
      <c r="T174" s="264">
        <f>'Parameters D24m, country spec'!K17</f>
        <v>3.0653721191027461E-3</v>
      </c>
    </row>
    <row r="175" spans="1:21" x14ac:dyDescent="0.3">
      <c r="A175" s="20" t="s">
        <v>236</v>
      </c>
      <c r="B175" s="15" t="s">
        <v>117</v>
      </c>
      <c r="C175" s="15" t="s">
        <v>232</v>
      </c>
      <c r="D175" s="21" t="s">
        <v>57</v>
      </c>
      <c r="E175" s="21" t="s">
        <v>58</v>
      </c>
      <c r="F175" s="110">
        <f t="shared" si="52"/>
        <v>0.121</v>
      </c>
      <c r="G175" s="72">
        <v>0</v>
      </c>
      <c r="H175" s="12">
        <v>2.7E-2</v>
      </c>
      <c r="I175" s="12">
        <v>0</v>
      </c>
      <c r="J175" s="12"/>
      <c r="K175" s="72">
        <v>5.2999999999999999E-2</v>
      </c>
      <c r="L175" s="12"/>
      <c r="M175" s="12">
        <v>3.0000000000000001E-3</v>
      </c>
      <c r="N175" s="72">
        <v>3.7999999999999999E-2</v>
      </c>
      <c r="O175" s="12"/>
      <c r="P175" s="12"/>
      <c r="R175" s="151">
        <f>'Parameters SH, country spec'!K22</f>
        <v>6.309442770624088E-2</v>
      </c>
      <c r="S175" s="151">
        <f>'Parameters SH, country spec'!K40</f>
        <v>6.309442770624088E-2</v>
      </c>
      <c r="T175" s="264">
        <f>'Parameters D24m, country spec'!K18</f>
        <v>6.309442770624088E-2</v>
      </c>
    </row>
    <row r="176" spans="1:21" x14ac:dyDescent="0.3">
      <c r="A176" s="20" t="s">
        <v>237</v>
      </c>
      <c r="B176" s="15" t="s">
        <v>118</v>
      </c>
      <c r="C176" s="15" t="s">
        <v>238</v>
      </c>
      <c r="D176" s="21" t="s">
        <v>57</v>
      </c>
      <c r="E176" s="21" t="s">
        <v>58</v>
      </c>
      <c r="F176" s="110">
        <f t="shared" si="52"/>
        <v>0.17900000000000002</v>
      </c>
      <c r="G176" s="72">
        <v>0</v>
      </c>
      <c r="H176" s="12">
        <v>2.7E-2</v>
      </c>
      <c r="I176" s="14">
        <v>0</v>
      </c>
      <c r="J176" s="12"/>
      <c r="K176" s="72">
        <v>0.113</v>
      </c>
      <c r="L176" s="14"/>
      <c r="M176" s="12">
        <v>1E-3</v>
      </c>
      <c r="N176" s="72">
        <v>3.7999999999999999E-2</v>
      </c>
      <c r="O176" s="12"/>
      <c r="P176" s="12"/>
      <c r="R176" s="151">
        <f>'Parameters SH, country spec'!K23</f>
        <v>2.7198099192756071E-3</v>
      </c>
      <c r="S176" s="151">
        <f>'Parameters SH, country spec'!K41</f>
        <v>2.7198099192756071E-3</v>
      </c>
      <c r="T176" s="264">
        <f>'Parameters D24m, country spec'!K19</f>
        <v>2.7198099192756071E-3</v>
      </c>
    </row>
    <row r="177" spans="1:21" x14ac:dyDescent="0.3">
      <c r="A177" s="20" t="s">
        <v>239</v>
      </c>
      <c r="B177" s="15" t="s">
        <v>119</v>
      </c>
      <c r="C177" s="15" t="s">
        <v>238</v>
      </c>
      <c r="D177" s="21" t="s">
        <v>57</v>
      </c>
      <c r="E177" s="21" t="s">
        <v>58</v>
      </c>
      <c r="F177" s="110">
        <f t="shared" si="52"/>
        <v>0.21199999999999999</v>
      </c>
      <c r="G177" s="72">
        <v>0</v>
      </c>
      <c r="H177" s="12">
        <v>2.7E-2</v>
      </c>
      <c r="I177" s="14">
        <v>0</v>
      </c>
      <c r="J177" s="12"/>
      <c r="K177" s="72">
        <v>0.13100000000000001</v>
      </c>
      <c r="L177" s="12"/>
      <c r="M177" s="12">
        <v>1.6E-2</v>
      </c>
      <c r="N177" s="72">
        <v>3.7999999999999999E-2</v>
      </c>
      <c r="O177" s="12"/>
      <c r="P177" s="12"/>
      <c r="R177" s="151">
        <f>'Parameters SH, country spec'!K24</f>
        <v>2.67174962512282E-3</v>
      </c>
      <c r="S177" s="151">
        <f>'Parameters SH, country spec'!K42</f>
        <v>2.67174962512282E-3</v>
      </c>
      <c r="T177" s="264">
        <f>'Parameters D24m, country spec'!K20</f>
        <v>2.67174962512282E-3</v>
      </c>
    </row>
    <row r="178" spans="1:21" x14ac:dyDescent="0.3">
      <c r="B178" s="16" t="s">
        <v>120</v>
      </c>
      <c r="C178" s="15" t="s">
        <v>240</v>
      </c>
      <c r="D178" s="21" t="s">
        <v>57</v>
      </c>
      <c r="E178" s="21" t="s">
        <v>58</v>
      </c>
      <c r="F178" s="110">
        <f t="shared" si="52"/>
        <v>0.27628755742228495</v>
      </c>
      <c r="G178" s="18">
        <f>'Off-farm feed'!$F$74</f>
        <v>0.15910156565543246</v>
      </c>
      <c r="H178" s="18">
        <f>'Off-farm feed'!$G$74</f>
        <v>1.3034482758620692E-2</v>
      </c>
      <c r="I178" s="18">
        <f>'Off-farm feed'!$H$74</f>
        <v>0</v>
      </c>
      <c r="J178" s="18"/>
      <c r="K178" s="18">
        <f>'Off-farm feed'!$J$74</f>
        <v>2.4688740026345454E-2</v>
      </c>
      <c r="L178" s="18"/>
      <c r="M178" s="294">
        <f>'Off-farm feed'!$L$74</f>
        <v>1.931759303794134E-4</v>
      </c>
      <c r="N178" s="18">
        <f>'Off-farm feed'!$M$74</f>
        <v>3.6802128767029069E-2</v>
      </c>
      <c r="O178" s="18">
        <f>'Off-farm feed'!$N$74</f>
        <v>0</v>
      </c>
      <c r="P178" s="18">
        <f>'Off-farm feed'!$O$74</f>
        <v>2.6267464284477883E-2</v>
      </c>
      <c r="Q178" s="18">
        <f>'Off-farm feed'!$P$74</f>
        <v>1.6199999999999999E-2</v>
      </c>
      <c r="R178" s="151">
        <f>'Parameters SH, country spec'!K25</f>
        <v>7.8768273776592904E-3</v>
      </c>
      <c r="S178" s="151">
        <f>'Parameters SH, country spec'!K43</f>
        <v>7.8768273776592904E-3</v>
      </c>
      <c r="T178" s="264">
        <f>'Parameters D24m, country spec'!K21</f>
        <v>7.8768273776592904E-3</v>
      </c>
    </row>
    <row r="179" spans="1:21" x14ac:dyDescent="0.3">
      <c r="B179" s="16" t="s">
        <v>241</v>
      </c>
      <c r="C179" s="15" t="s">
        <v>240</v>
      </c>
      <c r="D179" s="21" t="s">
        <v>57</v>
      </c>
      <c r="E179" s="21" t="s">
        <v>58</v>
      </c>
      <c r="F179" s="110">
        <f t="shared" si="52"/>
        <v>0.7061171705997602</v>
      </c>
      <c r="G179" s="18">
        <f>'Off-farm feed'!$F$23</f>
        <v>7.2632670993098931E-3</v>
      </c>
      <c r="H179" s="18">
        <f>'Off-farm feed'!$G$23</f>
        <v>2.1402439024390246E-2</v>
      </c>
      <c r="I179" s="18">
        <f>'Off-farm feed'!$H$23</f>
        <v>0</v>
      </c>
      <c r="J179" s="18"/>
      <c r="K179" s="18">
        <f>'Off-farm feed'!$J$23</f>
        <v>4.308361966433235E-2</v>
      </c>
      <c r="L179" s="18"/>
      <c r="M179" s="294">
        <f>'Off-farm feed'!$L$23</f>
        <v>1.7842060425123844E-4</v>
      </c>
      <c r="N179" s="18">
        <f>'Off-farm feed'!$M$23</f>
        <v>3.0432604948959403E-2</v>
      </c>
      <c r="O179" s="18">
        <f>'Off-farm feed'!$N$23</f>
        <v>0.31761120248475611</v>
      </c>
      <c r="P179" s="18">
        <f>'Off-farm feed'!$O$23</f>
        <v>3.5145616773760872E-2</v>
      </c>
      <c r="Q179" s="18">
        <f>'Off-farm feed'!$P$23</f>
        <v>0.251</v>
      </c>
      <c r="R179" s="151">
        <f>'Parameters SH, country spec'!K26</f>
        <v>6.7333865050956468E-2</v>
      </c>
      <c r="S179" s="151">
        <f>'Parameters SH, country spec'!K44</f>
        <v>6.7333865050956468E-2</v>
      </c>
      <c r="T179" s="264">
        <f>'Parameters D24m, country spec'!K22</f>
        <v>6.7333865050956468E-2</v>
      </c>
    </row>
    <row r="180" spans="1:21" x14ac:dyDescent="0.3">
      <c r="B180" s="15" t="s">
        <v>122</v>
      </c>
      <c r="C180" s="15" t="s">
        <v>242</v>
      </c>
      <c r="D180" s="21" t="s">
        <v>57</v>
      </c>
      <c r="E180" s="21" t="s">
        <v>58</v>
      </c>
      <c r="F180" s="110"/>
      <c r="G180" s="98"/>
      <c r="H180" s="6"/>
      <c r="I180" s="97"/>
      <c r="J180" s="6"/>
      <c r="K180" s="98"/>
      <c r="L180" s="6"/>
      <c r="M180" s="6"/>
      <c r="N180" s="98"/>
      <c r="O180" s="6"/>
      <c r="P180" s="6"/>
      <c r="Q180" s="6"/>
      <c r="R180" s="151">
        <f>'Parameters SH, country spec'!K27</f>
        <v>6.255642502619195E-2</v>
      </c>
      <c r="S180" s="151">
        <f>'Parameters SH, country spec'!K45</f>
        <v>6.255642502619195E-2</v>
      </c>
      <c r="T180" s="264">
        <f>'Parameters D24m, country spec'!K23</f>
        <v>6.255642502619195E-2</v>
      </c>
    </row>
    <row r="181" spans="1:21" x14ac:dyDescent="0.3">
      <c r="A181" s="75"/>
      <c r="B181" s="15" t="s">
        <v>243</v>
      </c>
      <c r="C181" s="76" t="s">
        <v>244</v>
      </c>
      <c r="D181" s="21" t="s">
        <v>57</v>
      </c>
      <c r="E181" s="21" t="s">
        <v>58</v>
      </c>
      <c r="F181" s="110">
        <f t="shared" si="52"/>
        <v>8.0640179860876529E-2</v>
      </c>
      <c r="G181" s="73">
        <f>SUMPRODUCT(G171:G179,$R171:$R179)</f>
        <v>1.7422794148771517E-3</v>
      </c>
      <c r="H181" s="73">
        <f t="shared" ref="H181:P181" si="53">SUMPRODUCT(H171:H179,$R171:$R179)</f>
        <v>8.4526227103983789E-3</v>
      </c>
      <c r="I181" s="73">
        <f t="shared" si="53"/>
        <v>0</v>
      </c>
      <c r="J181" s="73">
        <f t="shared" si="53"/>
        <v>0</v>
      </c>
      <c r="K181" s="73">
        <f>SUMPRODUCT(K171:K179,$R171:$R179)</f>
        <v>1.3932742353353681E-2</v>
      </c>
      <c r="L181" s="73">
        <f t="shared" si="53"/>
        <v>0</v>
      </c>
      <c r="M181" s="73">
        <f t="shared" si="53"/>
        <v>3.462159999174146E-3</v>
      </c>
      <c r="N181" s="73">
        <f t="shared" si="53"/>
        <v>1.2062586306189733E-2</v>
      </c>
      <c r="O181" s="73">
        <f t="shared" si="53"/>
        <v>2.1385989846780577E-2</v>
      </c>
      <c r="P181" s="73">
        <f t="shared" si="53"/>
        <v>2.5733944987947096E-3</v>
      </c>
      <c r="Q181" s="73">
        <f>SUMPRODUCT(Q171:Q179,$R171:$R179)</f>
        <v>1.7028404731308153E-2</v>
      </c>
      <c r="R181" s="151">
        <f>'Parameters SH, country spec'!K28</f>
        <v>3.220327469601051E-2</v>
      </c>
      <c r="S181" s="151">
        <f>'Parameters SH, country spec'!K46</f>
        <v>3.220327469601051E-2</v>
      </c>
      <c r="T181" s="264">
        <f>'Parameters D24m, country spec'!K24</f>
        <v>3.220327469601051E-2</v>
      </c>
    </row>
    <row r="182" spans="1:21" x14ac:dyDescent="0.3">
      <c r="A182" s="328"/>
      <c r="B182" s="329" t="s">
        <v>616</v>
      </c>
      <c r="C182" s="330"/>
      <c r="D182" s="331"/>
      <c r="E182" s="331"/>
      <c r="F182" s="332">
        <f>SUMPRODUCT(F168:F170,R168:R170)+SUMPRODUCT(F171:F181,R171:R181)/0.87</f>
        <v>0.14392525256739197</v>
      </c>
      <c r="G182" s="332">
        <f>SUMPRODUCT(G168:G170,R168:R170)+SUMPRODUCT(G171:G181,R171:R181)/0.87</f>
        <v>1.3855904125965678E-2</v>
      </c>
      <c r="H182" s="332">
        <f>SUMPRODUCT(H168:H170,R168:R170)+SUMPRODUCT(H171:H181,R171:R181)/0.87</f>
        <v>2.5530490313715154E-2</v>
      </c>
      <c r="I182" s="332">
        <f>SUMPRODUCT(I168:I170,R168:R170)+SUMPRODUCT(I171:I181,R171:R181)/0.87</f>
        <v>0</v>
      </c>
      <c r="J182" s="332">
        <f>SUMPRODUCT(J168:J170,R168:R170)+SUMPRODUCT(J171:J181,R171:R181)/0.87</f>
        <v>0</v>
      </c>
      <c r="K182" s="332">
        <f>SUMPRODUCT(K168:K170,R168:R170)+SUMPRODUCT(K171:K181,R171:R181)/0.87</f>
        <v>2.8824901283757188E-2</v>
      </c>
      <c r="L182" s="332">
        <f>SUMPRODUCT(L168:L170,R168:R170)+SUMPRODUCT(L171:L181,R171:R181)/0.87</f>
        <v>0</v>
      </c>
      <c r="M182" s="332">
        <f>SUMPRODUCT(M168:M170,R168:R170)+SUMPRODUCT(M171:M181,R171:R181)/0.87</f>
        <v>5.8988687371825587E-3</v>
      </c>
      <c r="N182" s="332">
        <f>SUMPRODUCT(N168:N170,R168:R170)+SUMPRODUCT(N171:N181,R171:R181)/0.87</f>
        <v>1.4311541478795743E-2</v>
      </c>
      <c r="O182" s="332">
        <f>SUMPRODUCT(O168:O170,R168:R170)+SUMPRODUCT(O171:O181,R171:R181)/0.87</f>
        <v>2.5373205462600627E-2</v>
      </c>
      <c r="P182" s="332">
        <f>SUMPRODUCT(P168:P170,R168:R170)+SUMPRODUCT(P171:P181,R171:R181)/0.87</f>
        <v>9.9271513647941848E-3</v>
      </c>
      <c r="Q182" s="332">
        <f>SUMPRODUCT(Q168:Q170,R168:R170)+SUMPRODUCT(Q171:Q181,R171:R181)/0.87</f>
        <v>2.0203189800580824E-2</v>
      </c>
      <c r="R182" s="335"/>
      <c r="S182" s="336"/>
      <c r="T182" s="336"/>
      <c r="U182" s="336"/>
    </row>
    <row r="183" spans="1:21" x14ac:dyDescent="0.3">
      <c r="A183" s="150"/>
      <c r="B183" s="23" t="s">
        <v>457</v>
      </c>
      <c r="C183" s="24"/>
      <c r="D183" s="94"/>
      <c r="E183" s="94"/>
      <c r="F183" s="327">
        <f>SUMPRODUCT(F168:F170,S168:S170)+SUMPRODUCT(F171:F181,S171:S181)/0.87</f>
        <v>0.14392525256739197</v>
      </c>
      <c r="G183" s="327">
        <f>SUMPRODUCT(G168:G170,S168:S170)+SUMPRODUCT(G171:G181,S171:S181)/0.87</f>
        <v>1.3855904125965678E-2</v>
      </c>
      <c r="H183" s="327">
        <f>SUMPRODUCT(H168:H170,S168:S170)+SUMPRODUCT(H171:H181,S171:S181)/0.87</f>
        <v>2.5530490313715154E-2</v>
      </c>
      <c r="I183" s="327">
        <f>SUMPRODUCT(I168:I170,S168:S170)+SUMPRODUCT(I171:I181,S171:S181)/0.87</f>
        <v>0</v>
      </c>
      <c r="J183" s="327">
        <f>SUMPRODUCT(J168:J170,S168:S170)+SUMPRODUCT(J171:J181,S171:S181)/0.87</f>
        <v>0</v>
      </c>
      <c r="K183" s="327">
        <f>SUMPRODUCT(K168:K170,S168:S170)+SUMPRODUCT(K171:K181,S171:S181)/0.87</f>
        <v>2.8824901283757188E-2</v>
      </c>
      <c r="L183" s="327">
        <f>SUMPRODUCT(L168:L170,S168:S170)+SUMPRODUCT(L171:L181,S171:S181)/0.87</f>
        <v>0</v>
      </c>
      <c r="M183" s="327">
        <f>SUMPRODUCT(M168:M170,S168:S170)+SUMPRODUCT(M171:M181,S171:S181)/0.87</f>
        <v>5.8988687371825587E-3</v>
      </c>
      <c r="N183" s="327">
        <f>SUMPRODUCT(N168:N170,S168:S170)+SUMPRODUCT(N171:N181,S171:S181)/0.87</f>
        <v>1.4311541478795743E-2</v>
      </c>
      <c r="O183" s="327">
        <f>SUMPRODUCT(O168:O170,S168:S170)+SUMPRODUCT(O171:O181,S171:S181)/0.87</f>
        <v>2.5373205462600627E-2</v>
      </c>
      <c r="P183" s="327">
        <f>SUMPRODUCT(P168:P170,S168:S170)+SUMPRODUCT(P171:P181,S171:S181)/0.87</f>
        <v>9.9271513647941848E-3</v>
      </c>
      <c r="Q183" s="327">
        <f>SUMPRODUCT(Q168:Q170,S168:S170)+SUMPRODUCT(Q171:Q181,S171:S181)/0.87</f>
        <v>2.0203189800580824E-2</v>
      </c>
      <c r="R183" s="152"/>
      <c r="S183" s="152"/>
      <c r="T183" s="152"/>
      <c r="U183" s="152"/>
    </row>
    <row r="184" spans="1:21" x14ac:dyDescent="0.3">
      <c r="A184" s="328"/>
      <c r="B184" s="329" t="s">
        <v>641</v>
      </c>
      <c r="C184" s="330"/>
      <c r="D184" s="331"/>
      <c r="E184" s="331"/>
      <c r="F184" s="332">
        <f>SUMPRODUCT(F168:F170,$T168:$T170)+SUMPRODUCT(F171:F181,$T171:$T181)/0.87</f>
        <v>0.14392525256739197</v>
      </c>
      <c r="G184" s="332">
        <f t="shared" ref="G184:O184" si="54">SUMPRODUCT(G168:G170,$T168:$T170)+SUMPRODUCT(G171:G181,$T171:$T181)/0.87</f>
        <v>1.3855904125965678E-2</v>
      </c>
      <c r="H184" s="332">
        <f t="shared" si="54"/>
        <v>2.5530490313715154E-2</v>
      </c>
      <c r="I184" s="332">
        <f t="shared" si="54"/>
        <v>0</v>
      </c>
      <c r="J184" s="332">
        <f t="shared" si="54"/>
        <v>0</v>
      </c>
      <c r="K184" s="332">
        <f t="shared" si="54"/>
        <v>2.8824901283757188E-2</v>
      </c>
      <c r="L184" s="332">
        <f t="shared" si="54"/>
        <v>0</v>
      </c>
      <c r="M184" s="332">
        <f t="shared" si="54"/>
        <v>5.8988687371825587E-3</v>
      </c>
      <c r="N184" s="332">
        <f t="shared" si="54"/>
        <v>1.4311541478795743E-2</v>
      </c>
      <c r="O184" s="332">
        <f t="shared" si="54"/>
        <v>2.5373205462600627E-2</v>
      </c>
      <c r="P184" s="332">
        <f>SUMPRODUCT(P168:P170,$T168:$T170)+SUMPRODUCT(P171:P181,$T171:$T181)/0.87</f>
        <v>9.9271513647941848E-3</v>
      </c>
      <c r="Q184" s="332">
        <f t="shared" ref="Q184" si="55">SUMPRODUCT(Q168:Q170,$T168:$T170)+SUMPRODUCT(Q171:Q181,$T171:$T181)/0.87</f>
        <v>2.0203189800580824E-2</v>
      </c>
      <c r="R184" s="335"/>
      <c r="S184" s="335"/>
      <c r="T184" s="335"/>
      <c r="U184" s="335"/>
    </row>
    <row r="185" spans="1:21" x14ac:dyDescent="0.3">
      <c r="A185" s="150"/>
      <c r="B185" s="23" t="s">
        <v>642</v>
      </c>
      <c r="C185" s="24"/>
      <c r="D185" s="94"/>
      <c r="E185" s="94"/>
      <c r="F185" s="327">
        <f>SUMPRODUCT(F168:F170,$U168:$U170)+SUMPRODUCT(F171:F181,$U171:$U181)/0.87</f>
        <v>0</v>
      </c>
      <c r="G185" s="327">
        <f t="shared" ref="G185:K185" si="56">SUMPRODUCT(G168:G170,$U168:$U170)+SUMPRODUCT(G171:G181,$U171:$U181)/0.87</f>
        <v>0</v>
      </c>
      <c r="H185" s="327">
        <f t="shared" si="56"/>
        <v>0</v>
      </c>
      <c r="I185" s="327">
        <f t="shared" si="56"/>
        <v>0</v>
      </c>
      <c r="J185" s="327">
        <f t="shared" si="56"/>
        <v>0</v>
      </c>
      <c r="K185" s="327">
        <f t="shared" si="56"/>
        <v>0</v>
      </c>
      <c r="L185" s="327">
        <f>SUMPRODUCT(L168:L170,$U168:$U170)+SUMPRODUCT(L171:L181,$U171:$U181)/0.87</f>
        <v>0</v>
      </c>
      <c r="M185" s="327">
        <f t="shared" ref="M185:Q185" si="57">SUMPRODUCT(M168:M170,$U168:$U170)+SUMPRODUCT(M171:M181,$U171:$U181)/0.87</f>
        <v>0</v>
      </c>
      <c r="N185" s="327">
        <f t="shared" si="57"/>
        <v>0</v>
      </c>
      <c r="O185" s="327">
        <f t="shared" si="57"/>
        <v>0</v>
      </c>
      <c r="P185" s="327">
        <f t="shared" si="57"/>
        <v>0</v>
      </c>
      <c r="Q185" s="327">
        <f t="shared" si="57"/>
        <v>0</v>
      </c>
      <c r="R185" s="152"/>
      <c r="S185" s="152"/>
      <c r="T185" s="152"/>
      <c r="U185" s="152"/>
    </row>
    <row r="186" spans="1:21" x14ac:dyDescent="0.3">
      <c r="B186" s="16" t="s">
        <v>299</v>
      </c>
      <c r="C186" s="15" t="s">
        <v>302</v>
      </c>
      <c r="D186" s="21" t="s">
        <v>59</v>
      </c>
      <c r="E186" s="21" t="s">
        <v>60</v>
      </c>
      <c r="F186" s="110">
        <f>SUM(G186:Q186)</f>
        <v>6.0039825186889023E-2</v>
      </c>
      <c r="G186" s="18">
        <f>'Forage crops, CF'!F58</f>
        <v>0</v>
      </c>
      <c r="H186" s="18">
        <f>'Forage crops, CF'!G58</f>
        <v>2.7E-2</v>
      </c>
      <c r="I186" s="18">
        <f>'Forage crops, CF'!H58</f>
        <v>0</v>
      </c>
      <c r="J186" s="18">
        <f>'Forage crops, CF'!I58</f>
        <v>0</v>
      </c>
      <c r="K186" s="18">
        <f>'Forage crops, CF'!J58</f>
        <v>3.303982518688902E-2</v>
      </c>
      <c r="L186" s="18">
        <f>'Forage crops, CF'!K58</f>
        <v>0</v>
      </c>
      <c r="M186" s="18">
        <f>'Forage crops, CF'!L58</f>
        <v>0</v>
      </c>
      <c r="N186" s="18">
        <f>'Forage crops, CF'!M58</f>
        <v>0</v>
      </c>
      <c r="O186" s="18">
        <f>'Forage crops, CF'!N58</f>
        <v>0</v>
      </c>
      <c r="P186" s="18">
        <f>'Forage crops, CF'!O58</f>
        <v>0</v>
      </c>
      <c r="Q186" s="18">
        <f>'Forage crops, CF'!P58</f>
        <v>0</v>
      </c>
      <c r="R186" s="151">
        <f>'Parameters SH, country spec'!L15</f>
        <v>0.51738911290322576</v>
      </c>
      <c r="S186" s="151">
        <f>'Parameters SH, country spec'!L33</f>
        <v>0.2708957255649333</v>
      </c>
      <c r="T186" s="264">
        <f>'Parameters D24m, country spec'!L11</f>
        <v>0.35361702127659567</v>
      </c>
    </row>
    <row r="187" spans="1:21" x14ac:dyDescent="0.3">
      <c r="B187" s="16" t="s">
        <v>300</v>
      </c>
      <c r="C187" s="15" t="s">
        <v>302</v>
      </c>
      <c r="D187" s="21" t="s">
        <v>59</v>
      </c>
      <c r="E187" s="21" t="s">
        <v>60</v>
      </c>
      <c r="F187" s="318">
        <f>SUM(G187:Q187)</f>
        <v>0.11295481232387967</v>
      </c>
      <c r="G187" s="18">
        <f>'Forage crops, CF'!F123</f>
        <v>2.0076143571985575E-2</v>
      </c>
      <c r="H187" s="18">
        <f>'Forage crops, CF'!G123</f>
        <v>2.7E-2</v>
      </c>
      <c r="I187" s="18">
        <f>'Forage crops, CF'!H123</f>
        <v>0</v>
      </c>
      <c r="J187" s="18">
        <f>'Forage crops, CF'!I123</f>
        <v>0</v>
      </c>
      <c r="K187" s="18">
        <f>'Forage crops, CF'!J123</f>
        <v>1.9178668751894105E-2</v>
      </c>
      <c r="L187" s="18">
        <f>'Forage crops, CF'!K123</f>
        <v>0</v>
      </c>
      <c r="M187" s="18">
        <f>'Forage crops, CF'!L123</f>
        <v>0</v>
      </c>
      <c r="N187" s="18">
        <f>'Forage crops, CF'!M123</f>
        <v>0</v>
      </c>
      <c r="O187" s="18">
        <f>'Forage crops, CF'!N123</f>
        <v>0</v>
      </c>
      <c r="P187" s="18">
        <f>'Forage crops, CF'!O123</f>
        <v>4.6700000000000005E-2</v>
      </c>
      <c r="Q187" s="18">
        <f>'Forage crops, CF'!P123</f>
        <v>0</v>
      </c>
      <c r="R187" s="151">
        <f>'Parameters SH, country spec'!L16</f>
        <v>0</v>
      </c>
      <c r="S187" s="151">
        <f>'Parameters SH, country spec'!L34</f>
        <v>0</v>
      </c>
      <c r="T187" s="264">
        <f>'Parameters D24m, country spec'!L12</f>
        <v>0</v>
      </c>
    </row>
    <row r="188" spans="1:21" x14ac:dyDescent="0.3">
      <c r="B188" s="16" t="s">
        <v>301</v>
      </c>
      <c r="C188" s="15" t="s">
        <v>302</v>
      </c>
      <c r="D188" s="21" t="s">
        <v>59</v>
      </c>
      <c r="E188" s="21" t="s">
        <v>60</v>
      </c>
      <c r="F188" s="318">
        <f>SUM(G188:Q188)</f>
        <v>0.11688801322222918</v>
      </c>
      <c r="G188" s="18">
        <f>'Forage crops, CF'!F188*'Forage, input data per ha'!$D$88+'Forage crops, CF'!F253*'Forage, input data per ha'!$E$88</f>
        <v>2.1727371544400329E-2</v>
      </c>
      <c r="H188" s="18">
        <f>'Forage crops, CF'!G188*'Forage, input data per ha'!$D$88+'Forage crops, CF'!G253*'Forage, input data per ha'!$E$88</f>
        <v>2.7E-2</v>
      </c>
      <c r="I188" s="18">
        <f>'Forage crops, CF'!H188*'Forage, input data per ha'!$D$88+'Forage crops, CF'!H253*'Forage, input data per ha'!$E$88</f>
        <v>0</v>
      </c>
      <c r="J188" s="18">
        <f>'Forage crops, CF'!I188*'Forage, input data per ha'!$D$88+'Forage crops, CF'!I253*'Forage, input data per ha'!$E$88</f>
        <v>0</v>
      </c>
      <c r="K188" s="18">
        <f>'Forage crops, CF'!J188*'Forage, input data per ha'!$D$88+'Forage crops, CF'!J253*'Forage, input data per ha'!$E$88</f>
        <v>2.1460641677828848E-2</v>
      </c>
      <c r="L188" s="18">
        <f>'Forage crops, CF'!K188*'Forage, input data per ha'!$D$88+'Forage crops, CF'!K253*'Forage, input data per ha'!$E$88</f>
        <v>0</v>
      </c>
      <c r="M188" s="18">
        <f>'Forage crops, CF'!L188*'Forage, input data per ha'!$D$88+'Forage crops, CF'!L253*'Forage, input data per ha'!$E$88</f>
        <v>0</v>
      </c>
      <c r="N188" s="18">
        <f>'Forage crops, CF'!M188*'Forage, input data per ha'!$D$88+'Forage crops, CF'!M253*'Forage, input data per ha'!$E$88</f>
        <v>0</v>
      </c>
      <c r="O188" s="18">
        <f>'Forage crops, CF'!N188*'Forage, input data per ha'!$D$88+'Forage crops, CF'!N253*'Forage, input data per ha'!$E$88</f>
        <v>0</v>
      </c>
      <c r="P188" s="18">
        <f>'Forage crops, CF'!O188*'Forage, input data per ha'!$D$88+'Forage crops, CF'!O253*'Forage, input data per ha'!$E$88</f>
        <v>4.6700000000000005E-2</v>
      </c>
      <c r="Q188" s="18">
        <f>'Forage crops, CF'!P188*'Forage, input data per ha'!$D$88+'Forage crops, CF'!P253*'Forage, input data per ha'!$E$88</f>
        <v>0</v>
      </c>
      <c r="R188" s="151">
        <f>'Parameters SH, country spec'!L17</f>
        <v>0.48261088709677419</v>
      </c>
      <c r="S188" s="151">
        <f>'Parameters SH, country spec'!L35</f>
        <v>0.72910427443506676</v>
      </c>
      <c r="T188" s="264">
        <f>'Parameters D24m, country spec'!L13</f>
        <v>0.60723404255319147</v>
      </c>
    </row>
    <row r="189" spans="1:21" x14ac:dyDescent="0.3">
      <c r="A189" s="20" t="s">
        <v>231</v>
      </c>
      <c r="B189" s="15" t="s">
        <v>113</v>
      </c>
      <c r="C189" s="15" t="s">
        <v>232</v>
      </c>
      <c r="D189" s="21" t="s">
        <v>59</v>
      </c>
      <c r="E189" s="21" t="s">
        <v>60</v>
      </c>
      <c r="F189" s="318">
        <f>SUM(G189:Q189)</f>
        <v>0.16700000000000001</v>
      </c>
      <c r="G189" s="72">
        <v>6.4000000000000001E-2</v>
      </c>
      <c r="H189" s="12">
        <v>2.7E-2</v>
      </c>
      <c r="I189" s="14">
        <v>0</v>
      </c>
      <c r="J189" s="12"/>
      <c r="K189" s="72">
        <v>4.1000000000000002E-2</v>
      </c>
      <c r="L189" s="12"/>
      <c r="M189" s="12">
        <v>0</v>
      </c>
      <c r="N189" s="72">
        <v>3.5000000000000003E-2</v>
      </c>
      <c r="O189" s="12"/>
      <c r="P189" s="12"/>
      <c r="R189" s="151">
        <f>'Parameters SH, country spec'!L18</f>
        <v>0</v>
      </c>
      <c r="S189" s="151">
        <f>'Parameters SH, country spec'!L36</f>
        <v>0</v>
      </c>
      <c r="T189" s="264">
        <f>'Parameters D24m, country spec'!L14</f>
        <v>3.9148936170212763E-2</v>
      </c>
    </row>
    <row r="190" spans="1:21" x14ac:dyDescent="0.3">
      <c r="A190" s="20" t="s">
        <v>233</v>
      </c>
      <c r="B190" s="15" t="s">
        <v>114</v>
      </c>
      <c r="C190" s="15" t="s">
        <v>232</v>
      </c>
      <c r="D190" s="21" t="s">
        <v>59</v>
      </c>
      <c r="E190" s="21" t="s">
        <v>60</v>
      </c>
      <c r="F190" s="318">
        <f t="shared" ref="F190:F197" si="58">SUM(G190:Q190)</f>
        <v>0.157</v>
      </c>
      <c r="G190" s="72">
        <v>6.3E-2</v>
      </c>
      <c r="H190" s="12">
        <v>2.7E-2</v>
      </c>
      <c r="I190" s="14">
        <v>0</v>
      </c>
      <c r="J190" s="12"/>
      <c r="K190" s="72">
        <v>2.8000000000000001E-2</v>
      </c>
      <c r="L190" s="12"/>
      <c r="M190" s="12">
        <v>4.0000000000000001E-3</v>
      </c>
      <c r="N190" s="72">
        <v>3.5000000000000003E-2</v>
      </c>
      <c r="O190" s="12"/>
      <c r="P190" s="12"/>
      <c r="R190" s="151">
        <f>'Parameters SH, country spec'!L19</f>
        <v>3.1697869732220848E-4</v>
      </c>
      <c r="S190" s="151">
        <f>'Parameters SH, country spec'!L37</f>
        <v>0</v>
      </c>
      <c r="T190" s="264">
        <f>'Parameters D24m, country spec'!L15</f>
        <v>3.1697869732220848E-4</v>
      </c>
    </row>
    <row r="191" spans="1:21" x14ac:dyDescent="0.3">
      <c r="A191" s="20" t="s">
        <v>234</v>
      </c>
      <c r="B191" s="15" t="s">
        <v>115</v>
      </c>
      <c r="C191" s="15" t="s">
        <v>232</v>
      </c>
      <c r="D191" s="21" t="s">
        <v>59</v>
      </c>
      <c r="E191" s="21" t="s">
        <v>60</v>
      </c>
      <c r="F191" s="318">
        <f t="shared" si="58"/>
        <v>0.16600000000000001</v>
      </c>
      <c r="G191" s="72">
        <v>5.7000000000000002E-2</v>
      </c>
      <c r="H191" s="12">
        <v>2.7E-2</v>
      </c>
      <c r="I191" s="14">
        <v>0</v>
      </c>
      <c r="J191" s="12"/>
      <c r="K191" s="72">
        <v>4.7E-2</v>
      </c>
      <c r="L191" s="12"/>
      <c r="M191" s="12">
        <v>0</v>
      </c>
      <c r="N191" s="72">
        <v>3.5000000000000003E-2</v>
      </c>
      <c r="O191" s="12"/>
      <c r="P191" s="12"/>
      <c r="R191" s="151">
        <f>'Parameters SH, country spec'!L20</f>
        <v>0</v>
      </c>
      <c r="S191" s="151">
        <f>'Parameters SH, country spec'!L38</f>
        <v>0</v>
      </c>
      <c r="T191" s="264">
        <f>'Parameters D24m, country spec'!L16</f>
        <v>0</v>
      </c>
    </row>
    <row r="192" spans="1:21" x14ac:dyDescent="0.3">
      <c r="A192" s="20" t="s">
        <v>235</v>
      </c>
      <c r="B192" s="15" t="s">
        <v>116</v>
      </c>
      <c r="C192" s="15" t="s">
        <v>232</v>
      </c>
      <c r="D192" s="21" t="s">
        <v>59</v>
      </c>
      <c r="E192" s="21" t="s">
        <v>60</v>
      </c>
      <c r="F192" s="318">
        <f t="shared" si="58"/>
        <v>0.14300000000000002</v>
      </c>
      <c r="G192" s="72">
        <v>0.05</v>
      </c>
      <c r="H192" s="12">
        <v>2.7E-2</v>
      </c>
      <c r="I192" s="12">
        <v>0</v>
      </c>
      <c r="J192" s="12"/>
      <c r="K192" s="72">
        <v>3.1E-2</v>
      </c>
      <c r="L192" s="12"/>
      <c r="M192" s="12">
        <v>0</v>
      </c>
      <c r="N192" s="72">
        <v>3.5000000000000003E-2</v>
      </c>
      <c r="O192" s="12"/>
      <c r="P192" s="12"/>
      <c r="R192" s="151">
        <f>'Parameters SH, country spec'!L21</f>
        <v>4.9002790875207444E-6</v>
      </c>
      <c r="S192" s="151">
        <f>'Parameters SH, country spec'!L39</f>
        <v>0</v>
      </c>
      <c r="T192" s="264">
        <f>'Parameters D24m, country spec'!L17</f>
        <v>4.9002790875207444E-6</v>
      </c>
    </row>
    <row r="193" spans="1:21" x14ac:dyDescent="0.3">
      <c r="A193" s="20" t="s">
        <v>236</v>
      </c>
      <c r="B193" s="15" t="s">
        <v>117</v>
      </c>
      <c r="C193" s="15" t="s">
        <v>232</v>
      </c>
      <c r="D193" s="21" t="s">
        <v>59</v>
      </c>
      <c r="E193" s="21" t="s">
        <v>60</v>
      </c>
      <c r="F193" s="318">
        <f t="shared" si="58"/>
        <v>0.16500000000000001</v>
      </c>
      <c r="G193" s="72">
        <v>7.3999999999999996E-2</v>
      </c>
      <c r="H193" s="12">
        <v>2.7E-2</v>
      </c>
      <c r="I193" s="12">
        <v>0</v>
      </c>
      <c r="J193" s="12"/>
      <c r="K193" s="72">
        <v>2.9000000000000001E-2</v>
      </c>
      <c r="L193" s="12"/>
      <c r="M193" s="12">
        <v>0</v>
      </c>
      <c r="N193" s="72">
        <v>3.5000000000000003E-2</v>
      </c>
      <c r="O193" s="12"/>
      <c r="P193" s="12"/>
      <c r="R193" s="151">
        <f>'Parameters SH, country spec'!L22</f>
        <v>0</v>
      </c>
      <c r="S193" s="151">
        <f>'Parameters SH, country spec'!L40</f>
        <v>0</v>
      </c>
      <c r="T193" s="264">
        <f>'Parameters D24m, country spec'!L18</f>
        <v>0</v>
      </c>
    </row>
    <row r="194" spans="1:21" x14ac:dyDescent="0.3">
      <c r="A194" s="20" t="s">
        <v>237</v>
      </c>
      <c r="B194" s="15" t="s">
        <v>118</v>
      </c>
      <c r="C194" s="15" t="s">
        <v>238</v>
      </c>
      <c r="D194" s="21" t="s">
        <v>59</v>
      </c>
      <c r="E194" s="21" t="s">
        <v>60</v>
      </c>
      <c r="F194" s="318">
        <f t="shared" si="58"/>
        <v>0.11900000000000001</v>
      </c>
      <c r="G194" s="72">
        <v>0</v>
      </c>
      <c r="H194" s="12">
        <v>2.7E-2</v>
      </c>
      <c r="I194" s="14">
        <v>0</v>
      </c>
      <c r="J194" s="12"/>
      <c r="K194" s="72">
        <v>5.7000000000000002E-2</v>
      </c>
      <c r="L194" s="14"/>
      <c r="M194" s="12">
        <v>0</v>
      </c>
      <c r="N194" s="72">
        <v>3.5000000000000003E-2</v>
      </c>
      <c r="O194" s="12"/>
      <c r="P194" s="12"/>
      <c r="R194" s="151">
        <f>'Parameters SH, country spec'!L23</f>
        <v>1.4784950076098704E-3</v>
      </c>
      <c r="S194" s="151">
        <f>'Parameters SH, country spec'!L41</f>
        <v>0</v>
      </c>
      <c r="T194" s="264">
        <f>'Parameters D24m, country spec'!L19</f>
        <v>1.4784950076098704E-3</v>
      </c>
    </row>
    <row r="195" spans="1:21" x14ac:dyDescent="0.3">
      <c r="A195" s="20" t="s">
        <v>239</v>
      </c>
      <c r="B195" s="15" t="s">
        <v>119</v>
      </c>
      <c r="C195" s="15" t="s">
        <v>238</v>
      </c>
      <c r="D195" s="21" t="s">
        <v>59</v>
      </c>
      <c r="E195" s="21" t="s">
        <v>60</v>
      </c>
      <c r="F195" s="318">
        <f t="shared" si="58"/>
        <v>0.15000000000000002</v>
      </c>
      <c r="G195" s="72">
        <v>3.0000000000000001E-3</v>
      </c>
      <c r="H195" s="12">
        <v>2.7E-2</v>
      </c>
      <c r="I195" s="14">
        <v>0</v>
      </c>
      <c r="J195" s="12"/>
      <c r="K195" s="72">
        <v>8.5000000000000006E-2</v>
      </c>
      <c r="L195" s="12"/>
      <c r="M195" s="12">
        <v>0</v>
      </c>
      <c r="N195" s="72">
        <v>3.5000000000000003E-2</v>
      </c>
      <c r="O195" s="12"/>
      <c r="P195" s="12"/>
      <c r="R195" s="151">
        <f>'Parameters SH, country spec'!L24</f>
        <v>1.4523693197724004E-3</v>
      </c>
      <c r="S195" s="151">
        <f>'Parameters SH, country spec'!L42</f>
        <v>0</v>
      </c>
      <c r="T195" s="264">
        <f>'Parameters D24m, country spec'!L20</f>
        <v>1.4523693197724004E-3</v>
      </c>
    </row>
    <row r="196" spans="1:21" x14ac:dyDescent="0.3">
      <c r="B196" s="16" t="s">
        <v>120</v>
      </c>
      <c r="C196" s="15" t="s">
        <v>240</v>
      </c>
      <c r="D196" s="21" t="s">
        <v>59</v>
      </c>
      <c r="E196" s="21" t="s">
        <v>60</v>
      </c>
      <c r="F196" s="318">
        <f t="shared" si="58"/>
        <v>0.27628755742228495</v>
      </c>
      <c r="G196" s="18">
        <f>'Off-farm feed'!$F$74</f>
        <v>0.15910156565543246</v>
      </c>
      <c r="H196" s="18">
        <f>'Off-farm feed'!$G$74</f>
        <v>1.3034482758620692E-2</v>
      </c>
      <c r="I196" s="18">
        <f>'Off-farm feed'!$H$74</f>
        <v>0</v>
      </c>
      <c r="J196" s="18"/>
      <c r="K196" s="18">
        <f>'Off-farm feed'!$J$74</f>
        <v>2.4688740026345454E-2</v>
      </c>
      <c r="L196" s="18"/>
      <c r="M196" s="294">
        <f>'Off-farm feed'!$L$74</f>
        <v>1.931759303794134E-4</v>
      </c>
      <c r="N196" s="18">
        <f>'Off-farm feed'!$M$74</f>
        <v>3.6802128767029069E-2</v>
      </c>
      <c r="O196" s="18">
        <f>'Off-farm feed'!$N$74</f>
        <v>0</v>
      </c>
      <c r="P196" s="18">
        <f>'Off-farm feed'!$O$74</f>
        <v>2.6267464284477883E-2</v>
      </c>
      <c r="Q196" s="18">
        <f>'Off-farm feed'!$P$74</f>
        <v>1.6199999999999999E-2</v>
      </c>
      <c r="R196" s="151">
        <f>'Parameters SH, country spec'!L25</f>
        <v>0</v>
      </c>
      <c r="S196" s="151">
        <f>'Parameters SH, country spec'!L43</f>
        <v>0</v>
      </c>
      <c r="T196" s="264">
        <f>'Parameters D24m, country spec'!L21</f>
        <v>0</v>
      </c>
    </row>
    <row r="197" spans="1:21" x14ac:dyDescent="0.3">
      <c r="B197" s="16" t="s">
        <v>241</v>
      </c>
      <c r="C197" s="15" t="s">
        <v>240</v>
      </c>
      <c r="D197" s="21" t="s">
        <v>59</v>
      </c>
      <c r="E197" s="21" t="s">
        <v>60</v>
      </c>
      <c r="F197" s="318">
        <f t="shared" si="58"/>
        <v>0.7061171705997602</v>
      </c>
      <c r="G197" s="18">
        <f>'Off-farm feed'!$F$23</f>
        <v>7.2632670993098931E-3</v>
      </c>
      <c r="H197" s="18">
        <f>'Off-farm feed'!$G$23</f>
        <v>2.1402439024390246E-2</v>
      </c>
      <c r="I197" s="18">
        <f>'Off-farm feed'!$H$23</f>
        <v>0</v>
      </c>
      <c r="J197" s="18"/>
      <c r="K197" s="18">
        <f>'Off-farm feed'!$J$23</f>
        <v>4.308361966433235E-2</v>
      </c>
      <c r="L197" s="18"/>
      <c r="M197" s="294">
        <f>'Off-farm feed'!$L$23</f>
        <v>1.7842060425123844E-4</v>
      </c>
      <c r="N197" s="18">
        <f>'Off-farm feed'!$M$23</f>
        <v>3.0432604948959403E-2</v>
      </c>
      <c r="O197" s="18">
        <f>'Off-farm feed'!$N$23</f>
        <v>0.31761120248475611</v>
      </c>
      <c r="P197" s="18">
        <f>'Off-farm feed'!$O$23</f>
        <v>3.5145616773760872E-2</v>
      </c>
      <c r="Q197" s="18">
        <f>'Off-farm feed'!$P$23</f>
        <v>0.251</v>
      </c>
      <c r="R197" s="151">
        <f>'Parameters SH, country spec'!L26</f>
        <v>0</v>
      </c>
      <c r="S197" s="151">
        <f>'Parameters SH, country spec'!L44</f>
        <v>0</v>
      </c>
      <c r="T197" s="264">
        <f>'Parameters D24m, country spec'!L22</f>
        <v>0</v>
      </c>
    </row>
    <row r="198" spans="1:21" x14ac:dyDescent="0.3">
      <c r="B198" s="15" t="s">
        <v>122</v>
      </c>
      <c r="C198" s="15" t="s">
        <v>242</v>
      </c>
      <c r="D198" s="21" t="s">
        <v>59</v>
      </c>
      <c r="E198" s="21" t="s">
        <v>60</v>
      </c>
      <c r="F198" s="318"/>
      <c r="G198" s="98"/>
      <c r="H198" s="6"/>
      <c r="I198" s="97"/>
      <c r="J198" s="6"/>
      <c r="K198" s="98"/>
      <c r="L198" s="6"/>
      <c r="M198" s="6"/>
      <c r="N198" s="98"/>
      <c r="O198" s="6"/>
      <c r="P198" s="6"/>
      <c r="Q198" s="6"/>
      <c r="R198" s="151">
        <f>'Parameters SH, country spec'!L27</f>
        <v>0</v>
      </c>
      <c r="S198" s="151">
        <f>'Parameters SH, country spec'!L45</f>
        <v>0</v>
      </c>
      <c r="T198" s="264">
        <f>'Parameters D24m, country spec'!L23</f>
        <v>0</v>
      </c>
    </row>
    <row r="199" spans="1:21" x14ac:dyDescent="0.3">
      <c r="A199" s="75"/>
      <c r="B199" s="15" t="s">
        <v>243</v>
      </c>
      <c r="C199" s="76" t="s">
        <v>244</v>
      </c>
      <c r="D199" s="21" t="s">
        <v>59</v>
      </c>
      <c r="E199" s="21" t="s">
        <v>60</v>
      </c>
      <c r="F199" s="318">
        <f>SUM(G199:Q199)</f>
        <v>4.4426269926053685E-4</v>
      </c>
      <c r="G199" s="73">
        <f>SUMPRODUCT(G189:G197,$R189:$R197)</f>
        <v>2.4571779844992374E-5</v>
      </c>
      <c r="H199" s="73">
        <f>SUMPRODUCT(H189:H197,$R189:$R197)</f>
        <v>8.7824069202384008E-5</v>
      </c>
      <c r="I199" s="73">
        <f t="shared" ref="I199:P199" si="59">SUMPRODUCT(I189:I197,$R189:$R197)</f>
        <v>0</v>
      </c>
      <c r="J199" s="73">
        <f t="shared" si="59"/>
        <v>0</v>
      </c>
      <c r="K199" s="73">
        <f>SUMPRODUCT(K189:K197,$R189:$R197)</f>
        <v>2.1675291979115162E-4</v>
      </c>
      <c r="L199" s="73">
        <f t="shared" si="59"/>
        <v>0</v>
      </c>
      <c r="M199" s="73">
        <f t="shared" si="59"/>
        <v>1.2679147892888339E-6</v>
      </c>
      <c r="N199" s="73">
        <f t="shared" si="59"/>
        <v>1.1384601563272002E-4</v>
      </c>
      <c r="O199" s="73">
        <f t="shared" si="59"/>
        <v>0</v>
      </c>
      <c r="P199" s="73">
        <f t="shared" si="59"/>
        <v>0</v>
      </c>
      <c r="Q199" s="73">
        <f>SUMPRODUCT(Q189:Q197,$R189:$R197)</f>
        <v>0</v>
      </c>
      <c r="R199" s="151">
        <f>'Parameters SH, country spec'!L28</f>
        <v>0</v>
      </c>
      <c r="S199" s="151">
        <f>'Parameters SH, country spec'!L46</f>
        <v>0</v>
      </c>
      <c r="T199" s="264">
        <f>'Parameters D24m, country spec'!L24</f>
        <v>0</v>
      </c>
    </row>
    <row r="200" spans="1:21" x14ac:dyDescent="0.3">
      <c r="A200" s="328"/>
      <c r="B200" s="329" t="s">
        <v>616</v>
      </c>
      <c r="C200" s="330"/>
      <c r="D200" s="331"/>
      <c r="E200" s="331"/>
      <c r="F200" s="332">
        <f>SUMPRODUCT(F186:F188,R186:R188)+SUMPRODUCT(F189:F199,R189:R199)/0.87</f>
        <v>8.7986026425227987E-2</v>
      </c>
      <c r="G200" s="332">
        <f>SUMPRODUCT(G186:G188,R186:R188)+SUMPRODUCT(G189:G199,R189:R199)/0.87</f>
        <v>1.0514109480433438E-2</v>
      </c>
      <c r="H200" s="332">
        <f>SUMPRODUCT(H186:H188,R186:R188)+SUMPRODUCT(H189:H199,R189:R199)/0.87</f>
        <v>2.7100947205979751E-2</v>
      </c>
      <c r="I200" s="332">
        <f>SUMPRODUCT(I186:I188,R186:R188)+SUMPRODUCT(I189:I199,R189:R199)/0.87</f>
        <v>0</v>
      </c>
      <c r="J200" s="332">
        <f>SUMPRODUCT(J186:J188,R186:R188)+SUMPRODUCT(J189:J199,R189:R199)/0.87</f>
        <v>0</v>
      </c>
      <c r="K200" s="332">
        <f>SUMPRODUCT(K186:K188,R186:R188)+SUMPRODUCT(K189:K199,R189:R199)/0.87</f>
        <v>2.7700726448841414E-2</v>
      </c>
      <c r="L200" s="332">
        <f>SUMPRODUCT(L186:L188,R186:R188)+SUMPRODUCT(L189:L199,R189:R199)/0.87</f>
        <v>0</v>
      </c>
      <c r="M200" s="332">
        <f>SUMPRODUCT(M186:M188,R186:R188)+SUMPRODUCT(M189:M199,R189:R199)/0.87</f>
        <v>1.4573733210216482E-6</v>
      </c>
      <c r="N200" s="332">
        <f>SUMPRODUCT(N186:N188,R186:R188)+SUMPRODUCT(N189:N199,R189:R199)/0.87</f>
        <v>1.3085748923301151E-4</v>
      </c>
      <c r="O200" s="332">
        <f>SUMPRODUCT(O186:O188,R186:R188)+SUMPRODUCT(O189:O199,R189:R199)/0.87</f>
        <v>0</v>
      </c>
      <c r="P200" s="332">
        <f>SUMPRODUCT(P186:P188,R186:R188)+SUMPRODUCT(P189:P199,R189:R199)/0.87</f>
        <v>2.2537928427419356E-2</v>
      </c>
      <c r="Q200" s="332">
        <f>SUMPRODUCT(Q186:Q188,R186:R188)+SUMPRODUCT(Q189:Q199,R189:R199)/0.87</f>
        <v>0</v>
      </c>
      <c r="R200" s="335"/>
      <c r="S200" s="336"/>
      <c r="T200" s="336"/>
      <c r="U200" s="336"/>
    </row>
    <row r="201" spans="1:21" x14ac:dyDescent="0.3">
      <c r="A201" s="150"/>
      <c r="B201" s="23" t="s">
        <v>457</v>
      </c>
      <c r="C201" s="24"/>
      <c r="D201" s="94"/>
      <c r="E201" s="94"/>
      <c r="F201" s="327">
        <f>SUMPRODUCT(F186:F188,S186:S188)+SUMPRODUCT(F189:F199,S189:S199)/0.87</f>
        <v>0.10148808207734396</v>
      </c>
      <c r="G201" s="327">
        <f>SUMPRODUCT(G186:G188,S186:S188)+SUMPRODUCT(G189:G199,S189:S199)/0.87</f>
        <v>1.5841519465261116E-2</v>
      </c>
      <c r="H201" s="327">
        <f>SUMPRODUCT(H186:H188,S186:S188)+SUMPRODUCT(H189:H199,S189:S199)/0.87</f>
        <v>2.7E-2</v>
      </c>
      <c r="I201" s="327">
        <f>SUMPRODUCT(I186:I188,S186:S188)+SUMPRODUCT(I189:I199,S189:S199)/0.87</f>
        <v>0</v>
      </c>
      <c r="J201" s="327">
        <f>SUMPRODUCT(J186:J188,S186:S188)+SUMPRODUCT(J189:J199,S189:S199)/0.87</f>
        <v>0</v>
      </c>
      <c r="K201" s="327">
        <f>SUMPRODUCT(K186:K188,S186:S188)+SUMPRODUCT(K189:K199,S189:S199)/0.87</f>
        <v>2.4597392995965212E-2</v>
      </c>
      <c r="L201" s="327">
        <f>SUMPRODUCT(L186:L188,S186:S188)+SUMPRODUCT(L189:L199,S189:S199)/0.87</f>
        <v>0</v>
      </c>
      <c r="M201" s="327">
        <f>SUMPRODUCT(M186:M188,S186:S188)+SUMPRODUCT(M189:M199,S189:S199)/0.87</f>
        <v>0</v>
      </c>
      <c r="N201" s="327">
        <f>SUMPRODUCT(N186:N188,S186:S188)+SUMPRODUCT(N189:N199,S189:S199)/0.87</f>
        <v>0</v>
      </c>
      <c r="O201" s="327">
        <f>SUMPRODUCT(O186:O188,S186:S188)+SUMPRODUCT(O189:O199,S189:S199)/0.87</f>
        <v>0</v>
      </c>
      <c r="P201" s="327">
        <f>SUMPRODUCT(P186:P188,S186:S188)+SUMPRODUCT(P189:P199,S189:S199)/0.87</f>
        <v>3.4049169616117619E-2</v>
      </c>
      <c r="Q201" s="327">
        <f>SUMPRODUCT(Q186:Q188,S186:S188)+SUMPRODUCT(Q189:Q199,S189:S199)/0.87</f>
        <v>0</v>
      </c>
      <c r="R201" s="152"/>
      <c r="S201" s="152"/>
      <c r="T201" s="152"/>
      <c r="U201" s="152"/>
    </row>
    <row r="202" spans="1:21" x14ac:dyDescent="0.3">
      <c r="A202" s="328"/>
      <c r="B202" s="329" t="s">
        <v>641</v>
      </c>
      <c r="C202" s="330"/>
      <c r="D202" s="331"/>
      <c r="E202" s="331"/>
      <c r="F202" s="332">
        <f>SUMPRODUCT(F186:F188,$T186:$T188)+SUMPRODUCT(F189:F199,$T189:$T199)/0.87</f>
        <v>0.10023492750985213</v>
      </c>
      <c r="G202" s="332">
        <f t="shared" ref="G202:O202" si="60">SUMPRODUCT(G186:G188,$T186:$T188)+SUMPRODUCT(G189:G199,$T189:$T199)/0.87</f>
        <v>1.6101764823327609E-2</v>
      </c>
      <c r="H202" s="332">
        <f t="shared" si="60"/>
        <v>2.7258892913976814E-2</v>
      </c>
      <c r="I202" s="332">
        <f t="shared" si="60"/>
        <v>0</v>
      </c>
      <c r="J202" s="332">
        <f t="shared" si="60"/>
        <v>0</v>
      </c>
      <c r="K202" s="332">
        <f t="shared" si="60"/>
        <v>2.6809167920509708E-2</v>
      </c>
      <c r="L202" s="332">
        <f t="shared" si="60"/>
        <v>0</v>
      </c>
      <c r="M202" s="332">
        <f t="shared" si="60"/>
        <v>1.4573733210216482E-6</v>
      </c>
      <c r="N202" s="332">
        <f t="shared" si="60"/>
        <v>1.7058146914829505E-3</v>
      </c>
      <c r="O202" s="332">
        <f t="shared" si="60"/>
        <v>0</v>
      </c>
      <c r="P202" s="332">
        <f>SUMPRODUCT(P186:P188,$T186:$T188)+SUMPRODUCT(P189:P199,$T189:$T199)/0.87</f>
        <v>2.8357829787234046E-2</v>
      </c>
      <c r="Q202" s="332">
        <f t="shared" ref="Q202" si="61">SUMPRODUCT(Q186:Q188,$T186:$T188)+SUMPRODUCT(Q189:Q199,$T189:$T199)/0.87</f>
        <v>0</v>
      </c>
      <c r="R202" s="335"/>
      <c r="S202" s="335"/>
      <c r="T202" s="335"/>
      <c r="U202" s="335"/>
    </row>
    <row r="203" spans="1:21" x14ac:dyDescent="0.3">
      <c r="A203" s="150"/>
      <c r="B203" s="23" t="s">
        <v>642</v>
      </c>
      <c r="C203" s="24"/>
      <c r="D203" s="94"/>
      <c r="E203" s="94"/>
      <c r="F203" s="327">
        <f>SUMPRODUCT(F186:F188,$U186:$U188)+SUMPRODUCT(F189:F199,$U189:$U199)/0.87</f>
        <v>0</v>
      </c>
      <c r="G203" s="327">
        <f t="shared" ref="G203:K203" si="62">SUMPRODUCT(G186:G188,$U186:$U188)+SUMPRODUCT(G189:G199,$U189:$U199)/0.87</f>
        <v>0</v>
      </c>
      <c r="H203" s="327">
        <f t="shared" si="62"/>
        <v>0</v>
      </c>
      <c r="I203" s="327">
        <f t="shared" si="62"/>
        <v>0</v>
      </c>
      <c r="J203" s="327">
        <f t="shared" si="62"/>
        <v>0</v>
      </c>
      <c r="K203" s="327">
        <f t="shared" si="62"/>
        <v>0</v>
      </c>
      <c r="L203" s="327">
        <f>SUMPRODUCT(L186:L188,$U186:$U188)+SUMPRODUCT(L189:L199,$U189:$U199)/0.87</f>
        <v>0</v>
      </c>
      <c r="M203" s="327">
        <f t="shared" ref="M203:Q203" si="63">SUMPRODUCT(M186:M188,$U186:$U188)+SUMPRODUCT(M189:M199,$U189:$U199)/0.87</f>
        <v>0</v>
      </c>
      <c r="N203" s="327">
        <f t="shared" si="63"/>
        <v>0</v>
      </c>
      <c r="O203" s="327">
        <f t="shared" si="63"/>
        <v>0</v>
      </c>
      <c r="P203" s="327">
        <f t="shared" si="63"/>
        <v>0</v>
      </c>
      <c r="Q203" s="327">
        <f t="shared" si="63"/>
        <v>0</v>
      </c>
      <c r="R203" s="152"/>
      <c r="S203" s="152"/>
      <c r="T203" s="152"/>
      <c r="U203" s="152"/>
    </row>
    <row r="204" spans="1:21" x14ac:dyDescent="0.3">
      <c r="B204" s="16" t="s">
        <v>299</v>
      </c>
      <c r="C204" s="15" t="s">
        <v>302</v>
      </c>
      <c r="D204" s="21" t="s">
        <v>556</v>
      </c>
      <c r="E204" s="21" t="s">
        <v>560</v>
      </c>
      <c r="F204" s="110">
        <f>SUM(G204:Q204)</f>
        <v>6.3462604134633421E-2</v>
      </c>
      <c r="G204" s="18">
        <f>'Forage crops, CF'!F63</f>
        <v>2.1751094263240234E-2</v>
      </c>
      <c r="H204" s="18">
        <f>'Forage crops, CF'!G63</f>
        <v>2.7E-2</v>
      </c>
      <c r="I204" s="18">
        <f>'Forage crops, CF'!H63</f>
        <v>0</v>
      </c>
      <c r="J204" s="18">
        <f>'Forage crops, CF'!I63</f>
        <v>0</v>
      </c>
      <c r="K204" s="18">
        <f>'Forage crops, CF'!J63</f>
        <v>1.4711509871393188E-2</v>
      </c>
      <c r="L204" s="18">
        <f>'Forage crops, CF'!K63</f>
        <v>0</v>
      </c>
      <c r="M204" s="18">
        <f>'Forage crops, CF'!L63</f>
        <v>0</v>
      </c>
      <c r="N204" s="18">
        <f>'Forage crops, CF'!M63</f>
        <v>0</v>
      </c>
      <c r="O204" s="18">
        <f>'Forage crops, CF'!N63</f>
        <v>0</v>
      </c>
      <c r="P204" s="18">
        <f>'Forage crops, CF'!O63</f>
        <v>0</v>
      </c>
      <c r="Q204" s="18">
        <f>'Forage crops, CF'!P63</f>
        <v>0</v>
      </c>
      <c r="R204" s="151">
        <f>'Parameters SH, country spec'!M15</f>
        <v>0.74946751429338065</v>
      </c>
      <c r="S204" s="151">
        <f>'Parameters SH, country spec'!L33</f>
        <v>0.2708957255649333</v>
      </c>
      <c r="T204" s="264">
        <f>'Parameters D24m, country spec'!M11</f>
        <v>0.74946751429338065</v>
      </c>
    </row>
    <row r="205" spans="1:21" x14ac:dyDescent="0.3">
      <c r="B205" s="16" t="s">
        <v>300</v>
      </c>
      <c r="C205" s="15" t="s">
        <v>302</v>
      </c>
      <c r="D205" s="21" t="s">
        <v>556</v>
      </c>
      <c r="E205" s="21" t="s">
        <v>560</v>
      </c>
      <c r="F205" s="318">
        <f>SUM(G205:Q205)</f>
        <v>7.2645027559058523E-2</v>
      </c>
      <c r="G205" s="18">
        <f>'Forage crops, CF'!F128</f>
        <v>3.2650334455802711E-2</v>
      </c>
      <c r="H205" s="18">
        <f>'Forage crops, CF'!G128</f>
        <v>2.7E-2</v>
      </c>
      <c r="I205" s="18">
        <f>'Forage crops, CF'!H128</f>
        <v>0</v>
      </c>
      <c r="J205" s="18">
        <f>'Forage crops, CF'!I128</f>
        <v>0</v>
      </c>
      <c r="K205" s="18">
        <f>'Forage crops, CF'!J128</f>
        <v>1.2994693103255812E-2</v>
      </c>
      <c r="L205" s="18">
        <f>'Forage crops, CF'!K128</f>
        <v>0</v>
      </c>
      <c r="M205" s="18">
        <f>'Forage crops, CF'!L128</f>
        <v>0</v>
      </c>
      <c r="N205" s="18">
        <f>'Forage crops, CF'!M128</f>
        <v>0</v>
      </c>
      <c r="O205" s="18">
        <f>'Forage crops, CF'!N128</f>
        <v>0</v>
      </c>
      <c r="P205" s="18">
        <f>'Forage crops, CF'!O128</f>
        <v>0</v>
      </c>
      <c r="Q205" s="18">
        <f>'Forage crops, CF'!P128</f>
        <v>0</v>
      </c>
      <c r="R205" s="151">
        <f>'Parameters SH, country spec'!M16</f>
        <v>6.8994040926595557E-2</v>
      </c>
      <c r="S205" s="151">
        <f>'Parameters SH, country spec'!L34</f>
        <v>0</v>
      </c>
      <c r="T205" s="264">
        <f>'Parameters D24m, country spec'!M12</f>
        <v>6.8994040926595557E-2</v>
      </c>
    </row>
    <row r="206" spans="1:21" x14ac:dyDescent="0.3">
      <c r="B206" s="16" t="s">
        <v>301</v>
      </c>
      <c r="C206" s="15" t="s">
        <v>302</v>
      </c>
      <c r="D206" s="21" t="s">
        <v>556</v>
      </c>
      <c r="E206" s="21" t="s">
        <v>560</v>
      </c>
      <c r="F206" s="318">
        <f>SUM(G206:Q206)</f>
        <v>4.5456562183673735E-2</v>
      </c>
      <c r="G206" s="18">
        <f>'Forage crops, CF'!F193*'Forage, input data per ha'!$D$89+'Forage crops, CF'!F258*'Forage, input data per ha'!$E$89</f>
        <v>3.55176519563914E-3</v>
      </c>
      <c r="H206" s="18">
        <f>'Forage crops, CF'!G193*'Forage, input data per ha'!$D$89+'Forage crops, CF'!G258*'Forage, input data per ha'!$E$89</f>
        <v>2.7E-2</v>
      </c>
      <c r="I206" s="18">
        <f>'Forage crops, CF'!H193*'Forage, input data per ha'!$D$89+'Forage crops, CF'!H258*'Forage, input data per ha'!$E$89</f>
        <v>0</v>
      </c>
      <c r="J206" s="18">
        <f>'Forage crops, CF'!I193*'Forage, input data per ha'!$D$89+'Forage crops, CF'!I258*'Forage, input data per ha'!$E$89</f>
        <v>0</v>
      </c>
      <c r="K206" s="18">
        <f>'Forage crops, CF'!J193*'Forage, input data per ha'!$D$89+'Forage crops, CF'!J258*'Forage, input data per ha'!$E$89</f>
        <v>1.49047969880346E-2</v>
      </c>
      <c r="L206" s="18">
        <f>'Forage crops, CF'!K193*'Forage, input data per ha'!$D$89+'Forage crops, CF'!K258*'Forage, input data per ha'!$E$89</f>
        <v>0</v>
      </c>
      <c r="M206" s="18">
        <f>'Forage crops, CF'!L193*'Forage, input data per ha'!$D$89+'Forage crops, CF'!L258*'Forage, input data per ha'!$E$89</f>
        <v>0</v>
      </c>
      <c r="N206" s="18">
        <f>'Forage crops, CF'!M193*'Forage, input data per ha'!$D$89+'Forage crops, CF'!M258*'Forage, input data per ha'!$E$89</f>
        <v>0</v>
      </c>
      <c r="O206" s="18">
        <f>'Forage crops, CF'!N193*'Forage, input data per ha'!$D$89+'Forage crops, CF'!N258*'Forage, input data per ha'!$E$89</f>
        <v>0</v>
      </c>
      <c r="P206" s="18">
        <f>'Forage crops, CF'!O193*'Forage, input data per ha'!$D$89+'Forage crops, CF'!O258*'Forage, input data per ha'!$E$89</f>
        <v>0</v>
      </c>
      <c r="Q206" s="18">
        <f>'Forage crops, CF'!P193*'Forage, input data per ha'!$D$89+'Forage crops, CF'!P258*'Forage, input data per ha'!$E$89</f>
        <v>0</v>
      </c>
      <c r="R206" s="151">
        <f>'Parameters SH, country spec'!M17</f>
        <v>3.2584598647782959E-3</v>
      </c>
      <c r="S206" s="151">
        <f>'Parameters SH, country spec'!L35</f>
        <v>0.72910427443506676</v>
      </c>
      <c r="T206" s="264">
        <f>'Parameters D24m, country spec'!M13</f>
        <v>3.2584598647782959E-3</v>
      </c>
    </row>
    <row r="207" spans="1:21" x14ac:dyDescent="0.3">
      <c r="A207" s="20" t="s">
        <v>231</v>
      </c>
      <c r="B207" s="15" t="s">
        <v>113</v>
      </c>
      <c r="C207" s="15" t="s">
        <v>232</v>
      </c>
      <c r="D207" s="21" t="s">
        <v>556</v>
      </c>
      <c r="E207" s="21" t="s">
        <v>560</v>
      </c>
      <c r="F207" s="318">
        <f>SUM(G207:Q207)</f>
        <v>0.16700000000000001</v>
      </c>
      <c r="G207" s="98">
        <v>6.4000000000000001E-2</v>
      </c>
      <c r="H207" s="6">
        <v>2.7E-2</v>
      </c>
      <c r="I207" s="97">
        <v>0</v>
      </c>
      <c r="J207" s="6"/>
      <c r="K207" s="98">
        <v>4.1000000000000002E-2</v>
      </c>
      <c r="L207" s="6"/>
      <c r="M207" s="6">
        <v>0</v>
      </c>
      <c r="N207" s="98">
        <v>3.5000000000000003E-2</v>
      </c>
      <c r="O207" s="6"/>
      <c r="P207" s="12"/>
      <c r="R207" s="151">
        <f>'Parameters SH, country spec'!M18</f>
        <v>1.3909861729922528E-2</v>
      </c>
      <c r="S207" s="151">
        <f>'Parameters SH, country spec'!L36</f>
        <v>0</v>
      </c>
      <c r="T207" s="264">
        <f>'Parameters D24m, country spec'!M14</f>
        <v>1.3909861729922528E-2</v>
      </c>
    </row>
    <row r="208" spans="1:21" x14ac:dyDescent="0.3">
      <c r="A208" s="20" t="s">
        <v>233</v>
      </c>
      <c r="B208" s="15" t="s">
        <v>114</v>
      </c>
      <c r="C208" s="15" t="s">
        <v>232</v>
      </c>
      <c r="D208" s="21" t="s">
        <v>556</v>
      </c>
      <c r="E208" s="21" t="s">
        <v>560</v>
      </c>
      <c r="F208" s="318">
        <f t="shared" ref="F208:F215" si="64">SUM(G208:Q208)</f>
        <v>0.157</v>
      </c>
      <c r="G208" s="98">
        <v>6.3E-2</v>
      </c>
      <c r="H208" s="6">
        <v>2.7E-2</v>
      </c>
      <c r="I208" s="97">
        <v>0</v>
      </c>
      <c r="J208" s="6"/>
      <c r="K208" s="98">
        <v>2.8000000000000001E-2</v>
      </c>
      <c r="L208" s="6"/>
      <c r="M208" s="6">
        <v>4.0000000000000001E-3</v>
      </c>
      <c r="N208" s="98">
        <v>3.5000000000000003E-2</v>
      </c>
      <c r="O208" s="6"/>
      <c r="P208" s="12"/>
      <c r="R208" s="151">
        <f>'Parameters SH, country spec'!M19</f>
        <v>6.5309995773990038E-4</v>
      </c>
      <c r="S208" s="151">
        <f>'Parameters SH, country spec'!L37</f>
        <v>0</v>
      </c>
      <c r="T208" s="264">
        <f>'Parameters D24m, country spec'!M15</f>
        <v>6.5309995773990038E-4</v>
      </c>
    </row>
    <row r="209" spans="1:21" x14ac:dyDescent="0.3">
      <c r="A209" s="20" t="s">
        <v>234</v>
      </c>
      <c r="B209" s="15" t="s">
        <v>115</v>
      </c>
      <c r="C209" s="15" t="s">
        <v>232</v>
      </c>
      <c r="D209" s="21" t="s">
        <v>556</v>
      </c>
      <c r="E209" s="21" t="s">
        <v>560</v>
      </c>
      <c r="F209" s="318">
        <f t="shared" si="64"/>
        <v>0.16600000000000001</v>
      </c>
      <c r="G209" s="98">
        <v>5.7000000000000002E-2</v>
      </c>
      <c r="H209" s="6">
        <v>2.7E-2</v>
      </c>
      <c r="I209" s="97">
        <v>0</v>
      </c>
      <c r="J209" s="6"/>
      <c r="K209" s="98">
        <v>4.7E-2</v>
      </c>
      <c r="L209" s="6"/>
      <c r="M209" s="6">
        <v>0</v>
      </c>
      <c r="N209" s="98">
        <v>3.5000000000000003E-2</v>
      </c>
      <c r="O209" s="6"/>
      <c r="P209" s="12"/>
      <c r="R209" s="151">
        <f>'Parameters SH, country spec'!M20</f>
        <v>1.5338046639374065E-3</v>
      </c>
      <c r="S209" s="151">
        <f>'Parameters SH, country spec'!L38</f>
        <v>0</v>
      </c>
      <c r="T209" s="264">
        <f>'Parameters D24m, country spec'!M16</f>
        <v>1.5338046639374065E-3</v>
      </c>
    </row>
    <row r="210" spans="1:21" x14ac:dyDescent="0.3">
      <c r="A210" s="20" t="s">
        <v>235</v>
      </c>
      <c r="B210" s="15" t="s">
        <v>116</v>
      </c>
      <c r="C210" s="15" t="s">
        <v>232</v>
      </c>
      <c r="D210" s="21" t="s">
        <v>556</v>
      </c>
      <c r="E210" s="21" t="s">
        <v>560</v>
      </c>
      <c r="F210" s="318">
        <f t="shared" si="64"/>
        <v>0.14300000000000002</v>
      </c>
      <c r="G210" s="98">
        <v>0.05</v>
      </c>
      <c r="H210" s="6">
        <v>2.7E-2</v>
      </c>
      <c r="I210" s="6">
        <v>0</v>
      </c>
      <c r="J210" s="6"/>
      <c r="K210" s="98">
        <v>3.1E-2</v>
      </c>
      <c r="L210" s="6"/>
      <c r="M210" s="6">
        <v>0</v>
      </c>
      <c r="N210" s="98">
        <v>3.5000000000000003E-2</v>
      </c>
      <c r="O210" s="6"/>
      <c r="P210" s="12"/>
      <c r="R210" s="151">
        <f>'Parameters SH, country spec'!M21</f>
        <v>7.2745448066960375E-5</v>
      </c>
      <c r="S210" s="151">
        <f>'Parameters SH, country spec'!L39</f>
        <v>0</v>
      </c>
      <c r="T210" s="264">
        <f>'Parameters D24m, country spec'!M17</f>
        <v>7.2745448066960375E-5</v>
      </c>
    </row>
    <row r="211" spans="1:21" x14ac:dyDescent="0.3">
      <c r="A211" s="20" t="s">
        <v>236</v>
      </c>
      <c r="B211" s="15" t="s">
        <v>117</v>
      </c>
      <c r="C211" s="15" t="s">
        <v>232</v>
      </c>
      <c r="D211" s="21" t="s">
        <v>556</v>
      </c>
      <c r="E211" s="21" t="s">
        <v>560</v>
      </c>
      <c r="F211" s="318">
        <f t="shared" si="64"/>
        <v>0.16500000000000001</v>
      </c>
      <c r="G211" s="98">
        <v>7.3999999999999996E-2</v>
      </c>
      <c r="H211" s="6">
        <v>2.7E-2</v>
      </c>
      <c r="I211" s="6">
        <v>0</v>
      </c>
      <c r="J211" s="6"/>
      <c r="K211" s="98">
        <v>2.9000000000000001E-2</v>
      </c>
      <c r="L211" s="6"/>
      <c r="M211" s="6">
        <v>0</v>
      </c>
      <c r="N211" s="98">
        <v>3.5000000000000003E-2</v>
      </c>
      <c r="O211" s="6"/>
      <c r="P211" s="12"/>
      <c r="R211" s="151">
        <f>'Parameters SH, country spec'!M22</f>
        <v>2.0790459475885831E-2</v>
      </c>
      <c r="S211" s="151">
        <f>'Parameters SH, country spec'!L40</f>
        <v>0</v>
      </c>
      <c r="T211" s="264">
        <f>'Parameters D24m, country spec'!M18</f>
        <v>2.0790459475885831E-2</v>
      </c>
    </row>
    <row r="212" spans="1:21" x14ac:dyDescent="0.3">
      <c r="A212" s="20" t="s">
        <v>237</v>
      </c>
      <c r="B212" s="15" t="s">
        <v>118</v>
      </c>
      <c r="C212" s="15" t="s">
        <v>238</v>
      </c>
      <c r="D212" s="21" t="s">
        <v>556</v>
      </c>
      <c r="E212" s="21" t="s">
        <v>560</v>
      </c>
      <c r="F212" s="318">
        <f t="shared" si="64"/>
        <v>0.11900000000000001</v>
      </c>
      <c r="G212" s="98">
        <v>0</v>
      </c>
      <c r="H212" s="6">
        <v>2.7E-2</v>
      </c>
      <c r="I212" s="97">
        <v>0</v>
      </c>
      <c r="J212" s="6"/>
      <c r="K212" s="98">
        <v>5.7000000000000002E-2</v>
      </c>
      <c r="L212" s="97"/>
      <c r="M212" s="6">
        <v>0</v>
      </c>
      <c r="N212" s="98">
        <v>3.5000000000000003E-2</v>
      </c>
      <c r="O212" s="6"/>
      <c r="P212" s="12"/>
      <c r="R212" s="151">
        <f>'Parameters SH, country spec'!M23</f>
        <v>6.5340906393272433E-4</v>
      </c>
      <c r="S212" s="151">
        <f>'Parameters SH, country spec'!L41</f>
        <v>0</v>
      </c>
      <c r="T212" s="264">
        <f>'Parameters D24m, country spec'!M19</f>
        <v>6.5340906393272433E-4</v>
      </c>
    </row>
    <row r="213" spans="1:21" x14ac:dyDescent="0.3">
      <c r="A213" s="20" t="s">
        <v>239</v>
      </c>
      <c r="B213" s="15" t="s">
        <v>119</v>
      </c>
      <c r="C213" s="15" t="s">
        <v>238</v>
      </c>
      <c r="D213" s="21" t="s">
        <v>556</v>
      </c>
      <c r="E213" s="21" t="s">
        <v>560</v>
      </c>
      <c r="F213" s="318">
        <f t="shared" si="64"/>
        <v>0.15000000000000002</v>
      </c>
      <c r="G213" s="98">
        <v>3.0000000000000001E-3</v>
      </c>
      <c r="H213" s="6">
        <v>2.7E-2</v>
      </c>
      <c r="I213" s="97">
        <v>0</v>
      </c>
      <c r="J213" s="6"/>
      <c r="K213" s="98">
        <v>8.5000000000000006E-2</v>
      </c>
      <c r="L213" s="6"/>
      <c r="M213" s="6">
        <v>0</v>
      </c>
      <c r="N213" s="98">
        <v>3.5000000000000003E-2</v>
      </c>
      <c r="O213" s="6"/>
      <c r="P213" s="12"/>
      <c r="R213" s="151">
        <f>'Parameters SH, country spec'!M24</f>
        <v>6.4186302502542813E-4</v>
      </c>
      <c r="S213" s="151">
        <f>'Parameters SH, country spec'!L42</f>
        <v>0</v>
      </c>
      <c r="T213" s="264">
        <f>'Parameters D24m, country spec'!M20</f>
        <v>6.4186302502542813E-4</v>
      </c>
    </row>
    <row r="214" spans="1:21" x14ac:dyDescent="0.3">
      <c r="B214" s="16" t="s">
        <v>120</v>
      </c>
      <c r="C214" s="15" t="s">
        <v>240</v>
      </c>
      <c r="D214" s="21" t="s">
        <v>556</v>
      </c>
      <c r="E214" s="21" t="s">
        <v>560</v>
      </c>
      <c r="F214" s="318">
        <f t="shared" si="64"/>
        <v>0.27628755742228495</v>
      </c>
      <c r="G214" s="18">
        <f>'Off-farm feed'!$F$74</f>
        <v>0.15910156565543246</v>
      </c>
      <c r="H214" s="18">
        <f>'Off-farm feed'!$G$74</f>
        <v>1.3034482758620692E-2</v>
      </c>
      <c r="I214" s="18">
        <f>'Off-farm feed'!$H$74</f>
        <v>0</v>
      </c>
      <c r="J214" s="18"/>
      <c r="K214" s="18">
        <f>'Off-farm feed'!$J$74</f>
        <v>2.4688740026345454E-2</v>
      </c>
      <c r="L214" s="18"/>
      <c r="M214" s="294">
        <f>'Off-farm feed'!$L$74</f>
        <v>1.931759303794134E-4</v>
      </c>
      <c r="N214" s="18">
        <f>'Off-farm feed'!$M$74</f>
        <v>3.6802128767029069E-2</v>
      </c>
      <c r="O214" s="18">
        <f>'Off-farm feed'!$N$74</f>
        <v>0</v>
      </c>
      <c r="P214" s="18">
        <f>'Off-farm feed'!$O$74</f>
        <v>2.6267464284477883E-2</v>
      </c>
      <c r="Q214" s="18">
        <f>'Off-farm feed'!$P$74</f>
        <v>1.6199999999999999E-2</v>
      </c>
      <c r="R214" s="151">
        <f>'Parameters SH, country spec'!M25</f>
        <v>1.0151950508744787E-2</v>
      </c>
      <c r="S214" s="151">
        <f>'Parameters SH, country spec'!L43</f>
        <v>0</v>
      </c>
      <c r="T214" s="264">
        <f>'Parameters D24m, country spec'!M21</f>
        <v>1.0151950508744787E-2</v>
      </c>
    </row>
    <row r="215" spans="1:21" x14ac:dyDescent="0.3">
      <c r="B215" s="16" t="s">
        <v>241</v>
      </c>
      <c r="C215" s="15" t="s">
        <v>240</v>
      </c>
      <c r="D215" s="21" t="s">
        <v>556</v>
      </c>
      <c r="E215" s="21" t="s">
        <v>560</v>
      </c>
      <c r="F215" s="318">
        <f t="shared" si="64"/>
        <v>0.7061171705997602</v>
      </c>
      <c r="G215" s="18">
        <f>'Off-farm feed'!$F$23</f>
        <v>7.2632670993098931E-3</v>
      </c>
      <c r="H215" s="18">
        <f>'Off-farm feed'!$G$23</f>
        <v>2.1402439024390246E-2</v>
      </c>
      <c r="I215" s="18">
        <f>'Off-farm feed'!$H$23</f>
        <v>0</v>
      </c>
      <c r="J215" s="18"/>
      <c r="K215" s="18">
        <f>'Off-farm feed'!$J$23</f>
        <v>4.308361966433235E-2</v>
      </c>
      <c r="L215" s="18"/>
      <c r="M215" s="294">
        <f>'Off-farm feed'!$L$23</f>
        <v>1.7842060425123844E-4</v>
      </c>
      <c r="N215" s="18">
        <f>'Off-farm feed'!$M$23</f>
        <v>3.0432604948959403E-2</v>
      </c>
      <c r="O215" s="18">
        <f>'Off-farm feed'!$N$23</f>
        <v>0.31761120248475611</v>
      </c>
      <c r="P215" s="18">
        <f>'Off-farm feed'!$O$23</f>
        <v>3.5145616773760872E-2</v>
      </c>
      <c r="Q215" s="18">
        <f>'Off-farm feed'!$P$23</f>
        <v>0.251</v>
      </c>
      <c r="R215" s="151">
        <f>'Parameters SH, country spec'!M26</f>
        <v>1.9990823703774308E-2</v>
      </c>
      <c r="S215" s="151">
        <f>'Parameters SH, country spec'!L44</f>
        <v>0</v>
      </c>
      <c r="T215" s="264">
        <f>'Parameters D24m, country spec'!M22</f>
        <v>1.9990823703774308E-2</v>
      </c>
    </row>
    <row r="216" spans="1:21" x14ac:dyDescent="0.3">
      <c r="B216" s="15" t="s">
        <v>122</v>
      </c>
      <c r="C216" s="15" t="s">
        <v>242</v>
      </c>
      <c r="D216" s="21" t="s">
        <v>556</v>
      </c>
      <c r="E216" s="21" t="s">
        <v>560</v>
      </c>
      <c r="F216" s="318"/>
      <c r="G216" s="98"/>
      <c r="H216" s="6"/>
      <c r="I216" s="97"/>
      <c r="J216" s="6"/>
      <c r="K216" s="98"/>
      <c r="L216" s="6"/>
      <c r="M216" s="6"/>
      <c r="N216" s="98"/>
      <c r="O216" s="6"/>
      <c r="P216" s="6"/>
      <c r="Q216" s="6"/>
      <c r="R216" s="151">
        <f>'Parameters SH, country spec'!M27</f>
        <v>8.0060070909469844E-2</v>
      </c>
      <c r="S216" s="151">
        <f>'Parameters SH, country spec'!L45</f>
        <v>0</v>
      </c>
      <c r="T216" s="264">
        <f>'Parameters D24m, country spec'!M23</f>
        <v>8.0060070909469844E-2</v>
      </c>
    </row>
    <row r="217" spans="1:21" x14ac:dyDescent="0.3">
      <c r="A217" s="75"/>
      <c r="B217" s="15" t="s">
        <v>243</v>
      </c>
      <c r="C217" s="76" t="s">
        <v>244</v>
      </c>
      <c r="D217" s="21" t="s">
        <v>556</v>
      </c>
      <c r="E217" s="21" t="s">
        <v>560</v>
      </c>
      <c r="F217" s="318">
        <f>SUM(G217:Q217)</f>
        <v>2.3215680202233135E-2</v>
      </c>
      <c r="G217" s="73">
        <f>SUMPRODUCT(G207:G215,$R207:$R215)</f>
        <v>4.3232500890845512E-3</v>
      </c>
      <c r="H217" s="73">
        <f>SUMPRODUCT(H207:H215,$R207:$R215)</f>
        <v>1.5930693800817602E-3</v>
      </c>
      <c r="I217" s="73">
        <f t="shared" ref="I217:J217" si="65">SUMPRODUCT(I207:I215,$R207:$R215)</f>
        <v>0</v>
      </c>
      <c r="J217" s="73">
        <f t="shared" si="65"/>
        <v>0</v>
      </c>
      <c r="K217" s="73">
        <f>SUMPRODUCT(K207:K215,$R207:$R215)</f>
        <v>2.4695769685115481E-3</v>
      </c>
      <c r="L217" s="73">
        <f t="shared" ref="L217:P217" si="66">SUMPRODUCT(L207:L215,$R207:$R215)</f>
        <v>0</v>
      </c>
      <c r="M217" s="73">
        <f t="shared" si="66"/>
        <v>8.1402871603595272E-6</v>
      </c>
      <c r="N217" s="73">
        <f t="shared" si="66"/>
        <v>2.3209197479984664E-3</v>
      </c>
      <c r="O217" s="73">
        <f t="shared" si="66"/>
        <v>6.3493095552165238E-3</v>
      </c>
      <c r="P217" s="73">
        <f t="shared" si="66"/>
        <v>9.6925582629090747E-4</v>
      </c>
      <c r="Q217" s="73">
        <f>SUMPRODUCT(Q207:Q215,$R207:$R215)</f>
        <v>5.1821583478890171E-3</v>
      </c>
      <c r="R217" s="151">
        <f>'Parameters SH, country spec'!M28</f>
        <v>2.9821896428745772E-2</v>
      </c>
      <c r="S217" s="151">
        <f>'Parameters SH, country spec'!L46</f>
        <v>0</v>
      </c>
      <c r="T217" s="264">
        <f>'Parameters D24m, country spec'!M24</f>
        <v>2.9821896428745772E-2</v>
      </c>
    </row>
    <row r="218" spans="1:21" x14ac:dyDescent="0.3">
      <c r="A218" s="328"/>
      <c r="B218" s="329" t="s">
        <v>616</v>
      </c>
      <c r="C218" s="330"/>
      <c r="D218" s="331"/>
      <c r="E218" s="331"/>
      <c r="F218" s="332">
        <f>SUMPRODUCT(F204:F206,R204:R206)+SUMPRODUCT(F207:F217,R207:R217)/0.87</f>
        <v>8.0203830505044399E-2</v>
      </c>
      <c r="G218" s="332">
        <f>SUMPRODUCT(G204:G206,R204:R206)+SUMPRODUCT(G207:G217,R207:R217)/0.87</f>
        <v>2.3683435870218008E-2</v>
      </c>
      <c r="H218" s="332">
        <f>SUMPRODUCT(H204:H206,R204:R206)+SUMPRODUCT(H207:H217,R207:R217)/0.87</f>
        <v>2.4072161936183042E-2</v>
      </c>
      <c r="I218" s="332">
        <f>SUMPRODUCT(I204:I206,R204:R206)+SUMPRODUCT(I207:I217,R207:R217)/0.87</f>
        <v>0</v>
      </c>
      <c r="J218" s="332">
        <f>SUMPRODUCT(J204:J206,R204:R206)+SUMPRODUCT(J207:J217,R207:R217)/0.87</f>
        <v>0</v>
      </c>
      <c r="K218" s="332">
        <f>SUMPRODUCT(K204:K206,R204:R206)+SUMPRODUCT(K207:K217,R207:R217)/0.87</f>
        <v>1.4894168284801352E-2</v>
      </c>
      <c r="L218" s="332">
        <f>SUMPRODUCT(L204:L206,R204:R206)+SUMPRODUCT(L207:L217,R207:R217)/0.87</f>
        <v>0</v>
      </c>
      <c r="M218" s="332">
        <f>SUMPRODUCT(M204:M206,R204:R206)+SUMPRODUCT(M207:M217,R207:R217)/0.87</f>
        <v>9.635685012593124E-6</v>
      </c>
      <c r="N218" s="332">
        <f>SUMPRODUCT(N204:N206,R204:R206)+SUMPRODUCT(N207:N217,R207:R217)/0.87</f>
        <v>2.7472804325778242E-3</v>
      </c>
      <c r="O218" s="332">
        <f>SUMPRODUCT(O204:O206,R204:R206)+SUMPRODUCT(O207:O217,R207:R217)/0.87</f>
        <v>7.515698858811766E-3</v>
      </c>
      <c r="P218" s="332">
        <f>SUMPRODUCT(P204:P206,R204:R206)+SUMPRODUCT(P207:P217,R207:R217)/0.87</f>
        <v>1.1473113484546131E-3</v>
      </c>
      <c r="Q218" s="332">
        <f>SUMPRODUCT(Q204:Q206,R204:R206)+SUMPRODUCT(Q207:Q217,R207:R217)/0.87</f>
        <v>6.1341380889851993E-3</v>
      </c>
      <c r="R218" s="335"/>
      <c r="S218" s="336"/>
      <c r="T218" s="336"/>
      <c r="U218" s="336"/>
    </row>
    <row r="219" spans="1:21" x14ac:dyDescent="0.3">
      <c r="A219" s="150"/>
      <c r="B219" s="23" t="s">
        <v>457</v>
      </c>
      <c r="C219" s="24"/>
      <c r="D219" s="94"/>
      <c r="E219" s="94"/>
      <c r="F219" s="327">
        <f>SUMPRODUCT(F204:F206,S204:S206)+SUMPRODUCT(F207:F217,S207:S217)/0.87</f>
        <v>5.0334321982531585E-2</v>
      </c>
      <c r="G219" s="327">
        <f>SUMPRODUCT(G204:G206,S204:S206)+SUMPRODUCT(G207:G217,S207:S217)/0.87</f>
        <v>8.4818856482019207E-3</v>
      </c>
      <c r="H219" s="327">
        <f>SUMPRODUCT(H204:H206,S204:S206)+SUMPRODUCT(H207:H217,S207:S217)/0.87</f>
        <v>2.7E-2</v>
      </c>
      <c r="I219" s="327">
        <f>SUMPRODUCT(I204:I206,S204:S206)+SUMPRODUCT(I207:I217,S207:S217)/0.87</f>
        <v>0</v>
      </c>
      <c r="J219" s="327">
        <f>SUMPRODUCT(J204:J206,S204:S206)+SUMPRODUCT(J207:J217,S207:S217)/0.87</f>
        <v>0</v>
      </c>
      <c r="K219" s="327">
        <f>SUMPRODUCT(K204:K206,S204:S206)+SUMPRODUCT(K207:K217,S207:S217)/0.87</f>
        <v>1.4852436334329672E-2</v>
      </c>
      <c r="L219" s="327">
        <f>SUMPRODUCT(L204:L206,S204:S206)+SUMPRODUCT(L207:L217,S207:S217)/0.87</f>
        <v>0</v>
      </c>
      <c r="M219" s="327">
        <f>SUMPRODUCT(M204:M206,S204:S206)+SUMPRODUCT(M207:M217,S207:S217)/0.87</f>
        <v>0</v>
      </c>
      <c r="N219" s="327">
        <f>SUMPRODUCT(N204:N206,S204:S206)+SUMPRODUCT(N207:N217,S207:S217)/0.87</f>
        <v>0</v>
      </c>
      <c r="O219" s="327">
        <f>SUMPRODUCT(O204:O206,S204:S206)+SUMPRODUCT(O207:O217,S207:S217)/0.87</f>
        <v>0</v>
      </c>
      <c r="P219" s="327">
        <f>SUMPRODUCT(P204:P206,S204:S206)+SUMPRODUCT(P207:P217,S207:S217)/0.87</f>
        <v>0</v>
      </c>
      <c r="Q219" s="327">
        <f>SUMPRODUCT(Q204:Q206,S204:S206)+SUMPRODUCT(Q207:Q217,S207:S217)/0.87</f>
        <v>0</v>
      </c>
      <c r="R219" s="152"/>
      <c r="S219" s="152"/>
      <c r="T219" s="152"/>
      <c r="U219" s="152"/>
    </row>
    <row r="220" spans="1:21" x14ac:dyDescent="0.3">
      <c r="A220" s="328"/>
      <c r="B220" s="329" t="s">
        <v>641</v>
      </c>
      <c r="C220" s="330"/>
      <c r="D220" s="331"/>
      <c r="E220" s="331"/>
      <c r="F220" s="332">
        <f>SUMPRODUCT(F204:F206,$T204:$T206)+SUMPRODUCT(F207:F217,$T207:$T217)/0.87</f>
        <v>8.0203830505044399E-2</v>
      </c>
      <c r="G220" s="332">
        <f t="shared" ref="G220:O220" si="67">SUMPRODUCT(G204:G206,$T204:$T206)+SUMPRODUCT(G207:G217,$T207:$T217)/0.87</f>
        <v>2.3683435870218008E-2</v>
      </c>
      <c r="H220" s="332">
        <f t="shared" si="67"/>
        <v>2.4072161936183042E-2</v>
      </c>
      <c r="I220" s="332">
        <f t="shared" si="67"/>
        <v>0</v>
      </c>
      <c r="J220" s="332">
        <f t="shared" si="67"/>
        <v>0</v>
      </c>
      <c r="K220" s="332">
        <f t="shared" si="67"/>
        <v>1.4894168284801352E-2</v>
      </c>
      <c r="L220" s="332">
        <f t="shared" si="67"/>
        <v>0</v>
      </c>
      <c r="M220" s="332">
        <f t="shared" si="67"/>
        <v>9.635685012593124E-6</v>
      </c>
      <c r="N220" s="332">
        <f t="shared" si="67"/>
        <v>2.7472804325778242E-3</v>
      </c>
      <c r="O220" s="332">
        <f t="shared" si="67"/>
        <v>7.515698858811766E-3</v>
      </c>
      <c r="P220" s="332">
        <f>SUMPRODUCT(P204:P206,$T204:$T206)+SUMPRODUCT(P207:P217,$T207:$T217)/0.87</f>
        <v>1.1473113484546131E-3</v>
      </c>
      <c r="Q220" s="332">
        <f t="shared" ref="Q220" si="68">SUMPRODUCT(Q204:Q206,$T204:$T206)+SUMPRODUCT(Q207:Q217,$T207:$T217)/0.87</f>
        <v>6.1341380889851993E-3</v>
      </c>
      <c r="R220" s="335"/>
      <c r="S220" s="335"/>
      <c r="T220" s="335"/>
      <c r="U220" s="335"/>
    </row>
    <row r="221" spans="1:21" x14ac:dyDescent="0.3">
      <c r="A221" s="150"/>
      <c r="B221" s="23" t="s">
        <v>642</v>
      </c>
      <c r="C221" s="24"/>
      <c r="D221" s="94"/>
      <c r="E221" s="94"/>
      <c r="F221" s="327">
        <f>SUMPRODUCT(F204:F206,$U204:$U206)+SUMPRODUCT(F207:F217,$U207:$U217)/0.87</f>
        <v>0</v>
      </c>
      <c r="G221" s="327">
        <f t="shared" ref="G221:K221" si="69">SUMPRODUCT(G204:G206,$U204:$U206)+SUMPRODUCT(G207:G217,$U207:$U217)/0.87</f>
        <v>0</v>
      </c>
      <c r="H221" s="327">
        <f t="shared" si="69"/>
        <v>0</v>
      </c>
      <c r="I221" s="327">
        <f t="shared" si="69"/>
        <v>0</v>
      </c>
      <c r="J221" s="327">
        <f t="shared" si="69"/>
        <v>0</v>
      </c>
      <c r="K221" s="327">
        <f t="shared" si="69"/>
        <v>0</v>
      </c>
      <c r="L221" s="327">
        <f>SUMPRODUCT(L204:L206,$U204:$U206)+SUMPRODUCT(L207:L217,$U207:$U217)/0.87</f>
        <v>0</v>
      </c>
      <c r="M221" s="327">
        <f t="shared" ref="M221:Q221" si="70">SUMPRODUCT(M204:M206,$U204:$U206)+SUMPRODUCT(M207:M217,$U207:$U217)/0.87</f>
        <v>0</v>
      </c>
      <c r="N221" s="327">
        <f t="shared" si="70"/>
        <v>0</v>
      </c>
      <c r="O221" s="327">
        <f t="shared" si="70"/>
        <v>0</v>
      </c>
      <c r="P221" s="327">
        <f t="shared" si="70"/>
        <v>0</v>
      </c>
      <c r="Q221" s="327">
        <f t="shared" si="70"/>
        <v>0</v>
      </c>
      <c r="R221" s="152"/>
      <c r="S221" s="152"/>
      <c r="T221" s="152"/>
      <c r="U221" s="152"/>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tabColor theme="4" tint="0.79998168889431442"/>
  </sheetPr>
  <dimension ref="A1:U221"/>
  <sheetViews>
    <sheetView topLeftCell="C1" zoomScale="74" zoomScaleNormal="80" workbookViewId="0">
      <selection activeCell="T1" sqref="T1:T1048576"/>
    </sheetView>
  </sheetViews>
  <sheetFormatPr defaultColWidth="8.6640625" defaultRowHeight="14.4" x14ac:dyDescent="0.3"/>
  <cols>
    <col min="1" max="1" width="8.6640625" customWidth="1"/>
    <col min="2" max="2" width="30.44140625" customWidth="1"/>
    <col min="3" max="3" width="19" customWidth="1"/>
    <col min="4" max="4" width="12.6640625" customWidth="1"/>
    <col min="5" max="5" width="11.33203125" customWidth="1"/>
    <col min="6" max="6" width="12.6640625" style="15" customWidth="1"/>
    <col min="7" max="10" width="12.6640625" customWidth="1"/>
    <col min="11" max="11" width="14.33203125" customWidth="1"/>
    <col min="12" max="17" width="12.6640625" customWidth="1"/>
    <col min="19" max="19" width="8.6640625" style="3"/>
  </cols>
  <sheetData>
    <row r="1" spans="1:21" x14ac:dyDescent="0.3">
      <c r="F1" s="6"/>
    </row>
    <row r="2" spans="1:21" ht="21" x14ac:dyDescent="0.4">
      <c r="A2" s="2" t="s">
        <v>245</v>
      </c>
      <c r="F2" t="s">
        <v>456</v>
      </c>
      <c r="O2" t="s">
        <v>223</v>
      </c>
    </row>
    <row r="3" spans="1:21" x14ac:dyDescent="0.3">
      <c r="H3" s="7"/>
      <c r="I3" s="7"/>
      <c r="J3" s="7"/>
      <c r="K3" s="7"/>
      <c r="L3" s="7"/>
      <c r="M3" s="7"/>
      <c r="N3" s="7"/>
    </row>
    <row r="4" spans="1:21" ht="28.8" x14ac:dyDescent="0.3">
      <c r="A4" s="153" t="s">
        <v>224</v>
      </c>
      <c r="B4" s="145"/>
      <c r="C4" s="145"/>
      <c r="D4" s="145"/>
      <c r="E4" s="145"/>
      <c r="F4" s="296" t="s">
        <v>65</v>
      </c>
      <c r="G4" s="146" t="s">
        <v>66</v>
      </c>
      <c r="H4" s="147"/>
      <c r="I4" s="146" t="s">
        <v>67</v>
      </c>
      <c r="J4" s="95"/>
      <c r="K4" s="146" t="s">
        <v>68</v>
      </c>
      <c r="L4" s="95"/>
      <c r="M4" s="95"/>
      <c r="N4" s="95"/>
      <c r="O4" s="96" t="s">
        <v>69</v>
      </c>
      <c r="P4" s="96" t="s">
        <v>305</v>
      </c>
      <c r="Q4" s="148" t="s">
        <v>70</v>
      </c>
      <c r="R4" s="146" t="s">
        <v>225</v>
      </c>
      <c r="S4" s="354" t="s">
        <v>225</v>
      </c>
      <c r="T4" s="354" t="s">
        <v>225</v>
      </c>
      <c r="U4" s="354" t="s">
        <v>225</v>
      </c>
    </row>
    <row r="5" spans="1:21" ht="57" customHeight="1" x14ac:dyDescent="0.3">
      <c r="A5" s="89" t="s">
        <v>19</v>
      </c>
      <c r="B5" s="89" t="s">
        <v>224</v>
      </c>
      <c r="C5" s="89" t="s">
        <v>226</v>
      </c>
      <c r="D5" s="89" t="s">
        <v>22</v>
      </c>
      <c r="E5" s="149" t="s">
        <v>23</v>
      </c>
      <c r="F5" s="297"/>
      <c r="G5" s="90" t="s">
        <v>227</v>
      </c>
      <c r="H5" s="90" t="s">
        <v>76</v>
      </c>
      <c r="I5" s="90" t="s">
        <v>228</v>
      </c>
      <c r="J5" s="90" t="s">
        <v>229</v>
      </c>
      <c r="K5" s="90" t="s">
        <v>77</v>
      </c>
      <c r="L5" s="90" t="s">
        <v>78</v>
      </c>
      <c r="M5" s="90" t="s">
        <v>79</v>
      </c>
      <c r="N5" s="90" t="s">
        <v>80</v>
      </c>
      <c r="O5" s="90" t="s">
        <v>81</v>
      </c>
      <c r="P5" s="90" t="s">
        <v>305</v>
      </c>
      <c r="Q5" s="149" t="s">
        <v>230</v>
      </c>
      <c r="R5" s="90" t="s">
        <v>585</v>
      </c>
      <c r="S5" s="90" t="s">
        <v>643</v>
      </c>
      <c r="T5" s="90" t="s">
        <v>645</v>
      </c>
      <c r="U5" s="90" t="s">
        <v>644</v>
      </c>
    </row>
    <row r="6" spans="1:21" x14ac:dyDescent="0.3">
      <c r="B6" s="16" t="s">
        <v>299</v>
      </c>
      <c r="C6" s="15" t="s">
        <v>302</v>
      </c>
      <c r="D6" s="21" t="s">
        <v>90</v>
      </c>
      <c r="E6" s="21" t="s">
        <v>40</v>
      </c>
      <c r="F6" s="120">
        <f>SUM(G6:Q6)</f>
        <v>1.085237315674436E-4</v>
      </c>
      <c r="G6" s="27">
        <f>'Forage crops, CF'!F9</f>
        <v>9.0395620528127703E-6</v>
      </c>
      <c r="H6" s="27">
        <f>'Forage crops, CF'!G9</f>
        <v>9.5000000000000005E-5</v>
      </c>
      <c r="I6" s="27"/>
      <c r="J6" s="27"/>
      <c r="K6" s="27">
        <f>'Forage crops, CF'!J9</f>
        <v>4.4841695146308248E-6</v>
      </c>
      <c r="L6" s="27"/>
      <c r="M6" s="27">
        <f>'Forage crops, CF'!L9</f>
        <v>0</v>
      </c>
      <c r="N6" s="27">
        <f>'Forage crops, CF'!M9</f>
        <v>0</v>
      </c>
      <c r="O6" s="27"/>
      <c r="P6" s="27">
        <f>'Forage crops, CF'!O9</f>
        <v>0</v>
      </c>
      <c r="Q6" s="27"/>
      <c r="R6" s="151">
        <f>'Parameters SH, country spec'!B15</f>
        <v>1.3213875800981024E-2</v>
      </c>
      <c r="S6" s="151">
        <f>'Parameters SH, country spec'!B33</f>
        <v>1.3213875800981E-2</v>
      </c>
      <c r="T6" s="264">
        <f>'Parameters D24m, country spec'!B11</f>
        <v>1.3213875800981024E-2</v>
      </c>
      <c r="U6" s="151"/>
    </row>
    <row r="7" spans="1:21" x14ac:dyDescent="0.3">
      <c r="B7" s="16" t="s">
        <v>300</v>
      </c>
      <c r="C7" s="15" t="s">
        <v>302</v>
      </c>
      <c r="D7" s="21" t="s">
        <v>90</v>
      </c>
      <c r="E7" s="21" t="s">
        <v>40</v>
      </c>
      <c r="F7" s="120">
        <f>SUM(G7:Q7)</f>
        <v>8.2186579495039313E-4</v>
      </c>
      <c r="G7" s="27">
        <f>'Forage crops, CF'!F74</f>
        <v>1.187544333864606E-5</v>
      </c>
      <c r="H7" s="27">
        <f>'Forage crops, CF'!G74</f>
        <v>9.5000000000000005E-5</v>
      </c>
      <c r="I7" s="27"/>
      <c r="J7" s="27"/>
      <c r="K7" s="27">
        <f>'Forage crops, CF'!J74</f>
        <v>6.9903516117470652E-6</v>
      </c>
      <c r="L7" s="27"/>
      <c r="M7" s="27">
        <f>'Forage crops, CF'!L74</f>
        <v>0</v>
      </c>
      <c r="N7" s="27">
        <f>'Forage crops, CF'!M74</f>
        <v>0</v>
      </c>
      <c r="O7" s="27"/>
      <c r="P7" s="27">
        <f>'Forage crops, CF'!O74</f>
        <v>7.0799999999999997E-4</v>
      </c>
      <c r="Q7" s="27"/>
      <c r="R7" s="151">
        <f>'Parameters SH, country spec'!B16</f>
        <v>0.2760369962266197</v>
      </c>
      <c r="S7" s="151">
        <f>'Parameters SH, country spec'!B34</f>
        <v>0.2760369962266197</v>
      </c>
      <c r="T7" s="264">
        <f>'Parameters D24m, country spec'!B12</f>
        <v>0.2760369962266197</v>
      </c>
    </row>
    <row r="8" spans="1:21" x14ac:dyDescent="0.3">
      <c r="B8" s="16" t="s">
        <v>301</v>
      </c>
      <c r="C8" s="15" t="s">
        <v>302</v>
      </c>
      <c r="D8" s="21" t="s">
        <v>90</v>
      </c>
      <c r="E8" s="21" t="s">
        <v>40</v>
      </c>
      <c r="F8" s="120">
        <f>SUM(G8:Q8)</f>
        <v>8.1651955582094356E-4</v>
      </c>
      <c r="G8" s="27">
        <f>'Forage crops, CF'!F139*'Forage, input data per ha'!$D$78+'Forage crops, CF'!F204*'Forage, input data per ha'!$E$78</f>
        <v>9.0354336199283795E-6</v>
      </c>
      <c r="H8" s="27">
        <f>'Forage crops, CF'!G139*'Forage, input data per ha'!$D$78+'Forage crops, CF'!G204*'Forage, input data per ha'!$E$78</f>
        <v>9.5000000000000005E-5</v>
      </c>
      <c r="I8" s="27"/>
      <c r="J8" s="27"/>
      <c r="K8" s="27">
        <f>'Forage crops, CF'!J139*'Forage, input data per ha'!$D$78+'Forage crops, CF'!J204*'Forage, input data per ha'!$E$78</f>
        <v>4.484122201015219E-6</v>
      </c>
      <c r="L8" s="27"/>
      <c r="M8" s="27">
        <f>'Forage crops, CF'!L139*'Forage, input data per ha'!$D$78+'Forage crops, CF'!L204*'Forage, input data per ha'!$E$78</f>
        <v>0</v>
      </c>
      <c r="N8" s="27">
        <f>'Forage crops, CF'!M139*'Forage, input data per ha'!$D$78+'Forage crops, CF'!M204*'Forage, input data per ha'!$E$78</f>
        <v>0</v>
      </c>
      <c r="O8" s="27"/>
      <c r="P8" s="27">
        <f>'Forage crops, CF'!O139*'Forage, input data per ha'!$D$78+'Forage crops, CF'!O204*'Forage, input data per ha'!$E$78</f>
        <v>7.0799999999999997E-4</v>
      </c>
      <c r="Q8" s="27"/>
      <c r="R8" s="151">
        <f>'Parameters SH, country spec'!B17</f>
        <v>0.61590538837145792</v>
      </c>
      <c r="S8" s="151">
        <f>'Parameters SH, country spec'!B35</f>
        <v>0.61590538837145792</v>
      </c>
      <c r="T8" s="264">
        <f>'Parameters D24m, country spec'!B13</f>
        <v>0.61590538837145792</v>
      </c>
    </row>
    <row r="9" spans="1:21" x14ac:dyDescent="0.3">
      <c r="A9" s="20" t="s">
        <v>231</v>
      </c>
      <c r="B9" s="15" t="s">
        <v>113</v>
      </c>
      <c r="C9" s="15" t="s">
        <v>232</v>
      </c>
      <c r="D9" s="21" t="s">
        <v>90</v>
      </c>
      <c r="E9" s="21" t="s">
        <v>40</v>
      </c>
      <c r="F9" s="120">
        <f>SUM(G9:Q9)</f>
        <v>2.1829999999999999E-4</v>
      </c>
      <c r="G9" s="93">
        <v>8.1000000000000004E-5</v>
      </c>
      <c r="H9" s="93">
        <v>1E-4</v>
      </c>
      <c r="I9" s="93"/>
      <c r="J9" s="93"/>
      <c r="K9" s="93">
        <v>1.45E-5</v>
      </c>
      <c r="L9" s="93"/>
      <c r="M9" s="93">
        <v>0</v>
      </c>
      <c r="N9" s="93">
        <v>2.2799999999999999E-5</v>
      </c>
      <c r="O9" s="93"/>
      <c r="P9" s="93"/>
      <c r="Q9" s="93"/>
      <c r="R9" s="151">
        <f>'Parameters SH, country spec'!B18</f>
        <v>5.1639112390513857E-3</v>
      </c>
      <c r="S9" s="151">
        <f>'Parameters SH, country spec'!B36</f>
        <v>5.1639112390513857E-3</v>
      </c>
      <c r="T9" s="264">
        <f>'Parameters D24m, country spec'!B14</f>
        <v>5.1639112390513857E-3</v>
      </c>
    </row>
    <row r="10" spans="1:21" x14ac:dyDescent="0.3">
      <c r="A10" s="20" t="s">
        <v>233</v>
      </c>
      <c r="B10" s="15" t="s">
        <v>114</v>
      </c>
      <c r="C10" s="15" t="s">
        <v>232</v>
      </c>
      <c r="D10" s="21" t="s">
        <v>90</v>
      </c>
      <c r="E10" s="21" t="s">
        <v>40</v>
      </c>
      <c r="F10" s="120">
        <f t="shared" ref="F10:F19" si="0">SUM(G10:Q10)</f>
        <v>2.2610000000000002E-4</v>
      </c>
      <c r="G10" s="93">
        <v>7.8999999999999996E-5</v>
      </c>
      <c r="H10" s="93">
        <v>1E-4</v>
      </c>
      <c r="I10" s="93"/>
      <c r="J10" s="93"/>
      <c r="K10" s="93">
        <v>1.2E-5</v>
      </c>
      <c r="L10" s="93"/>
      <c r="M10" s="93">
        <v>1.2300000000000001E-5</v>
      </c>
      <c r="N10" s="93">
        <v>2.2799999999999999E-5</v>
      </c>
      <c r="O10" s="93"/>
      <c r="P10" s="93"/>
      <c r="Q10" s="93"/>
      <c r="R10" s="151">
        <f>'Parameters SH, country spec'!B19</f>
        <v>3.1075970320211814E-4</v>
      </c>
      <c r="S10" s="151">
        <f>'Parameters SH, country spec'!B37</f>
        <v>3.1075970320211814E-4</v>
      </c>
      <c r="T10" s="264">
        <f>'Parameters D24m, country spec'!B15</f>
        <v>3.1075970320211814E-4</v>
      </c>
    </row>
    <row r="11" spans="1:21" x14ac:dyDescent="0.3">
      <c r="A11" s="20" t="s">
        <v>234</v>
      </c>
      <c r="B11" s="15" t="s">
        <v>115</v>
      </c>
      <c r="C11" s="15" t="s">
        <v>232</v>
      </c>
      <c r="D11" s="21" t="s">
        <v>90</v>
      </c>
      <c r="E11" s="21" t="s">
        <v>40</v>
      </c>
      <c r="F11" s="120">
        <f t="shared" si="0"/>
        <v>2.1040000000000002E-4</v>
      </c>
      <c r="G11" s="93">
        <v>7.1000000000000005E-5</v>
      </c>
      <c r="H11" s="93">
        <v>1E-4</v>
      </c>
      <c r="I11" s="93"/>
      <c r="J11" s="93"/>
      <c r="K11" s="93">
        <v>1.66E-5</v>
      </c>
      <c r="L11" s="93"/>
      <c r="M11" s="93">
        <v>0</v>
      </c>
      <c r="N11" s="93">
        <v>2.2799999999999999E-5</v>
      </c>
      <c r="O11" s="93"/>
      <c r="P11" s="93"/>
      <c r="Q11" s="93"/>
      <c r="R11" s="151">
        <f>'Parameters SH, country spec'!B20</f>
        <v>8.6733359151412953E-5</v>
      </c>
      <c r="S11" s="151">
        <f>'Parameters SH, country spec'!B38</f>
        <v>8.6733359151412953E-5</v>
      </c>
      <c r="T11" s="264">
        <f>'Parameters D24m, country spec'!B16</f>
        <v>8.6733359151412953E-5</v>
      </c>
    </row>
    <row r="12" spans="1:21" x14ac:dyDescent="0.3">
      <c r="A12" s="20" t="s">
        <v>235</v>
      </c>
      <c r="B12" s="15" t="s">
        <v>116</v>
      </c>
      <c r="C12" s="15" t="s">
        <v>232</v>
      </c>
      <c r="D12" s="21" t="s">
        <v>90</v>
      </c>
      <c r="E12" s="21" t="s">
        <v>40</v>
      </c>
      <c r="F12" s="120">
        <f t="shared" si="0"/>
        <v>1.9940000000000002E-4</v>
      </c>
      <c r="G12" s="93">
        <v>6.3E-5</v>
      </c>
      <c r="H12" s="93">
        <v>1E-4</v>
      </c>
      <c r="I12" s="93"/>
      <c r="J12" s="93"/>
      <c r="K12" s="93">
        <v>1.36E-5</v>
      </c>
      <c r="L12" s="93"/>
      <c r="M12" s="93">
        <v>0</v>
      </c>
      <c r="N12" s="93">
        <v>2.2799999999999999E-5</v>
      </c>
      <c r="O12" s="93"/>
      <c r="P12" s="93"/>
      <c r="Q12" s="93"/>
      <c r="R12" s="151">
        <f>'Parameters SH, country spec'!B21</f>
        <v>6.2924072151971947E-5</v>
      </c>
      <c r="S12" s="151">
        <f>'Parameters SH, country spec'!B39</f>
        <v>6.2924072151971947E-5</v>
      </c>
      <c r="T12" s="264">
        <f>'Parameters D24m, country spec'!B17</f>
        <v>6.2924072151971947E-5</v>
      </c>
    </row>
    <row r="13" spans="1:21" x14ac:dyDescent="0.3">
      <c r="A13" s="20" t="s">
        <v>236</v>
      </c>
      <c r="B13" s="15" t="s">
        <v>117</v>
      </c>
      <c r="C13" s="15" t="s">
        <v>232</v>
      </c>
      <c r="D13" s="21" t="s">
        <v>90</v>
      </c>
      <c r="E13" s="21" t="s">
        <v>40</v>
      </c>
      <c r="F13" s="120">
        <f t="shared" si="0"/>
        <v>2.2831000000000001E-4</v>
      </c>
      <c r="G13" s="93">
        <v>9.2999999999999997E-5</v>
      </c>
      <c r="H13" s="93">
        <v>1E-4</v>
      </c>
      <c r="I13" s="93"/>
      <c r="J13" s="93"/>
      <c r="K13" s="93">
        <v>1.1E-5</v>
      </c>
      <c r="L13" s="93"/>
      <c r="M13" s="93">
        <v>1.5099999999999999E-6</v>
      </c>
      <c r="N13" s="93">
        <v>2.2799999999999999E-5</v>
      </c>
      <c r="O13" s="93"/>
      <c r="P13" s="93"/>
      <c r="Q13" s="93"/>
      <c r="R13" s="151">
        <f>'Parameters SH, country spec'!B22</f>
        <v>5.3306026591199238E-3</v>
      </c>
      <c r="S13" s="151">
        <f>'Parameters SH, country spec'!B40</f>
        <v>5.3306026591199238E-3</v>
      </c>
      <c r="T13" s="264">
        <f>'Parameters D24m, country spec'!B18</f>
        <v>5.3306026591199238E-3</v>
      </c>
    </row>
    <row r="14" spans="1:21" x14ac:dyDescent="0.3">
      <c r="A14" s="20" t="s">
        <v>237</v>
      </c>
      <c r="B14" s="15" t="s">
        <v>118</v>
      </c>
      <c r="C14" s="15" t="s">
        <v>238</v>
      </c>
      <c r="D14" s="21" t="s">
        <v>90</v>
      </c>
      <c r="E14" s="21" t="s">
        <v>40</v>
      </c>
      <c r="F14" s="120">
        <f t="shared" si="0"/>
        <v>1.4275099999999999E-4</v>
      </c>
      <c r="G14" s="93">
        <v>0</v>
      </c>
      <c r="H14" s="93">
        <v>1E-4</v>
      </c>
      <c r="I14" s="93"/>
      <c r="J14" s="93"/>
      <c r="K14" s="93">
        <v>1.9700000000000001E-5</v>
      </c>
      <c r="L14" s="93"/>
      <c r="M14" s="93">
        <v>2.5100000000000001E-7</v>
      </c>
      <c r="N14" s="93">
        <v>2.2799999999999999E-5</v>
      </c>
      <c r="O14" s="93"/>
      <c r="P14" s="93"/>
      <c r="Q14" s="93"/>
      <c r="R14" s="151">
        <f>'Parameters SH, country spec'!B23</f>
        <v>2.439015630520557E-4</v>
      </c>
      <c r="S14" s="151">
        <f>'Parameters SH, country spec'!B41</f>
        <v>2.439015630520557E-4</v>
      </c>
      <c r="T14" s="264">
        <f>'Parameters D24m, country spec'!B19</f>
        <v>2.439015630520557E-4</v>
      </c>
    </row>
    <row r="15" spans="1:21" x14ac:dyDescent="0.3">
      <c r="A15" s="20" t="s">
        <v>239</v>
      </c>
      <c r="B15" s="15" t="s">
        <v>119</v>
      </c>
      <c r="C15" s="15" t="s">
        <v>238</v>
      </c>
      <c r="D15" s="21" t="s">
        <v>90</v>
      </c>
      <c r="E15" s="21" t="s">
        <v>40</v>
      </c>
      <c r="F15" s="120">
        <f t="shared" si="0"/>
        <v>1.7640000000000001E-4</v>
      </c>
      <c r="G15" s="93">
        <v>3.9999999999999998E-6</v>
      </c>
      <c r="H15" s="93">
        <v>1E-4</v>
      </c>
      <c r="I15" s="93"/>
      <c r="J15" s="93"/>
      <c r="K15" s="93">
        <v>2.0999999999999999E-5</v>
      </c>
      <c r="L15" s="93"/>
      <c r="M15" s="93">
        <v>2.8600000000000001E-5</v>
      </c>
      <c r="N15" s="93">
        <v>2.2799999999999999E-5</v>
      </c>
      <c r="O15" s="93"/>
      <c r="P15" s="93"/>
      <c r="Q15" s="93"/>
      <c r="R15" s="151">
        <f>'Parameters SH, country spec'!B24</f>
        <v>2.3959170998341588E-4</v>
      </c>
      <c r="S15" s="151">
        <f>'Parameters SH, country spec'!B42</f>
        <v>2.3959170998341588E-4</v>
      </c>
      <c r="T15" s="264">
        <f>'Parameters D24m, country spec'!B20</f>
        <v>2.3959170998341588E-4</v>
      </c>
    </row>
    <row r="16" spans="1:21" x14ac:dyDescent="0.3">
      <c r="B16" s="16" t="s">
        <v>120</v>
      </c>
      <c r="C16" s="15" t="s">
        <v>240</v>
      </c>
      <c r="D16" s="21" t="s">
        <v>90</v>
      </c>
      <c r="E16" s="21" t="s">
        <v>40</v>
      </c>
      <c r="F16" s="120">
        <f t="shared" si="0"/>
        <v>4.6478527325651394E-4</v>
      </c>
      <c r="G16" s="27">
        <f>'Off-farm feed'!$F$75</f>
        <v>3.0425509539765719E-4</v>
      </c>
      <c r="H16" s="27">
        <f>'Off-farm feed'!$G$75</f>
        <v>4.5862068965517246E-5</v>
      </c>
      <c r="I16" s="27"/>
      <c r="J16" s="27"/>
      <c r="K16" s="27">
        <f>'Off-farm feed'!$J$75</f>
        <v>1.0936279334641699E-5</v>
      </c>
      <c r="L16" s="27"/>
      <c r="M16" s="27">
        <f>'Off-farm feed'!$L$75</f>
        <v>6.4606960551724142E-7</v>
      </c>
      <c r="N16" s="27">
        <f>'Off-farm feed'!$M$75</f>
        <v>2.1884761697575221E-5</v>
      </c>
      <c r="O16" s="27"/>
      <c r="P16" s="27">
        <f>'Off-farm feed'!$O$75</f>
        <v>5.7027085212127035E-5</v>
      </c>
      <c r="Q16" s="27">
        <f>'Off-farm feed'!$P$75</f>
        <v>2.4173913043478263E-5</v>
      </c>
      <c r="R16" s="151">
        <f>'Parameters SH, country spec'!B25</f>
        <v>1.5312279516773717E-2</v>
      </c>
      <c r="S16" s="151">
        <f>'Parameters SH, country spec'!B43</f>
        <v>1.5312279516773717E-2</v>
      </c>
      <c r="T16" s="264">
        <f>'Parameters D24m, country spec'!B21</f>
        <v>1.5312279516773717E-2</v>
      </c>
    </row>
    <row r="17" spans="1:20" x14ac:dyDescent="0.3">
      <c r="B17" s="16" t="s">
        <v>241</v>
      </c>
      <c r="C17" s="15" t="s">
        <v>240</v>
      </c>
      <c r="D17" s="21" t="s">
        <v>90</v>
      </c>
      <c r="E17" s="21" t="s">
        <v>40</v>
      </c>
      <c r="F17" s="120">
        <f t="shared" si="0"/>
        <v>4.7266553697523981E-4</v>
      </c>
      <c r="G17" s="27">
        <f>'Off-farm feed'!$F$24</f>
        <v>1.5603516238625262E-5</v>
      </c>
      <c r="H17" s="27">
        <f>'Off-farm feed'!$G$24</f>
        <v>7.5304878048780503E-5</v>
      </c>
      <c r="I17" s="27"/>
      <c r="J17" s="27"/>
      <c r="K17" s="27">
        <f>'Off-farm feed'!$J$24</f>
        <v>1.908459074435586E-5</v>
      </c>
      <c r="L17" s="27"/>
      <c r="M17" s="27">
        <f>'Off-farm feed'!$L$24</f>
        <v>5.9672097439024396E-7</v>
      </c>
      <c r="N17" s="27">
        <f>'Off-farm feed'!$M$24</f>
        <v>2.3084271612619523E-5</v>
      </c>
      <c r="O17" s="27"/>
      <c r="P17" s="27">
        <f>'Off-farm feed'!$O$24</f>
        <v>1.2899155935646844E-4</v>
      </c>
      <c r="Q17" s="27">
        <f>'Off-farm feed'!$P$24</f>
        <v>2.1000000000000001E-4</v>
      </c>
      <c r="R17" s="151">
        <f>'Parameters SH, country spec'!B26</f>
        <v>3.7726798982461625E-2</v>
      </c>
      <c r="S17" s="151">
        <f>'Parameters SH, country spec'!B44</f>
        <v>3.7726798982461625E-2</v>
      </c>
      <c r="T17" s="264">
        <f>'Parameters D24m, country spec'!B22</f>
        <v>3.7726798982461625E-2</v>
      </c>
    </row>
    <row r="18" spans="1:20" x14ac:dyDescent="0.3">
      <c r="B18" s="15" t="s">
        <v>122</v>
      </c>
      <c r="C18" s="15" t="s">
        <v>242</v>
      </c>
      <c r="D18" s="21" t="s">
        <v>90</v>
      </c>
      <c r="E18" s="21" t="s">
        <v>40</v>
      </c>
      <c r="F18" s="120"/>
      <c r="G18" s="93"/>
      <c r="H18" s="93"/>
      <c r="I18" s="93"/>
      <c r="J18" s="93"/>
      <c r="K18" s="93"/>
      <c r="L18" s="93"/>
      <c r="M18" s="93"/>
      <c r="N18" s="93"/>
      <c r="O18" s="93"/>
      <c r="P18" s="93"/>
      <c r="Q18" s="93"/>
      <c r="R18" s="151">
        <f>'Parameters SH, country spec'!B27</f>
        <v>1.6611298610472246E-2</v>
      </c>
      <c r="S18" s="151">
        <f>'Parameters SH, country spec'!B45</f>
        <v>1.6611298610472246E-2</v>
      </c>
      <c r="T18" s="264">
        <f>'Parameters D24m, country spec'!B23</f>
        <v>1.6611298610472246E-2</v>
      </c>
    </row>
    <row r="19" spans="1:20" x14ac:dyDescent="0.3">
      <c r="A19" s="75"/>
      <c r="B19" s="15" t="s">
        <v>243</v>
      </c>
      <c r="C19" s="76" t="s">
        <v>244</v>
      </c>
      <c r="D19" s="21" t="s">
        <v>90</v>
      </c>
      <c r="E19" s="21" t="s">
        <v>40</v>
      </c>
      <c r="F19" s="120">
        <f t="shared" si="0"/>
        <v>2.7471531132689413E-5</v>
      </c>
      <c r="G19" s="74">
        <f>SUMPRODUCT(G9:G17,$R9:$R17)</f>
        <v>6.1971633117853115E-6</v>
      </c>
      <c r="H19" s="74">
        <f t="shared" ref="H19:P19" si="1">SUMPRODUCT(H9:H17,$R9:$R17)</f>
        <v>4.6871072463339112E-6</v>
      </c>
      <c r="I19" s="74">
        <f t="shared" si="1"/>
        <v>0</v>
      </c>
      <c r="J19" s="74">
        <f t="shared" si="1"/>
        <v>0</v>
      </c>
      <c r="K19" s="74">
        <f t="shared" si="1"/>
        <v>1.0368341712203581E-6</v>
      </c>
      <c r="L19" s="74">
        <f t="shared" si="1"/>
        <v>0</v>
      </c>
      <c r="M19" s="74">
        <f t="shared" si="1"/>
        <v>5.1190267198919996E-8</v>
      </c>
      <c r="N19" s="74">
        <f t="shared" si="1"/>
        <v>1.4667973372273371E-6</v>
      </c>
      <c r="O19" s="74">
        <f t="shared" si="1"/>
        <v>0</v>
      </c>
      <c r="P19" s="74">
        <f t="shared" si="1"/>
        <v>5.7396532990707141E-6</v>
      </c>
      <c r="Q19" s="74">
        <f>SUMPRODUCT(Q9:Q17,$R9:$R17)</f>
        <v>8.2927854998528619E-6</v>
      </c>
      <c r="R19" s="151">
        <f>'Parameters SH, country spec'!B28</f>
        <v>1.3754938185521381E-2</v>
      </c>
      <c r="S19" s="151">
        <f>'Parameters SH, country spec'!B46</f>
        <v>1.3754938185521381E-2</v>
      </c>
      <c r="T19" s="264">
        <f>'Parameters D24m, country spec'!B24</f>
        <v>1.3754938185521381E-2</v>
      </c>
    </row>
    <row r="20" spans="1:20" x14ac:dyDescent="0.3">
      <c r="A20" s="328"/>
      <c r="B20" s="329" t="s">
        <v>616</v>
      </c>
      <c r="C20" s="330"/>
      <c r="D20" s="331"/>
      <c r="E20" s="331"/>
      <c r="F20" s="334">
        <f>SUMPRODUCT(F6:F8,R6:R8)+SUMPRODUCT(F9:F19,R9:R19)/0.87</f>
        <v>7.6320898358526535E-4</v>
      </c>
      <c r="G20" s="334">
        <f>SUMPRODUCT(G6:G8,R6:R8)+SUMPRODUCT(G9:G19,R9:R19)/0.87</f>
        <v>1.6183636680146579E-5</v>
      </c>
      <c r="H20" s="334">
        <f>SUMPRODUCT(H6:H8,R6:R8)+SUMPRODUCT(H9:H19,R9:R19)/0.87</f>
        <v>9.1451428780182017E-5</v>
      </c>
      <c r="I20" s="334">
        <f>SUMPRODUCT(I6:I8,R6:R8)+SUMPRODUCT(I9:I19,R9:R19)/0.87</f>
        <v>0</v>
      </c>
      <c r="J20" s="334">
        <f>SUMPRODUCT(J6:J8,R6:R8)+SUMPRODUCT(J9:J19,R9:R19)/0.87</f>
        <v>0</v>
      </c>
      <c r="K20" s="334">
        <f>SUMPRODUCT(K6:K8,R6:R8)+SUMPRODUCT(K9:K19,R9:R19)/0.87</f>
        <v>5.9587999935363996E-6</v>
      </c>
      <c r="L20" s="334">
        <f>SUMPRODUCT(L6:L8,R6:R8)+SUMPRODUCT(L9:L19,R9:R19)/0.87</f>
        <v>0</v>
      </c>
      <c r="M20" s="334">
        <f>SUMPRODUCT(M6:M8,R6:R8)+SUMPRODUCT(M9:M19,R9:R19)/0.87</f>
        <v>5.964871972407065E-8</v>
      </c>
      <c r="N20" s="334">
        <f>SUMPRODUCT(N6:N8,R6:R8)+SUMPRODUCT(N9:N19,R9:R19)/0.87</f>
        <v>1.7091644183121685E-6</v>
      </c>
      <c r="O20" s="334">
        <f>SUMPRODUCT(O6:O8,R6:R8)+SUMPRODUCT(O9:O19,R9:R19)/0.87</f>
        <v>0</v>
      </c>
      <c r="P20" s="334">
        <f>SUMPRODUCT(P6:P8,R6:R8)+SUMPRODUCT(P9:P19,R9:R19)/0.87</f>
        <v>6.3818325642808922E-4</v>
      </c>
      <c r="Q20" s="334">
        <f>SUMPRODUCT(Q6:Q8,R6:R8)+SUMPRODUCT(Q9:Q19,R9:R19)/0.87</f>
        <v>9.6630485652748592E-6</v>
      </c>
      <c r="R20" s="335"/>
      <c r="S20" s="335"/>
      <c r="T20" s="335"/>
    </row>
    <row r="21" spans="1:20" x14ac:dyDescent="0.3">
      <c r="A21" s="150"/>
      <c r="B21" s="23" t="s">
        <v>457</v>
      </c>
      <c r="C21" s="24"/>
      <c r="D21" s="94"/>
      <c r="E21" s="94"/>
      <c r="F21" s="28">
        <f>SUMPRODUCT(F6:F8,S6:S8)+SUMPRODUCT(F9:F19,S9:S19)/0.87</f>
        <v>7.6320898358526535E-4</v>
      </c>
      <c r="G21" s="28">
        <f>SUMPRODUCT(G6:G8,S6:S8)+SUMPRODUCT(G9:G19,S9:S19)/0.87</f>
        <v>1.6183636680146579E-5</v>
      </c>
      <c r="H21" s="28">
        <f>SUMPRODUCT(H6:H8,S6:S8)+SUMPRODUCT(H9:H19,S9:S19)/0.87</f>
        <v>9.1451428780182017E-5</v>
      </c>
      <c r="I21" s="28">
        <f>SUMPRODUCT(I6:I8,S6:S8)+SUMPRODUCT(I9:I19,S9:S19)/0.87</f>
        <v>0</v>
      </c>
      <c r="J21" s="28">
        <f>SUMPRODUCT(J6:J8,S6:S8)+SUMPRODUCT(J9:J19,S9:S19)/0.87</f>
        <v>0</v>
      </c>
      <c r="K21" s="28">
        <f>SUMPRODUCT(K6:K8,S6:S8)+SUMPRODUCT(K9:K19,S9:S19)/0.87</f>
        <v>5.9587999935363996E-6</v>
      </c>
      <c r="L21" s="28">
        <f>SUMPRODUCT(L6:L8,S6:S8)+SUMPRODUCT(L9:L19,S9:S19)/0.87</f>
        <v>0</v>
      </c>
      <c r="M21" s="28">
        <f>SUMPRODUCT(M6:M8,S6:S8)+SUMPRODUCT(M9:M19,S9:S19)/0.87</f>
        <v>5.964871972407065E-8</v>
      </c>
      <c r="N21" s="28">
        <f>SUMPRODUCT(N6:N8,S6:S8)+SUMPRODUCT(N9:N19,S9:S19)/0.87</f>
        <v>1.7091644183121685E-6</v>
      </c>
      <c r="O21" s="28">
        <f>SUMPRODUCT(O6:O8,S6:S8)+SUMPRODUCT(O9:O19,S9:S19)/0.87</f>
        <v>0</v>
      </c>
      <c r="P21" s="28">
        <f>SUMPRODUCT(P6:P8,S6:S8)+SUMPRODUCT(P9:P19,S9:S19)/0.87</f>
        <v>6.3818325642808922E-4</v>
      </c>
      <c r="Q21" s="28">
        <f>SUMPRODUCT(Q6:Q8,S6:S8)+SUMPRODUCT(Q9:Q19,S9:S19)/0.87</f>
        <v>9.6630485652748592E-6</v>
      </c>
      <c r="R21" s="152"/>
      <c r="S21" s="152"/>
      <c r="T21" s="152"/>
    </row>
    <row r="22" spans="1:20" x14ac:dyDescent="0.3">
      <c r="A22" s="328"/>
      <c r="B22" s="329" t="s">
        <v>641</v>
      </c>
      <c r="C22" s="330"/>
      <c r="D22" s="331"/>
      <c r="E22" s="331"/>
      <c r="F22" s="332">
        <f>SUMPRODUCT(F6:F8,$T6:$T8)+SUMPRODUCT(F9:F19,$T9:$T19)/0.87</f>
        <v>7.6320898358526535E-4</v>
      </c>
      <c r="G22" s="332">
        <f t="shared" ref="G22:O22" si="2">SUMPRODUCT(G6:G8,$T6:$T8)+SUMPRODUCT(G9:G19,$T9:$T19)/0.87</f>
        <v>1.6183636680146579E-5</v>
      </c>
      <c r="H22" s="332">
        <f t="shared" si="2"/>
        <v>9.1451428780182017E-5</v>
      </c>
      <c r="I22" s="332">
        <f t="shared" si="2"/>
        <v>0</v>
      </c>
      <c r="J22" s="332">
        <f t="shared" si="2"/>
        <v>0</v>
      </c>
      <c r="K22" s="332">
        <f t="shared" si="2"/>
        <v>5.9587999935363996E-6</v>
      </c>
      <c r="L22" s="332">
        <f t="shared" si="2"/>
        <v>0</v>
      </c>
      <c r="M22" s="332">
        <f t="shared" si="2"/>
        <v>5.964871972407065E-8</v>
      </c>
      <c r="N22" s="332">
        <f t="shared" si="2"/>
        <v>1.7091644183121685E-6</v>
      </c>
      <c r="O22" s="332">
        <f t="shared" si="2"/>
        <v>0</v>
      </c>
      <c r="P22" s="332">
        <f>SUMPRODUCT(P6:P8,$T6:$T8)+SUMPRODUCT(P9:P19,$T9:$T19)/0.87</f>
        <v>6.3818325642808922E-4</v>
      </c>
      <c r="Q22" s="332">
        <f t="shared" ref="Q22" si="3">SUMPRODUCT(Q6:Q8,$T6:$T8)+SUMPRODUCT(Q9:Q19,$T9:$T19)/0.87</f>
        <v>9.6630485652748592E-6</v>
      </c>
      <c r="R22" s="335"/>
      <c r="S22" s="335"/>
      <c r="T22" s="335"/>
    </row>
    <row r="23" spans="1:20" x14ac:dyDescent="0.3">
      <c r="A23" s="150"/>
      <c r="B23" s="23" t="s">
        <v>642</v>
      </c>
      <c r="C23" s="24"/>
      <c r="D23" s="94"/>
      <c r="E23" s="94"/>
      <c r="F23" s="327">
        <f>SUMPRODUCT(F6:F8,$U6:$U8)+SUMPRODUCT(F9:F19,$U9:$U19)/0.87</f>
        <v>0</v>
      </c>
      <c r="G23" s="327">
        <f t="shared" ref="G23:K23" si="4">SUMPRODUCT(G6:G8,$U6:$U8)+SUMPRODUCT(G9:G19,$U9:$U19)/0.87</f>
        <v>0</v>
      </c>
      <c r="H23" s="327">
        <f t="shared" si="4"/>
        <v>0</v>
      </c>
      <c r="I23" s="327">
        <f t="shared" si="4"/>
        <v>0</v>
      </c>
      <c r="J23" s="327">
        <f t="shared" si="4"/>
        <v>0</v>
      </c>
      <c r="K23" s="327">
        <f t="shared" si="4"/>
        <v>0</v>
      </c>
      <c r="L23" s="327">
        <f>SUMPRODUCT(L6:L8,$U6:$U8)+SUMPRODUCT(L9:L19,$U9:$U19)/0.87</f>
        <v>0</v>
      </c>
      <c r="M23" s="327">
        <f t="shared" ref="M23:Q23" si="5">SUMPRODUCT(M6:M8,$U6:$U8)+SUMPRODUCT(M9:M19,$U9:$U19)/0.87</f>
        <v>0</v>
      </c>
      <c r="N23" s="327">
        <f t="shared" si="5"/>
        <v>0</v>
      </c>
      <c r="O23" s="327">
        <f t="shared" si="5"/>
        <v>0</v>
      </c>
      <c r="P23" s="327">
        <f t="shared" si="5"/>
        <v>0</v>
      </c>
      <c r="Q23" s="327">
        <f t="shared" si="5"/>
        <v>0</v>
      </c>
      <c r="R23" s="152"/>
      <c r="S23" s="152"/>
      <c r="T23" s="152"/>
    </row>
    <row r="24" spans="1:20" x14ac:dyDescent="0.3">
      <c r="B24" s="16" t="s">
        <v>299</v>
      </c>
      <c r="C24" s="15" t="s">
        <v>302</v>
      </c>
      <c r="D24" s="21" t="s">
        <v>41</v>
      </c>
      <c r="E24" s="21" t="s">
        <v>42</v>
      </c>
      <c r="F24" s="120">
        <f>SUM(G24:Q24)</f>
        <v>1.356989640494849E-4</v>
      </c>
      <c r="G24" s="27">
        <f>'Forage crops, CF'!F14</f>
        <v>3.3081003708430824E-5</v>
      </c>
      <c r="H24" s="27">
        <f>'Forage crops, CF'!G14</f>
        <v>9.5000000000000005E-5</v>
      </c>
      <c r="I24" s="27">
        <f>'Forage crops, CF'!H14</f>
        <v>0</v>
      </c>
      <c r="J24" s="27">
        <f>'Forage crops, CF'!I14</f>
        <v>0</v>
      </c>
      <c r="K24" s="27">
        <f>'Forage crops, CF'!J14</f>
        <v>5.8049611605147208E-6</v>
      </c>
      <c r="L24" s="27">
        <f>'Forage crops, CF'!K14</f>
        <v>0</v>
      </c>
      <c r="M24" s="27">
        <f>'Forage crops, CF'!L14</f>
        <v>1.8129991805393392E-6</v>
      </c>
      <c r="N24" s="27">
        <f>'Forage crops, CF'!M14</f>
        <v>0</v>
      </c>
      <c r="O24" s="27">
        <f>'Forage crops, CF'!N14</f>
        <v>0</v>
      </c>
      <c r="P24" s="27">
        <f>'Forage crops, CF'!O14</f>
        <v>0</v>
      </c>
      <c r="Q24" s="27">
        <f>'Forage crops, CF'!P14</f>
        <v>0</v>
      </c>
      <c r="R24" s="151">
        <f>'Parameters SH, country spec'!C15</f>
        <v>0.18889688285610365</v>
      </c>
      <c r="S24" s="151">
        <f>'Parameters SH, country spec'!C33</f>
        <v>0.18889688285610365</v>
      </c>
      <c r="T24" s="264">
        <f>'Parameters D24m, country spec'!C11</f>
        <v>0.18889688285610365</v>
      </c>
    </row>
    <row r="25" spans="1:20" x14ac:dyDescent="0.3">
      <c r="B25" s="16" t="s">
        <v>300</v>
      </c>
      <c r="C25" s="15" t="s">
        <v>302</v>
      </c>
      <c r="D25" s="21" t="s">
        <v>41</v>
      </c>
      <c r="E25" s="21" t="s">
        <v>42</v>
      </c>
      <c r="F25" s="120">
        <f>SUM(G25:Q25)</f>
        <v>8.4564677783540028E-4</v>
      </c>
      <c r="G25" s="27">
        <f>'Forage crops, CF'!F79</f>
        <v>3.3552545797205459E-5</v>
      </c>
      <c r="H25" s="27">
        <f>'Forage crops, CF'!G79</f>
        <v>9.5000000000000005E-5</v>
      </c>
      <c r="I25" s="27"/>
      <c r="J25" s="27"/>
      <c r="K25" s="27">
        <f>'Forage crops, CF'!J79</f>
        <v>7.2812328576555162E-6</v>
      </c>
      <c r="L25" s="27"/>
      <c r="M25" s="27">
        <f>'Forage crops, CF'!L79</f>
        <v>1.812999180539339E-6</v>
      </c>
      <c r="N25" s="27">
        <f>'Forage crops, CF'!M79</f>
        <v>0</v>
      </c>
      <c r="O25" s="27"/>
      <c r="P25" s="27">
        <f>'Forage crops, CF'!O79</f>
        <v>7.0799999999999997E-4</v>
      </c>
      <c r="Q25" s="27"/>
      <c r="R25" s="151">
        <f>'Parameters SH, country spec'!C16</f>
        <v>0.36965765773619236</v>
      </c>
      <c r="S25" s="151">
        <f>'Parameters SH, country spec'!C34</f>
        <v>0.36965765773619236</v>
      </c>
      <c r="T25" s="264">
        <f>'Parameters D24m, country spec'!C12</f>
        <v>0.36965765773619236</v>
      </c>
    </row>
    <row r="26" spans="1:20" x14ac:dyDescent="0.3">
      <c r="B26" s="16" t="s">
        <v>301</v>
      </c>
      <c r="C26" s="15" t="s">
        <v>302</v>
      </c>
      <c r="D26" s="21" t="s">
        <v>41</v>
      </c>
      <c r="E26" s="21" t="s">
        <v>42</v>
      </c>
      <c r="F26" s="120">
        <f>SUM(G26:Q26)</f>
        <v>8.4058233270477766E-4</v>
      </c>
      <c r="G26" s="27">
        <f>'Forage crops, CF'!F144*'Forage, input data per ha'!$D$79+'Forage crops, CF'!F209*'Forage, input data per ha'!$E$79</f>
        <v>2.9975882368115792E-5</v>
      </c>
      <c r="H26" s="27">
        <f>'Forage crops, CF'!G144*'Forage, input data per ha'!$D$79+'Forage crops, CF'!G209*'Forage, input data per ha'!$E$79</f>
        <v>9.5000000000000005E-5</v>
      </c>
      <c r="I26" s="27"/>
      <c r="J26" s="27"/>
      <c r="K26" s="27">
        <f>'Forage crops, CF'!J144*'Forage, input data per ha'!$D$79+'Forage crops, CF'!J209*'Forage, input data per ha'!$E$79</f>
        <v>5.7934511561224962E-6</v>
      </c>
      <c r="L26" s="27"/>
      <c r="M26" s="27">
        <f>'Forage crops, CF'!L144*'Forage, input data per ha'!$D$79+'Forage crops, CF'!L209*'Forage, input data per ha'!$E$79</f>
        <v>1.8129991805393392E-6</v>
      </c>
      <c r="N26" s="27">
        <f>'Forage crops, CF'!M144*'Forage, input data per ha'!$D$79+'Forage crops, CF'!M209*'Forage, input data per ha'!$E$79</f>
        <v>0</v>
      </c>
      <c r="O26" s="27"/>
      <c r="P26" s="27">
        <f>'Forage crops, CF'!O144*'Forage, input data per ha'!$D$79+'Forage crops, CF'!O209*'Forage, input data per ha'!$E$79</f>
        <v>7.0799999999999997E-4</v>
      </c>
      <c r="Q26" s="27"/>
      <c r="R26" s="151">
        <f>'Parameters SH, country spec'!C17</f>
        <v>0.23243726980023638</v>
      </c>
      <c r="S26" s="151">
        <f>'Parameters SH, country spec'!C35</f>
        <v>0.23243726980023638</v>
      </c>
      <c r="T26" s="264">
        <f>'Parameters D24m, country spec'!C13</f>
        <v>0.23243726980023638</v>
      </c>
    </row>
    <row r="27" spans="1:20" x14ac:dyDescent="0.3">
      <c r="A27" s="20" t="s">
        <v>231</v>
      </c>
      <c r="B27" s="15" t="s">
        <v>113</v>
      </c>
      <c r="C27" s="15" t="s">
        <v>232</v>
      </c>
      <c r="D27" s="21" t="s">
        <v>41</v>
      </c>
      <c r="E27" s="21" t="s">
        <v>42</v>
      </c>
      <c r="F27" s="120">
        <f>SUM(G27:Q27)</f>
        <v>2.8210000000000003E-4</v>
      </c>
      <c r="G27" s="93">
        <v>1.4999999999999999E-4</v>
      </c>
      <c r="H27" s="93">
        <v>1E-4</v>
      </c>
      <c r="I27" s="93"/>
      <c r="J27" s="93"/>
      <c r="K27" s="93">
        <v>1.3200000000000001E-5</v>
      </c>
      <c r="L27" s="93"/>
      <c r="M27" s="93">
        <v>9.9999999999999995E-7</v>
      </c>
      <c r="N27" s="93">
        <v>1.7900000000000001E-5</v>
      </c>
      <c r="O27" s="93"/>
      <c r="P27" s="93"/>
      <c r="Q27" s="93"/>
      <c r="R27" s="151">
        <f>'Parameters SH, country spec'!C18</f>
        <v>9.8050025013408561E-3</v>
      </c>
      <c r="S27" s="151">
        <f>'Parameters SH, country spec'!C36</f>
        <v>9.8050025013408561E-3</v>
      </c>
      <c r="T27" s="264">
        <f>'Parameters D24m, country spec'!C14</f>
        <v>9.8050025013408561E-3</v>
      </c>
    </row>
    <row r="28" spans="1:20" x14ac:dyDescent="0.3">
      <c r="A28" s="20" t="s">
        <v>233</v>
      </c>
      <c r="B28" s="15" t="s">
        <v>114</v>
      </c>
      <c r="C28" s="15" t="s">
        <v>232</v>
      </c>
      <c r="D28" s="21" t="s">
        <v>41</v>
      </c>
      <c r="E28" s="21" t="s">
        <v>42</v>
      </c>
      <c r="F28" s="120">
        <f t="shared" ref="F28:F37" si="6">SUM(G28:Q28)</f>
        <v>2.9971000000000002E-4</v>
      </c>
      <c r="G28" s="93">
        <v>1.4999999999999999E-4</v>
      </c>
      <c r="H28" s="93">
        <v>1E-4</v>
      </c>
      <c r="I28" s="93"/>
      <c r="J28" s="93"/>
      <c r="K28" s="93">
        <v>9.0100000000000001E-6</v>
      </c>
      <c r="L28" s="93"/>
      <c r="M28" s="93">
        <v>2.2799999999999999E-5</v>
      </c>
      <c r="N28" s="93">
        <v>1.7900000000000001E-5</v>
      </c>
      <c r="O28" s="93"/>
      <c r="P28" s="93"/>
      <c r="Q28" s="93"/>
      <c r="R28" s="151">
        <f>'Parameters SH, country spec'!C19</f>
        <v>1.6126916347682995E-2</v>
      </c>
      <c r="S28" s="151">
        <f>'Parameters SH, country spec'!C37</f>
        <v>1.6126916347682995E-2</v>
      </c>
      <c r="T28" s="264">
        <f>'Parameters D24m, country spec'!C15</f>
        <v>1.6126916347682995E-2</v>
      </c>
    </row>
    <row r="29" spans="1:20" x14ac:dyDescent="0.3">
      <c r="A29" s="20" t="s">
        <v>234</v>
      </c>
      <c r="B29" s="15" t="s">
        <v>115</v>
      </c>
      <c r="C29" s="15" t="s">
        <v>232</v>
      </c>
      <c r="D29" s="21" t="s">
        <v>41</v>
      </c>
      <c r="E29" s="21" t="s">
        <v>42</v>
      </c>
      <c r="F29" s="120">
        <f t="shared" si="6"/>
        <v>2.7940000000000002E-4</v>
      </c>
      <c r="G29" s="93">
        <v>1.2999999999999999E-4</v>
      </c>
      <c r="H29" s="93">
        <v>1E-4</v>
      </c>
      <c r="I29" s="93"/>
      <c r="J29" s="93"/>
      <c r="K29" s="93">
        <v>1.8199999999999999E-5</v>
      </c>
      <c r="L29" s="93"/>
      <c r="M29" s="93">
        <v>1.33E-5</v>
      </c>
      <c r="N29" s="93">
        <v>1.7900000000000001E-5</v>
      </c>
      <c r="O29" s="93"/>
      <c r="P29" s="93"/>
      <c r="Q29" s="93"/>
      <c r="R29" s="151">
        <f>'Parameters SH, country spec'!C20</f>
        <v>1.1110741938309403E-3</v>
      </c>
      <c r="S29" s="151">
        <f>'Parameters SH, country spec'!C38</f>
        <v>1.1110741938309403E-3</v>
      </c>
      <c r="T29" s="264">
        <f>'Parameters D24m, country spec'!C16</f>
        <v>1.1110741938309403E-3</v>
      </c>
    </row>
    <row r="30" spans="1:20" x14ac:dyDescent="0.3">
      <c r="A30" s="20" t="s">
        <v>235</v>
      </c>
      <c r="B30" s="15" t="s">
        <v>116</v>
      </c>
      <c r="C30" s="15" t="s">
        <v>232</v>
      </c>
      <c r="D30" s="21" t="s">
        <v>41</v>
      </c>
      <c r="E30" s="21" t="s">
        <v>42</v>
      </c>
      <c r="F30" s="120">
        <f t="shared" si="6"/>
        <v>2.5635100000000004E-4</v>
      </c>
      <c r="G30" s="93">
        <v>1.2E-4</v>
      </c>
      <c r="H30" s="93">
        <v>1E-4</v>
      </c>
      <c r="I30" s="93"/>
      <c r="J30" s="93"/>
      <c r="K30" s="93">
        <v>1.8199999999999999E-5</v>
      </c>
      <c r="L30" s="93"/>
      <c r="M30" s="93">
        <v>2.5100000000000001E-7</v>
      </c>
      <c r="N30" s="93">
        <v>1.7900000000000001E-5</v>
      </c>
      <c r="O30" s="93"/>
      <c r="P30" s="93"/>
      <c r="Q30" s="93"/>
      <c r="R30" s="151">
        <f>'Parameters SH, country spec'!C21</f>
        <v>1.7062794715375247E-4</v>
      </c>
      <c r="S30" s="151">
        <f>'Parameters SH, country spec'!C39</f>
        <v>1.7062794715375247E-4</v>
      </c>
      <c r="T30" s="264">
        <f>'Parameters D24m, country spec'!C17</f>
        <v>1.7062794715375247E-4</v>
      </c>
    </row>
    <row r="31" spans="1:20" x14ac:dyDescent="0.3">
      <c r="A31" s="20" t="s">
        <v>236</v>
      </c>
      <c r="B31" s="15" t="s">
        <v>117</v>
      </c>
      <c r="C31" s="15" t="s">
        <v>232</v>
      </c>
      <c r="D31" s="21" t="s">
        <v>41</v>
      </c>
      <c r="E31" s="21" t="s">
        <v>42</v>
      </c>
      <c r="F31" s="120">
        <f t="shared" si="6"/>
        <v>3.0055300000000001E-4</v>
      </c>
      <c r="G31" s="93">
        <v>1.7000000000000001E-4</v>
      </c>
      <c r="H31" s="93">
        <v>1E-4</v>
      </c>
      <c r="I31" s="93"/>
      <c r="J31" s="93"/>
      <c r="K31" s="93">
        <v>1.19E-5</v>
      </c>
      <c r="L31" s="93"/>
      <c r="M31" s="93">
        <v>7.5300000000000003E-7</v>
      </c>
      <c r="N31" s="93">
        <v>1.7900000000000001E-5</v>
      </c>
      <c r="O31" s="93"/>
      <c r="P31" s="93"/>
      <c r="Q31" s="93"/>
      <c r="R31" s="151">
        <f>'Parameters SH, country spec'!C22</f>
        <v>2.3886940717374589E-2</v>
      </c>
      <c r="S31" s="151">
        <f>'Parameters SH, country spec'!C40</f>
        <v>2.3886940717374589E-2</v>
      </c>
      <c r="T31" s="264">
        <f>'Parameters D24m, country spec'!C18</f>
        <v>2.3886940717374589E-2</v>
      </c>
    </row>
    <row r="32" spans="1:20" x14ac:dyDescent="0.3">
      <c r="A32" s="20" t="s">
        <v>237</v>
      </c>
      <c r="B32" s="15" t="s">
        <v>118</v>
      </c>
      <c r="C32" s="15" t="s">
        <v>238</v>
      </c>
      <c r="D32" s="21" t="s">
        <v>41</v>
      </c>
      <c r="E32" s="21" t="s">
        <v>42</v>
      </c>
      <c r="F32" s="120">
        <f t="shared" si="6"/>
        <v>1.4692000000000001E-4</v>
      </c>
      <c r="G32" s="93">
        <v>0</v>
      </c>
      <c r="H32" s="93">
        <v>1E-4</v>
      </c>
      <c r="I32" s="93"/>
      <c r="J32" s="93"/>
      <c r="K32" s="93">
        <v>2.2500000000000001E-5</v>
      </c>
      <c r="L32" s="93"/>
      <c r="M32" s="93">
        <v>6.5200000000000003E-6</v>
      </c>
      <c r="N32" s="93">
        <v>1.7900000000000001E-5</v>
      </c>
      <c r="O32" s="93"/>
      <c r="P32" s="93"/>
      <c r="Q32" s="93"/>
      <c r="R32" s="151">
        <f>'Parameters SH, country spec'!C23</f>
        <v>0</v>
      </c>
      <c r="S32" s="151">
        <f>'Parameters SH, country spec'!C41</f>
        <v>0</v>
      </c>
      <c r="T32" s="264">
        <f>'Parameters D24m, country spec'!C19</f>
        <v>0</v>
      </c>
    </row>
    <row r="33" spans="1:20" x14ac:dyDescent="0.3">
      <c r="A33" s="20" t="s">
        <v>239</v>
      </c>
      <c r="B33" s="15" t="s">
        <v>119</v>
      </c>
      <c r="C33" s="15" t="s">
        <v>238</v>
      </c>
      <c r="D33" s="21" t="s">
        <v>41</v>
      </c>
      <c r="E33" s="21" t="s">
        <v>42</v>
      </c>
      <c r="F33" s="120">
        <f t="shared" si="6"/>
        <v>1.674E-4</v>
      </c>
      <c r="G33" s="93">
        <v>7.5000000000000002E-6</v>
      </c>
      <c r="H33" s="93">
        <v>1E-4</v>
      </c>
      <c r="I33" s="93"/>
      <c r="J33" s="93"/>
      <c r="K33" s="93">
        <v>3.0700000000000001E-5</v>
      </c>
      <c r="L33" s="93"/>
      <c r="M33" s="93">
        <v>1.13E-5</v>
      </c>
      <c r="N33" s="93">
        <v>1.7900000000000001E-5</v>
      </c>
      <c r="O33" s="93"/>
      <c r="P33" s="93"/>
      <c r="Q33" s="93"/>
      <c r="R33" s="151">
        <f>'Parameters SH, country spec'!C24</f>
        <v>0</v>
      </c>
      <c r="S33" s="151">
        <f>'Parameters SH, country spec'!C42</f>
        <v>0</v>
      </c>
      <c r="T33" s="264">
        <f>'Parameters D24m, country spec'!C20</f>
        <v>0</v>
      </c>
    </row>
    <row r="34" spans="1:20" x14ac:dyDescent="0.3">
      <c r="B34" s="16" t="s">
        <v>120</v>
      </c>
      <c r="C34" s="15" t="s">
        <v>240</v>
      </c>
      <c r="D34" s="21" t="s">
        <v>41</v>
      </c>
      <c r="E34" s="21" t="s">
        <v>42</v>
      </c>
      <c r="F34" s="120">
        <f t="shared" si="6"/>
        <v>4.6478527325651394E-4</v>
      </c>
      <c r="G34" s="27">
        <f>'Off-farm feed'!$F$75</f>
        <v>3.0425509539765719E-4</v>
      </c>
      <c r="H34" s="27">
        <f>'Off-farm feed'!$G$75</f>
        <v>4.5862068965517246E-5</v>
      </c>
      <c r="I34" s="27"/>
      <c r="J34" s="27"/>
      <c r="K34" s="27">
        <f>'Off-farm feed'!$J$75</f>
        <v>1.0936279334641699E-5</v>
      </c>
      <c r="L34" s="27"/>
      <c r="M34" s="27">
        <f>'Off-farm feed'!$L$75</f>
        <v>6.4606960551724142E-7</v>
      </c>
      <c r="N34" s="27">
        <f>'Off-farm feed'!$M$75</f>
        <v>2.1884761697575221E-5</v>
      </c>
      <c r="O34" s="27"/>
      <c r="P34" s="27">
        <f>'Off-farm feed'!$O$75</f>
        <v>5.7027085212127035E-5</v>
      </c>
      <c r="Q34" s="27">
        <f>'Off-farm feed'!$P$75</f>
        <v>2.4173913043478263E-5</v>
      </c>
      <c r="R34" s="151">
        <f>'Parameters SH, country spec'!C25</f>
        <v>3.0917251771110446E-2</v>
      </c>
      <c r="S34" s="151">
        <f>'Parameters SH, country spec'!C43</f>
        <v>3.0917251771110446E-2</v>
      </c>
      <c r="T34" s="264">
        <f>'Parameters D24m, country spec'!C21</f>
        <v>3.0917251771110446E-2</v>
      </c>
    </row>
    <row r="35" spans="1:20" x14ac:dyDescent="0.3">
      <c r="B35" s="16" t="s">
        <v>241</v>
      </c>
      <c r="C35" s="15" t="s">
        <v>240</v>
      </c>
      <c r="D35" s="21" t="s">
        <v>41</v>
      </c>
      <c r="E35" s="21" t="s">
        <v>42</v>
      </c>
      <c r="F35" s="120">
        <f t="shared" si="6"/>
        <v>4.7266553697523981E-4</v>
      </c>
      <c r="G35" s="27">
        <f>'Off-farm feed'!$F$24</f>
        <v>1.5603516238625262E-5</v>
      </c>
      <c r="H35" s="27">
        <f>'Off-farm feed'!$G$24</f>
        <v>7.5304878048780503E-5</v>
      </c>
      <c r="I35" s="27"/>
      <c r="J35" s="27"/>
      <c r="K35" s="27">
        <f>'Off-farm feed'!$J$24</f>
        <v>1.908459074435586E-5</v>
      </c>
      <c r="L35" s="27"/>
      <c r="M35" s="27">
        <f>'Off-farm feed'!$L$24</f>
        <v>5.9672097439024396E-7</v>
      </c>
      <c r="N35" s="27">
        <f>'Off-farm feed'!$M$24</f>
        <v>2.3084271612619523E-5</v>
      </c>
      <c r="O35" s="27"/>
      <c r="P35" s="27">
        <f>'Off-farm feed'!$O$24</f>
        <v>1.2899155935646844E-4</v>
      </c>
      <c r="Q35" s="27">
        <f>'Off-farm feed'!$P$24</f>
        <v>2.1000000000000001E-4</v>
      </c>
      <c r="R35" s="151">
        <f>'Parameters SH, country spec'!C26</f>
        <v>2.7855163642864746E-2</v>
      </c>
      <c r="S35" s="151">
        <f>'Parameters SH, country spec'!C44</f>
        <v>2.7855163642864746E-2</v>
      </c>
      <c r="T35" s="264">
        <f>'Parameters D24m, country spec'!C22</f>
        <v>2.7855163642864746E-2</v>
      </c>
    </row>
    <row r="36" spans="1:20" x14ac:dyDescent="0.3">
      <c r="B36" s="15" t="s">
        <v>122</v>
      </c>
      <c r="C36" s="15" t="s">
        <v>242</v>
      </c>
      <c r="D36" s="21" t="s">
        <v>41</v>
      </c>
      <c r="E36" s="21" t="s">
        <v>42</v>
      </c>
      <c r="F36" s="120"/>
      <c r="G36" s="93"/>
      <c r="H36" s="93"/>
      <c r="I36" s="93"/>
      <c r="J36" s="93"/>
      <c r="K36" s="93"/>
      <c r="L36" s="93"/>
      <c r="M36" s="93"/>
      <c r="N36" s="93"/>
      <c r="O36" s="93"/>
      <c r="P36" s="93"/>
      <c r="Q36" s="93"/>
      <c r="R36" s="151">
        <f>'Parameters SH, country spec'!C27</f>
        <v>5.6499694118849607E-2</v>
      </c>
      <c r="S36" s="151">
        <f>'Parameters SH, country spec'!C45</f>
        <v>5.6499694118849607E-2</v>
      </c>
      <c r="T36" s="264">
        <f>'Parameters D24m, country spec'!C23</f>
        <v>5.6499694118849607E-2</v>
      </c>
    </row>
    <row r="37" spans="1:20" x14ac:dyDescent="0.3">
      <c r="A37" s="75"/>
      <c r="B37" s="15" t="s">
        <v>243</v>
      </c>
      <c r="C37" s="76" t="s">
        <v>244</v>
      </c>
      <c r="D37" s="21" t="s">
        <v>41</v>
      </c>
      <c r="E37" s="21" t="s">
        <v>42</v>
      </c>
      <c r="F37" s="120">
        <f t="shared" si="6"/>
        <v>4.2668914965822446E-5</v>
      </c>
      <c r="G37" s="74">
        <f>SUMPRODUCT(G27:G35,$R27:$R35)</f>
        <v>1.7956852633447331E-5</v>
      </c>
      <c r="H37" s="74">
        <f t="shared" ref="H37:P37" si="7">SUMPRODUCT(H27:H35,$R27:$R35)</f>
        <v>8.6256150048439953E-6</v>
      </c>
      <c r="I37" s="74">
        <f t="shared" si="7"/>
        <v>0</v>
      </c>
      <c r="J37" s="74">
        <f t="shared" si="7"/>
        <v>0</v>
      </c>
      <c r="K37" s="74">
        <f t="shared" si="7"/>
        <v>1.4520352226824463E-6</v>
      </c>
      <c r="L37" s="74">
        <f t="shared" si="7"/>
        <v>0</v>
      </c>
      <c r="M37" s="74">
        <f t="shared" si="7"/>
        <v>4.4690213302759175E-7</v>
      </c>
      <c r="N37" s="74">
        <f t="shared" si="7"/>
        <v>2.2343329052626998E-6</v>
      </c>
      <c r="O37" s="74">
        <f t="shared" si="7"/>
        <v>0</v>
      </c>
      <c r="P37" s="74">
        <f t="shared" si="7"/>
        <v>5.3562017456986306E-6</v>
      </c>
      <c r="Q37" s="74">
        <f>SUMPRODUCT(Q27:Q35,$R27:$R35)</f>
        <v>6.596975320859746E-6</v>
      </c>
      <c r="R37" s="151">
        <f>'Parameters SH, country spec'!C28</f>
        <v>4.2635518367259616E-2</v>
      </c>
      <c r="S37" s="151">
        <f>'Parameters SH, country spec'!C46</f>
        <v>4.2635518367259616E-2</v>
      </c>
      <c r="T37" s="264">
        <f>'Parameters D24m, country spec'!C24</f>
        <v>4.2635518367259616E-2</v>
      </c>
    </row>
    <row r="38" spans="1:20" x14ac:dyDescent="0.3">
      <c r="A38" s="328"/>
      <c r="B38" s="329" t="s">
        <v>616</v>
      </c>
      <c r="C38" s="330"/>
      <c r="D38" s="331"/>
      <c r="E38" s="331"/>
      <c r="F38" s="334">
        <f>SUMPRODUCT(F24:F26,R24:R26)+SUMPRODUCT(F27:F37,R27:R37)/0.87</f>
        <v>5.8475135826468452E-4</v>
      </c>
      <c r="G38" s="334">
        <f>SUMPRODUCT(G24:G26,R24:R26)+SUMPRODUCT(G27:G37,R27:R37)/0.87</f>
        <v>4.7139426406941302E-5</v>
      </c>
      <c r="H38" s="334">
        <f>SUMPRODUCT(H24:H26,R24:R26)+SUMPRODUCT(H27:H37,R27:R37)/0.87</f>
        <v>8.5481431839947973E-5</v>
      </c>
      <c r="I38" s="334">
        <f>SUMPRODUCT(I24:I26,R24:R26)+SUMPRODUCT(I27:I37,R27:R37)/0.87</f>
        <v>0</v>
      </c>
      <c r="J38" s="334">
        <f>SUMPRODUCT(J24:J26,R24:R26)+SUMPRODUCT(J27:J37,R27:R37)/0.87</f>
        <v>0</v>
      </c>
      <c r="K38" s="334">
        <f>SUMPRODUCT(K24:K26,R24:R26)+SUMPRODUCT(K27:K37,R27:R37)/0.87</f>
        <v>6.8748814605476518E-6</v>
      </c>
      <c r="L38" s="334">
        <f>SUMPRODUCT(L24:L26,R24:R26)+SUMPRODUCT(L27:L37,R27:R37)/0.87</f>
        <v>0</v>
      </c>
      <c r="M38" s="334">
        <f>SUMPRODUCT(M24:M26,R24:R26)+SUMPRODUCT(M27:M37,R27:R37)/0.87</f>
        <v>1.9696491559270092E-6</v>
      </c>
      <c r="N38" s="334">
        <f>SUMPRODUCT(N24:N26,R24:R26)+SUMPRODUCT(N27:N37,R27:R37)/0.87</f>
        <v>2.6776952263029884E-6</v>
      </c>
      <c r="O38" s="334">
        <f>SUMPRODUCT(O24:O26,R24:R26)+SUMPRODUCT(O27:O37,R27:R37)/0.87</f>
        <v>0</v>
      </c>
      <c r="P38" s="334">
        <f>SUMPRODUCT(P24:P26,R24:R26)+SUMPRODUCT(P27:P37,R27:R37)/0.87</f>
        <v>4.3270225028614341E-4</v>
      </c>
      <c r="Q38" s="334">
        <f>SUMPRODUCT(Q24:Q26,R24:R26)+SUMPRODUCT(Q27:Q37,R27:R37)/0.87</f>
        <v>7.9060238888742757E-6</v>
      </c>
      <c r="R38" s="335"/>
      <c r="S38" s="336"/>
      <c r="T38" s="336"/>
    </row>
    <row r="39" spans="1:20" x14ac:dyDescent="0.3">
      <c r="A39" s="150"/>
      <c r="B39" s="23" t="s">
        <v>457</v>
      </c>
      <c r="C39" s="24"/>
      <c r="D39" s="94"/>
      <c r="E39" s="94"/>
      <c r="F39" s="28">
        <f>SUMPRODUCT(F24:F26,S24:S26)+SUMPRODUCT(F27:F37,S27:S37)/0.87</f>
        <v>5.8475135826468452E-4</v>
      </c>
      <c r="G39" s="28">
        <f>SUMPRODUCT(G24:G26,S24:S26)+SUMPRODUCT(G27:G37,S27:S37)/0.87</f>
        <v>4.7139426406941302E-5</v>
      </c>
      <c r="H39" s="28">
        <f>SUMPRODUCT(H24:H26,S24:S26)+SUMPRODUCT(H27:H37,S27:S37)/0.87</f>
        <v>8.5481431839947973E-5</v>
      </c>
      <c r="I39" s="28">
        <f>SUMPRODUCT(I24:I26,S24:S26)+SUMPRODUCT(I27:I37,S27:S37)/0.87</f>
        <v>0</v>
      </c>
      <c r="J39" s="28">
        <f>SUMPRODUCT(J24:J26,S24:S26)+SUMPRODUCT(J27:J37,S27:S37)/0.87</f>
        <v>0</v>
      </c>
      <c r="K39" s="28">
        <f>SUMPRODUCT(K24:K26,S24:S26)+SUMPRODUCT(K27:K37,S27:S37)/0.87</f>
        <v>6.8748814605476518E-6</v>
      </c>
      <c r="L39" s="28">
        <f>SUMPRODUCT(L24:L26,S24:S26)+SUMPRODUCT(L27:L37,S27:S37)/0.87</f>
        <v>0</v>
      </c>
      <c r="M39" s="28">
        <f>SUMPRODUCT(M24:M26,S24:S26)+SUMPRODUCT(M27:M37,S27:S37)/0.87</f>
        <v>1.9696491559270092E-6</v>
      </c>
      <c r="N39" s="28">
        <f>SUMPRODUCT(N24:N26,S24:S26)+SUMPRODUCT(N27:N37,S27:S37)/0.87</f>
        <v>2.6776952263029884E-6</v>
      </c>
      <c r="O39" s="28">
        <f>SUMPRODUCT(O24:O26,S24:S26)+SUMPRODUCT(O27:O37,S27:S37)/0.87</f>
        <v>0</v>
      </c>
      <c r="P39" s="28">
        <f>SUMPRODUCT(P24:P26,S24:S26)+SUMPRODUCT(P27:P37,S27:S37)/0.87</f>
        <v>4.3270225028614341E-4</v>
      </c>
      <c r="Q39" s="28">
        <f>SUMPRODUCT(Q24:Q26,S24:S26)+SUMPRODUCT(Q27:Q37,S27:S37)/0.87</f>
        <v>7.9060238888742757E-6</v>
      </c>
      <c r="R39" s="152"/>
      <c r="S39" s="152"/>
      <c r="T39" s="152"/>
    </row>
    <row r="40" spans="1:20" x14ac:dyDescent="0.3">
      <c r="A40" s="328"/>
      <c r="B40" s="329" t="s">
        <v>641</v>
      </c>
      <c r="C40" s="330"/>
      <c r="D40" s="331"/>
      <c r="E40" s="331"/>
      <c r="F40" s="332">
        <f>SUMPRODUCT(F24:F26,$T24:$T26)+SUMPRODUCT(F27:F37,$T27:$T37)/0.87</f>
        <v>5.8475135826468452E-4</v>
      </c>
      <c r="G40" s="332">
        <f t="shared" ref="G40:O40" si="8">SUMPRODUCT(G24:G26,$T24:$T26)+SUMPRODUCT(G27:G37,$T27:$T37)/0.87</f>
        <v>4.7139426406941302E-5</v>
      </c>
      <c r="H40" s="332">
        <f t="shared" si="8"/>
        <v>8.5481431839947973E-5</v>
      </c>
      <c r="I40" s="332">
        <f t="shared" si="8"/>
        <v>0</v>
      </c>
      <c r="J40" s="332">
        <f t="shared" si="8"/>
        <v>0</v>
      </c>
      <c r="K40" s="332">
        <f t="shared" si="8"/>
        <v>6.8748814605476518E-6</v>
      </c>
      <c r="L40" s="332">
        <f t="shared" si="8"/>
        <v>0</v>
      </c>
      <c r="M40" s="332">
        <f t="shared" si="8"/>
        <v>1.9696491559270092E-6</v>
      </c>
      <c r="N40" s="332">
        <f t="shared" si="8"/>
        <v>2.6776952263029884E-6</v>
      </c>
      <c r="O40" s="332">
        <f t="shared" si="8"/>
        <v>0</v>
      </c>
      <c r="P40" s="332">
        <f>SUMPRODUCT(P24:P26,$T24:$T26)+SUMPRODUCT(P27:P37,$T27:$T37)/0.87</f>
        <v>4.3270225028614341E-4</v>
      </c>
      <c r="Q40" s="332">
        <f t="shared" ref="Q40" si="9">SUMPRODUCT(Q24:Q26,$T24:$T26)+SUMPRODUCT(Q27:Q37,$T27:$T37)/0.87</f>
        <v>7.9060238888742757E-6</v>
      </c>
      <c r="R40" s="335"/>
      <c r="S40" s="335"/>
      <c r="T40" s="335"/>
    </row>
    <row r="41" spans="1:20" x14ac:dyDescent="0.3">
      <c r="A41" s="150"/>
      <c r="B41" s="23" t="s">
        <v>642</v>
      </c>
      <c r="C41" s="24"/>
      <c r="D41" s="94"/>
      <c r="E41" s="94"/>
      <c r="F41" s="327">
        <f>SUMPRODUCT(F24:F26,$U24:$U26)+SUMPRODUCT(F27:F37,$U27:$U37)/0.87</f>
        <v>0</v>
      </c>
      <c r="G41" s="327">
        <f t="shared" ref="G41:K41" si="10">SUMPRODUCT(G24:G26,$U24:$U26)+SUMPRODUCT(G27:G37,$U27:$U37)/0.87</f>
        <v>0</v>
      </c>
      <c r="H41" s="327">
        <f t="shared" si="10"/>
        <v>0</v>
      </c>
      <c r="I41" s="327">
        <f t="shared" si="10"/>
        <v>0</v>
      </c>
      <c r="J41" s="327">
        <f t="shared" si="10"/>
        <v>0</v>
      </c>
      <c r="K41" s="327">
        <f t="shared" si="10"/>
        <v>0</v>
      </c>
      <c r="L41" s="327">
        <f>SUMPRODUCT(L24:L26,$U24:$U26)+SUMPRODUCT(L27:L37,$U27:$U37)/0.87</f>
        <v>0</v>
      </c>
      <c r="M41" s="327">
        <f t="shared" ref="M41:Q41" si="11">SUMPRODUCT(M24:M26,$U24:$U26)+SUMPRODUCT(M27:M37,$U27:$U37)/0.87</f>
        <v>0</v>
      </c>
      <c r="N41" s="327">
        <f t="shared" si="11"/>
        <v>0</v>
      </c>
      <c r="O41" s="327">
        <f t="shared" si="11"/>
        <v>0</v>
      </c>
      <c r="P41" s="327">
        <f t="shared" si="11"/>
        <v>0</v>
      </c>
      <c r="Q41" s="327">
        <f t="shared" si="11"/>
        <v>0</v>
      </c>
      <c r="R41" s="152"/>
      <c r="S41" s="152"/>
      <c r="T41" s="152"/>
    </row>
    <row r="42" spans="1:20" x14ac:dyDescent="0.3">
      <c r="B42" s="16" t="s">
        <v>299</v>
      </c>
      <c r="C42" s="15" t="s">
        <v>302</v>
      </c>
      <c r="D42" s="21" t="s">
        <v>43</v>
      </c>
      <c r="E42" s="21" t="s">
        <v>44</v>
      </c>
      <c r="F42" s="120">
        <f>SUM(G42:Q42)</f>
        <v>1.3963014187344785E-4</v>
      </c>
      <c r="G42" s="27">
        <f>'Forage crops, CF'!F19</f>
        <v>3.8766361483709314E-5</v>
      </c>
      <c r="H42" s="27">
        <f>'Forage crops, CF'!G19</f>
        <v>9.5000000000000005E-5</v>
      </c>
      <c r="I42" s="27">
        <f>'Forage crops, CF'!H19</f>
        <v>0</v>
      </c>
      <c r="J42" s="27">
        <f>'Forage crops, CF'!I19</f>
        <v>0</v>
      </c>
      <c r="K42" s="27">
        <f>'Forage crops, CF'!J19</f>
        <v>5.8308100252728102E-6</v>
      </c>
      <c r="L42" s="27">
        <f>'Forage crops, CF'!K19</f>
        <v>0</v>
      </c>
      <c r="M42" s="27">
        <f>'Forage crops, CF'!L19</f>
        <v>3.2970364465724827E-8</v>
      </c>
      <c r="N42" s="27">
        <f>'Forage crops, CF'!M19</f>
        <v>0</v>
      </c>
      <c r="O42" s="27">
        <f>'Forage crops, CF'!N19</f>
        <v>0</v>
      </c>
      <c r="P42" s="27">
        <f>'Forage crops, CF'!O19</f>
        <v>0</v>
      </c>
      <c r="Q42" s="27">
        <f>'Forage crops, CF'!P19</f>
        <v>0</v>
      </c>
      <c r="R42" s="151">
        <f>'Parameters SH, country spec'!D15</f>
        <v>0.26457370102986028</v>
      </c>
      <c r="S42" s="151">
        <f>'Parameters SH, country spec'!D33</f>
        <v>0.26457370102986028</v>
      </c>
      <c r="T42" s="264">
        <f>'Parameters D24m, country spec'!D11</f>
        <v>0.26457370102986028</v>
      </c>
    </row>
    <row r="43" spans="1:20" x14ac:dyDescent="0.3">
      <c r="B43" s="16" t="s">
        <v>300</v>
      </c>
      <c r="C43" s="15" t="s">
        <v>302</v>
      </c>
      <c r="D43" s="21" t="s">
        <v>43</v>
      </c>
      <c r="E43" s="21" t="s">
        <v>44</v>
      </c>
      <c r="F43" s="120">
        <f>SUM(G43:Q43)</f>
        <v>8.3143599913203822E-4</v>
      </c>
      <c r="G43" s="27">
        <f>'Forage crops, CF'!F84</f>
        <v>2.2474024037107735E-5</v>
      </c>
      <c r="H43" s="27">
        <f>'Forage crops, CF'!G84</f>
        <v>9.5000000000000005E-5</v>
      </c>
      <c r="I43" s="27"/>
      <c r="J43" s="27"/>
      <c r="K43" s="27">
        <f>'Forage crops, CF'!J84</f>
        <v>5.9290047304648054E-6</v>
      </c>
      <c r="L43" s="27"/>
      <c r="M43" s="27">
        <f>'Forage crops, CF'!L84</f>
        <v>3.2970364465724827E-8</v>
      </c>
      <c r="N43" s="27">
        <f>'Forage crops, CF'!M84</f>
        <v>0</v>
      </c>
      <c r="O43" s="27"/>
      <c r="P43" s="27">
        <f>'Forage crops, CF'!O84</f>
        <v>7.0799999999999997E-4</v>
      </c>
      <c r="Q43" s="27"/>
      <c r="R43" s="151">
        <f>'Parameters SH, country spec'!D16</f>
        <v>0.47771254487501524</v>
      </c>
      <c r="S43" s="151">
        <f>'Parameters SH, country spec'!D34</f>
        <v>0.47771254487501524</v>
      </c>
      <c r="T43" s="264">
        <f>'Parameters D24m, country spec'!D12</f>
        <v>0.47771254487501524</v>
      </c>
    </row>
    <row r="44" spans="1:20" x14ac:dyDescent="0.3">
      <c r="B44" s="16" t="s">
        <v>301</v>
      </c>
      <c r="C44" s="15" t="s">
        <v>302</v>
      </c>
      <c r="D44" s="21" t="s">
        <v>43</v>
      </c>
      <c r="E44" s="21" t="s">
        <v>44</v>
      </c>
      <c r="F44" s="120">
        <f>SUM(G44:Q44)</f>
        <v>8.4259721466244586E-4</v>
      </c>
      <c r="G44" s="27">
        <f>'Forage crops, CF'!F149*'Forage, input data per ha'!$D$80+'Forage crops, CF'!F214*'Forage, input data per ha'!$E$80</f>
        <v>3.3509059208259762E-5</v>
      </c>
      <c r="H44" s="27">
        <f>'Forage crops, CF'!G149*'Forage, input data per ha'!$D$80+'Forage crops, CF'!G214*'Forage, input data per ha'!$E$80</f>
        <v>9.5000000000000005E-5</v>
      </c>
      <c r="I44" s="27"/>
      <c r="J44" s="27"/>
      <c r="K44" s="27">
        <f>'Forage crops, CF'!J149*'Forage, input data per ha'!$D$80+'Forage crops, CF'!J214*'Forage, input data per ha'!$E$80</f>
        <v>6.0551850897204147E-6</v>
      </c>
      <c r="L44" s="27"/>
      <c r="M44" s="27">
        <f>'Forage crops, CF'!L149*'Forage, input data per ha'!$D$80+'Forage crops, CF'!L214*'Forage, input data per ha'!$E$80</f>
        <v>3.2970364465724821E-8</v>
      </c>
      <c r="N44" s="27">
        <f>'Forage crops, CF'!M149*'Forage, input data per ha'!$D$80+'Forage crops, CF'!M214*'Forage, input data per ha'!$E$80</f>
        <v>0</v>
      </c>
      <c r="O44" s="27"/>
      <c r="P44" s="27">
        <f>'Forage crops, CF'!O149*'Forage, input data per ha'!$D$80+'Forage crops, CF'!O214*'Forage, input data per ha'!$E$80</f>
        <v>7.0799999999999997E-4</v>
      </c>
      <c r="Q44" s="27"/>
      <c r="R44" s="151">
        <f>'Parameters SH, country spec'!D17</f>
        <v>0.13883749692306407</v>
      </c>
      <c r="S44" s="151">
        <f>'Parameters SH, country spec'!D35</f>
        <v>0.13883749692306407</v>
      </c>
      <c r="T44" s="264">
        <f>'Parameters D24m, country spec'!D13</f>
        <v>0.13883749692306407</v>
      </c>
    </row>
    <row r="45" spans="1:20" x14ac:dyDescent="0.3">
      <c r="A45" s="20" t="s">
        <v>231</v>
      </c>
      <c r="B45" s="15" t="s">
        <v>113</v>
      </c>
      <c r="C45" s="15" t="s">
        <v>232</v>
      </c>
      <c r="D45" s="21" t="s">
        <v>43</v>
      </c>
      <c r="E45" s="21" t="s">
        <v>44</v>
      </c>
      <c r="F45" s="120">
        <f>SUM(G45:Q45)</f>
        <v>2.9299999999999997E-4</v>
      </c>
      <c r="G45" s="93">
        <v>1.4999999999999999E-4</v>
      </c>
      <c r="H45" s="93">
        <v>1E-4</v>
      </c>
      <c r="I45" s="93"/>
      <c r="J45" s="93"/>
      <c r="K45" s="93">
        <v>1.27E-5</v>
      </c>
      <c r="L45" s="93"/>
      <c r="M45" s="93">
        <v>0</v>
      </c>
      <c r="N45" s="93">
        <v>3.0300000000000001E-5</v>
      </c>
      <c r="O45" s="93"/>
      <c r="P45" s="93"/>
      <c r="Q45" s="93"/>
      <c r="R45" s="151">
        <f>'Parameters SH, country spec'!D18</f>
        <v>1.298916356294802E-3</v>
      </c>
      <c r="S45" s="151">
        <f>'Parameters SH, country spec'!D36</f>
        <v>1.298916356294802E-3</v>
      </c>
      <c r="T45" s="264">
        <f>'Parameters D24m, country spec'!D14</f>
        <v>1.298916356294802E-3</v>
      </c>
    </row>
    <row r="46" spans="1:20" x14ac:dyDescent="0.3">
      <c r="A46" s="20" t="s">
        <v>233</v>
      </c>
      <c r="B46" s="15" t="s">
        <v>114</v>
      </c>
      <c r="C46" s="15" t="s">
        <v>232</v>
      </c>
      <c r="D46" s="21" t="s">
        <v>43</v>
      </c>
      <c r="E46" s="21" t="s">
        <v>44</v>
      </c>
      <c r="F46" s="120">
        <f t="shared" ref="F46:F55" si="12">SUM(G46:Q46)</f>
        <v>2.9417999999999995E-4</v>
      </c>
      <c r="G46" s="93">
        <v>1.4999999999999999E-4</v>
      </c>
      <c r="H46" s="93">
        <v>1E-4</v>
      </c>
      <c r="I46" s="93"/>
      <c r="J46" s="93"/>
      <c r="K46" s="93">
        <v>8.6100000000000006E-6</v>
      </c>
      <c r="L46" s="93"/>
      <c r="M46" s="93">
        <v>5.2700000000000004E-6</v>
      </c>
      <c r="N46" s="93">
        <v>3.0300000000000001E-5</v>
      </c>
      <c r="O46" s="93"/>
      <c r="P46" s="93"/>
      <c r="Q46" s="93"/>
      <c r="R46" s="151">
        <f>'Parameters SH, country spec'!D19</f>
        <v>1.9338522642940996E-3</v>
      </c>
      <c r="S46" s="151">
        <f>'Parameters SH, country spec'!D37</f>
        <v>1.9338522642940996E-3</v>
      </c>
      <c r="T46" s="264">
        <f>'Parameters D24m, country spec'!D15</f>
        <v>1.9338522642940996E-3</v>
      </c>
    </row>
    <row r="47" spans="1:20" x14ac:dyDescent="0.3">
      <c r="A47" s="20" t="s">
        <v>234</v>
      </c>
      <c r="B47" s="15" t="s">
        <v>115</v>
      </c>
      <c r="C47" s="15" t="s">
        <v>232</v>
      </c>
      <c r="D47" s="21" t="s">
        <v>43</v>
      </c>
      <c r="E47" s="21" t="s">
        <v>44</v>
      </c>
      <c r="F47" s="120">
        <f t="shared" si="12"/>
        <v>2.8010000000000003E-4</v>
      </c>
      <c r="G47" s="93">
        <v>1.2999999999999999E-4</v>
      </c>
      <c r="H47" s="93">
        <v>1E-4</v>
      </c>
      <c r="I47" s="93"/>
      <c r="J47" s="93"/>
      <c r="K47" s="93">
        <v>1.88E-5</v>
      </c>
      <c r="L47" s="93"/>
      <c r="M47" s="93">
        <v>9.9999999999999995E-7</v>
      </c>
      <c r="N47" s="93">
        <v>3.0300000000000001E-5</v>
      </c>
      <c r="O47" s="93"/>
      <c r="P47" s="93"/>
      <c r="Q47" s="93"/>
      <c r="R47" s="151">
        <f>'Parameters SH, country spec'!D20</f>
        <v>2.5855421185781316E-7</v>
      </c>
      <c r="S47" s="151">
        <f>'Parameters SH, country spec'!D38</f>
        <v>2.5855421185781316E-7</v>
      </c>
      <c r="T47" s="264">
        <f>'Parameters D24m, country spec'!D16</f>
        <v>2.5855421185781316E-7</v>
      </c>
    </row>
    <row r="48" spans="1:20" x14ac:dyDescent="0.3">
      <c r="A48" s="20" t="s">
        <v>235</v>
      </c>
      <c r="B48" s="15" t="s">
        <v>116</v>
      </c>
      <c r="C48" s="15" t="s">
        <v>232</v>
      </c>
      <c r="D48" s="21" t="s">
        <v>43</v>
      </c>
      <c r="E48" s="21" t="s">
        <v>44</v>
      </c>
      <c r="F48" s="120">
        <f t="shared" si="12"/>
        <v>2.6639999999999997E-4</v>
      </c>
      <c r="G48" s="93">
        <v>1.2E-4</v>
      </c>
      <c r="H48" s="93">
        <v>1E-4</v>
      </c>
      <c r="I48" s="93"/>
      <c r="J48" s="93"/>
      <c r="K48" s="93">
        <v>1.6099999999999998E-5</v>
      </c>
      <c r="L48" s="93"/>
      <c r="M48" s="93">
        <v>0</v>
      </c>
      <c r="N48" s="93">
        <v>3.0300000000000001E-5</v>
      </c>
      <c r="O48" s="93"/>
      <c r="P48" s="93"/>
      <c r="Q48" s="93"/>
      <c r="R48" s="151">
        <f>'Parameters SH, country spec'!D21</f>
        <v>2.1217635552166355E-4</v>
      </c>
      <c r="S48" s="151">
        <f>'Parameters SH, country spec'!D39</f>
        <v>2.1217635552166355E-4</v>
      </c>
      <c r="T48" s="264">
        <f>'Parameters D24m, country spec'!D17</f>
        <v>2.1217635552166355E-4</v>
      </c>
    </row>
    <row r="49" spans="1:20" x14ac:dyDescent="0.3">
      <c r="A49" s="20" t="s">
        <v>236</v>
      </c>
      <c r="B49" s="15" t="s">
        <v>117</v>
      </c>
      <c r="C49" s="15" t="s">
        <v>232</v>
      </c>
      <c r="D49" s="21" t="s">
        <v>43</v>
      </c>
      <c r="E49" s="21" t="s">
        <v>44</v>
      </c>
      <c r="F49" s="120">
        <f t="shared" si="12"/>
        <v>3.1195099999999998E-4</v>
      </c>
      <c r="G49" s="93">
        <v>1.7000000000000001E-4</v>
      </c>
      <c r="H49" s="93">
        <v>1E-4</v>
      </c>
      <c r="I49" s="93"/>
      <c r="J49" s="93"/>
      <c r="K49" s="93">
        <v>1.1399999999999999E-5</v>
      </c>
      <c r="L49" s="93"/>
      <c r="M49" s="93">
        <v>2.5100000000000001E-7</v>
      </c>
      <c r="N49" s="93">
        <v>3.0300000000000001E-5</v>
      </c>
      <c r="O49" s="93"/>
      <c r="P49" s="93"/>
      <c r="Q49" s="93"/>
      <c r="R49" s="151">
        <f>'Parameters SH, country spec'!D22</f>
        <v>4.3386015699034622E-3</v>
      </c>
      <c r="S49" s="151">
        <f>'Parameters SH, country spec'!D40</f>
        <v>4.3386015699034622E-3</v>
      </c>
      <c r="T49" s="264">
        <f>'Parameters D24m, country spec'!D18</f>
        <v>4.3386015699034622E-3</v>
      </c>
    </row>
    <row r="50" spans="1:20" x14ac:dyDescent="0.3">
      <c r="A50" s="20" t="s">
        <v>237</v>
      </c>
      <c r="B50" s="15" t="s">
        <v>118</v>
      </c>
      <c r="C50" s="15" t="s">
        <v>238</v>
      </c>
      <c r="D50" s="21" t="s">
        <v>43</v>
      </c>
      <c r="E50" s="21" t="s">
        <v>44</v>
      </c>
      <c r="F50" s="120">
        <f t="shared" si="12"/>
        <v>1.5420200000000001E-4</v>
      </c>
      <c r="G50" s="93">
        <v>0</v>
      </c>
      <c r="H50" s="93">
        <v>1E-4</v>
      </c>
      <c r="I50" s="93"/>
      <c r="J50" s="93"/>
      <c r="K50" s="93">
        <v>2.34E-5</v>
      </c>
      <c r="L50" s="93"/>
      <c r="M50" s="93">
        <v>5.0200000000000002E-7</v>
      </c>
      <c r="N50" s="93">
        <v>3.0300000000000001E-5</v>
      </c>
      <c r="O50" s="93"/>
      <c r="P50" s="93"/>
      <c r="Q50" s="93"/>
      <c r="R50" s="151">
        <f>'Parameters SH, country spec'!D23</f>
        <v>2.7051994141606358E-4</v>
      </c>
      <c r="S50" s="151">
        <f>'Parameters SH, country spec'!D41</f>
        <v>2.7051994141606358E-4</v>
      </c>
      <c r="T50" s="264">
        <f>'Parameters D24m, country spec'!D19</f>
        <v>2.7051994141606358E-4</v>
      </c>
    </row>
    <row r="51" spans="1:20" x14ac:dyDescent="0.3">
      <c r="A51" s="20" t="s">
        <v>239</v>
      </c>
      <c r="B51" s="15" t="s">
        <v>119</v>
      </c>
      <c r="C51" s="15" t="s">
        <v>238</v>
      </c>
      <c r="D51" s="21" t="s">
        <v>43</v>
      </c>
      <c r="E51" s="21" t="s">
        <v>44</v>
      </c>
      <c r="F51" s="120">
        <f t="shared" si="12"/>
        <v>1.7880000000000004E-4</v>
      </c>
      <c r="G51" s="93">
        <v>7.5000000000000002E-6</v>
      </c>
      <c r="H51" s="93">
        <v>1E-4</v>
      </c>
      <c r="I51" s="93"/>
      <c r="J51" s="93"/>
      <c r="K51" s="93">
        <v>2.0400000000000001E-5</v>
      </c>
      <c r="L51" s="93"/>
      <c r="M51" s="93">
        <v>2.0599999999999999E-5</v>
      </c>
      <c r="N51" s="93">
        <v>3.0300000000000001E-5</v>
      </c>
      <c r="O51" s="93"/>
      <c r="P51" s="93"/>
      <c r="Q51" s="93"/>
      <c r="R51" s="151">
        <f>'Parameters SH, country spec'!D24</f>
        <v>2.6573972962751311E-4</v>
      </c>
      <c r="S51" s="151">
        <f>'Parameters SH, country spec'!D42</f>
        <v>2.6573972962751311E-4</v>
      </c>
      <c r="T51" s="264">
        <f>'Parameters D24m, country spec'!D20</f>
        <v>2.6573972962751311E-4</v>
      </c>
    </row>
    <row r="52" spans="1:20" x14ac:dyDescent="0.3">
      <c r="B52" s="16" t="s">
        <v>120</v>
      </c>
      <c r="C52" s="15" t="s">
        <v>240</v>
      </c>
      <c r="D52" s="21" t="s">
        <v>43</v>
      </c>
      <c r="E52" s="21" t="s">
        <v>44</v>
      </c>
      <c r="F52" s="120">
        <f t="shared" si="12"/>
        <v>4.6478527325651394E-4</v>
      </c>
      <c r="G52" s="27">
        <v>3.0425509539765719E-4</v>
      </c>
      <c r="H52" s="27">
        <v>4.5862068965517246E-5</v>
      </c>
      <c r="I52" s="27"/>
      <c r="J52" s="27"/>
      <c r="K52" s="27">
        <v>1.0936279334641699E-5</v>
      </c>
      <c r="L52" s="27"/>
      <c r="M52" s="27">
        <v>6.4606960551724142E-7</v>
      </c>
      <c r="N52" s="27">
        <v>2.1884761697575221E-5</v>
      </c>
      <c r="O52" s="27"/>
      <c r="P52" s="27">
        <v>5.7027085212127035E-5</v>
      </c>
      <c r="Q52" s="27">
        <v>2.4173913043478263E-5</v>
      </c>
      <c r="R52" s="151">
        <f>'Parameters SH, country spec'!D25</f>
        <v>2.7355781220453596E-2</v>
      </c>
      <c r="S52" s="151">
        <f>'Parameters SH, country spec'!D43</f>
        <v>2.7355781220453596E-2</v>
      </c>
      <c r="T52" s="264">
        <f>'Parameters D24m, country spec'!D21</f>
        <v>2.7355781220453596E-2</v>
      </c>
    </row>
    <row r="53" spans="1:20" x14ac:dyDescent="0.3">
      <c r="B53" s="16" t="s">
        <v>241</v>
      </c>
      <c r="C53" s="15" t="s">
        <v>240</v>
      </c>
      <c r="D53" s="21" t="s">
        <v>43</v>
      </c>
      <c r="E53" s="21" t="s">
        <v>44</v>
      </c>
      <c r="F53" s="120">
        <f t="shared" si="12"/>
        <v>4.7266553697523981E-4</v>
      </c>
      <c r="G53" s="27">
        <v>1.5603516238625262E-5</v>
      </c>
      <c r="H53" s="27">
        <v>7.5304878048780503E-5</v>
      </c>
      <c r="I53" s="27"/>
      <c r="J53" s="27"/>
      <c r="K53" s="27">
        <v>1.908459074435586E-5</v>
      </c>
      <c r="L53" s="27"/>
      <c r="M53" s="27">
        <v>5.9672097439024396E-7</v>
      </c>
      <c r="N53" s="27">
        <v>2.3084271612619523E-5</v>
      </c>
      <c r="O53" s="27"/>
      <c r="P53" s="27">
        <v>1.2899155935646844E-4</v>
      </c>
      <c r="Q53" s="27">
        <v>2.1000000000000001E-4</v>
      </c>
      <c r="R53" s="151">
        <f>'Parameters SH, country spec'!D26</f>
        <v>2.6285117627784533E-2</v>
      </c>
      <c r="S53" s="151">
        <f>'Parameters SH, country spec'!D44</f>
        <v>2.6285117627784533E-2</v>
      </c>
      <c r="T53" s="264">
        <f>'Parameters D24m, country spec'!D22</f>
        <v>2.6285117627784533E-2</v>
      </c>
    </row>
    <row r="54" spans="1:20" x14ac:dyDescent="0.3">
      <c r="B54" s="15" t="s">
        <v>122</v>
      </c>
      <c r="C54" s="15" t="s">
        <v>242</v>
      </c>
      <c r="D54" s="21" t="s">
        <v>43</v>
      </c>
      <c r="E54" s="21" t="s">
        <v>44</v>
      </c>
      <c r="F54" s="120"/>
      <c r="G54" s="93"/>
      <c r="H54" s="93"/>
      <c r="I54" s="93"/>
      <c r="J54" s="93"/>
      <c r="K54" s="93"/>
      <c r="L54" s="93"/>
      <c r="M54" s="93"/>
      <c r="N54" s="93"/>
      <c r="O54" s="93"/>
      <c r="P54" s="93"/>
      <c r="Q54" s="93"/>
      <c r="R54" s="151">
        <f>'Parameters SH, country spec'!D27</f>
        <v>4.2051693837096289E-2</v>
      </c>
      <c r="S54" s="151">
        <f>'Parameters SH, country spec'!D45</f>
        <v>4.2051693837096289E-2</v>
      </c>
      <c r="T54" s="264">
        <f>'Parameters D24m, country spec'!D23</f>
        <v>4.2051693837096289E-2</v>
      </c>
    </row>
    <row r="55" spans="1:20" x14ac:dyDescent="0.3">
      <c r="A55" s="75"/>
      <c r="B55" s="15" t="s">
        <v>243</v>
      </c>
      <c r="C55" s="76" t="s">
        <v>244</v>
      </c>
      <c r="D55" s="21" t="s">
        <v>43</v>
      </c>
      <c r="E55" s="21" t="s">
        <v>44</v>
      </c>
      <c r="F55" s="120">
        <f t="shared" si="12"/>
        <v>2.7587372919334781E-5</v>
      </c>
      <c r="G55" s="74">
        <f>SUMPRODUCT(G45:G53,$R45:$R53)</f>
        <v>9.9832414673001319E-6</v>
      </c>
      <c r="H55" s="74">
        <f t="shared" ref="H55:P55" si="13">SUMPRODUCT(H45:H53,$R45:$R53)</f>
        <v>4.0659967795231555E-6</v>
      </c>
      <c r="I55" s="74">
        <f t="shared" si="13"/>
        <v>0</v>
      </c>
      <c r="J55" s="74">
        <f t="shared" si="13"/>
        <v>0</v>
      </c>
      <c r="K55" s="74">
        <f t="shared" si="13"/>
        <v>8.9859009831178249E-7</v>
      </c>
      <c r="L55" s="74">
        <f t="shared" si="13"/>
        <v>0</v>
      </c>
      <c r="M55" s="74">
        <f t="shared" si="13"/>
        <v>5.0249308206533348E-8</v>
      </c>
      <c r="N55" s="74">
        <f t="shared" si="13"/>
        <v>1.4575455103195266E-6</v>
      </c>
      <c r="O55" s="74">
        <f t="shared" si="13"/>
        <v>0</v>
      </c>
      <c r="P55" s="74">
        <f t="shared" si="13"/>
        <v>4.9505787773792354E-6</v>
      </c>
      <c r="Q55" s="74">
        <f>SUMPRODUCT(Q45:Q53,$R45:$R53)</f>
        <v>6.1811709782944132E-6</v>
      </c>
      <c r="R55" s="151">
        <f>'Parameters SH, country spec'!D28</f>
        <v>1.4863599715456545E-2</v>
      </c>
      <c r="S55" s="151">
        <f>'Parameters SH, country spec'!D46</f>
        <v>1.4863599715456545E-2</v>
      </c>
      <c r="T55" s="264">
        <f>'Parameters D24m, country spec'!D24</f>
        <v>1.4863599715456545E-2</v>
      </c>
    </row>
    <row r="56" spans="1:20" x14ac:dyDescent="0.3">
      <c r="A56" s="328"/>
      <c r="B56" s="329" t="s">
        <v>616</v>
      </c>
      <c r="C56" s="330"/>
      <c r="D56" s="331"/>
      <c r="E56" s="331"/>
      <c r="F56" s="334">
        <f>SUMPRODUCT(F42:F44,R42:R44)+SUMPRODUCT(F45:F55,R45:R55)/0.87</f>
        <v>5.8329490185907726E-4</v>
      </c>
      <c r="G56" s="334">
        <f>SUMPRODUCT(G42:G44,R42:R44)+SUMPRODUCT(G45:G55,R45:R55)/0.87</f>
        <v>3.7290546707533062E-5</v>
      </c>
      <c r="H56" s="334">
        <f>SUMPRODUCT(H42:H44,R42:R44)+SUMPRODUCT(H45:H55,R45:R55)/0.87</f>
        <v>8.8449781003250034E-5</v>
      </c>
      <c r="I56" s="334">
        <f>SUMPRODUCT(I42:I44,R42:R44)+SUMPRODUCT(I45:I55,R45:R55)/0.87</f>
        <v>0</v>
      </c>
      <c r="J56" s="334">
        <f>SUMPRODUCT(J42:J44,R42:R44)+SUMPRODUCT(J45:J55,R45:R55)/0.87</f>
        <v>0</v>
      </c>
      <c r="K56" s="334">
        <f>SUMPRODUCT(K42:K44,R42:R44)+SUMPRODUCT(K45:K55,R45:R55)/0.87</f>
        <v>6.2639399000189928E-6</v>
      </c>
      <c r="L56" s="334">
        <f>SUMPRODUCT(L42:L44,R42:R44)+SUMPRODUCT(L45:L55,R45:R55)/0.87</f>
        <v>0</v>
      </c>
      <c r="M56" s="334">
        <f>SUMPRODUCT(M42:M44,R42:R44)+SUMPRODUCT(M45:M55,R45:R55)/0.87</f>
        <v>8.7667285664226814E-8</v>
      </c>
      <c r="N56" s="334">
        <f>SUMPRODUCT(N42:N44,R42:R44)+SUMPRODUCT(N45:N55,R45:R55)/0.87</f>
        <v>1.7002412452321574E-6</v>
      </c>
      <c r="O56" s="334">
        <f>SUMPRODUCT(O42:O44,R42:R44)+SUMPRODUCT(O45:O55,R45:R55)/0.87</f>
        <v>0</v>
      </c>
      <c r="P56" s="334">
        <f>SUMPRODUCT(P42:P44,R42:R44)+SUMPRODUCT(P45:P55,R45:R55)/0.87</f>
        <v>4.4229232867198964E-4</v>
      </c>
      <c r="Q56" s="334">
        <f>SUMPRODUCT(Q42:Q44,R42:R44)+SUMPRODUCT(Q45:Q55,R45:R55)/0.87</f>
        <v>7.2103970453891708E-6</v>
      </c>
      <c r="R56" s="335"/>
      <c r="S56" s="336"/>
      <c r="T56" s="336"/>
    </row>
    <row r="57" spans="1:20" x14ac:dyDescent="0.3">
      <c r="A57" s="150"/>
      <c r="B57" s="23" t="s">
        <v>457</v>
      </c>
      <c r="C57" s="24"/>
      <c r="D57" s="94"/>
      <c r="E57" s="94"/>
      <c r="F57" s="28">
        <f>SUMPRODUCT(F42:F44,S42:S44)+SUMPRODUCT(F45:F55,S45:S55)/0.87</f>
        <v>5.8329490185907726E-4</v>
      </c>
      <c r="G57" s="28">
        <f>SUMPRODUCT(G42:G44,S42:S44)+SUMPRODUCT(G45:G55,S45:S55)/0.87</f>
        <v>3.7290546707533062E-5</v>
      </c>
      <c r="H57" s="28">
        <f>SUMPRODUCT(H42:H44,S42:S44)+SUMPRODUCT(H45:H55,S45:S55)/0.87</f>
        <v>8.8449781003250034E-5</v>
      </c>
      <c r="I57" s="28">
        <f>SUMPRODUCT(I42:I44,S42:S44)+SUMPRODUCT(I45:I55,S45:S55)/0.87</f>
        <v>0</v>
      </c>
      <c r="J57" s="28">
        <f>SUMPRODUCT(J42:J44,S42:S44)+SUMPRODUCT(J45:J55,S45:S55)/0.87</f>
        <v>0</v>
      </c>
      <c r="K57" s="28">
        <f>SUMPRODUCT(K42:K44,S42:S44)+SUMPRODUCT(K45:K55,S45:S55)/0.87</f>
        <v>6.2639399000189928E-6</v>
      </c>
      <c r="L57" s="28">
        <f>SUMPRODUCT(L42:L44,S42:S44)+SUMPRODUCT(L45:L55,S45:S55)/0.87</f>
        <v>0</v>
      </c>
      <c r="M57" s="28">
        <f>SUMPRODUCT(M42:M44,S42:S44)+SUMPRODUCT(M45:M55,S45:S55)/0.87</f>
        <v>8.7667285664226814E-8</v>
      </c>
      <c r="N57" s="28">
        <f>SUMPRODUCT(N42:N44,S42:S44)+SUMPRODUCT(N45:N55,S45:S55)/0.87</f>
        <v>1.7002412452321574E-6</v>
      </c>
      <c r="O57" s="28">
        <f>SUMPRODUCT(O42:O44,S42:S44)+SUMPRODUCT(O45:O55,S45:S55)/0.87</f>
        <v>0</v>
      </c>
      <c r="P57" s="28">
        <f>SUMPRODUCT(P42:P44,S42:S44)+SUMPRODUCT(P45:P55,S45:S55)/0.87</f>
        <v>4.4229232867198964E-4</v>
      </c>
      <c r="Q57" s="28">
        <f>SUMPRODUCT(Q42:Q44,S42:S44)+SUMPRODUCT(Q45:Q55,S45:S55)/0.87</f>
        <v>7.2103970453891708E-6</v>
      </c>
      <c r="R57" s="152"/>
      <c r="S57" s="152"/>
      <c r="T57" s="152"/>
    </row>
    <row r="58" spans="1:20" x14ac:dyDescent="0.3">
      <c r="A58" s="328"/>
      <c r="B58" s="329" t="s">
        <v>641</v>
      </c>
      <c r="C58" s="330"/>
      <c r="D58" s="331"/>
      <c r="E58" s="331"/>
      <c r="F58" s="332">
        <f>SUMPRODUCT(F42:F44,$T42:$T44)+SUMPRODUCT(F45:F55,$T45:$T55)/0.87</f>
        <v>5.8329490185907726E-4</v>
      </c>
      <c r="G58" s="332">
        <f t="shared" ref="G58:O58" si="14">SUMPRODUCT(G42:G44,$T42:$T44)+SUMPRODUCT(G45:G55,$T45:$T55)/0.87</f>
        <v>3.7290546707533062E-5</v>
      </c>
      <c r="H58" s="332">
        <f t="shared" si="14"/>
        <v>8.8449781003250034E-5</v>
      </c>
      <c r="I58" s="332">
        <f t="shared" si="14"/>
        <v>0</v>
      </c>
      <c r="J58" s="332">
        <f t="shared" si="14"/>
        <v>0</v>
      </c>
      <c r="K58" s="332">
        <f t="shared" si="14"/>
        <v>6.2639399000189928E-6</v>
      </c>
      <c r="L58" s="332">
        <f t="shared" si="14"/>
        <v>0</v>
      </c>
      <c r="M58" s="332">
        <f t="shared" si="14"/>
        <v>8.7667285664226814E-8</v>
      </c>
      <c r="N58" s="332">
        <f t="shared" si="14"/>
        <v>1.7002412452321574E-6</v>
      </c>
      <c r="O58" s="332">
        <f t="shared" si="14"/>
        <v>0</v>
      </c>
      <c r="P58" s="332">
        <f>SUMPRODUCT(P42:P44,$T42:$T44)+SUMPRODUCT(P45:P55,$T45:$T55)/0.87</f>
        <v>4.4229232867198964E-4</v>
      </c>
      <c r="Q58" s="332">
        <f t="shared" ref="Q58" si="15">SUMPRODUCT(Q42:Q44,$T42:$T44)+SUMPRODUCT(Q45:Q55,$T45:$T55)/0.87</f>
        <v>7.2103970453891708E-6</v>
      </c>
      <c r="R58" s="335"/>
      <c r="S58" s="335"/>
      <c r="T58" s="335"/>
    </row>
    <row r="59" spans="1:20" x14ac:dyDescent="0.3">
      <c r="A59" s="150"/>
      <c r="B59" s="23" t="s">
        <v>642</v>
      </c>
      <c r="C59" s="24"/>
      <c r="D59" s="94"/>
      <c r="E59" s="94"/>
      <c r="F59" s="327">
        <f>SUMPRODUCT(F42:F44,$U42:$U44)+SUMPRODUCT(F45:F55,$U45:$U55)/0.87</f>
        <v>0</v>
      </c>
      <c r="G59" s="327">
        <f t="shared" ref="G59:K59" si="16">SUMPRODUCT(G42:G44,$U42:$U44)+SUMPRODUCT(G45:G55,$U45:$U55)/0.87</f>
        <v>0</v>
      </c>
      <c r="H59" s="327">
        <f t="shared" si="16"/>
        <v>0</v>
      </c>
      <c r="I59" s="327">
        <f t="shared" si="16"/>
        <v>0</v>
      </c>
      <c r="J59" s="327">
        <f t="shared" si="16"/>
        <v>0</v>
      </c>
      <c r="K59" s="327">
        <f t="shared" si="16"/>
        <v>0</v>
      </c>
      <c r="L59" s="327">
        <f>SUMPRODUCT(L42:L44,$U42:$U44)+SUMPRODUCT(L45:L55,$U45:$U55)/0.87</f>
        <v>0</v>
      </c>
      <c r="M59" s="327">
        <f t="shared" ref="M59:Q59" si="17">SUMPRODUCT(M42:M44,$U42:$U44)+SUMPRODUCT(M45:M55,$U45:$U55)/0.87</f>
        <v>0</v>
      </c>
      <c r="N59" s="327">
        <f t="shared" si="17"/>
        <v>0</v>
      </c>
      <c r="O59" s="327">
        <f t="shared" si="17"/>
        <v>0</v>
      </c>
      <c r="P59" s="327">
        <f t="shared" si="17"/>
        <v>0</v>
      </c>
      <c r="Q59" s="327">
        <f t="shared" si="17"/>
        <v>0</v>
      </c>
      <c r="R59" s="152"/>
      <c r="S59" s="152"/>
      <c r="T59" s="152"/>
    </row>
    <row r="60" spans="1:20" x14ac:dyDescent="0.3">
      <c r="B60" s="16" t="s">
        <v>299</v>
      </c>
      <c r="C60" s="15" t="s">
        <v>302</v>
      </c>
      <c r="D60" s="21" t="s">
        <v>45</v>
      </c>
      <c r="E60" s="21" t="s">
        <v>46</v>
      </c>
      <c r="F60" s="120">
        <f>SUM(G60:Q60)</f>
        <v>1.5971663577783884E-4</v>
      </c>
      <c r="G60" s="27">
        <f>'Forage crops, CF'!F24</f>
        <v>3.9901302719260733E-5</v>
      </c>
      <c r="H60" s="27">
        <f>'Forage crops, CF'!G24</f>
        <v>9.5000000000000005E-5</v>
      </c>
      <c r="I60" s="27">
        <f>'Forage crops, CF'!H24</f>
        <v>0</v>
      </c>
      <c r="J60" s="27">
        <f>'Forage crops, CF'!I24</f>
        <v>0</v>
      </c>
      <c r="K60" s="27">
        <f>'Forage crops, CF'!J24</f>
        <v>1.4359632841598194E-5</v>
      </c>
      <c r="L60" s="27">
        <f>'Forage crops, CF'!K24</f>
        <v>0</v>
      </c>
      <c r="M60" s="27">
        <f>'Forage crops, CF'!L24</f>
        <v>1.0455700216979909E-5</v>
      </c>
      <c r="N60" s="27">
        <f>'Forage crops, CF'!M24</f>
        <v>0</v>
      </c>
      <c r="O60" s="27">
        <f>'Forage crops, CF'!N24</f>
        <v>0</v>
      </c>
      <c r="P60" s="27">
        <f>'Forage crops, CF'!O24</f>
        <v>0</v>
      </c>
      <c r="Q60" s="27">
        <f>'Forage crops, CF'!P24</f>
        <v>0</v>
      </c>
      <c r="R60" s="151">
        <f>'Parameters SH, country spec'!E15</f>
        <v>0.3707697249953647</v>
      </c>
      <c r="S60" s="151">
        <f>'Parameters SH, country spec'!E33</f>
        <v>0.3707697249953647</v>
      </c>
      <c r="T60" s="264">
        <f>'Parameters D24m, country spec'!E11</f>
        <v>0.3707697249953647</v>
      </c>
    </row>
    <row r="61" spans="1:20" x14ac:dyDescent="0.3">
      <c r="B61" s="16" t="s">
        <v>300</v>
      </c>
      <c r="C61" s="15" t="s">
        <v>302</v>
      </c>
      <c r="D61" s="21" t="s">
        <v>45</v>
      </c>
      <c r="E61" s="21" t="s">
        <v>46</v>
      </c>
      <c r="F61" s="120">
        <f>SUM(G61:Q61)</f>
        <v>1.0104474988943185E-3</v>
      </c>
      <c r="G61" s="27">
        <f>'Forage crops, CF'!F89</f>
        <v>1.8329117956048056E-4</v>
      </c>
      <c r="H61" s="27">
        <f>'Forage crops, CF'!G89</f>
        <v>9.5000000000000005E-5</v>
      </c>
      <c r="I61" s="27"/>
      <c r="J61" s="27"/>
      <c r="K61" s="27">
        <f>'Forage crops, CF'!J89</f>
        <v>1.3700619116858083E-5</v>
      </c>
      <c r="L61" s="27"/>
      <c r="M61" s="27">
        <f>'Forage crops, CF'!L89</f>
        <v>1.0455700216979911E-5</v>
      </c>
      <c r="N61" s="27">
        <f>'Forage crops, CF'!M89</f>
        <v>0</v>
      </c>
      <c r="O61" s="27"/>
      <c r="P61" s="27">
        <f>'Forage crops, CF'!O89</f>
        <v>7.0799999999999997E-4</v>
      </c>
      <c r="Q61" s="27"/>
      <c r="R61" s="151">
        <f>'Parameters SH, country spec'!E16</f>
        <v>0.13544388222799708</v>
      </c>
      <c r="S61" s="151">
        <f>'Parameters SH, country spec'!E34</f>
        <v>0.13544388222799708</v>
      </c>
      <c r="T61" s="264">
        <f>'Parameters D24m, country spec'!E12</f>
        <v>0.13544388222799708</v>
      </c>
    </row>
    <row r="62" spans="1:20" x14ac:dyDescent="0.3">
      <c r="B62" s="16" t="s">
        <v>301</v>
      </c>
      <c r="C62" s="15" t="s">
        <v>302</v>
      </c>
      <c r="D62" s="21" t="s">
        <v>45</v>
      </c>
      <c r="E62" s="21" t="s">
        <v>46</v>
      </c>
      <c r="F62" s="120">
        <f>SUM(G62:Q62)</f>
        <v>8.4303379520681845E-4</v>
      </c>
      <c r="G62" s="27">
        <f>'Forage crops, CF'!F154*'Forage, input data per ha'!$D$81+'Forage crops, CF'!F219*'Forage, input data per ha'!$E$81</f>
        <v>1.6772801472403413E-5</v>
      </c>
      <c r="H62" s="27">
        <f>'Forage crops, CF'!G154*'Forage, input data per ha'!$D$81+'Forage crops, CF'!G219*'Forage, input data per ha'!$E$81</f>
        <v>9.5000000000000005E-5</v>
      </c>
      <c r="I62" s="27"/>
      <c r="J62" s="27"/>
      <c r="K62" s="27">
        <f>'Forage crops, CF'!J154*'Forage, input data per ha'!$D$81+'Forage crops, CF'!J219*'Forage, input data per ha'!$E$81</f>
        <v>1.2805293517435253E-5</v>
      </c>
      <c r="L62" s="27"/>
      <c r="M62" s="27">
        <f>'Forage crops, CF'!L154*'Forage, input data per ha'!$D$81+'Forage crops, CF'!L219*'Forage, input data per ha'!$E$81</f>
        <v>1.0455700216979909E-5</v>
      </c>
      <c r="N62" s="27">
        <f>'Forage crops, CF'!M154*'Forage, input data per ha'!$D$81+'Forage crops, CF'!M219*'Forage, input data per ha'!$E$81</f>
        <v>0</v>
      </c>
      <c r="O62" s="27"/>
      <c r="P62" s="27">
        <f>'Forage crops, CF'!O154*'Forage, input data per ha'!$D$81+'Forage crops, CF'!O219*'Forage, input data per ha'!$E$81</f>
        <v>7.0799999999999986E-4</v>
      </c>
      <c r="Q62" s="27"/>
      <c r="R62" s="151">
        <f>'Parameters SH, country spec'!E17</f>
        <v>3.5518223853143398E-2</v>
      </c>
      <c r="S62" s="151">
        <f>'Parameters SH, country spec'!E35</f>
        <v>3.5518223853143398E-2</v>
      </c>
      <c r="T62" s="264">
        <f>'Parameters D24m, country spec'!E13</f>
        <v>3.5518223853143398E-2</v>
      </c>
    </row>
    <row r="63" spans="1:20" x14ac:dyDescent="0.3">
      <c r="A63" s="20" t="s">
        <v>231</v>
      </c>
      <c r="B63" s="15" t="s">
        <v>113</v>
      </c>
      <c r="C63" s="15" t="s">
        <v>232</v>
      </c>
      <c r="D63" s="21" t="s">
        <v>45</v>
      </c>
      <c r="E63" s="21" t="s">
        <v>46</v>
      </c>
      <c r="F63" s="120">
        <f>SUM(G63:Q63)</f>
        <v>3.1946000000000003E-4</v>
      </c>
      <c r="G63" s="93">
        <v>1.4999999999999999E-4</v>
      </c>
      <c r="H63" s="93">
        <v>1E-4</v>
      </c>
      <c r="I63" s="93"/>
      <c r="J63" s="93"/>
      <c r="K63" s="93">
        <v>2.9200000000000002E-5</v>
      </c>
      <c r="L63" s="93"/>
      <c r="M63" s="93">
        <v>2.26E-6</v>
      </c>
      <c r="N63" s="93">
        <v>3.8000000000000002E-5</v>
      </c>
      <c r="O63" s="93"/>
      <c r="P63" s="93"/>
      <c r="Q63" s="93"/>
      <c r="R63" s="151">
        <f>'Parameters SH, country spec'!E18</f>
        <v>6.7240073264057107E-2</v>
      </c>
      <c r="S63" s="151">
        <f>'Parameters SH, country spec'!E36</f>
        <v>6.7240073264057107E-2</v>
      </c>
      <c r="T63" s="264">
        <f>'Parameters D24m, country spec'!E14</f>
        <v>6.7240073264057107E-2</v>
      </c>
    </row>
    <row r="64" spans="1:20" x14ac:dyDescent="0.3">
      <c r="A64" s="20" t="s">
        <v>233</v>
      </c>
      <c r="B64" s="15" t="s">
        <v>114</v>
      </c>
      <c r="C64" s="15" t="s">
        <v>232</v>
      </c>
      <c r="D64" s="21" t="s">
        <v>45</v>
      </c>
      <c r="E64" s="21" t="s">
        <v>46</v>
      </c>
      <c r="F64" s="120">
        <f t="shared" ref="F64:F73" si="18">SUM(G64:Q64)</f>
        <v>3.4726000000000001E-4</v>
      </c>
      <c r="G64" s="93">
        <v>1.4999999999999999E-4</v>
      </c>
      <c r="H64" s="93">
        <v>1E-4</v>
      </c>
      <c r="I64" s="93"/>
      <c r="J64" s="93"/>
      <c r="K64" s="93">
        <v>7.5599999999999996E-6</v>
      </c>
      <c r="L64" s="93"/>
      <c r="M64" s="93">
        <v>5.1700000000000003E-5</v>
      </c>
      <c r="N64" s="93">
        <v>3.8000000000000002E-5</v>
      </c>
      <c r="O64" s="93"/>
      <c r="P64" s="93"/>
      <c r="Q64" s="93"/>
      <c r="R64" s="151">
        <f>'Parameters SH, country spec'!E19</f>
        <v>0.20110909949687941</v>
      </c>
      <c r="S64" s="151">
        <f>'Parameters SH, country spec'!E37</f>
        <v>0.20110909949687941</v>
      </c>
      <c r="T64" s="264">
        <f>'Parameters D24m, country spec'!E15</f>
        <v>0.20110909949687941</v>
      </c>
    </row>
    <row r="65" spans="1:20" x14ac:dyDescent="0.3">
      <c r="A65" s="20" t="s">
        <v>234</v>
      </c>
      <c r="B65" s="15" t="s">
        <v>115</v>
      </c>
      <c r="C65" s="15" t="s">
        <v>232</v>
      </c>
      <c r="D65" s="21" t="s">
        <v>45</v>
      </c>
      <c r="E65" s="21" t="s">
        <v>46</v>
      </c>
      <c r="F65" s="120">
        <f t="shared" si="18"/>
        <v>3.7189999999999999E-4</v>
      </c>
      <c r="G65" s="93">
        <v>1.2999999999999999E-4</v>
      </c>
      <c r="H65" s="93">
        <v>1E-4</v>
      </c>
      <c r="I65" s="93"/>
      <c r="J65" s="93"/>
      <c r="K65" s="93">
        <v>6.1500000000000004E-5</v>
      </c>
      <c r="L65" s="93"/>
      <c r="M65" s="93">
        <v>4.2400000000000001E-5</v>
      </c>
      <c r="N65" s="93">
        <v>3.8000000000000002E-5</v>
      </c>
      <c r="O65" s="93"/>
      <c r="P65" s="93"/>
      <c r="Q65" s="93"/>
      <c r="R65" s="151">
        <f>'Parameters SH, country spec'!E20</f>
        <v>1.8273719871874414E-2</v>
      </c>
      <c r="S65" s="151">
        <f>'Parameters SH, country spec'!E38</f>
        <v>1.8273719871874414E-2</v>
      </c>
      <c r="T65" s="264">
        <f>'Parameters D24m, country spec'!E16</f>
        <v>1.8273719871874414E-2</v>
      </c>
    </row>
    <row r="66" spans="1:20" x14ac:dyDescent="0.3">
      <c r="A66" s="20" t="s">
        <v>235</v>
      </c>
      <c r="B66" s="15" t="s">
        <v>116</v>
      </c>
      <c r="C66" s="15" t="s">
        <v>232</v>
      </c>
      <c r="D66" s="21" t="s">
        <v>45</v>
      </c>
      <c r="E66" s="21" t="s">
        <v>46</v>
      </c>
      <c r="F66" s="120">
        <f t="shared" si="18"/>
        <v>2.9825100000000003E-4</v>
      </c>
      <c r="G66" s="93">
        <v>1.2E-4</v>
      </c>
      <c r="H66" s="93">
        <v>1E-4</v>
      </c>
      <c r="I66" s="93"/>
      <c r="J66" s="93"/>
      <c r="K66" s="93">
        <v>4.0000000000000003E-5</v>
      </c>
      <c r="L66" s="93"/>
      <c r="M66" s="93">
        <v>2.5100000000000001E-7</v>
      </c>
      <c r="N66" s="93">
        <v>3.8000000000000002E-5</v>
      </c>
      <c r="O66" s="93"/>
      <c r="P66" s="93"/>
      <c r="Q66" s="93"/>
      <c r="R66" s="151">
        <f>'Parameters SH, country spec'!E21</f>
        <v>4.0305382311056149E-3</v>
      </c>
      <c r="S66" s="151">
        <f>'Parameters SH, country spec'!E39</f>
        <v>4.0305382311056149E-3</v>
      </c>
      <c r="T66" s="264">
        <f>'Parameters D24m, country spec'!E17</f>
        <v>4.0305382311056149E-3</v>
      </c>
    </row>
    <row r="67" spans="1:20" x14ac:dyDescent="0.3">
      <c r="A67" s="20" t="s">
        <v>236</v>
      </c>
      <c r="B67" s="15" t="s">
        <v>117</v>
      </c>
      <c r="C67" s="15" t="s">
        <v>232</v>
      </c>
      <c r="D67" s="21" t="s">
        <v>45</v>
      </c>
      <c r="E67" s="21" t="s">
        <v>46</v>
      </c>
      <c r="F67" s="120">
        <f t="shared" si="18"/>
        <v>3.4382E-4</v>
      </c>
      <c r="G67" s="93">
        <v>1.7000000000000001E-4</v>
      </c>
      <c r="H67" s="93">
        <v>1E-4</v>
      </c>
      <c r="I67" s="93"/>
      <c r="J67" s="93"/>
      <c r="K67" s="93">
        <v>2.9300000000000001E-5</v>
      </c>
      <c r="L67" s="93"/>
      <c r="M67" s="93">
        <v>6.5200000000000003E-6</v>
      </c>
      <c r="N67" s="93">
        <v>3.8000000000000002E-5</v>
      </c>
      <c r="O67" s="93"/>
      <c r="P67" s="93"/>
      <c r="Q67" s="93"/>
      <c r="R67" s="151">
        <f>'Parameters SH, country spec'!E22</f>
        <v>2.8904067051552513E-3</v>
      </c>
      <c r="S67" s="151">
        <f>'Parameters SH, country spec'!E40</f>
        <v>2.8904067051552513E-3</v>
      </c>
      <c r="T67" s="264">
        <f>'Parameters D24m, country spec'!E18</f>
        <v>2.8904067051552513E-3</v>
      </c>
    </row>
    <row r="68" spans="1:20" x14ac:dyDescent="0.3">
      <c r="A68" s="20" t="s">
        <v>237</v>
      </c>
      <c r="B68" s="15" t="s">
        <v>118</v>
      </c>
      <c r="C68" s="15" t="s">
        <v>238</v>
      </c>
      <c r="D68" s="21" t="s">
        <v>45</v>
      </c>
      <c r="E68" s="21" t="s">
        <v>46</v>
      </c>
      <c r="F68" s="120">
        <f t="shared" si="18"/>
        <v>1.9450000000000001E-4</v>
      </c>
      <c r="G68" s="93">
        <v>0</v>
      </c>
      <c r="H68" s="93">
        <v>1E-4</v>
      </c>
      <c r="I68" s="93"/>
      <c r="J68" s="93"/>
      <c r="K68" s="93">
        <v>4.6199999999999998E-5</v>
      </c>
      <c r="L68" s="93"/>
      <c r="M68" s="93">
        <v>1.03E-5</v>
      </c>
      <c r="N68" s="93">
        <v>3.8000000000000002E-5</v>
      </c>
      <c r="O68" s="93"/>
      <c r="P68" s="93"/>
      <c r="Q68" s="93"/>
      <c r="R68" s="151">
        <f>'Parameters SH, country spec'!E23</f>
        <v>2.7727022810161413E-4</v>
      </c>
      <c r="S68" s="151">
        <f>'Parameters SH, country spec'!E41</f>
        <v>2.7727022810161413E-4</v>
      </c>
      <c r="T68" s="264">
        <f>'Parameters D24m, country spec'!E19</f>
        <v>2.7727022810161413E-4</v>
      </c>
    </row>
    <row r="69" spans="1:20" x14ac:dyDescent="0.3">
      <c r="A69" s="20" t="s">
        <v>239</v>
      </c>
      <c r="B69" s="15" t="s">
        <v>119</v>
      </c>
      <c r="C69" s="15" t="s">
        <v>238</v>
      </c>
      <c r="D69" s="21" t="s">
        <v>45</v>
      </c>
      <c r="E69" s="21" t="s">
        <v>46</v>
      </c>
      <c r="F69" s="120">
        <f t="shared" si="18"/>
        <v>2.496E-4</v>
      </c>
      <c r="G69" s="93">
        <v>7.5000000000000002E-6</v>
      </c>
      <c r="H69" s="93">
        <v>1E-4</v>
      </c>
      <c r="I69" s="93"/>
      <c r="J69" s="93"/>
      <c r="K69" s="93">
        <v>2.8600000000000001E-5</v>
      </c>
      <c r="L69" s="93"/>
      <c r="M69" s="93">
        <v>7.5500000000000006E-5</v>
      </c>
      <c r="N69" s="93">
        <v>3.8000000000000002E-5</v>
      </c>
      <c r="O69" s="93"/>
      <c r="P69" s="93"/>
      <c r="Q69" s="93"/>
      <c r="R69" s="151">
        <f>'Parameters SH, country spec'!E24</f>
        <v>2.7237073543292042E-4</v>
      </c>
      <c r="S69" s="151">
        <f>'Parameters SH, country spec'!E42</f>
        <v>2.7237073543292042E-4</v>
      </c>
      <c r="T69" s="264">
        <f>'Parameters D24m, country spec'!E20</f>
        <v>2.7237073543292042E-4</v>
      </c>
    </row>
    <row r="70" spans="1:20" x14ac:dyDescent="0.3">
      <c r="B70" s="16" t="s">
        <v>120</v>
      </c>
      <c r="C70" s="15" t="s">
        <v>240</v>
      </c>
      <c r="D70" s="21" t="s">
        <v>45</v>
      </c>
      <c r="E70" s="21" t="s">
        <v>46</v>
      </c>
      <c r="F70" s="120">
        <f t="shared" si="18"/>
        <v>4.6478527325651394E-4</v>
      </c>
      <c r="G70" s="27">
        <v>3.0425509539765719E-4</v>
      </c>
      <c r="H70" s="27">
        <v>4.5862068965517246E-5</v>
      </c>
      <c r="I70" s="27"/>
      <c r="J70" s="27"/>
      <c r="K70" s="27">
        <v>1.0936279334641699E-5</v>
      </c>
      <c r="L70" s="27"/>
      <c r="M70" s="27">
        <v>6.4606960551724142E-7</v>
      </c>
      <c r="N70" s="27">
        <v>2.1884761697575221E-5</v>
      </c>
      <c r="O70" s="27"/>
      <c r="P70" s="27">
        <v>5.7027085212127035E-5</v>
      </c>
      <c r="Q70" s="27">
        <v>2.4173913043478263E-5</v>
      </c>
      <c r="R70" s="151">
        <f>'Parameters SH, country spec'!E25</f>
        <v>3.0258775338687637E-4</v>
      </c>
      <c r="S70" s="151">
        <f>'Parameters SH, country spec'!E43</f>
        <v>3.0258775338687637E-4</v>
      </c>
      <c r="T70" s="264">
        <f>'Parameters D24m, country spec'!E21</f>
        <v>3.0258775338687637E-4</v>
      </c>
    </row>
    <row r="71" spans="1:20" x14ac:dyDescent="0.3">
      <c r="B71" s="16" t="s">
        <v>241</v>
      </c>
      <c r="C71" s="15" t="s">
        <v>240</v>
      </c>
      <c r="D71" s="21" t="s">
        <v>45</v>
      </c>
      <c r="E71" s="21" t="s">
        <v>46</v>
      </c>
      <c r="F71" s="120">
        <f t="shared" si="18"/>
        <v>4.7266553697523981E-4</v>
      </c>
      <c r="G71" s="27">
        <v>1.5603516238625262E-5</v>
      </c>
      <c r="H71" s="27">
        <v>7.5304878048780503E-5</v>
      </c>
      <c r="I71" s="27"/>
      <c r="J71" s="27"/>
      <c r="K71" s="27">
        <v>1.908459074435586E-5</v>
      </c>
      <c r="L71" s="27"/>
      <c r="M71" s="27">
        <v>5.9672097439024396E-7</v>
      </c>
      <c r="N71" s="27">
        <v>2.3084271612619523E-5</v>
      </c>
      <c r="O71" s="27"/>
      <c r="P71" s="27">
        <v>1.2899155935646844E-4</v>
      </c>
      <c r="Q71" s="27">
        <v>2.1000000000000001E-4</v>
      </c>
      <c r="R71" s="151">
        <f>'Parameters SH, country spec'!E26</f>
        <v>5.3317910590755316E-2</v>
      </c>
      <c r="S71" s="151">
        <f>'Parameters SH, country spec'!E44</f>
        <v>5.3317910590755316E-2</v>
      </c>
      <c r="T71" s="264">
        <f>'Parameters D24m, country spec'!E22</f>
        <v>5.3317910590755316E-2</v>
      </c>
    </row>
    <row r="72" spans="1:20" x14ac:dyDescent="0.3">
      <c r="B72" s="15" t="s">
        <v>122</v>
      </c>
      <c r="C72" s="15" t="s">
        <v>242</v>
      </c>
      <c r="D72" s="21" t="s">
        <v>45</v>
      </c>
      <c r="E72" s="21" t="s">
        <v>46</v>
      </c>
      <c r="F72" s="120"/>
      <c r="G72" s="93"/>
      <c r="H72" s="93"/>
      <c r="I72" s="93"/>
      <c r="J72" s="93"/>
      <c r="K72" s="93"/>
      <c r="L72" s="93"/>
      <c r="M72" s="93"/>
      <c r="N72" s="93"/>
      <c r="O72" s="93"/>
      <c r="P72" s="93"/>
      <c r="Q72" s="93"/>
      <c r="R72" s="151">
        <f>'Parameters SH, country spec'!E27</f>
        <v>4.6947510766466367E-2</v>
      </c>
      <c r="S72" s="151">
        <f>'Parameters SH, country spec'!E45</f>
        <v>4.6947510766466367E-2</v>
      </c>
      <c r="T72" s="264">
        <f>'Parameters D24m, country spec'!E23</f>
        <v>4.6947510766466367E-2</v>
      </c>
    </row>
    <row r="73" spans="1:20" x14ac:dyDescent="0.3">
      <c r="A73" s="75"/>
      <c r="B73" s="15" t="s">
        <v>243</v>
      </c>
      <c r="C73" s="76" t="s">
        <v>244</v>
      </c>
      <c r="D73" s="21" t="s">
        <v>45</v>
      </c>
      <c r="E73" s="21" t="s">
        <v>46</v>
      </c>
      <c r="F73" s="120">
        <f t="shared" si="18"/>
        <v>1.2577363777425309E-4</v>
      </c>
      <c r="G73" s="74">
        <f>SUMPRODUCT(G63:G71,$R63:$R71)</f>
        <v>4.4529046755094269E-5</v>
      </c>
      <c r="H73" s="74">
        <f t="shared" ref="H73:P73" si="19">SUMPRODUCT(H63:H71,$R63:$R71)</f>
        <v>3.3438323908527198E-5</v>
      </c>
      <c r="I73" s="74">
        <f t="shared" si="19"/>
        <v>0</v>
      </c>
      <c r="J73" s="74">
        <f t="shared" si="19"/>
        <v>0</v>
      </c>
      <c r="K73" s="74">
        <f t="shared" si="19"/>
        <v>5.894998524067105E-6</v>
      </c>
      <c r="L73" s="74">
        <f t="shared" si="19"/>
        <v>0</v>
      </c>
      <c r="M73" s="74">
        <f t="shared" si="19"/>
        <v>1.1399397131131794E-5</v>
      </c>
      <c r="N73" s="74">
        <f t="shared" si="19"/>
        <v>1.2412979375008876E-5</v>
      </c>
      <c r="O73" s="74">
        <f t="shared" si="19"/>
        <v>0</v>
      </c>
      <c r="P73" s="74">
        <f t="shared" si="19"/>
        <v>6.8948161263268309E-6</v>
      </c>
      <c r="Q73" s="74">
        <f>SUMPRODUCT(Q63:Q71,$R63:$R71)</f>
        <v>1.1204075954097012E-5</v>
      </c>
      <c r="R73" s="151">
        <f>'Parameters SH, country spec'!E28</f>
        <v>6.3606681280279728E-2</v>
      </c>
      <c r="S73" s="151">
        <f>'Parameters SH, country spec'!E46</f>
        <v>6.3606681280279728E-2</v>
      </c>
      <c r="T73" s="264">
        <f>'Parameters D24m, country spec'!E24</f>
        <v>6.3606681280279728E-2</v>
      </c>
    </row>
    <row r="74" spans="1:20" x14ac:dyDescent="0.3">
      <c r="A74" s="328"/>
      <c r="B74" s="329" t="s">
        <v>616</v>
      </c>
      <c r="C74" s="330"/>
      <c r="D74" s="331"/>
      <c r="E74" s="331"/>
      <c r="F74" s="334">
        <f>SUMPRODUCT(F60:F62,R60:R62)+SUMPRODUCT(F63:F73,R63:R73)/0.87</f>
        <v>3.7978294047560614E-4</v>
      </c>
      <c r="G74" s="334">
        <f>SUMPRODUCT(G60:G62,R60:R62)+SUMPRODUCT(G63:G73,R63:R73)/0.87</f>
        <v>9.4653985286465348E-5</v>
      </c>
      <c r="H74" s="334">
        <f>SUMPRODUCT(H60:H62,R60:R62)+SUMPRODUCT(H63:H73,R63:R73)/0.87</f>
        <v>9.2344092595858399E-5</v>
      </c>
      <c r="I74" s="334">
        <f>SUMPRODUCT(I60:I62,R60:R62)+SUMPRODUCT(I63:I73,R63:R73)/0.87</f>
        <v>0</v>
      </c>
      <c r="J74" s="334">
        <f>SUMPRODUCT(J60:J62,R60:R62)+SUMPRODUCT(J63:J73,R63:R73)/0.87</f>
        <v>0</v>
      </c>
      <c r="K74" s="334">
        <f>SUMPRODUCT(K60:K62,R60:R62)+SUMPRODUCT(K63:K73,R63:R73)/0.87</f>
        <v>1.4841453807089245E-5</v>
      </c>
      <c r="L74" s="334">
        <f>SUMPRODUCT(L60:L62,R60:R62)+SUMPRODUCT(L63:L73,R63:R73)/0.87</f>
        <v>0</v>
      </c>
      <c r="M74" s="334">
        <f>SUMPRODUCT(M60:M62,R60:R62)+SUMPRODUCT(M63:M73,R63:R73)/0.87</f>
        <v>1.9600363728603987E-5</v>
      </c>
      <c r="N74" s="334">
        <f>SUMPRODUCT(N60:N62,R60:R62)+SUMPRODUCT(N63:N73,R63:R73)/0.87</f>
        <v>1.5175319307877876E-5</v>
      </c>
      <c r="O74" s="334">
        <f>SUMPRODUCT(O60:O62,R60:R62)+SUMPRODUCT(O63:O73,R63:R73)/0.87</f>
        <v>0</v>
      </c>
      <c r="P74" s="334">
        <f>SUMPRODUCT(P60:P62,R60:R62)+SUMPRODUCT(P63:P73,R63:R73)/0.87</f>
        <v>1.2947033489643623E-4</v>
      </c>
      <c r="Q74" s="334">
        <f>SUMPRODUCT(Q60:Q62,R60:R62)+SUMPRODUCT(Q63:Q73,R63:R73)/0.87</f>
        <v>1.3697390853275066E-5</v>
      </c>
      <c r="R74" s="335"/>
      <c r="S74" s="336"/>
      <c r="T74" s="336"/>
    </row>
    <row r="75" spans="1:20" x14ac:dyDescent="0.3">
      <c r="A75" s="150"/>
      <c r="B75" s="23" t="s">
        <v>457</v>
      </c>
      <c r="C75" s="24"/>
      <c r="D75" s="94"/>
      <c r="E75" s="94"/>
      <c r="F75" s="28">
        <f>SUMPRODUCT(F60:F62,S60:S62)+SUMPRODUCT(F63:F73,S63:S73)/0.87</f>
        <v>3.7978294047560614E-4</v>
      </c>
      <c r="G75" s="28">
        <f>SUMPRODUCT(G60:G62,S60:S62)+SUMPRODUCT(G63:G73,S63:S73)/0.87</f>
        <v>9.4653985286465348E-5</v>
      </c>
      <c r="H75" s="28">
        <f>SUMPRODUCT(H60:H62,S60:S62)+SUMPRODUCT(H63:H73,S63:S73)/0.87</f>
        <v>9.2344092595858399E-5</v>
      </c>
      <c r="I75" s="28">
        <f>SUMPRODUCT(I60:I62,S60:S62)+SUMPRODUCT(I63:I73,S63:S73)/0.87</f>
        <v>0</v>
      </c>
      <c r="J75" s="28">
        <f>SUMPRODUCT(J60:J62,S60:S62)+SUMPRODUCT(J63:J73,S63:S73)/0.87</f>
        <v>0</v>
      </c>
      <c r="K75" s="28">
        <f>SUMPRODUCT(K60:K62,S60:S62)+SUMPRODUCT(K63:K73,S63:S73)/0.87</f>
        <v>1.4841453807089245E-5</v>
      </c>
      <c r="L75" s="28">
        <f>SUMPRODUCT(L60:L62,S60:S62)+SUMPRODUCT(L63:L73,S63:S73)/0.87</f>
        <v>0</v>
      </c>
      <c r="M75" s="28">
        <f>SUMPRODUCT(M60:M62,S60:S62)+SUMPRODUCT(M63:M73,S63:S73)/0.87</f>
        <v>1.9600363728603987E-5</v>
      </c>
      <c r="N75" s="28">
        <f>SUMPRODUCT(N60:N62,S60:S62)+SUMPRODUCT(N63:N73,S63:S73)/0.87</f>
        <v>1.5175319307877876E-5</v>
      </c>
      <c r="O75" s="28">
        <f>SUMPRODUCT(O60:O62,S60:S62)+SUMPRODUCT(O63:O73,S63:S73)/0.87</f>
        <v>0</v>
      </c>
      <c r="P75" s="28">
        <f>SUMPRODUCT(P60:P62,S60:S62)+SUMPRODUCT(P63:P73,S63:S73)/0.87</f>
        <v>1.2947033489643623E-4</v>
      </c>
      <c r="Q75" s="28">
        <f>SUMPRODUCT(Q60:Q62,S60:S62)+SUMPRODUCT(Q63:Q73,S63:S73)/0.87</f>
        <v>1.3697390853275066E-5</v>
      </c>
      <c r="R75" s="152"/>
      <c r="S75" s="152"/>
      <c r="T75" s="152"/>
    </row>
    <row r="76" spans="1:20" x14ac:dyDescent="0.3">
      <c r="A76" s="328"/>
      <c r="B76" s="329" t="s">
        <v>641</v>
      </c>
      <c r="C76" s="330"/>
      <c r="D76" s="331"/>
      <c r="E76" s="331"/>
      <c r="F76" s="332">
        <f>SUMPRODUCT(F60:F62,$T60:$T62)+SUMPRODUCT(F63:F73,$T63:$T73)/0.87</f>
        <v>3.7978294047560614E-4</v>
      </c>
      <c r="G76" s="332">
        <f t="shared" ref="G76:O76" si="20">SUMPRODUCT(G60:G62,$T60:$T62)+SUMPRODUCT(G63:G73,$T63:$T73)/0.87</f>
        <v>9.4653985286465348E-5</v>
      </c>
      <c r="H76" s="332">
        <f t="shared" si="20"/>
        <v>9.2344092595858399E-5</v>
      </c>
      <c r="I76" s="332">
        <f t="shared" si="20"/>
        <v>0</v>
      </c>
      <c r="J76" s="332">
        <f t="shared" si="20"/>
        <v>0</v>
      </c>
      <c r="K76" s="332">
        <f t="shared" si="20"/>
        <v>1.4841453807089245E-5</v>
      </c>
      <c r="L76" s="332">
        <f t="shared" si="20"/>
        <v>0</v>
      </c>
      <c r="M76" s="332">
        <f t="shared" si="20"/>
        <v>1.9600363728603987E-5</v>
      </c>
      <c r="N76" s="332">
        <f t="shared" si="20"/>
        <v>1.5175319307877876E-5</v>
      </c>
      <c r="O76" s="332">
        <f t="shared" si="20"/>
        <v>0</v>
      </c>
      <c r="P76" s="332">
        <f>SUMPRODUCT(P60:P62,$T60:$T62)+SUMPRODUCT(P63:P73,$T63:$T73)/0.87</f>
        <v>1.2947033489643623E-4</v>
      </c>
      <c r="Q76" s="332">
        <f t="shared" ref="Q76" si="21">SUMPRODUCT(Q60:Q62,$T60:$T62)+SUMPRODUCT(Q63:Q73,$T63:$T73)/0.87</f>
        <v>1.3697390853275066E-5</v>
      </c>
      <c r="R76" s="335"/>
      <c r="S76" s="335"/>
      <c r="T76" s="335"/>
    </row>
    <row r="77" spans="1:20" x14ac:dyDescent="0.3">
      <c r="A77" s="150"/>
      <c r="B77" s="23" t="s">
        <v>642</v>
      </c>
      <c r="C77" s="24"/>
      <c r="D77" s="94"/>
      <c r="E77" s="94"/>
      <c r="F77" s="327">
        <f>SUMPRODUCT(F60:F62,$U60:$U62)+SUMPRODUCT(F63:F73,$U63:$U73)/0.87</f>
        <v>0</v>
      </c>
      <c r="G77" s="327">
        <f t="shared" ref="G77:K77" si="22">SUMPRODUCT(G60:G62,$U60:$U62)+SUMPRODUCT(G63:G73,$U63:$U73)/0.87</f>
        <v>0</v>
      </c>
      <c r="H77" s="327">
        <f t="shared" si="22"/>
        <v>0</v>
      </c>
      <c r="I77" s="327">
        <f t="shared" si="22"/>
        <v>0</v>
      </c>
      <c r="J77" s="327">
        <f t="shared" si="22"/>
        <v>0</v>
      </c>
      <c r="K77" s="327">
        <f t="shared" si="22"/>
        <v>0</v>
      </c>
      <c r="L77" s="327">
        <f>SUMPRODUCT(L60:L62,$U60:$U62)+SUMPRODUCT(L63:L73,$U63:$U73)/0.87</f>
        <v>0</v>
      </c>
      <c r="M77" s="327">
        <f t="shared" ref="M77:Q77" si="23">SUMPRODUCT(M60:M62,$U60:$U62)+SUMPRODUCT(M63:M73,$U63:$U73)/0.87</f>
        <v>0</v>
      </c>
      <c r="N77" s="327">
        <f t="shared" si="23"/>
        <v>0</v>
      </c>
      <c r="O77" s="327">
        <f t="shared" si="23"/>
        <v>0</v>
      </c>
      <c r="P77" s="327">
        <f t="shared" si="23"/>
        <v>0</v>
      </c>
      <c r="Q77" s="327">
        <f t="shared" si="23"/>
        <v>0</v>
      </c>
      <c r="R77" s="152"/>
      <c r="S77" s="152"/>
      <c r="T77" s="152"/>
    </row>
    <row r="78" spans="1:20" x14ac:dyDescent="0.3">
      <c r="B78" s="16" t="s">
        <v>299</v>
      </c>
      <c r="C78" s="15" t="s">
        <v>302</v>
      </c>
      <c r="D78" s="21" t="s">
        <v>96</v>
      </c>
      <c r="E78" s="21" t="s">
        <v>48</v>
      </c>
      <c r="F78" s="120">
        <f>SUM(G78:Q78)</f>
        <v>1.5650163000430493E-4</v>
      </c>
      <c r="G78" s="27">
        <f>'Forage crops, CF'!F29</f>
        <v>3.9901302719260733E-5</v>
      </c>
      <c r="H78" s="27">
        <f>'Forage crops, CF'!G29</f>
        <v>9.5000000000000005E-5</v>
      </c>
      <c r="I78" s="27">
        <f>'Forage crops, CF'!H29</f>
        <v>0</v>
      </c>
      <c r="J78" s="27">
        <f>'Forage crops, CF'!I29</f>
        <v>0</v>
      </c>
      <c r="K78" s="27">
        <f>'Forage crops, CF'!J29</f>
        <v>2.1571652778410818E-5</v>
      </c>
      <c r="L78" s="27">
        <f>'Forage crops, CF'!K29</f>
        <v>0</v>
      </c>
      <c r="M78" s="27">
        <f>'Forage crops, CF'!L29</f>
        <v>2.8674506633383747E-8</v>
      </c>
      <c r="N78" s="27">
        <f>'Forage crops, CF'!M29</f>
        <v>0</v>
      </c>
      <c r="O78" s="27">
        <f>'Forage crops, CF'!N29</f>
        <v>0</v>
      </c>
      <c r="P78" s="27">
        <f>'Forage crops, CF'!O29</f>
        <v>0</v>
      </c>
      <c r="Q78" s="27">
        <f>'Forage crops, CF'!P29</f>
        <v>0</v>
      </c>
      <c r="R78" s="151">
        <f>'Parameters SH, country spec'!F15</f>
        <v>7.7439143939213403E-2</v>
      </c>
      <c r="S78" s="151">
        <f>'Parameters SH, country spec'!F33</f>
        <v>7.7439143939213403E-2</v>
      </c>
      <c r="T78" s="264">
        <f>'Parameters D24m, country spec'!F11</f>
        <v>7.7439143939213403E-2</v>
      </c>
    </row>
    <row r="79" spans="1:20" x14ac:dyDescent="0.3">
      <c r="B79" s="16" t="s">
        <v>300</v>
      </c>
      <c r="C79" s="15" t="s">
        <v>302</v>
      </c>
      <c r="D79" s="21" t="s">
        <v>96</v>
      </c>
      <c r="E79" s="21" t="s">
        <v>48</v>
      </c>
      <c r="F79" s="120">
        <f>SUM(G79:Q79)</f>
        <v>8.9731015561449233E-4</v>
      </c>
      <c r="G79" s="27">
        <f>'Forage crops, CF'!F94</f>
        <v>8.475319093918984E-5</v>
      </c>
      <c r="H79" s="27">
        <f>'Forage crops, CF'!G94</f>
        <v>9.5000000000000005E-5</v>
      </c>
      <c r="I79" s="27"/>
      <c r="J79" s="27"/>
      <c r="K79" s="27">
        <f>'Forage crops, CF'!J94</f>
        <v>9.5282901686691296E-6</v>
      </c>
      <c r="L79" s="27"/>
      <c r="M79" s="27">
        <f>'Forage crops, CF'!L94</f>
        <v>2.8674506633383754E-8</v>
      </c>
      <c r="N79" s="27">
        <f>'Forage crops, CF'!M94</f>
        <v>0</v>
      </c>
      <c r="O79" s="27"/>
      <c r="P79" s="27">
        <f>'Forage crops, CF'!O94</f>
        <v>7.0799999999999997E-4</v>
      </c>
      <c r="Q79" s="27"/>
      <c r="R79" s="151">
        <f>'Parameters SH, country spec'!F16</f>
        <v>0.38082943222890436</v>
      </c>
      <c r="S79" s="151">
        <f>'Parameters SH, country spec'!F34</f>
        <v>0.38082943222890436</v>
      </c>
      <c r="T79" s="264">
        <f>'Parameters D24m, country spec'!F12</f>
        <v>0.38082943222890436</v>
      </c>
    </row>
    <row r="80" spans="1:20" x14ac:dyDescent="0.3">
      <c r="B80" s="16" t="s">
        <v>301</v>
      </c>
      <c r="C80" s="15" t="s">
        <v>302</v>
      </c>
      <c r="D80" s="21" t="s">
        <v>96</v>
      </c>
      <c r="E80" s="21" t="s">
        <v>48</v>
      </c>
      <c r="F80" s="120">
        <f>SUM(G80:Q80)</f>
        <v>8.2330260503635927E-4</v>
      </c>
      <c r="G80" s="27">
        <f>'Forage crops, CF'!F159*'Forage, input data per ha'!$D$82+'Forage crops, CF'!F224*'Forage, input data per ha'!$E$82</f>
        <v>6.5155369446603544E-6</v>
      </c>
      <c r="H80" s="27">
        <f>'Forage crops, CF'!G159*'Forage, input data per ha'!$D$82+'Forage crops, CF'!G224*'Forage, input data per ha'!$E$82</f>
        <v>9.5000000000000005E-5</v>
      </c>
      <c r="I80" s="27"/>
      <c r="J80" s="27"/>
      <c r="K80" s="27">
        <f>'Forage crops, CF'!J159*'Forage, input data per ha'!$D$82+'Forage crops, CF'!J224*'Forage, input data per ha'!$E$82</f>
        <v>1.3758393585065519E-5</v>
      </c>
      <c r="L80" s="27"/>
      <c r="M80" s="27">
        <f>'Forage crops, CF'!L159*'Forage, input data per ha'!$D$82+'Forage crops, CF'!L224*'Forage, input data per ha'!$E$82</f>
        <v>2.8674506633383754E-8</v>
      </c>
      <c r="N80" s="27">
        <f>'Forage crops, CF'!M159*'Forage, input data per ha'!$D$82+'Forage crops, CF'!M224*'Forage, input data per ha'!$E$82</f>
        <v>0</v>
      </c>
      <c r="O80" s="27"/>
      <c r="P80" s="27">
        <f>'Forage crops, CF'!O159*'Forage, input data per ha'!$D$82+'Forage crops, CF'!O224*'Forage, input data per ha'!$E$82</f>
        <v>7.0799999999999997E-4</v>
      </c>
      <c r="Q80" s="27"/>
      <c r="R80" s="151">
        <f>'Parameters SH, country spec'!F17</f>
        <v>0.18201404564523588</v>
      </c>
      <c r="S80" s="151">
        <f>'Parameters SH, country spec'!F35</f>
        <v>0.18201404564523588</v>
      </c>
      <c r="T80" s="264">
        <f>'Parameters D24m, country spec'!F13</f>
        <v>0.18201404564523588</v>
      </c>
    </row>
    <row r="81" spans="1:20" x14ac:dyDescent="0.3">
      <c r="A81" s="20" t="s">
        <v>231</v>
      </c>
      <c r="B81" s="15" t="s">
        <v>113</v>
      </c>
      <c r="C81" s="15" t="s">
        <v>232</v>
      </c>
      <c r="D81" s="21" t="s">
        <v>96</v>
      </c>
      <c r="E81" s="21" t="s">
        <v>48</v>
      </c>
      <c r="F81" s="120">
        <f>SUM(G81:Q81)</f>
        <v>2.9985099999999996E-4</v>
      </c>
      <c r="G81" s="93">
        <v>1.4999999999999999E-4</v>
      </c>
      <c r="H81" s="93">
        <v>1E-4</v>
      </c>
      <c r="I81" s="93"/>
      <c r="J81" s="93"/>
      <c r="K81" s="93">
        <v>1.5E-5</v>
      </c>
      <c r="L81" s="93"/>
      <c r="M81" s="93">
        <v>2.5100000000000001E-7</v>
      </c>
      <c r="N81" s="93">
        <v>3.4600000000000001E-5</v>
      </c>
      <c r="O81" s="93"/>
      <c r="P81" s="93"/>
      <c r="Q81" s="93"/>
      <c r="R81" s="151">
        <f>'Parameters SH, country spec'!F18</f>
        <v>1.3777713958130216E-2</v>
      </c>
      <c r="S81" s="151">
        <f>'Parameters SH, country spec'!F36</f>
        <v>1.3777713958130216E-2</v>
      </c>
      <c r="T81" s="264">
        <f>'Parameters D24m, country spec'!F14</f>
        <v>1.3777713958130216E-2</v>
      </c>
    </row>
    <row r="82" spans="1:20" x14ac:dyDescent="0.3">
      <c r="A82" s="20" t="s">
        <v>233</v>
      </c>
      <c r="B82" s="15" t="s">
        <v>114</v>
      </c>
      <c r="C82" s="15" t="s">
        <v>232</v>
      </c>
      <c r="D82" s="21" t="s">
        <v>96</v>
      </c>
      <c r="E82" s="21" t="s">
        <v>48</v>
      </c>
      <c r="F82" s="120">
        <f t="shared" ref="F82:F91" si="24">SUM(G82:Q82)</f>
        <v>2.9590200000000001E-4</v>
      </c>
      <c r="G82" s="93">
        <v>1.4999999999999999E-4</v>
      </c>
      <c r="H82" s="93">
        <v>1E-4</v>
      </c>
      <c r="I82" s="93"/>
      <c r="J82" s="93"/>
      <c r="K82" s="93">
        <v>1.08E-5</v>
      </c>
      <c r="L82" s="93"/>
      <c r="M82" s="93">
        <v>5.0200000000000002E-7</v>
      </c>
      <c r="N82" s="93">
        <v>3.4600000000000001E-5</v>
      </c>
      <c r="O82" s="93"/>
      <c r="P82" s="93"/>
      <c r="Q82" s="93"/>
      <c r="R82" s="151">
        <f>'Parameters SH, country spec'!F19</f>
        <v>8.1721304315358359E-2</v>
      </c>
      <c r="S82" s="151">
        <f>'Parameters SH, country spec'!F37</f>
        <v>8.1721304315358359E-2</v>
      </c>
      <c r="T82" s="264">
        <f>'Parameters D24m, country spec'!F15</f>
        <v>8.1721304315358359E-2</v>
      </c>
    </row>
    <row r="83" spans="1:20" x14ac:dyDescent="0.3">
      <c r="A83" s="20" t="s">
        <v>234</v>
      </c>
      <c r="B83" s="15" t="s">
        <v>115</v>
      </c>
      <c r="C83" s="15" t="s">
        <v>232</v>
      </c>
      <c r="D83" s="21" t="s">
        <v>96</v>
      </c>
      <c r="E83" s="21" t="s">
        <v>48</v>
      </c>
      <c r="F83" s="120">
        <f t="shared" si="24"/>
        <v>2.9496000000000004E-4</v>
      </c>
      <c r="G83" s="93">
        <v>1.2999999999999999E-4</v>
      </c>
      <c r="H83" s="93">
        <v>1E-4</v>
      </c>
      <c r="I83" s="93"/>
      <c r="J83" s="93"/>
      <c r="K83" s="93">
        <v>2.8099999999999999E-5</v>
      </c>
      <c r="L83" s="93"/>
      <c r="M83" s="93">
        <v>2.26E-6</v>
      </c>
      <c r="N83" s="93">
        <v>3.4600000000000001E-5</v>
      </c>
      <c r="O83" s="93"/>
      <c r="P83" s="93"/>
      <c r="Q83" s="93"/>
      <c r="R83" s="151">
        <f>'Parameters SH, country spec'!F20</f>
        <v>7.3794391499110061E-3</v>
      </c>
      <c r="S83" s="151">
        <f>'Parameters SH, country spec'!F38</f>
        <v>7.3794391499110061E-3</v>
      </c>
      <c r="T83" s="264">
        <f>'Parameters D24m, country spec'!F16</f>
        <v>7.3794391499110061E-3</v>
      </c>
    </row>
    <row r="84" spans="1:20" x14ac:dyDescent="0.3">
      <c r="A84" s="20" t="s">
        <v>235</v>
      </c>
      <c r="B84" s="15" t="s">
        <v>116</v>
      </c>
      <c r="C84" s="15" t="s">
        <v>232</v>
      </c>
      <c r="D84" s="21" t="s">
        <v>96</v>
      </c>
      <c r="E84" s="21" t="s">
        <v>48</v>
      </c>
      <c r="F84" s="120">
        <f t="shared" si="24"/>
        <v>2.7900000000000006E-4</v>
      </c>
      <c r="G84" s="93">
        <v>1.2E-4</v>
      </c>
      <c r="H84" s="93">
        <v>1E-4</v>
      </c>
      <c r="I84" s="93"/>
      <c r="J84" s="93"/>
      <c r="K84" s="93">
        <v>2.44E-5</v>
      </c>
      <c r="L84" s="93"/>
      <c r="M84" s="93">
        <v>0</v>
      </c>
      <c r="N84" s="93">
        <v>3.4600000000000001E-5</v>
      </c>
      <c r="O84" s="93"/>
      <c r="P84" s="93"/>
      <c r="Q84" s="93"/>
      <c r="R84" s="151">
        <f>'Parameters SH, country spec'!F21</f>
        <v>2.8681330795635538E-3</v>
      </c>
      <c r="S84" s="151">
        <f>'Parameters SH, country spec'!F39</f>
        <v>2.8681330795635538E-3</v>
      </c>
      <c r="T84" s="264">
        <f>'Parameters D24m, country spec'!F17</f>
        <v>2.8681330795635538E-3</v>
      </c>
    </row>
    <row r="85" spans="1:20" x14ac:dyDescent="0.3">
      <c r="A85" s="20" t="s">
        <v>236</v>
      </c>
      <c r="B85" s="15" t="s">
        <v>117</v>
      </c>
      <c r="C85" s="15" t="s">
        <v>232</v>
      </c>
      <c r="D85" s="21" t="s">
        <v>96</v>
      </c>
      <c r="E85" s="21" t="s">
        <v>48</v>
      </c>
      <c r="F85" s="120">
        <f t="shared" si="24"/>
        <v>3.2050199999999996E-4</v>
      </c>
      <c r="G85" s="93">
        <v>1.7000000000000001E-4</v>
      </c>
      <c r="H85" s="93">
        <v>1E-4</v>
      </c>
      <c r="I85" s="93"/>
      <c r="J85" s="93"/>
      <c r="K85" s="93">
        <v>1.5400000000000002E-5</v>
      </c>
      <c r="L85" s="93"/>
      <c r="M85" s="93">
        <v>5.0200000000000002E-7</v>
      </c>
      <c r="N85" s="93">
        <v>3.4600000000000001E-5</v>
      </c>
      <c r="O85" s="93"/>
      <c r="P85" s="93"/>
      <c r="Q85" s="93"/>
      <c r="R85" s="151">
        <f>'Parameters SH, country spec'!F22</f>
        <v>1.2902756316192223E-2</v>
      </c>
      <c r="S85" s="151">
        <f>'Parameters SH, country spec'!F40</f>
        <v>1.2902756316192223E-2</v>
      </c>
      <c r="T85" s="264">
        <f>'Parameters D24m, country spec'!F18</f>
        <v>1.2902756316192223E-2</v>
      </c>
    </row>
    <row r="86" spans="1:20" x14ac:dyDescent="0.3">
      <c r="A86" s="20" t="s">
        <v>237</v>
      </c>
      <c r="B86" s="15" t="s">
        <v>118</v>
      </c>
      <c r="C86" s="15" t="s">
        <v>238</v>
      </c>
      <c r="D86" s="21" t="s">
        <v>96</v>
      </c>
      <c r="E86" s="21" t="s">
        <v>48</v>
      </c>
      <c r="F86" s="120">
        <f t="shared" si="24"/>
        <v>1.8469999999999999E-4</v>
      </c>
      <c r="G86" s="93">
        <v>0</v>
      </c>
      <c r="H86" s="93">
        <v>1E-4</v>
      </c>
      <c r="I86" s="93"/>
      <c r="J86" s="93"/>
      <c r="K86" s="93">
        <v>3.15E-5</v>
      </c>
      <c r="L86" s="93"/>
      <c r="M86" s="93">
        <v>1.8600000000000001E-5</v>
      </c>
      <c r="N86" s="93">
        <v>3.4600000000000001E-5</v>
      </c>
      <c r="O86" s="93"/>
      <c r="P86" s="93"/>
      <c r="Q86" s="93"/>
      <c r="R86" s="151">
        <f>'Parameters SH, country spec'!F23</f>
        <v>9.2331122908701521E-4</v>
      </c>
      <c r="S86" s="151">
        <f>'Parameters SH, country spec'!F41</f>
        <v>9.2331122908701521E-4</v>
      </c>
      <c r="T86" s="264">
        <f>'Parameters D24m, country spec'!F19</f>
        <v>9.2331122908701521E-4</v>
      </c>
    </row>
    <row r="87" spans="1:20" x14ac:dyDescent="0.3">
      <c r="A87" s="20" t="s">
        <v>239</v>
      </c>
      <c r="B87" s="15" t="s">
        <v>119</v>
      </c>
      <c r="C87" s="15" t="s">
        <v>238</v>
      </c>
      <c r="D87" s="21" t="s">
        <v>96</v>
      </c>
      <c r="E87" s="21" t="s">
        <v>48</v>
      </c>
      <c r="F87" s="120">
        <f t="shared" si="24"/>
        <v>2.0880000000000001E-4</v>
      </c>
      <c r="G87" s="93">
        <v>7.5000000000000002E-6</v>
      </c>
      <c r="H87" s="93">
        <v>1E-4</v>
      </c>
      <c r="I87" s="93"/>
      <c r="J87" s="93"/>
      <c r="K87" s="93">
        <v>3.93E-5</v>
      </c>
      <c r="L87" s="93"/>
      <c r="M87" s="93">
        <v>2.7399999999999999E-5</v>
      </c>
      <c r="N87" s="93">
        <v>3.4600000000000001E-5</v>
      </c>
      <c r="O87" s="93"/>
      <c r="P87" s="93"/>
      <c r="Q87" s="93"/>
      <c r="R87" s="151">
        <f>'Parameters SH, country spec'!F24</f>
        <v>9.0699589423403552E-4</v>
      </c>
      <c r="S87" s="151">
        <f>'Parameters SH, country spec'!F42</f>
        <v>9.0699589423403552E-4</v>
      </c>
      <c r="T87" s="264">
        <f>'Parameters D24m, country spec'!F20</f>
        <v>9.0699589423403552E-4</v>
      </c>
    </row>
    <row r="88" spans="1:20" x14ac:dyDescent="0.3">
      <c r="B88" s="16" t="s">
        <v>120</v>
      </c>
      <c r="C88" s="15" t="s">
        <v>240</v>
      </c>
      <c r="D88" s="21" t="s">
        <v>96</v>
      </c>
      <c r="E88" s="21" t="s">
        <v>48</v>
      </c>
      <c r="F88" s="120">
        <f t="shared" si="24"/>
        <v>4.6478527325651394E-4</v>
      </c>
      <c r="G88" s="27">
        <v>3.0425509539765719E-4</v>
      </c>
      <c r="H88" s="27">
        <v>4.5862068965517246E-5</v>
      </c>
      <c r="I88" s="27"/>
      <c r="J88" s="27"/>
      <c r="K88" s="27">
        <v>1.0936279334641699E-5</v>
      </c>
      <c r="L88" s="27"/>
      <c r="M88" s="27">
        <v>6.4606960551724142E-7</v>
      </c>
      <c r="N88" s="27">
        <v>2.1884761697575221E-5</v>
      </c>
      <c r="O88" s="27"/>
      <c r="P88" s="27">
        <v>5.7027085212127035E-5</v>
      </c>
      <c r="Q88" s="27">
        <v>2.4173913043478263E-5</v>
      </c>
      <c r="R88" s="151">
        <f>'Parameters SH, country spec'!F25</f>
        <v>3.9849321881062677E-4</v>
      </c>
      <c r="S88" s="151">
        <f>'Parameters SH, country spec'!F43</f>
        <v>3.9849321881062677E-4</v>
      </c>
      <c r="T88" s="264">
        <f>'Parameters D24m, country spec'!F21</f>
        <v>3.9849321881062677E-4</v>
      </c>
    </row>
    <row r="89" spans="1:20" x14ac:dyDescent="0.3">
      <c r="B89" s="16" t="s">
        <v>241</v>
      </c>
      <c r="C89" s="15" t="s">
        <v>240</v>
      </c>
      <c r="D89" s="21" t="s">
        <v>96</v>
      </c>
      <c r="E89" s="21" t="s">
        <v>48</v>
      </c>
      <c r="F89" s="120">
        <f t="shared" si="24"/>
        <v>4.7266553697523981E-4</v>
      </c>
      <c r="G89" s="27">
        <v>1.5603516238625262E-5</v>
      </c>
      <c r="H89" s="27">
        <v>7.5304878048780503E-5</v>
      </c>
      <c r="I89" s="27"/>
      <c r="J89" s="27"/>
      <c r="K89" s="27">
        <v>1.908459074435586E-5</v>
      </c>
      <c r="L89" s="27"/>
      <c r="M89" s="27">
        <v>5.9672097439024396E-7</v>
      </c>
      <c r="N89" s="27">
        <v>2.3084271612619523E-5</v>
      </c>
      <c r="O89" s="27"/>
      <c r="P89" s="27">
        <v>1.2899155935646844E-4</v>
      </c>
      <c r="Q89" s="27">
        <v>2.1000000000000001E-4</v>
      </c>
      <c r="R89" s="151">
        <f>'Parameters SH, country spec'!F26</f>
        <v>7.5984876674379837E-2</v>
      </c>
      <c r="S89" s="151">
        <f>'Parameters SH, country spec'!F44</f>
        <v>7.5984876674379837E-2</v>
      </c>
      <c r="T89" s="264">
        <f>'Parameters D24m, country spec'!F22</f>
        <v>7.5984876674379837E-2</v>
      </c>
    </row>
    <row r="90" spans="1:20" x14ac:dyDescent="0.3">
      <c r="B90" s="15" t="s">
        <v>122</v>
      </c>
      <c r="C90" s="15" t="s">
        <v>242</v>
      </c>
      <c r="D90" s="21" t="s">
        <v>96</v>
      </c>
      <c r="E90" s="21" t="s">
        <v>48</v>
      </c>
      <c r="F90" s="120"/>
      <c r="G90" s="93"/>
      <c r="H90" s="93"/>
      <c r="I90" s="93"/>
      <c r="J90" s="93"/>
      <c r="K90" s="93"/>
      <c r="L90" s="93"/>
      <c r="M90" s="93"/>
      <c r="N90" s="93"/>
      <c r="O90" s="93"/>
      <c r="P90" s="93"/>
      <c r="Q90" s="93"/>
      <c r="R90" s="151">
        <f>'Parameters SH, country spec'!F27</f>
        <v>9.4871367549450719E-2</v>
      </c>
      <c r="S90" s="151">
        <f>'Parameters SH, country spec'!F45</f>
        <v>9.4871367549450719E-2</v>
      </c>
      <c r="T90" s="264">
        <f>'Parameters D24m, country spec'!F23</f>
        <v>9.4871367549450719E-2</v>
      </c>
    </row>
    <row r="91" spans="1:20" x14ac:dyDescent="0.3">
      <c r="A91" s="75"/>
      <c r="B91" s="15" t="s">
        <v>243</v>
      </c>
      <c r="C91" s="76" t="s">
        <v>244</v>
      </c>
      <c r="D91" s="21" t="s">
        <v>96</v>
      </c>
      <c r="E91" s="21" t="s">
        <v>48</v>
      </c>
      <c r="F91" s="120">
        <f t="shared" si="24"/>
        <v>7.1885529044908027E-5</v>
      </c>
      <c r="G91" s="74">
        <f>SUMPRODUCT(G81:G89,$R81:$R89)</f>
        <v>1.9135501692401949E-5</v>
      </c>
      <c r="H91" s="74">
        <f t="shared" ref="H91:P91" si="25">SUMPRODUCT(H81:H89,$R81:$R89)</f>
        <v>1.7788272989246829E-5</v>
      </c>
      <c r="I91" s="74">
        <f t="shared" si="25"/>
        <v>0</v>
      </c>
      <c r="J91" s="74">
        <f t="shared" si="25"/>
        <v>0</v>
      </c>
      <c r="K91" s="74">
        <f t="shared" si="25"/>
        <v>3.0845304801054364E-6</v>
      </c>
      <c r="L91" s="74">
        <f t="shared" si="25"/>
        <v>0</v>
      </c>
      <c r="M91" s="74">
        <f t="shared" si="25"/>
        <v>1.5526151748709575E-7</v>
      </c>
      <c r="N91" s="74">
        <f t="shared" si="25"/>
        <v>5.9313724871442356E-6</v>
      </c>
      <c r="O91" s="74">
        <f t="shared" si="25"/>
        <v>0</v>
      </c>
      <c r="P91" s="74">
        <f t="shared" si="25"/>
        <v>9.824132636482768E-6</v>
      </c>
      <c r="Q91" s="74">
        <f>SUMPRODUCT(Q81:Q89,$R81:$R89)</f>
        <v>1.5966457242039711E-5</v>
      </c>
      <c r="R91" s="151">
        <f>'Parameters SH, country spec'!F28</f>
        <v>6.7982986801529061E-2</v>
      </c>
      <c r="S91" s="151">
        <f>'Parameters SH, country spec'!F46</f>
        <v>6.7982986801529061E-2</v>
      </c>
      <c r="T91" s="264">
        <f>'Parameters D24m, country spec'!F24</f>
        <v>6.7982986801529061E-2</v>
      </c>
    </row>
    <row r="92" spans="1:20" x14ac:dyDescent="0.3">
      <c r="A92" s="328"/>
      <c r="B92" s="329" t="s">
        <v>616</v>
      </c>
      <c r="C92" s="330"/>
      <c r="D92" s="331"/>
      <c r="E92" s="331"/>
      <c r="F92" s="334">
        <f>SUMPRODUCT(F78:F80,R78:R80)+SUMPRODUCT(F81:F91,R81:R91)/0.87</f>
        <v>5.9193838546212833E-4</v>
      </c>
      <c r="G92" s="334">
        <f>SUMPRODUCT(G78:G80,R78:R80)+SUMPRODUCT(G81:G91,R81:R91)/0.87</f>
        <v>6.0042455285685284E-5</v>
      </c>
      <c r="H92" s="334">
        <f>SUMPRODUCT(H78:H80,R78:R80)+SUMPRODUCT(H81:H91,R81:R91)/0.87</f>
        <v>8.2663139781575262E-5</v>
      </c>
      <c r="I92" s="334">
        <f>SUMPRODUCT(I78:I80,R78:R80)+SUMPRODUCT(I81:I91,R81:R91)/0.87</f>
        <v>0</v>
      </c>
      <c r="J92" s="334">
        <f>SUMPRODUCT(J78:J80,R78:R80)+SUMPRODUCT(J81:J91,R81:R91)/0.87</f>
        <v>0</v>
      </c>
      <c r="K92" s="334">
        <f>SUMPRODUCT(K78:K80,R78:R80)+SUMPRODUCT(K81:K91,R81:R91)/0.87</f>
        <v>1.1589831290458253E-5</v>
      </c>
      <c r="L92" s="334">
        <f>SUMPRODUCT(L78:L80,R78:R80)+SUMPRODUCT(L81:L91,R81:R91)/0.87</f>
        <v>0</v>
      </c>
      <c r="M92" s="334">
        <f>SUMPRODUCT(M78:M80,R78:R80)+SUMPRODUCT(M81:M91,R81:R91)/0.87</f>
        <v>2.0895364941425076E-7</v>
      </c>
      <c r="N92" s="334">
        <f>SUMPRODUCT(N78:N80,R78:R80)+SUMPRODUCT(N81:N91,R81:R91)/0.87</f>
        <v>7.2811550628192118E-6</v>
      </c>
      <c r="O92" s="334">
        <f>SUMPRODUCT(O78:O80,R78:R80)+SUMPRODUCT(O81:O91,R81:R91)/0.87</f>
        <v>0</v>
      </c>
      <c r="P92" s="334">
        <f>SUMPRODUCT(P78:P80,R78:R80)+SUMPRODUCT(P81:P91,R81:R91)/0.87</f>
        <v>4.1055295993931115E-4</v>
      </c>
      <c r="Q92" s="334">
        <f>SUMPRODUCT(Q78:Q80,R78:R80)+SUMPRODUCT(Q81:Q91,R81:R91)/0.87</f>
        <v>1.9599890452864913E-5</v>
      </c>
      <c r="R92" s="335"/>
      <c r="S92" s="336"/>
      <c r="T92" s="336"/>
    </row>
    <row r="93" spans="1:20" x14ac:dyDescent="0.3">
      <c r="A93" s="150"/>
      <c r="B93" s="23" t="s">
        <v>457</v>
      </c>
      <c r="C93" s="24"/>
      <c r="D93" s="94"/>
      <c r="E93" s="94"/>
      <c r="F93" s="28">
        <f>SUMPRODUCT(F78:F80,S78:S80)+SUMPRODUCT(F81:F91,S81:S91)/0.87</f>
        <v>5.9193838546212833E-4</v>
      </c>
      <c r="G93" s="28">
        <f>SUMPRODUCT(G78:G80,S78:S80)+SUMPRODUCT(G81:G91,S81:S91)/0.87</f>
        <v>6.0042455285685284E-5</v>
      </c>
      <c r="H93" s="28">
        <f>SUMPRODUCT(H78:H80,S78:S80)+SUMPRODUCT(H81:H91,S81:S91)/0.87</f>
        <v>8.2663139781575262E-5</v>
      </c>
      <c r="I93" s="28">
        <f>SUMPRODUCT(I78:I80,S78:S80)+SUMPRODUCT(I81:I91,S81:S91)/0.87</f>
        <v>0</v>
      </c>
      <c r="J93" s="28">
        <f>SUMPRODUCT(J78:J80,S78:S80)+SUMPRODUCT(J81:J91,S81:S91)/0.87</f>
        <v>0</v>
      </c>
      <c r="K93" s="28">
        <f>SUMPRODUCT(K78:K80,S78:S80)+SUMPRODUCT(K81:K91,S81:S91)/0.87</f>
        <v>1.1589831290458253E-5</v>
      </c>
      <c r="L93" s="28">
        <f>SUMPRODUCT(L78:L80,S78:S80)+SUMPRODUCT(L81:L91,S81:S91)/0.87</f>
        <v>0</v>
      </c>
      <c r="M93" s="28">
        <f>SUMPRODUCT(M78:M80,S78:S80)+SUMPRODUCT(M81:M91,S81:S91)/0.87</f>
        <v>2.0895364941425076E-7</v>
      </c>
      <c r="N93" s="28">
        <f>SUMPRODUCT(N78:N80,S78:S80)+SUMPRODUCT(N81:N91,S81:S91)/0.87</f>
        <v>7.2811550628192118E-6</v>
      </c>
      <c r="O93" s="28">
        <f>SUMPRODUCT(O78:O80,S78:S80)+SUMPRODUCT(O81:O91,S81:S91)/0.87</f>
        <v>0</v>
      </c>
      <c r="P93" s="28">
        <f>SUMPRODUCT(P78:P80,S78:S80)+SUMPRODUCT(P81:P91,S81:S91)/0.87</f>
        <v>4.1055295993931115E-4</v>
      </c>
      <c r="Q93" s="28">
        <f>SUMPRODUCT(Q78:Q80,S78:S80)+SUMPRODUCT(Q81:Q91,S81:S91)/0.87</f>
        <v>1.9599890452864913E-5</v>
      </c>
      <c r="R93" s="152"/>
      <c r="S93" s="152"/>
      <c r="T93" s="152"/>
    </row>
    <row r="94" spans="1:20" x14ac:dyDescent="0.3">
      <c r="A94" s="328"/>
      <c r="B94" s="329" t="s">
        <v>641</v>
      </c>
      <c r="C94" s="330"/>
      <c r="D94" s="331"/>
      <c r="E94" s="331"/>
      <c r="F94" s="332">
        <f>SUMPRODUCT(F78:F80,$T78:$T80)+SUMPRODUCT(F81:F91,$T81:$T91)/0.87</f>
        <v>5.9193838546212833E-4</v>
      </c>
      <c r="G94" s="332">
        <f t="shared" ref="G94:O94" si="26">SUMPRODUCT(G78:G80,$T78:$T80)+SUMPRODUCT(G81:G91,$T81:$T91)/0.87</f>
        <v>6.0042455285685284E-5</v>
      </c>
      <c r="H94" s="332">
        <f t="shared" si="26"/>
        <v>8.2663139781575262E-5</v>
      </c>
      <c r="I94" s="332">
        <f t="shared" si="26"/>
        <v>0</v>
      </c>
      <c r="J94" s="332">
        <f t="shared" si="26"/>
        <v>0</v>
      </c>
      <c r="K94" s="332">
        <f t="shared" si="26"/>
        <v>1.1589831290458253E-5</v>
      </c>
      <c r="L94" s="332">
        <f t="shared" si="26"/>
        <v>0</v>
      </c>
      <c r="M94" s="332">
        <f t="shared" si="26"/>
        <v>2.0895364941425076E-7</v>
      </c>
      <c r="N94" s="332">
        <f t="shared" si="26"/>
        <v>7.2811550628192118E-6</v>
      </c>
      <c r="O94" s="332">
        <f t="shared" si="26"/>
        <v>0</v>
      </c>
      <c r="P94" s="332">
        <f>SUMPRODUCT(P78:P80,$T78:$T80)+SUMPRODUCT(P81:P91,$T81:$T91)/0.87</f>
        <v>4.1055295993931115E-4</v>
      </c>
      <c r="Q94" s="332">
        <f t="shared" ref="Q94" si="27">SUMPRODUCT(Q78:Q80,$T78:$T80)+SUMPRODUCT(Q81:Q91,$T81:$T91)/0.87</f>
        <v>1.9599890452864913E-5</v>
      </c>
      <c r="R94" s="335"/>
      <c r="S94" s="335"/>
      <c r="T94" s="335"/>
    </row>
    <row r="95" spans="1:20" x14ac:dyDescent="0.3">
      <c r="A95" s="150"/>
      <c r="B95" s="23" t="s">
        <v>642</v>
      </c>
      <c r="C95" s="24"/>
      <c r="D95" s="94"/>
      <c r="E95" s="94"/>
      <c r="F95" s="327">
        <f>SUMPRODUCT(F78:F80,$U78:$U80)+SUMPRODUCT(F81:F91,$U81:$U91)/0.87</f>
        <v>0</v>
      </c>
      <c r="G95" s="327">
        <f t="shared" ref="G95:K95" si="28">SUMPRODUCT(G78:G80,$U78:$U80)+SUMPRODUCT(G81:G91,$U81:$U91)/0.87</f>
        <v>0</v>
      </c>
      <c r="H95" s="327">
        <f t="shared" si="28"/>
        <v>0</v>
      </c>
      <c r="I95" s="327">
        <f t="shared" si="28"/>
        <v>0</v>
      </c>
      <c r="J95" s="327">
        <f t="shared" si="28"/>
        <v>0</v>
      </c>
      <c r="K95" s="327">
        <f t="shared" si="28"/>
        <v>0</v>
      </c>
      <c r="L95" s="327">
        <f>SUMPRODUCT(L78:L80,$U78:$U80)+SUMPRODUCT(L81:L91,$U81:$U91)/0.87</f>
        <v>0</v>
      </c>
      <c r="M95" s="327">
        <f t="shared" ref="M95:Q95" si="29">SUMPRODUCT(M78:M80,$U78:$U80)+SUMPRODUCT(M81:M91,$U81:$U91)/0.87</f>
        <v>0</v>
      </c>
      <c r="N95" s="327">
        <f t="shared" si="29"/>
        <v>0</v>
      </c>
      <c r="O95" s="327">
        <f t="shared" si="29"/>
        <v>0</v>
      </c>
      <c r="P95" s="327">
        <f t="shared" si="29"/>
        <v>0</v>
      </c>
      <c r="Q95" s="327">
        <f t="shared" si="29"/>
        <v>0</v>
      </c>
      <c r="R95" s="152"/>
      <c r="S95" s="152"/>
      <c r="T95" s="152"/>
    </row>
    <row r="96" spans="1:20" x14ac:dyDescent="0.3">
      <c r="B96" s="16" t="s">
        <v>299</v>
      </c>
      <c r="C96" s="15" t="s">
        <v>302</v>
      </c>
      <c r="D96" s="21" t="s">
        <v>49</v>
      </c>
      <c r="E96" s="21" t="s">
        <v>50</v>
      </c>
      <c r="F96" s="120">
        <f>SUM(G96:Q96)</f>
        <v>1.4141800552451564E-4</v>
      </c>
      <c r="G96" s="27">
        <f>'Forage crops, CF'!F34</f>
        <v>3.9901302719260733E-5</v>
      </c>
      <c r="H96" s="27">
        <f>'Forage crops, CF'!G34</f>
        <v>9.5000000000000005E-5</v>
      </c>
      <c r="I96" s="27">
        <f>'Forage crops, CF'!H34</f>
        <v>0</v>
      </c>
      <c r="J96" s="27">
        <f>'Forage crops, CF'!I34</f>
        <v>0</v>
      </c>
      <c r="K96" s="27">
        <f>'Forage crops, CF'!J34</f>
        <v>6.5167028052549126E-6</v>
      </c>
      <c r="L96" s="27">
        <f>'Forage crops, CF'!K34</f>
        <v>0</v>
      </c>
      <c r="M96" s="27">
        <f>'Forage crops, CF'!L34</f>
        <v>0</v>
      </c>
      <c r="N96" s="27">
        <f>'Forage crops, CF'!M34</f>
        <v>0</v>
      </c>
      <c r="O96" s="27">
        <f>'Forage crops, CF'!N34</f>
        <v>0</v>
      </c>
      <c r="P96" s="27">
        <f>'Forage crops, CF'!O34</f>
        <v>0</v>
      </c>
      <c r="Q96" s="27">
        <f>'Forage crops, CF'!P34</f>
        <v>0</v>
      </c>
      <c r="R96" s="151">
        <f>'Parameters SH, country spec'!G15</f>
        <v>0.75114991922794239</v>
      </c>
      <c r="S96" s="151">
        <f>'Parameters SH, country spec'!G33</f>
        <v>0.75114991922794239</v>
      </c>
      <c r="T96" s="264">
        <f>'Parameters D24m, country spec'!G11</f>
        <v>0.75114991922794239</v>
      </c>
    </row>
    <row r="97" spans="1:20" x14ac:dyDescent="0.3">
      <c r="B97" s="16" t="s">
        <v>300</v>
      </c>
      <c r="C97" s="15" t="s">
        <v>302</v>
      </c>
      <c r="D97" s="21" t="s">
        <v>49</v>
      </c>
      <c r="E97" s="21" t="s">
        <v>50</v>
      </c>
      <c r="F97" s="120">
        <f>SUM(G97:Q97)</f>
        <v>8.6865162869061044E-4</v>
      </c>
      <c r="G97" s="27">
        <f>'Forage crops, CF'!F99</f>
        <v>5.989541782308556E-5</v>
      </c>
      <c r="H97" s="27">
        <f>'Forage crops, CF'!G99</f>
        <v>9.5000000000000005E-5</v>
      </c>
      <c r="I97" s="27"/>
      <c r="J97" s="27"/>
      <c r="K97" s="27">
        <f>'Forage crops, CF'!J99</f>
        <v>5.756210867524934E-6</v>
      </c>
      <c r="L97" s="27"/>
      <c r="M97" s="27">
        <f>'Forage crops, CF'!L99</f>
        <v>0</v>
      </c>
      <c r="N97" s="27">
        <f>'Forage crops, CF'!M99</f>
        <v>0</v>
      </c>
      <c r="O97" s="27"/>
      <c r="P97" s="27">
        <f>'Forage crops, CF'!O99</f>
        <v>7.0799999999999997E-4</v>
      </c>
      <c r="Q97" s="27"/>
      <c r="R97" s="151">
        <f>'Parameters SH, country spec'!G16</f>
        <v>1.9608947623101922E-2</v>
      </c>
      <c r="S97" s="151">
        <f>'Parameters SH, country spec'!G34</f>
        <v>1.9608947623101922E-2</v>
      </c>
      <c r="T97" s="264">
        <f>'Parameters D24m, country spec'!G12</f>
        <v>1.9608947623101922E-2</v>
      </c>
    </row>
    <row r="98" spans="1:20" x14ac:dyDescent="0.3">
      <c r="B98" s="16" t="s">
        <v>301</v>
      </c>
      <c r="C98" s="15" t="s">
        <v>302</v>
      </c>
      <c r="D98" s="21" t="s">
        <v>49</v>
      </c>
      <c r="E98" s="21" t="s">
        <v>50</v>
      </c>
      <c r="F98" s="120">
        <f>SUM(G98:Q98)</f>
        <v>8.4941462032251823E-4</v>
      </c>
      <c r="G98" s="27">
        <f>'Forage crops, CF'!F164*'Forage, input data per ha'!$D$83+'Forage crops, CF'!F229*'Forage, input data per ha'!$E$83</f>
        <v>3.9897908813400757E-5</v>
      </c>
      <c r="H98" s="27">
        <f>'Forage crops, CF'!G164*'Forage, input data per ha'!$D$83+'Forage crops, CF'!G229*'Forage, input data per ha'!$E$83</f>
        <v>9.5000000000000019E-5</v>
      </c>
      <c r="I98" s="27"/>
      <c r="J98" s="27"/>
      <c r="K98" s="27">
        <f>'Forage crops, CF'!J164*'Forage, input data per ha'!$D$83+'Forage crops, CF'!J229*'Forage, input data per ha'!$E$83</f>
        <v>6.51671150911748E-6</v>
      </c>
      <c r="L98" s="27"/>
      <c r="M98" s="27">
        <f>'Forage crops, CF'!L164*'Forage, input data per ha'!$D$83+'Forage crops, CF'!L229*'Forage, input data per ha'!$E$83</f>
        <v>0</v>
      </c>
      <c r="N98" s="27">
        <f>'Forage crops, CF'!M164*'Forage, input data per ha'!$D$83+'Forage crops, CF'!M229*'Forage, input data per ha'!$E$83</f>
        <v>0</v>
      </c>
      <c r="O98" s="27"/>
      <c r="P98" s="27">
        <f>'Forage crops, CF'!O164*'Forage, input data per ha'!$D$83+'Forage crops, CF'!O229*'Forage, input data per ha'!$E$83</f>
        <v>7.0799999999999997E-4</v>
      </c>
      <c r="Q98" s="27"/>
      <c r="R98" s="151">
        <f>'Parameters SH, country spec'!G17</f>
        <v>4.011237421254237E-4</v>
      </c>
      <c r="S98" s="151">
        <f>'Parameters SH, country spec'!G35</f>
        <v>4.011237421254237E-4</v>
      </c>
      <c r="T98" s="264">
        <f>'Parameters D24m, country spec'!G13</f>
        <v>4.011237421254237E-4</v>
      </c>
    </row>
    <row r="99" spans="1:20" x14ac:dyDescent="0.3">
      <c r="A99" s="20" t="s">
        <v>231</v>
      </c>
      <c r="B99" s="15" t="s">
        <v>113</v>
      </c>
      <c r="C99" s="15" t="s">
        <v>232</v>
      </c>
      <c r="D99" s="21" t="s">
        <v>49</v>
      </c>
      <c r="E99" s="21" t="s">
        <v>50</v>
      </c>
      <c r="F99" s="120">
        <f>SUM(G99:Q99)</f>
        <v>2.8265300000000001E-4</v>
      </c>
      <c r="G99" s="93">
        <v>1.4999999999999999E-4</v>
      </c>
      <c r="H99" s="93">
        <v>1E-4</v>
      </c>
      <c r="I99" s="93"/>
      <c r="J99" s="93"/>
      <c r="K99" s="93">
        <v>1.0900000000000001E-5</v>
      </c>
      <c r="L99" s="93"/>
      <c r="M99" s="93">
        <v>7.5300000000000003E-7</v>
      </c>
      <c r="N99" s="93">
        <v>2.0999999999999999E-5</v>
      </c>
      <c r="O99" s="93"/>
      <c r="P99" s="93"/>
      <c r="Q99" s="93"/>
      <c r="R99" s="151">
        <f>'Parameters SH, country spec'!G18</f>
        <v>9.7140944486754449E-2</v>
      </c>
      <c r="S99" s="151">
        <f>'Parameters SH, country spec'!G36</f>
        <v>9.7140944486754449E-2</v>
      </c>
      <c r="T99" s="264">
        <f>'Parameters D24m, country spec'!G14</f>
        <v>9.7140944486754449E-2</v>
      </c>
    </row>
    <row r="100" spans="1:20" x14ac:dyDescent="0.3">
      <c r="A100" s="20" t="s">
        <v>233</v>
      </c>
      <c r="B100" s="15" t="s">
        <v>114</v>
      </c>
      <c r="C100" s="15" t="s">
        <v>232</v>
      </c>
      <c r="D100" s="21" t="s">
        <v>49</v>
      </c>
      <c r="E100" s="21" t="s">
        <v>50</v>
      </c>
      <c r="F100" s="120">
        <f t="shared" ref="F100:F109" si="30">SUM(G100:Q100)</f>
        <v>0</v>
      </c>
      <c r="G100" s="93"/>
      <c r="H100" s="93"/>
      <c r="I100" s="93"/>
      <c r="J100" s="93"/>
      <c r="K100" s="93"/>
      <c r="L100" s="93"/>
      <c r="M100" s="93"/>
      <c r="N100" s="93"/>
      <c r="O100" s="93"/>
      <c r="P100" s="93"/>
      <c r="Q100" s="93"/>
      <c r="R100" s="151">
        <f>'Parameters SH, country spec'!G19</f>
        <v>2.6773939262145888E-2</v>
      </c>
      <c r="S100" s="151">
        <f>'Parameters SH, country spec'!G37</f>
        <v>2.6773939262145888E-2</v>
      </c>
      <c r="T100" s="264">
        <f>'Parameters D24m, country spec'!G15</f>
        <v>2.6773939262145888E-2</v>
      </c>
    </row>
    <row r="101" spans="1:20" x14ac:dyDescent="0.3">
      <c r="A101" s="20" t="s">
        <v>234</v>
      </c>
      <c r="B101" s="15" t="s">
        <v>115</v>
      </c>
      <c r="C101" s="15" t="s">
        <v>232</v>
      </c>
      <c r="D101" s="21" t="s">
        <v>49</v>
      </c>
      <c r="E101" s="21" t="s">
        <v>50</v>
      </c>
      <c r="F101" s="120">
        <f t="shared" si="30"/>
        <v>2.6160000000000002E-4</v>
      </c>
      <c r="G101" s="93">
        <v>1.2999999999999999E-4</v>
      </c>
      <c r="H101" s="93">
        <v>1E-4</v>
      </c>
      <c r="I101" s="93"/>
      <c r="J101" s="93"/>
      <c r="K101" s="93">
        <v>1.06E-5</v>
      </c>
      <c r="L101" s="93"/>
      <c r="M101" s="93">
        <v>0</v>
      </c>
      <c r="N101" s="93">
        <v>2.0999999999999999E-5</v>
      </c>
      <c r="O101" s="93"/>
      <c r="P101" s="93"/>
      <c r="Q101" s="93"/>
      <c r="R101" s="151">
        <f>'Parameters SH, country spec'!G20</f>
        <v>5.5992035288690246E-3</v>
      </c>
      <c r="S101" s="151">
        <f>'Parameters SH, country spec'!G38</f>
        <v>5.5992035288690246E-3</v>
      </c>
      <c r="T101" s="264">
        <f>'Parameters D24m, country spec'!G16</f>
        <v>5.5992035288690246E-3</v>
      </c>
    </row>
    <row r="102" spans="1:20" x14ac:dyDescent="0.3">
      <c r="A102" s="20" t="s">
        <v>235</v>
      </c>
      <c r="B102" s="15" t="s">
        <v>116</v>
      </c>
      <c r="C102" s="15" t="s">
        <v>232</v>
      </c>
      <c r="D102" s="21" t="s">
        <v>49</v>
      </c>
      <c r="E102" s="21" t="s">
        <v>50</v>
      </c>
      <c r="F102" s="120">
        <f t="shared" si="30"/>
        <v>2.6615300000000004E-4</v>
      </c>
      <c r="G102" s="93">
        <v>1.2E-4</v>
      </c>
      <c r="H102" s="93">
        <v>1E-4</v>
      </c>
      <c r="I102" s="93"/>
      <c r="J102" s="93"/>
      <c r="K102" s="93">
        <v>2.44E-5</v>
      </c>
      <c r="L102" s="93"/>
      <c r="M102" s="93">
        <v>7.5300000000000003E-7</v>
      </c>
      <c r="N102" s="93">
        <v>2.0999999999999999E-5</v>
      </c>
      <c r="O102" s="93"/>
      <c r="P102" s="93"/>
      <c r="Q102" s="93"/>
      <c r="R102" s="151">
        <f>'Parameters SH, country spec'!G21</f>
        <v>0</v>
      </c>
      <c r="S102" s="151">
        <f>'Parameters SH, country spec'!G39</f>
        <v>0</v>
      </c>
      <c r="T102" s="264">
        <f>'Parameters D24m, country spec'!G17</f>
        <v>0</v>
      </c>
    </row>
    <row r="103" spans="1:20" x14ac:dyDescent="0.3">
      <c r="A103" s="20" t="s">
        <v>236</v>
      </c>
      <c r="B103" s="15" t="s">
        <v>117</v>
      </c>
      <c r="C103" s="15" t="s">
        <v>232</v>
      </c>
      <c r="D103" s="21" t="s">
        <v>49</v>
      </c>
      <c r="E103" s="21" t="s">
        <v>50</v>
      </c>
      <c r="F103" s="120">
        <f t="shared" si="30"/>
        <v>3.0043100000000004E-4</v>
      </c>
      <c r="G103" s="93">
        <v>1.7000000000000001E-4</v>
      </c>
      <c r="H103" s="93">
        <v>1E-4</v>
      </c>
      <c r="I103" s="93"/>
      <c r="J103" s="93"/>
      <c r="K103" s="93">
        <v>9.1800000000000002E-6</v>
      </c>
      <c r="L103" s="93"/>
      <c r="M103" s="93">
        <v>2.5100000000000001E-7</v>
      </c>
      <c r="N103" s="93">
        <v>2.0999999999999999E-5</v>
      </c>
      <c r="O103" s="93"/>
      <c r="P103" s="93"/>
      <c r="Q103" s="93"/>
      <c r="R103" s="151">
        <f>'Parameters SH, country spec'!G22</f>
        <v>4.1722075562431273E-2</v>
      </c>
      <c r="S103" s="151">
        <f>'Parameters SH, country spec'!G40</f>
        <v>4.1722075562431273E-2</v>
      </c>
      <c r="T103" s="264">
        <f>'Parameters D24m, country spec'!G18</f>
        <v>4.1722075562431273E-2</v>
      </c>
    </row>
    <row r="104" spans="1:20" x14ac:dyDescent="0.3">
      <c r="A104" s="20" t="s">
        <v>237</v>
      </c>
      <c r="B104" s="15" t="s">
        <v>118</v>
      </c>
      <c r="C104" s="15" t="s">
        <v>238</v>
      </c>
      <c r="D104" s="21" t="s">
        <v>49</v>
      </c>
      <c r="E104" s="21" t="s">
        <v>50</v>
      </c>
      <c r="F104" s="120">
        <f t="shared" si="30"/>
        <v>1.4256000000000002E-4</v>
      </c>
      <c r="G104" s="93">
        <v>0</v>
      </c>
      <c r="H104" s="93">
        <v>1E-4</v>
      </c>
      <c r="I104" s="93"/>
      <c r="J104" s="93"/>
      <c r="K104" s="93">
        <v>1.98E-5</v>
      </c>
      <c r="L104" s="93"/>
      <c r="M104" s="93">
        <v>1.7600000000000001E-6</v>
      </c>
      <c r="N104" s="93">
        <v>2.0999999999999999E-5</v>
      </c>
      <c r="O104" s="93"/>
      <c r="P104" s="93"/>
      <c r="Q104" s="93"/>
      <c r="R104" s="151">
        <f>'Parameters SH, country spec'!G23</f>
        <v>8.7938670638632881E-5</v>
      </c>
      <c r="S104" s="151">
        <f>'Parameters SH, country spec'!G41</f>
        <v>8.7938670638632881E-5</v>
      </c>
      <c r="T104" s="264">
        <f>'Parameters D24m, country spec'!G19</f>
        <v>8.7938670638632881E-5</v>
      </c>
    </row>
    <row r="105" spans="1:20" x14ac:dyDescent="0.3">
      <c r="A105" s="20" t="s">
        <v>239</v>
      </c>
      <c r="B105" s="15" t="s">
        <v>119</v>
      </c>
      <c r="C105" s="15" t="s">
        <v>238</v>
      </c>
      <c r="D105" s="21" t="s">
        <v>49</v>
      </c>
      <c r="E105" s="21" t="s">
        <v>50</v>
      </c>
      <c r="F105" s="120">
        <f t="shared" si="30"/>
        <v>1.4410000000000001E-4</v>
      </c>
      <c r="G105" s="93">
        <v>7.5000000000000002E-6</v>
      </c>
      <c r="H105" s="93">
        <v>1E-4</v>
      </c>
      <c r="I105" s="93"/>
      <c r="J105" s="93"/>
      <c r="K105" s="93">
        <v>1.56E-5</v>
      </c>
      <c r="L105" s="93"/>
      <c r="M105" s="93">
        <v>0</v>
      </c>
      <c r="N105" s="93">
        <v>2.0999999999999999E-5</v>
      </c>
      <c r="O105" s="93"/>
      <c r="P105" s="93"/>
      <c r="Q105" s="93"/>
      <c r="R105" s="151">
        <f>'Parameters SH, country spec'!G24</f>
        <v>8.6384753409677397E-5</v>
      </c>
      <c r="S105" s="151">
        <f>'Parameters SH, country spec'!G42</f>
        <v>8.6384753409677397E-5</v>
      </c>
      <c r="T105" s="264">
        <f>'Parameters D24m, country spec'!G20</f>
        <v>8.6384753409677397E-5</v>
      </c>
    </row>
    <row r="106" spans="1:20" x14ac:dyDescent="0.3">
      <c r="B106" s="16" t="s">
        <v>120</v>
      </c>
      <c r="C106" s="15" t="s">
        <v>240</v>
      </c>
      <c r="D106" s="21" t="s">
        <v>49</v>
      </c>
      <c r="E106" s="21" t="s">
        <v>50</v>
      </c>
      <c r="F106" s="120">
        <f t="shared" si="30"/>
        <v>4.6478527325651394E-4</v>
      </c>
      <c r="G106" s="27">
        <v>3.0425509539765719E-4</v>
      </c>
      <c r="H106" s="27">
        <v>4.5862068965517246E-5</v>
      </c>
      <c r="I106" s="27"/>
      <c r="J106" s="27"/>
      <c r="K106" s="27">
        <v>1.0936279334641699E-5</v>
      </c>
      <c r="L106" s="27"/>
      <c r="M106" s="27">
        <v>6.4606960551724142E-7</v>
      </c>
      <c r="N106" s="27">
        <v>2.1884761697575221E-5</v>
      </c>
      <c r="O106" s="27"/>
      <c r="P106" s="27">
        <v>5.7027085212127035E-5</v>
      </c>
      <c r="Q106" s="27">
        <v>2.4173913043478263E-5</v>
      </c>
      <c r="R106" s="151">
        <f>'Parameters SH, country spec'!G25</f>
        <v>4.7080431031984718E-3</v>
      </c>
      <c r="S106" s="151">
        <f>'Parameters SH, country spec'!G43</f>
        <v>4.7080431031984718E-3</v>
      </c>
      <c r="T106" s="264">
        <f>'Parameters D24m, country spec'!G21</f>
        <v>4.7080431031984718E-3</v>
      </c>
    </row>
    <row r="107" spans="1:20" x14ac:dyDescent="0.3">
      <c r="B107" s="16" t="s">
        <v>241</v>
      </c>
      <c r="C107" s="15" t="s">
        <v>240</v>
      </c>
      <c r="D107" s="21" t="s">
        <v>49</v>
      </c>
      <c r="E107" s="21" t="s">
        <v>50</v>
      </c>
      <c r="F107" s="120">
        <f t="shared" si="30"/>
        <v>4.7266553697523981E-4</v>
      </c>
      <c r="G107" s="27">
        <v>1.5603516238625262E-5</v>
      </c>
      <c r="H107" s="27">
        <v>7.5304878048780503E-5</v>
      </c>
      <c r="I107" s="27"/>
      <c r="J107" s="27"/>
      <c r="K107" s="27">
        <v>1.908459074435586E-5</v>
      </c>
      <c r="L107" s="27"/>
      <c r="M107" s="27">
        <v>5.9672097439024396E-7</v>
      </c>
      <c r="N107" s="27">
        <v>2.3084271612619523E-5</v>
      </c>
      <c r="O107" s="27"/>
      <c r="P107" s="27">
        <v>1.2899155935646844E-4</v>
      </c>
      <c r="Q107" s="27">
        <v>2.1000000000000001E-4</v>
      </c>
      <c r="R107" s="151">
        <f>'Parameters SH, country spec'!G26</f>
        <v>8.9589881795904755E-3</v>
      </c>
      <c r="S107" s="151">
        <f>'Parameters SH, country spec'!G44</f>
        <v>8.9589881795904755E-3</v>
      </c>
      <c r="T107" s="264">
        <f>'Parameters D24m, country spec'!G22</f>
        <v>8.9589881795904755E-3</v>
      </c>
    </row>
    <row r="108" spans="1:20" x14ac:dyDescent="0.3">
      <c r="B108" s="15" t="s">
        <v>122</v>
      </c>
      <c r="C108" s="15" t="s">
        <v>242</v>
      </c>
      <c r="D108" s="21" t="s">
        <v>49</v>
      </c>
      <c r="E108" s="21" t="s">
        <v>50</v>
      </c>
      <c r="F108" s="120"/>
      <c r="G108" s="93"/>
      <c r="H108" s="93"/>
      <c r="I108" s="93"/>
      <c r="J108" s="93"/>
      <c r="K108" s="93"/>
      <c r="L108" s="93"/>
      <c r="M108" s="93"/>
      <c r="N108" s="93"/>
      <c r="O108" s="93"/>
      <c r="P108" s="93"/>
      <c r="Q108" s="93"/>
      <c r="R108" s="151">
        <f>'Parameters SH, country spec'!G27</f>
        <v>1.7413738591251369E-2</v>
      </c>
      <c r="S108" s="151">
        <f>'Parameters SH, country spec'!G45</f>
        <v>1.7413738591251369E-2</v>
      </c>
      <c r="T108" s="264">
        <f>'Parameters D24m, country spec'!G23</f>
        <v>1.7413738591251369E-2</v>
      </c>
    </row>
    <row r="109" spans="1:20" x14ac:dyDescent="0.3">
      <c r="A109" s="75"/>
      <c r="B109" s="15" t="s">
        <v>243</v>
      </c>
      <c r="C109" s="76" t="s">
        <v>244</v>
      </c>
      <c r="D109" s="21" t="s">
        <v>49</v>
      </c>
      <c r="E109" s="21" t="s">
        <v>50</v>
      </c>
      <c r="F109" s="120">
        <f t="shared" si="30"/>
        <v>4.7904354547200613E-5</v>
      </c>
      <c r="G109" s="74">
        <f>SUMPRODUCT(G99:G107,$R99:$R107)</f>
        <v>2.3964676684071854E-5</v>
      </c>
      <c r="H109" s="74">
        <f t="shared" ref="H109:P109" si="31">SUMPRODUCT(H99:H107,$R99:$R107)</f>
        <v>1.535423081000635E-5</v>
      </c>
      <c r="I109" s="74">
        <f t="shared" si="31"/>
        <v>0</v>
      </c>
      <c r="J109" s="74">
        <f t="shared" si="31"/>
        <v>0</v>
      </c>
      <c r="K109" s="74">
        <f t="shared" si="31"/>
        <v>1.7267523911937079E-6</v>
      </c>
      <c r="L109" s="74">
        <f t="shared" si="31"/>
        <v>0</v>
      </c>
      <c r="M109" s="74">
        <f t="shared" si="31"/>
        <v>9.2161883931537852E-8</v>
      </c>
      <c r="N109" s="74">
        <f t="shared" si="31"/>
        <v>3.3472136049314895E-6</v>
      </c>
      <c r="O109" s="74">
        <f t="shared" si="31"/>
        <v>0</v>
      </c>
      <c r="P109" s="74">
        <f t="shared" si="31"/>
        <v>1.4241198307700101E-6</v>
      </c>
      <c r="Q109" s="74">
        <f>SUMPRODUCT(Q99:Q107,$R99:$R107)</f>
        <v>1.9951993422956674E-6</v>
      </c>
      <c r="R109" s="151">
        <f>'Parameters SH, country spec'!G28</f>
        <v>2.6348753268541039E-2</v>
      </c>
      <c r="S109" s="151">
        <f>'Parameters SH, country spec'!G46</f>
        <v>2.6348753268541039E-2</v>
      </c>
      <c r="T109" s="264">
        <f>'Parameters D24m, country spec'!G24</f>
        <v>2.6348753268541039E-2</v>
      </c>
    </row>
    <row r="110" spans="1:20" x14ac:dyDescent="0.3">
      <c r="A110" s="328"/>
      <c r="B110" s="329" t="s">
        <v>616</v>
      </c>
      <c r="C110" s="330"/>
      <c r="D110" s="331"/>
      <c r="E110" s="331"/>
      <c r="F110" s="334">
        <f>SUMPRODUCT(F96:F98,R96:R98)+SUMPRODUCT(F99:F109,R99:R109)/0.87</f>
        <v>1.801134921864051E-4</v>
      </c>
      <c r="G110" s="334">
        <f>SUMPRODUCT(G96:G98,R96:R98)+SUMPRODUCT(G99:G109,R99:R109)/0.87</f>
        <v>5.9433748167991276E-5</v>
      </c>
      <c r="H110" s="334">
        <f>SUMPRODUCT(H96:H98,R96:R98)+SUMPRODUCT(H99:H109,R99:R109)/0.87</f>
        <v>9.137375732387693E-5</v>
      </c>
      <c r="I110" s="334">
        <f>SUMPRODUCT(I96:I98,R96:R98)+SUMPRODUCT(I99:I109,R99:R109)/0.87</f>
        <v>0</v>
      </c>
      <c r="J110" s="334">
        <f>SUMPRODUCT(J96:J98,R96:R98)+SUMPRODUCT(J99:J109,R99:R109)/0.87</f>
        <v>0</v>
      </c>
      <c r="K110" s="334">
        <f>SUMPRODUCT(K96:K98,R96:R98)+SUMPRODUCT(K99:K109,R99:R109)/0.87</f>
        <v>7.0475771848293964E-6</v>
      </c>
      <c r="L110" s="334">
        <f>SUMPRODUCT(L96:L98,R96:R98)+SUMPRODUCT(L99:L109,R99:R109)/0.87</f>
        <v>0</v>
      </c>
      <c r="M110" s="334">
        <f>SUMPRODUCT(M96:M98,R96:R98)+SUMPRODUCT(M99:M109,R99:R109)/0.87</f>
        <v>1.0872440766898144E-7</v>
      </c>
      <c r="N110" s="334">
        <f>SUMPRODUCT(N96:N98,R96:R98)+SUMPRODUCT(N99:N109,R99:R109)/0.87</f>
        <v>3.9487454141895784E-6</v>
      </c>
      <c r="O110" s="334">
        <f>SUMPRODUCT(O96:O98,R96:R98)+SUMPRODUCT(O99:O109,R99:R109)/0.87</f>
        <v>0</v>
      </c>
      <c r="P110" s="334">
        <f>SUMPRODUCT(P96:P98,R96:R98)+SUMPRODUCT(P99:P109,R99:R109)/0.87</f>
        <v>1.5847180656254302E-5</v>
      </c>
      <c r="Q110" s="334">
        <f>SUMPRODUCT(Q96:Q98,R96:R98)+SUMPRODUCT(Q99:Q109,R99:R109)/0.87</f>
        <v>2.3537590315946798E-6</v>
      </c>
      <c r="R110" s="335"/>
      <c r="S110" s="336"/>
      <c r="T110" s="336"/>
    </row>
    <row r="111" spans="1:20" x14ac:dyDescent="0.3">
      <c r="A111" s="150"/>
      <c r="B111" s="23" t="s">
        <v>457</v>
      </c>
      <c r="C111" s="24"/>
      <c r="D111" s="94"/>
      <c r="E111" s="94"/>
      <c r="F111" s="28">
        <f>SUMPRODUCT(F96:F98,S96:S98)+SUMPRODUCT(F99:F109,S99:S109)/0.87</f>
        <v>1.801134921864051E-4</v>
      </c>
      <c r="G111" s="28">
        <f>SUMPRODUCT(G96:G98,S96:S98)+SUMPRODUCT(G99:G109,S99:S109)/0.87</f>
        <v>5.9433748167991276E-5</v>
      </c>
      <c r="H111" s="28">
        <f>SUMPRODUCT(H96:H98,S96:S98)+SUMPRODUCT(H99:H109,S99:S109)/0.87</f>
        <v>9.137375732387693E-5</v>
      </c>
      <c r="I111" s="28">
        <f>SUMPRODUCT(I96:I98,S96:S98)+SUMPRODUCT(I99:I109,S99:S109)/0.87</f>
        <v>0</v>
      </c>
      <c r="J111" s="28">
        <f>SUMPRODUCT(J96:J98,S96:S98)+SUMPRODUCT(J99:J109,S99:S109)/0.87</f>
        <v>0</v>
      </c>
      <c r="K111" s="28">
        <f>SUMPRODUCT(K96:K98,S96:S98)+SUMPRODUCT(K99:K109,S99:S109)/0.87</f>
        <v>7.0475771848293964E-6</v>
      </c>
      <c r="L111" s="28">
        <f>SUMPRODUCT(L96:L98,S96:S98)+SUMPRODUCT(L99:L109,S99:S109)/0.87</f>
        <v>0</v>
      </c>
      <c r="M111" s="28">
        <f>SUMPRODUCT(M96:M98,S96:S98)+SUMPRODUCT(M99:M109,S99:S109)/0.87</f>
        <v>1.0872440766898144E-7</v>
      </c>
      <c r="N111" s="28">
        <f>SUMPRODUCT(N96:N98,S96:S98)+SUMPRODUCT(N99:N109,S99:S109)/0.87</f>
        <v>3.9487454141895784E-6</v>
      </c>
      <c r="O111" s="28">
        <f>SUMPRODUCT(O96:O98,S96:S98)+SUMPRODUCT(O99:O109,S99:S109)/0.87</f>
        <v>0</v>
      </c>
      <c r="P111" s="28">
        <f>SUMPRODUCT(P96:P98,S96:S98)+SUMPRODUCT(P99:P109,S99:S109)/0.87</f>
        <v>1.5847180656254302E-5</v>
      </c>
      <c r="Q111" s="28">
        <f>SUMPRODUCT(Q96:Q98,S96:S98)+SUMPRODUCT(Q99:Q109,S99:S109)/0.87</f>
        <v>2.3537590315946798E-6</v>
      </c>
      <c r="R111" s="152"/>
      <c r="S111" s="152"/>
      <c r="T111" s="152"/>
    </row>
    <row r="112" spans="1:20" x14ac:dyDescent="0.3">
      <c r="A112" s="328"/>
      <c r="B112" s="329" t="s">
        <v>641</v>
      </c>
      <c r="C112" s="330"/>
      <c r="D112" s="331"/>
      <c r="E112" s="331"/>
      <c r="F112" s="332">
        <f>SUMPRODUCT(F96:F98,$T96:$T98)+SUMPRODUCT(F99:F109,$T99:$T109)/0.87</f>
        <v>1.801134921864051E-4</v>
      </c>
      <c r="G112" s="332">
        <f t="shared" ref="G112:O112" si="32">SUMPRODUCT(G96:G98,$T96:$T98)+SUMPRODUCT(G99:G109,$T99:$T109)/0.87</f>
        <v>5.9433748167991276E-5</v>
      </c>
      <c r="H112" s="332">
        <f t="shared" si="32"/>
        <v>9.137375732387693E-5</v>
      </c>
      <c r="I112" s="332">
        <f t="shared" si="32"/>
        <v>0</v>
      </c>
      <c r="J112" s="332">
        <f t="shared" si="32"/>
        <v>0</v>
      </c>
      <c r="K112" s="332">
        <f t="shared" si="32"/>
        <v>7.0475771848293964E-6</v>
      </c>
      <c r="L112" s="332">
        <f t="shared" si="32"/>
        <v>0</v>
      </c>
      <c r="M112" s="332">
        <f t="shared" si="32"/>
        <v>1.0872440766898144E-7</v>
      </c>
      <c r="N112" s="332">
        <f t="shared" si="32"/>
        <v>3.9487454141895784E-6</v>
      </c>
      <c r="O112" s="332">
        <f t="shared" si="32"/>
        <v>0</v>
      </c>
      <c r="P112" s="332">
        <f>SUMPRODUCT(P96:P98,$T96:$T98)+SUMPRODUCT(P99:P109,$T99:$T109)/0.87</f>
        <v>1.5847180656254302E-5</v>
      </c>
      <c r="Q112" s="332">
        <f t="shared" ref="Q112" si="33">SUMPRODUCT(Q96:Q98,$T96:$T98)+SUMPRODUCT(Q99:Q109,$T99:$T109)/0.87</f>
        <v>2.3537590315946798E-6</v>
      </c>
      <c r="R112" s="335"/>
      <c r="S112" s="335"/>
      <c r="T112" s="335"/>
    </row>
    <row r="113" spans="1:20" x14ac:dyDescent="0.3">
      <c r="A113" s="150"/>
      <c r="B113" s="23" t="s">
        <v>642</v>
      </c>
      <c r="C113" s="24"/>
      <c r="D113" s="94"/>
      <c r="E113" s="94"/>
      <c r="F113" s="327">
        <f>SUMPRODUCT(F96:F98,$U96:$U98)+SUMPRODUCT(F99:F109,$U99:$U109)/0.87</f>
        <v>0</v>
      </c>
      <c r="G113" s="327">
        <f t="shared" ref="G113:K113" si="34">SUMPRODUCT(G96:G98,$U96:$U98)+SUMPRODUCT(G99:G109,$U99:$U109)/0.87</f>
        <v>0</v>
      </c>
      <c r="H113" s="327">
        <f t="shared" si="34"/>
        <v>0</v>
      </c>
      <c r="I113" s="327">
        <f t="shared" si="34"/>
        <v>0</v>
      </c>
      <c r="J113" s="327">
        <f t="shared" si="34"/>
        <v>0</v>
      </c>
      <c r="K113" s="327">
        <f t="shared" si="34"/>
        <v>0</v>
      </c>
      <c r="L113" s="327">
        <f>SUMPRODUCT(L96:L98,$U96:$U98)+SUMPRODUCT(L99:L109,$U99:$U109)/0.87</f>
        <v>0</v>
      </c>
      <c r="M113" s="327">
        <f t="shared" ref="M113:Q113" si="35">SUMPRODUCT(M96:M98,$U96:$U98)+SUMPRODUCT(M99:M109,$U99:$U109)/0.87</f>
        <v>0</v>
      </c>
      <c r="N113" s="327">
        <f t="shared" si="35"/>
        <v>0</v>
      </c>
      <c r="O113" s="327">
        <f t="shared" si="35"/>
        <v>0</v>
      </c>
      <c r="P113" s="327">
        <f t="shared" si="35"/>
        <v>0</v>
      </c>
      <c r="Q113" s="327">
        <f t="shared" si="35"/>
        <v>0</v>
      </c>
      <c r="R113" s="152"/>
      <c r="S113" s="152"/>
      <c r="T113" s="152"/>
    </row>
    <row r="114" spans="1:20" x14ac:dyDescent="0.3">
      <c r="B114" s="16" t="s">
        <v>299</v>
      </c>
      <c r="C114" s="15" t="s">
        <v>302</v>
      </c>
      <c r="D114" s="21" t="s">
        <v>51</v>
      </c>
      <c r="E114" s="21" t="s">
        <v>52</v>
      </c>
      <c r="F114" s="120">
        <f>SUM(G114:Q114)</f>
        <v>1.4166510514020646E-4</v>
      </c>
      <c r="G114" s="27">
        <f>'Forage crops, CF'!F39</f>
        <v>3.9901302719260733E-5</v>
      </c>
      <c r="H114" s="27">
        <f>'Forage crops, CF'!G39</f>
        <v>9.5000000000000005E-5</v>
      </c>
      <c r="I114" s="27">
        <f>'Forage crops, CF'!H39</f>
        <v>0</v>
      </c>
      <c r="J114" s="27">
        <f>'Forage crops, CF'!I39</f>
        <v>0</v>
      </c>
      <c r="K114" s="27">
        <f>'Forage crops, CF'!J39</f>
        <v>5.371233094022949E-6</v>
      </c>
      <c r="L114" s="27">
        <f>'Forage crops, CF'!K39</f>
        <v>0</v>
      </c>
      <c r="M114" s="27">
        <f>'Forage crops, CF'!L39</f>
        <v>1.3925693269227845E-6</v>
      </c>
      <c r="N114" s="27">
        <f>'Forage crops, CF'!M39</f>
        <v>0</v>
      </c>
      <c r="O114" s="27">
        <f>'Forage crops, CF'!N39</f>
        <v>0</v>
      </c>
      <c r="P114" s="27">
        <f>'Forage crops, CF'!O39</f>
        <v>0</v>
      </c>
      <c r="Q114" s="27">
        <f>'Forage crops, CF'!P39</f>
        <v>0</v>
      </c>
      <c r="R114" s="151">
        <f>'Parameters SH, country spec'!H15</f>
        <v>0.40067105954621879</v>
      </c>
      <c r="S114" s="151">
        <f>'Parameters SH, country spec'!H33</f>
        <v>0.40067105954621879</v>
      </c>
      <c r="T114" s="264">
        <f>'Parameters D24m, country spec'!H11</f>
        <v>0.40067105954621879</v>
      </c>
    </row>
    <row r="115" spans="1:20" x14ac:dyDescent="0.3">
      <c r="B115" s="16" t="s">
        <v>300</v>
      </c>
      <c r="C115" s="15" t="s">
        <v>302</v>
      </c>
      <c r="D115" s="21" t="s">
        <v>51</v>
      </c>
      <c r="E115" s="21" t="s">
        <v>52</v>
      </c>
      <c r="F115" s="120">
        <f>SUM(G115:Q115)</f>
        <v>8.621604011700921E-4</v>
      </c>
      <c r="G115" s="27">
        <f>'Forage crops, CF'!F104</f>
        <v>5.2987214128940158E-5</v>
      </c>
      <c r="H115" s="27">
        <f>'Forage crops, CF'!G104</f>
        <v>9.5000000000000005E-5</v>
      </c>
      <c r="I115" s="27"/>
      <c r="J115" s="27"/>
      <c r="K115" s="27">
        <f>'Forage crops, CF'!J104</f>
        <v>4.7806177142291395E-6</v>
      </c>
      <c r="L115" s="27"/>
      <c r="M115" s="27">
        <f>'Forage crops, CF'!L104</f>
        <v>1.3925693269227845E-6</v>
      </c>
      <c r="N115" s="27">
        <f>'Forage crops, CF'!M104</f>
        <v>0</v>
      </c>
      <c r="O115" s="27"/>
      <c r="P115" s="27">
        <f>'Forage crops, CF'!O104</f>
        <v>7.0799999999999997E-4</v>
      </c>
      <c r="Q115" s="27"/>
      <c r="R115" s="151">
        <f>'Parameters SH, country spec'!H16</f>
        <v>0.27744597499526535</v>
      </c>
      <c r="S115" s="151">
        <f>'Parameters SH, country spec'!H34</f>
        <v>0.27744597499526535</v>
      </c>
      <c r="T115" s="264">
        <f>'Parameters D24m, country spec'!H12</f>
        <v>0.27744597499526535</v>
      </c>
    </row>
    <row r="116" spans="1:20" x14ac:dyDescent="0.3">
      <c r="B116" s="16" t="s">
        <v>301</v>
      </c>
      <c r="C116" s="15" t="s">
        <v>302</v>
      </c>
      <c r="D116" s="21" t="s">
        <v>51</v>
      </c>
      <c r="E116" s="21" t="s">
        <v>52</v>
      </c>
      <c r="F116" s="120">
        <f>SUM(G116:Q116)</f>
        <v>8.3214973580850551E-4</v>
      </c>
      <c r="G116" s="27">
        <f>'Forage crops, CF'!F169*'Forage, input data per ha'!$D$84+'Forage crops, CF'!F234*'Forage, input data per ha'!$E$84</f>
        <v>2.1637996744228624E-5</v>
      </c>
      <c r="H116" s="27">
        <f>'Forage crops, CF'!G169*'Forage, input data per ha'!$D$84+'Forage crops, CF'!G234*'Forage, input data per ha'!$E$84</f>
        <v>9.5000000000000005E-5</v>
      </c>
      <c r="I116" s="27"/>
      <c r="J116" s="27"/>
      <c r="K116" s="27">
        <f>'Forage crops, CF'!J169*'Forage, input data per ha'!$D$84+'Forage crops, CF'!J234*'Forage, input data per ha'!$E$84</f>
        <v>6.1191697373541144E-6</v>
      </c>
      <c r="L116" s="27"/>
      <c r="M116" s="27">
        <f>'Forage crops, CF'!L169*'Forage, input data per ha'!$D$84+'Forage crops, CF'!L234*'Forage, input data per ha'!$E$84</f>
        <v>1.3925693269227845E-6</v>
      </c>
      <c r="N116" s="27">
        <f>'Forage crops, CF'!M169*'Forage, input data per ha'!$D$84+'Forage crops, CF'!M234*'Forage, input data per ha'!$E$84</f>
        <v>0</v>
      </c>
      <c r="O116" s="27"/>
      <c r="P116" s="27">
        <f>'Forage crops, CF'!O169*'Forage, input data per ha'!$D$84+'Forage crops, CF'!O234*'Forage, input data per ha'!$E$84</f>
        <v>7.0799999999999997E-4</v>
      </c>
      <c r="Q116" s="27"/>
      <c r="R116" s="151">
        <f>'Parameters SH, country spec'!H17</f>
        <v>7.1895313213819118E-2</v>
      </c>
      <c r="S116" s="151">
        <f>'Parameters SH, country spec'!H35</f>
        <v>7.1895313213819118E-2</v>
      </c>
      <c r="T116" s="264">
        <f>'Parameters D24m, country spec'!H13</f>
        <v>7.1895313213819118E-2</v>
      </c>
    </row>
    <row r="117" spans="1:20" x14ac:dyDescent="0.3">
      <c r="A117" s="20" t="s">
        <v>231</v>
      </c>
      <c r="B117" s="15" t="s">
        <v>113</v>
      </c>
      <c r="C117" s="15" t="s">
        <v>232</v>
      </c>
      <c r="D117" s="21" t="s">
        <v>51</v>
      </c>
      <c r="E117" s="21" t="s">
        <v>52</v>
      </c>
      <c r="F117" s="120">
        <f>SUM(G117:Q117)</f>
        <v>3.1615300000000001E-4</v>
      </c>
      <c r="G117" s="93">
        <v>1.4999999999999999E-4</v>
      </c>
      <c r="H117" s="93">
        <v>1E-4</v>
      </c>
      <c r="I117" s="93"/>
      <c r="J117" s="93"/>
      <c r="K117" s="93">
        <v>2.0000000000000002E-5</v>
      </c>
      <c r="L117" s="93"/>
      <c r="M117" s="93">
        <v>7.5300000000000003E-7</v>
      </c>
      <c r="N117" s="93">
        <v>4.5399999999999999E-5</v>
      </c>
      <c r="O117" s="93"/>
      <c r="P117" s="93"/>
      <c r="Q117" s="93"/>
      <c r="R117" s="151">
        <f>'Parameters SH, country spec'!H18</f>
        <v>3.0038264722936558E-3</v>
      </c>
      <c r="S117" s="151">
        <f>'Parameters SH, country spec'!H36</f>
        <v>3.0038264722936558E-3</v>
      </c>
      <c r="T117" s="264">
        <f>'Parameters D24m, country spec'!H14</f>
        <v>3.0038264722936558E-3</v>
      </c>
    </row>
    <row r="118" spans="1:20" x14ac:dyDescent="0.3">
      <c r="A118" s="20" t="s">
        <v>233</v>
      </c>
      <c r="B118" s="15" t="s">
        <v>114</v>
      </c>
      <c r="C118" s="15" t="s">
        <v>232</v>
      </c>
      <c r="D118" s="21" t="s">
        <v>51</v>
      </c>
      <c r="E118" s="21" t="s">
        <v>52</v>
      </c>
      <c r="F118" s="120">
        <f t="shared" ref="F118:F127" si="36">SUM(G118:Q118)</f>
        <v>3.2844000000000005E-4</v>
      </c>
      <c r="G118" s="93">
        <v>1.4999999999999999E-4</v>
      </c>
      <c r="H118" s="93">
        <v>1E-4</v>
      </c>
      <c r="I118" s="93"/>
      <c r="J118" s="93"/>
      <c r="K118" s="93">
        <v>7.9400000000000002E-6</v>
      </c>
      <c r="L118" s="93"/>
      <c r="M118" s="93">
        <v>2.51E-5</v>
      </c>
      <c r="N118" s="93">
        <v>4.5399999999999999E-5</v>
      </c>
      <c r="O118" s="93"/>
      <c r="P118" s="93"/>
      <c r="Q118" s="93"/>
      <c r="R118" s="151">
        <f>'Parameters SH, country spec'!H19</f>
        <v>1.964163410545296E-2</v>
      </c>
      <c r="S118" s="151">
        <f>'Parameters SH, country spec'!H37</f>
        <v>1.964163410545296E-2</v>
      </c>
      <c r="T118" s="264">
        <f>'Parameters D24m, country spec'!H15</f>
        <v>1.964163410545296E-2</v>
      </c>
    </row>
    <row r="119" spans="1:20" x14ac:dyDescent="0.3">
      <c r="A119" s="20" t="s">
        <v>234</v>
      </c>
      <c r="B119" s="15" t="s">
        <v>115</v>
      </c>
      <c r="C119" s="15" t="s">
        <v>232</v>
      </c>
      <c r="D119" s="21" t="s">
        <v>51</v>
      </c>
      <c r="E119" s="21" t="s">
        <v>52</v>
      </c>
      <c r="F119" s="120">
        <f t="shared" si="36"/>
        <v>3.3830000000000004E-4</v>
      </c>
      <c r="G119" s="93">
        <v>1.2999999999999999E-4</v>
      </c>
      <c r="H119" s="93">
        <v>1E-4</v>
      </c>
      <c r="I119" s="93"/>
      <c r="J119" s="93"/>
      <c r="K119" s="93">
        <v>3.4999999999999997E-5</v>
      </c>
      <c r="L119" s="93"/>
      <c r="M119" s="93">
        <v>2.7900000000000001E-5</v>
      </c>
      <c r="N119" s="93">
        <v>4.5399999999999999E-5</v>
      </c>
      <c r="O119" s="93"/>
      <c r="P119" s="93"/>
      <c r="Q119" s="93"/>
      <c r="R119" s="151">
        <f>'Parameters SH, country spec'!H20</f>
        <v>6.238152652520509E-4</v>
      </c>
      <c r="S119" s="151">
        <f>'Parameters SH, country spec'!H38</f>
        <v>6.238152652520509E-4</v>
      </c>
      <c r="T119" s="264">
        <f>'Parameters D24m, country spec'!H16</f>
        <v>6.238152652520509E-4</v>
      </c>
    </row>
    <row r="120" spans="1:20" x14ac:dyDescent="0.3">
      <c r="A120" s="20" t="s">
        <v>235</v>
      </c>
      <c r="B120" s="15" t="s">
        <v>116</v>
      </c>
      <c r="C120" s="15" t="s">
        <v>232</v>
      </c>
      <c r="D120" s="21" t="s">
        <v>51</v>
      </c>
      <c r="E120" s="21" t="s">
        <v>52</v>
      </c>
      <c r="F120" s="120">
        <f t="shared" si="36"/>
        <v>2.9170000000000004E-4</v>
      </c>
      <c r="G120" s="93">
        <v>1.2E-4</v>
      </c>
      <c r="H120" s="93">
        <v>1E-4</v>
      </c>
      <c r="I120" s="93"/>
      <c r="J120" s="93"/>
      <c r="K120" s="93">
        <v>2.5299999999999998E-5</v>
      </c>
      <c r="L120" s="93"/>
      <c r="M120" s="93">
        <v>9.9999999999999995E-7</v>
      </c>
      <c r="N120" s="93">
        <v>4.5399999999999999E-5</v>
      </c>
      <c r="O120" s="93"/>
      <c r="P120" s="93"/>
      <c r="Q120" s="93"/>
      <c r="R120" s="151">
        <f>'Parameters SH, country spec'!H21</f>
        <v>4.9703321891174883E-5</v>
      </c>
      <c r="S120" s="151">
        <f>'Parameters SH, country spec'!H39</f>
        <v>4.9703321891174883E-5</v>
      </c>
      <c r="T120" s="264">
        <f>'Parameters D24m, country spec'!H17</f>
        <v>4.9703321891174883E-5</v>
      </c>
    </row>
    <row r="121" spans="1:20" x14ac:dyDescent="0.3">
      <c r="A121" s="20" t="s">
        <v>236</v>
      </c>
      <c r="B121" s="15" t="s">
        <v>117</v>
      </c>
      <c r="C121" s="15" t="s">
        <v>232</v>
      </c>
      <c r="D121" s="21" t="s">
        <v>51</v>
      </c>
      <c r="E121" s="21" t="s">
        <v>52</v>
      </c>
      <c r="F121" s="120">
        <f t="shared" si="36"/>
        <v>3.4172E-4</v>
      </c>
      <c r="G121" s="93">
        <v>1.7000000000000001E-4</v>
      </c>
      <c r="H121" s="93">
        <v>1E-4</v>
      </c>
      <c r="I121" s="93"/>
      <c r="J121" s="93"/>
      <c r="K121" s="93">
        <v>2.1299999999999999E-5</v>
      </c>
      <c r="L121" s="93"/>
      <c r="M121" s="93">
        <v>5.0200000000000002E-6</v>
      </c>
      <c r="N121" s="93">
        <v>4.5399999999999999E-5</v>
      </c>
      <c r="O121" s="93"/>
      <c r="P121" s="93"/>
      <c r="Q121" s="93"/>
      <c r="R121" s="151">
        <f>'Parameters SH, country spec'!H22</f>
        <v>2.8451429826063719E-3</v>
      </c>
      <c r="S121" s="151">
        <f>'Parameters SH, country spec'!H40</f>
        <v>2.8451429826063719E-3</v>
      </c>
      <c r="T121" s="264">
        <f>'Parameters D24m, country spec'!H18</f>
        <v>2.8451429826063719E-3</v>
      </c>
    </row>
    <row r="122" spans="1:20" x14ac:dyDescent="0.3">
      <c r="A122" s="20" t="s">
        <v>237</v>
      </c>
      <c r="B122" s="15" t="s">
        <v>118</v>
      </c>
      <c r="C122" s="15" t="s">
        <v>238</v>
      </c>
      <c r="D122" s="21" t="s">
        <v>51</v>
      </c>
      <c r="E122" s="21" t="s">
        <v>52</v>
      </c>
      <c r="F122" s="120">
        <f t="shared" si="36"/>
        <v>1.7426E-4</v>
      </c>
      <c r="G122" s="93">
        <v>0</v>
      </c>
      <c r="H122" s="93">
        <v>1E-4</v>
      </c>
      <c r="I122" s="93"/>
      <c r="J122" s="93"/>
      <c r="K122" s="93">
        <v>2.5599999999999999E-5</v>
      </c>
      <c r="L122" s="93"/>
      <c r="M122" s="93">
        <v>3.2600000000000001E-6</v>
      </c>
      <c r="N122" s="93">
        <v>4.5399999999999999E-5</v>
      </c>
      <c r="O122" s="93"/>
      <c r="P122" s="93"/>
      <c r="Q122" s="93"/>
      <c r="R122" s="151">
        <f>'Parameters SH, country spec'!H23</f>
        <v>7.8267619629308958E-4</v>
      </c>
      <c r="S122" s="151">
        <f>'Parameters SH, country spec'!H41</f>
        <v>7.8267619629308958E-4</v>
      </c>
      <c r="T122" s="264">
        <f>'Parameters D24m, country spec'!H19</f>
        <v>7.8267619629308958E-4</v>
      </c>
    </row>
    <row r="123" spans="1:20" x14ac:dyDescent="0.3">
      <c r="A123" s="20" t="s">
        <v>239</v>
      </c>
      <c r="B123" s="15" t="s">
        <v>119</v>
      </c>
      <c r="C123" s="15" t="s">
        <v>238</v>
      </c>
      <c r="D123" s="21" t="s">
        <v>51</v>
      </c>
      <c r="E123" s="21" t="s">
        <v>52</v>
      </c>
      <c r="F123" s="120">
        <f t="shared" si="36"/>
        <v>1.9220000000000001E-4</v>
      </c>
      <c r="G123" s="93">
        <v>7.5000000000000002E-6</v>
      </c>
      <c r="H123" s="93">
        <v>1E-4</v>
      </c>
      <c r="I123" s="93"/>
      <c r="J123" s="93"/>
      <c r="K123" s="93">
        <v>3.8300000000000003E-5</v>
      </c>
      <c r="L123" s="93"/>
      <c r="M123" s="93">
        <v>9.9999999999999995E-7</v>
      </c>
      <c r="N123" s="93">
        <v>4.5399999999999999E-5</v>
      </c>
      <c r="O123" s="93"/>
      <c r="P123" s="93"/>
      <c r="Q123" s="93"/>
      <c r="R123" s="151">
        <f>'Parameters SH, country spec'!H24</f>
        <v>7.6884594730627475E-4</v>
      </c>
      <c r="S123" s="151">
        <f>'Parameters SH, country spec'!H42</f>
        <v>7.6884594730627475E-4</v>
      </c>
      <c r="T123" s="264">
        <f>'Parameters D24m, country spec'!H20</f>
        <v>7.6884594730627475E-4</v>
      </c>
    </row>
    <row r="124" spans="1:20" x14ac:dyDescent="0.3">
      <c r="B124" s="16" t="s">
        <v>120</v>
      </c>
      <c r="C124" s="15" t="s">
        <v>240</v>
      </c>
      <c r="D124" s="21" t="s">
        <v>51</v>
      </c>
      <c r="E124" s="21" t="s">
        <v>52</v>
      </c>
      <c r="F124" s="120">
        <f t="shared" si="36"/>
        <v>4.6478527325651394E-4</v>
      </c>
      <c r="G124" s="27">
        <v>3.0425509539765719E-4</v>
      </c>
      <c r="H124" s="27">
        <v>4.5862068965517246E-5</v>
      </c>
      <c r="I124" s="27"/>
      <c r="J124" s="27"/>
      <c r="K124" s="27">
        <v>1.0936279334641699E-5</v>
      </c>
      <c r="L124" s="27"/>
      <c r="M124" s="27">
        <v>6.4606960551724142E-7</v>
      </c>
      <c r="N124" s="27">
        <v>2.1884761697575221E-5</v>
      </c>
      <c r="O124" s="27"/>
      <c r="P124" s="27">
        <v>5.7027085212127035E-5</v>
      </c>
      <c r="Q124" s="27">
        <v>2.4173913043478263E-5</v>
      </c>
      <c r="R124" s="151">
        <f>'Parameters SH, country spec'!H25</f>
        <v>1.3183641649379223E-3</v>
      </c>
      <c r="S124" s="151">
        <f>'Parameters SH, country spec'!H43</f>
        <v>1.3183641649379223E-3</v>
      </c>
      <c r="T124" s="264">
        <f>'Parameters D24m, country spec'!H21</f>
        <v>1.3183641649379223E-3</v>
      </c>
    </row>
    <row r="125" spans="1:20" x14ac:dyDescent="0.3">
      <c r="B125" s="16" t="s">
        <v>241</v>
      </c>
      <c r="C125" s="15" t="s">
        <v>240</v>
      </c>
      <c r="D125" s="21" t="s">
        <v>51</v>
      </c>
      <c r="E125" s="21" t="s">
        <v>52</v>
      </c>
      <c r="F125" s="120">
        <f t="shared" si="36"/>
        <v>4.7266553697523981E-4</v>
      </c>
      <c r="G125" s="27">
        <v>1.5603516238625262E-5</v>
      </c>
      <c r="H125" s="27">
        <v>7.5304878048780503E-5</v>
      </c>
      <c r="I125" s="27"/>
      <c r="J125" s="27"/>
      <c r="K125" s="27">
        <v>1.908459074435586E-5</v>
      </c>
      <c r="L125" s="27"/>
      <c r="M125" s="27">
        <v>5.9672097439024396E-7</v>
      </c>
      <c r="N125" s="27">
        <v>2.3084271612619523E-5</v>
      </c>
      <c r="O125" s="27"/>
      <c r="P125" s="27">
        <v>1.2899155935646844E-4</v>
      </c>
      <c r="Q125" s="27">
        <v>2.1000000000000001E-4</v>
      </c>
      <c r="R125" s="151">
        <f>'Parameters SH, country spec'!H26</f>
        <v>3.2548889626891842E-2</v>
      </c>
      <c r="S125" s="151">
        <f>'Parameters SH, country spec'!H44</f>
        <v>3.2548889626891842E-2</v>
      </c>
      <c r="T125" s="264">
        <f>'Parameters D24m, country spec'!H22</f>
        <v>3.2548889626891842E-2</v>
      </c>
    </row>
    <row r="126" spans="1:20" x14ac:dyDescent="0.3">
      <c r="B126" s="15" t="s">
        <v>122</v>
      </c>
      <c r="C126" s="15" t="s">
        <v>242</v>
      </c>
      <c r="D126" s="21" t="s">
        <v>51</v>
      </c>
      <c r="E126" s="21" t="s">
        <v>52</v>
      </c>
      <c r="F126" s="120"/>
      <c r="G126" s="93"/>
      <c r="H126" s="93"/>
      <c r="I126" s="93"/>
      <c r="J126" s="93"/>
      <c r="K126" s="93"/>
      <c r="L126" s="93"/>
      <c r="M126" s="93"/>
      <c r="N126" s="93"/>
      <c r="O126" s="93"/>
      <c r="P126" s="93"/>
      <c r="Q126" s="93"/>
      <c r="R126" s="151">
        <f>'Parameters SH, country spec'!H27</f>
        <v>7.1183592363716075E-2</v>
      </c>
      <c r="S126" s="151">
        <f>'Parameters SH, country spec'!H45</f>
        <v>7.1183592363716075E-2</v>
      </c>
      <c r="T126" s="264">
        <f>'Parameters D24m, country spec'!H23</f>
        <v>7.1183592363716075E-2</v>
      </c>
    </row>
    <row r="127" spans="1:20" x14ac:dyDescent="0.3">
      <c r="A127" s="75"/>
      <c r="B127" s="15" t="s">
        <v>243</v>
      </c>
      <c r="C127" s="76" t="s">
        <v>244</v>
      </c>
      <c r="D127" s="21" t="s">
        <v>51</v>
      </c>
      <c r="E127" s="21" t="s">
        <v>52</v>
      </c>
      <c r="F127" s="120">
        <f t="shared" si="36"/>
        <v>2.4880200466669912E-5</v>
      </c>
      <c r="G127" s="74">
        <f>SUMPRODUCT(G117:G125,$R117:$R125)</f>
        <v>4.8823162640340477E-6</v>
      </c>
      <c r="H127" s="74">
        <f t="shared" ref="H127:P127" si="37">SUMPRODUCT(H117:H125,$R117:$R125)</f>
        <v>5.2831175013399145E-6</v>
      </c>
      <c r="I127" s="74">
        <f t="shared" si="37"/>
        <v>0</v>
      </c>
      <c r="J127" s="74">
        <f t="shared" si="37"/>
        <v>0</v>
      </c>
      <c r="K127" s="74">
        <f t="shared" si="37"/>
        <v>9.8480722499227054E-7</v>
      </c>
      <c r="L127" s="74">
        <f t="shared" si="37"/>
        <v>0</v>
      </c>
      <c r="M127" s="74">
        <f t="shared" si="37"/>
        <v>5.5059839487228445E-7</v>
      </c>
      <c r="N127" s="74">
        <f t="shared" si="37"/>
        <v>2.0385097452323735E-6</v>
      </c>
      <c r="O127" s="74">
        <f t="shared" si="37"/>
        <v>0</v>
      </c>
      <c r="P127" s="74">
        <f t="shared" si="37"/>
        <v>4.2737144938688883E-6</v>
      </c>
      <c r="Q127" s="74">
        <f>SUMPRODUCT(Q117:Q125,$R117:$R125)</f>
        <v>6.8671368423301339E-6</v>
      </c>
      <c r="R127" s="151">
        <f>'Parameters SH, country spec'!H28</f>
        <v>0.11722116179805527</v>
      </c>
      <c r="S127" s="151">
        <f>'Parameters SH, country spec'!H46</f>
        <v>0.11722116179805527</v>
      </c>
      <c r="T127" s="264">
        <f>'Parameters D24m, country spec'!H24</f>
        <v>0.11722116179805527</v>
      </c>
    </row>
    <row r="128" spans="1:20" x14ac:dyDescent="0.3">
      <c r="A128" s="328"/>
      <c r="B128" s="329" t="s">
        <v>616</v>
      </c>
      <c r="C128" s="330"/>
      <c r="D128" s="331"/>
      <c r="E128" s="331"/>
      <c r="F128" s="334">
        <f>SUMPRODUCT(F114:F116,R114:R116)+SUMPRODUCT(F117:F127,R117:R127)/0.87</f>
        <v>3.877419211135931E-4</v>
      </c>
      <c r="G128" s="334">
        <f>SUMPRODUCT(G114:G116,R114:R116)+SUMPRODUCT(G117:G127,R117:R127)/0.87</f>
        <v>3.8513743340286868E-5</v>
      </c>
      <c r="H128" s="334">
        <f>SUMPRODUCT(H114:H116,R114:R116)+SUMPRODUCT(H117:H127,R117:R127)/0.87</f>
        <v>7.8035553120389003E-5</v>
      </c>
      <c r="I128" s="334">
        <f>SUMPRODUCT(I114:I116,R114:R116)+SUMPRODUCT(I117:I127,R117:R127)/0.87</f>
        <v>0</v>
      </c>
      <c r="J128" s="334">
        <f>SUMPRODUCT(J114:J116,R114:R116)+SUMPRODUCT(J117:J127,R117:R127)/0.87</f>
        <v>0</v>
      </c>
      <c r="K128" s="334">
        <f>SUMPRODUCT(K114:K116,R114:R116)+SUMPRODUCT(K117:K127,R117:R127)/0.87</f>
        <v>5.1830526892589941E-6</v>
      </c>
      <c r="L128" s="334">
        <f>SUMPRODUCT(L114:L116,R114:R116)+SUMPRODUCT(L117:L127,R117:R127)/0.87</f>
        <v>0</v>
      </c>
      <c r="M128" s="334">
        <f>SUMPRODUCT(M114:M116,R114:R116)+SUMPRODUCT(M117:M127,R117:R127)/0.87</f>
        <v>1.751501866623079E-6</v>
      </c>
      <c r="N128" s="334">
        <f>SUMPRODUCT(N114:N116,R114:R116)+SUMPRODUCT(N117:N127,R117:R127)/0.87</f>
        <v>2.6177772711553678E-6</v>
      </c>
      <c r="O128" s="334">
        <f>SUMPRODUCT(O114:O116,R114:R116)+SUMPRODUCT(O117:O127,R117:R127)/0.87</f>
        <v>0</v>
      </c>
      <c r="P128" s="334">
        <f>SUMPRODUCT(P114:P116,R114:R116)+SUMPRODUCT(P117:P127,R117:R127)/0.87</f>
        <v>2.5282177489344945E-4</v>
      </c>
      <c r="Q128" s="334">
        <f>SUMPRODUCT(Q114:Q116,R114:R116)+SUMPRODUCT(Q117:Q127,R117:R127)/0.87</f>
        <v>8.8185179324302298E-6</v>
      </c>
      <c r="R128" s="335"/>
      <c r="S128" s="336"/>
      <c r="T128" s="336"/>
    </row>
    <row r="129" spans="1:20" x14ac:dyDescent="0.3">
      <c r="A129" s="150"/>
      <c r="B129" s="23" t="s">
        <v>457</v>
      </c>
      <c r="C129" s="24"/>
      <c r="D129" s="94"/>
      <c r="E129" s="94"/>
      <c r="F129" s="28">
        <f>SUMPRODUCT(F114:F116,S114:S116)+SUMPRODUCT(F117:F127,S117:S127)/0.87</f>
        <v>3.877419211135931E-4</v>
      </c>
      <c r="G129" s="28">
        <f>SUMPRODUCT(G114:G116,S114:S116)+SUMPRODUCT(G117:G127,S117:S127)/0.87</f>
        <v>3.8513743340286868E-5</v>
      </c>
      <c r="H129" s="28">
        <f>SUMPRODUCT(H114:H116,S114:S116)+SUMPRODUCT(H117:H127,S117:S127)/0.87</f>
        <v>7.8035553120389003E-5</v>
      </c>
      <c r="I129" s="28">
        <f>SUMPRODUCT(I114:I116,S114:S116)+SUMPRODUCT(I117:I127,S117:S127)/0.87</f>
        <v>0</v>
      </c>
      <c r="J129" s="28">
        <f>SUMPRODUCT(J114:J116,S114:S116)+SUMPRODUCT(J117:J127,S117:S127)/0.87</f>
        <v>0</v>
      </c>
      <c r="K129" s="28">
        <f>SUMPRODUCT(K114:K116,S114:S116)+SUMPRODUCT(K117:K127,S117:S127)/0.87</f>
        <v>5.1830526892589941E-6</v>
      </c>
      <c r="L129" s="28">
        <f>SUMPRODUCT(L114:L116,S114:S116)+SUMPRODUCT(L117:L127,S117:S127)/0.87</f>
        <v>0</v>
      </c>
      <c r="M129" s="28">
        <f>SUMPRODUCT(M114:M116,S114:S116)+SUMPRODUCT(M117:M127,S117:S127)/0.87</f>
        <v>1.751501866623079E-6</v>
      </c>
      <c r="N129" s="28">
        <f>SUMPRODUCT(N114:N116,S114:S116)+SUMPRODUCT(N117:N127,S117:S127)/0.87</f>
        <v>2.6177772711553678E-6</v>
      </c>
      <c r="O129" s="28">
        <f>SUMPRODUCT(O114:O116,S114:S116)+SUMPRODUCT(O117:O127,S117:S127)/0.87</f>
        <v>0</v>
      </c>
      <c r="P129" s="28">
        <f>SUMPRODUCT(P114:P116,S114:S116)+SUMPRODUCT(P117:P127,S117:S127)/0.87</f>
        <v>2.5282177489344945E-4</v>
      </c>
      <c r="Q129" s="28">
        <f>SUMPRODUCT(Q114:Q116,S114:S116)+SUMPRODUCT(Q117:Q127,S117:S127)/0.87</f>
        <v>8.8185179324302298E-6</v>
      </c>
      <c r="R129" s="152"/>
      <c r="S129" s="152"/>
      <c r="T129" s="152"/>
    </row>
    <row r="130" spans="1:20" x14ac:dyDescent="0.3">
      <c r="A130" s="328"/>
      <c r="B130" s="329" t="s">
        <v>641</v>
      </c>
      <c r="C130" s="330"/>
      <c r="D130" s="331"/>
      <c r="E130" s="331"/>
      <c r="F130" s="332">
        <f>SUMPRODUCT(F114:F116,$T114:$T116)+SUMPRODUCT(F117:F127,$T117:$T127)/0.87</f>
        <v>3.877419211135931E-4</v>
      </c>
      <c r="G130" s="332">
        <f t="shared" ref="G130:O130" si="38">SUMPRODUCT(G114:G116,$T114:$T116)+SUMPRODUCT(G117:G127,$T117:$T127)/0.87</f>
        <v>3.8513743340286868E-5</v>
      </c>
      <c r="H130" s="332">
        <f t="shared" si="38"/>
        <v>7.8035553120389003E-5</v>
      </c>
      <c r="I130" s="332">
        <f t="shared" si="38"/>
        <v>0</v>
      </c>
      <c r="J130" s="332">
        <f t="shared" si="38"/>
        <v>0</v>
      </c>
      <c r="K130" s="332">
        <f t="shared" si="38"/>
        <v>5.1830526892589941E-6</v>
      </c>
      <c r="L130" s="332">
        <f t="shared" si="38"/>
        <v>0</v>
      </c>
      <c r="M130" s="332">
        <f t="shared" si="38"/>
        <v>1.751501866623079E-6</v>
      </c>
      <c r="N130" s="332">
        <f t="shared" si="38"/>
        <v>2.6177772711553678E-6</v>
      </c>
      <c r="O130" s="332">
        <f t="shared" si="38"/>
        <v>0</v>
      </c>
      <c r="P130" s="332">
        <f>SUMPRODUCT(P114:P116,$T114:$T116)+SUMPRODUCT(P117:P127,$T117:$T127)/0.87</f>
        <v>2.5282177489344945E-4</v>
      </c>
      <c r="Q130" s="332">
        <f t="shared" ref="Q130" si="39">SUMPRODUCT(Q114:Q116,$T114:$T116)+SUMPRODUCT(Q117:Q127,$T117:$T127)/0.87</f>
        <v>8.8185179324302298E-6</v>
      </c>
      <c r="R130" s="335"/>
      <c r="S130" s="335"/>
      <c r="T130" s="335"/>
    </row>
    <row r="131" spans="1:20" x14ac:dyDescent="0.3">
      <c r="A131" s="150"/>
      <c r="B131" s="23" t="s">
        <v>642</v>
      </c>
      <c r="C131" s="24"/>
      <c r="D131" s="94"/>
      <c r="E131" s="94"/>
      <c r="F131" s="327">
        <f>SUMPRODUCT(F114:F116,$U114:$U116)+SUMPRODUCT(F117:F127,$U117:$U127)/0.87</f>
        <v>0</v>
      </c>
      <c r="G131" s="327">
        <f t="shared" ref="G131:K131" si="40">SUMPRODUCT(G114:G116,$U114:$U116)+SUMPRODUCT(G117:G127,$U117:$U127)/0.87</f>
        <v>0</v>
      </c>
      <c r="H131" s="327">
        <f t="shared" si="40"/>
        <v>0</v>
      </c>
      <c r="I131" s="327">
        <f t="shared" si="40"/>
        <v>0</v>
      </c>
      <c r="J131" s="327">
        <f t="shared" si="40"/>
        <v>0</v>
      </c>
      <c r="K131" s="327">
        <f t="shared" si="40"/>
        <v>0</v>
      </c>
      <c r="L131" s="327">
        <f>SUMPRODUCT(L114:L116,$U114:$U116)+SUMPRODUCT(L117:L127,$U117:$U127)/0.87</f>
        <v>0</v>
      </c>
      <c r="M131" s="327">
        <f t="shared" ref="M131:Q131" si="41">SUMPRODUCT(M114:M116,$U114:$U116)+SUMPRODUCT(M117:M127,$U117:$U127)/0.87</f>
        <v>0</v>
      </c>
      <c r="N131" s="327">
        <f t="shared" si="41"/>
        <v>0</v>
      </c>
      <c r="O131" s="327">
        <f t="shared" si="41"/>
        <v>0</v>
      </c>
      <c r="P131" s="327">
        <f t="shared" si="41"/>
        <v>0</v>
      </c>
      <c r="Q131" s="327">
        <f t="shared" si="41"/>
        <v>0</v>
      </c>
      <c r="R131" s="152"/>
      <c r="S131" s="152"/>
      <c r="T131" s="152"/>
    </row>
    <row r="132" spans="1:20" x14ac:dyDescent="0.3">
      <c r="B132" s="16" t="s">
        <v>299</v>
      </c>
      <c r="C132" s="15" t="s">
        <v>302</v>
      </c>
      <c r="D132" s="21" t="s">
        <v>53</v>
      </c>
      <c r="E132" s="21" t="s">
        <v>54</v>
      </c>
      <c r="F132" s="120">
        <f>SUM(G132:Q132)</f>
        <v>2.8268600759209957E-4</v>
      </c>
      <c r="G132" s="27">
        <f>'Forage crops, CF'!F44</f>
        <v>1.7830890378398945E-4</v>
      </c>
      <c r="H132" s="27">
        <f>'Forage crops, CF'!G44</f>
        <v>9.5000000000000005E-5</v>
      </c>
      <c r="I132" s="27">
        <f>'Forage crops, CF'!H44</f>
        <v>0</v>
      </c>
      <c r="J132" s="27">
        <f>'Forage crops, CF'!I44</f>
        <v>0</v>
      </c>
      <c r="K132" s="27">
        <f>'Forage crops, CF'!J44</f>
        <v>9.1260000894833206E-6</v>
      </c>
      <c r="L132" s="27">
        <f>'Forage crops, CF'!K44</f>
        <v>0</v>
      </c>
      <c r="M132" s="27">
        <f>'Forage crops, CF'!L44</f>
        <v>2.5110371862679221E-7</v>
      </c>
      <c r="N132" s="27">
        <f>'Forage crops, CF'!M44</f>
        <v>0</v>
      </c>
      <c r="O132" s="27">
        <f>'Forage crops, CF'!N44</f>
        <v>0</v>
      </c>
      <c r="P132" s="27">
        <f>'Forage crops, CF'!O44</f>
        <v>0</v>
      </c>
      <c r="Q132" s="27">
        <f>'Forage crops, CF'!P44</f>
        <v>0</v>
      </c>
      <c r="R132" s="151">
        <f>'Parameters SH, country spec'!I15</f>
        <v>0.47949543012015922</v>
      </c>
      <c r="S132" s="151">
        <f>'Parameters SH, country spec'!I33</f>
        <v>0.47949543012015922</v>
      </c>
      <c r="T132" s="264">
        <f>'Parameters D24m, country spec'!I11</f>
        <v>0.47949543012015922</v>
      </c>
    </row>
    <row r="133" spans="1:20" x14ac:dyDescent="0.3">
      <c r="B133" s="16" t="s">
        <v>300</v>
      </c>
      <c r="C133" s="15" t="s">
        <v>302</v>
      </c>
      <c r="D133" s="21" t="s">
        <v>53</v>
      </c>
      <c r="E133" s="21" t="s">
        <v>54</v>
      </c>
      <c r="F133" s="120">
        <f>SUM(G133:Q133)</f>
        <v>8.1113247880617786E-4</v>
      </c>
      <c r="G133" s="27">
        <f>'Forage crops, CF'!F109</f>
        <v>2.166308627450026E-6</v>
      </c>
      <c r="H133" s="27">
        <f>'Forage crops, CF'!G109</f>
        <v>9.5000000000000005E-5</v>
      </c>
      <c r="I133" s="27"/>
      <c r="J133" s="27"/>
      <c r="K133" s="27">
        <f>'Forage crops, CF'!J109</f>
        <v>5.7150664601010523E-6</v>
      </c>
      <c r="L133" s="27"/>
      <c r="M133" s="27">
        <f>'Forage crops, CF'!L109</f>
        <v>2.5110371862679221E-7</v>
      </c>
      <c r="N133" s="27">
        <f>'Forage crops, CF'!M109</f>
        <v>0</v>
      </c>
      <c r="O133" s="27"/>
      <c r="P133" s="27">
        <f>'Forage crops, CF'!O109</f>
        <v>7.0799999999999997E-4</v>
      </c>
      <c r="Q133" s="27"/>
      <c r="R133" s="151">
        <f>'Parameters SH, country spec'!I16</f>
        <v>0.16379583021525312</v>
      </c>
      <c r="S133" s="151">
        <f>'Parameters SH, country spec'!I34</f>
        <v>0.16379583021525312</v>
      </c>
      <c r="T133" s="264">
        <f>'Parameters D24m, country spec'!I12</f>
        <v>0.16379583021525312</v>
      </c>
    </row>
    <row r="134" spans="1:20" x14ac:dyDescent="0.3">
      <c r="B134" s="16" t="s">
        <v>301</v>
      </c>
      <c r="C134" s="15" t="s">
        <v>302</v>
      </c>
      <c r="D134" s="21" t="s">
        <v>53</v>
      </c>
      <c r="E134" s="21" t="s">
        <v>54</v>
      </c>
      <c r="F134" s="120">
        <f>SUM(G134:Q134)</f>
        <v>9.6624873547239486E-4</v>
      </c>
      <c r="G134" s="27">
        <f>'Forage crops, CF'!F174*'Forage, input data per ha'!$D$85+'Forage crops, CF'!F239*'Forage, input data per ha'!$E$85</f>
        <v>1.5412753184918936E-4</v>
      </c>
      <c r="H134" s="27">
        <f>'Forage crops, CF'!G174*'Forage, input data per ha'!$D$85+'Forage crops, CF'!G239*'Forage, input data per ha'!$E$85</f>
        <v>9.5000000000000005E-5</v>
      </c>
      <c r="I134" s="27"/>
      <c r="J134" s="27"/>
      <c r="K134" s="27">
        <f>'Forage crops, CF'!J174*'Forage, input data per ha'!$D$85+'Forage crops, CF'!J239*'Forage, input data per ha'!$E$85</f>
        <v>8.8700999045786299E-6</v>
      </c>
      <c r="L134" s="27"/>
      <c r="M134" s="27">
        <f>'Forage crops, CF'!L174*'Forage, input data per ha'!$D$85+'Forage crops, CF'!L239*'Forage, input data per ha'!$E$85</f>
        <v>2.5110371862679216E-7</v>
      </c>
      <c r="N134" s="27">
        <f>'Forage crops, CF'!M174*'Forage, input data per ha'!$D$85+'Forage crops, CF'!M239*'Forage, input data per ha'!$E$85</f>
        <v>0</v>
      </c>
      <c r="O134" s="27"/>
      <c r="P134" s="27">
        <f>'Forage crops, CF'!O174*'Forage, input data per ha'!$D$85+'Forage crops, CF'!O239*'Forage, input data per ha'!$E$85</f>
        <v>7.0799999999999997E-4</v>
      </c>
      <c r="Q134" s="27"/>
      <c r="R134" s="151">
        <f>'Parameters SH, country spec'!I17</f>
        <v>0.1711074910334601</v>
      </c>
      <c r="S134" s="151">
        <f>'Parameters SH, country spec'!I35</f>
        <v>0.1711074910334601</v>
      </c>
      <c r="T134" s="264">
        <f>'Parameters D24m, country spec'!I13</f>
        <v>0.1711074910334601</v>
      </c>
    </row>
    <row r="135" spans="1:20" x14ac:dyDescent="0.3">
      <c r="A135" s="20" t="s">
        <v>231</v>
      </c>
      <c r="B135" s="15" t="s">
        <v>113</v>
      </c>
      <c r="C135" s="15" t="s">
        <v>232</v>
      </c>
      <c r="D135" s="21" t="s">
        <v>53</v>
      </c>
      <c r="E135" s="21" t="s">
        <v>54</v>
      </c>
      <c r="F135" s="120">
        <f>SUM(G135:Q135)</f>
        <v>2.9616000000000006E-4</v>
      </c>
      <c r="G135" s="93">
        <v>1.4999999999999999E-4</v>
      </c>
      <c r="H135" s="93">
        <v>1E-4</v>
      </c>
      <c r="I135" s="93"/>
      <c r="J135" s="93"/>
      <c r="K135" s="93">
        <v>1.22E-5</v>
      </c>
      <c r="L135" s="93"/>
      <c r="M135" s="93">
        <v>1.7600000000000001E-6</v>
      </c>
      <c r="N135" s="93">
        <v>3.2199999999999997E-5</v>
      </c>
      <c r="O135" s="93"/>
      <c r="P135" s="93"/>
      <c r="Q135" s="93"/>
      <c r="R135" s="151">
        <f>'Parameters SH, country spec'!I18</f>
        <v>3.7649623151768418E-3</v>
      </c>
      <c r="S135" s="151">
        <f>'Parameters SH, country spec'!I36</f>
        <v>3.7649623151768418E-3</v>
      </c>
      <c r="T135" s="264">
        <f>'Parameters D24m, country spec'!I14</f>
        <v>3.7649623151768418E-3</v>
      </c>
    </row>
    <row r="136" spans="1:20" x14ac:dyDescent="0.3">
      <c r="A136" s="20" t="s">
        <v>233</v>
      </c>
      <c r="B136" s="15" t="s">
        <v>114</v>
      </c>
      <c r="C136" s="15" t="s">
        <v>232</v>
      </c>
      <c r="D136" s="21" t="s">
        <v>53</v>
      </c>
      <c r="E136" s="21" t="s">
        <v>54</v>
      </c>
      <c r="F136" s="120">
        <f t="shared" ref="F136:F145" si="42">SUM(G136:Q136)</f>
        <v>3.0712999999999997E-4</v>
      </c>
      <c r="G136" s="93">
        <v>1.4999999999999999E-4</v>
      </c>
      <c r="H136" s="93">
        <v>1E-4</v>
      </c>
      <c r="I136" s="93"/>
      <c r="J136" s="93"/>
      <c r="K136" s="93">
        <v>8.8300000000000002E-6</v>
      </c>
      <c r="L136" s="93"/>
      <c r="M136" s="93">
        <v>1.6099999999999998E-5</v>
      </c>
      <c r="N136" s="93">
        <v>3.2199999999999997E-5</v>
      </c>
      <c r="O136" s="93"/>
      <c r="P136" s="93"/>
      <c r="Q136" s="93"/>
      <c r="R136" s="151">
        <f>'Parameters SH, country spec'!I19</f>
        <v>1.1306927408010266E-2</v>
      </c>
      <c r="S136" s="151">
        <f>'Parameters SH, country spec'!I37</f>
        <v>1.1306927408010266E-2</v>
      </c>
      <c r="T136" s="264">
        <f>'Parameters D24m, country spec'!I15</f>
        <v>1.1306927408010266E-2</v>
      </c>
    </row>
    <row r="137" spans="1:20" x14ac:dyDescent="0.3">
      <c r="A137" s="20" t="s">
        <v>234</v>
      </c>
      <c r="B137" s="15" t="s">
        <v>115</v>
      </c>
      <c r="C137" s="15" t="s">
        <v>232</v>
      </c>
      <c r="D137" s="21" t="s">
        <v>53</v>
      </c>
      <c r="E137" s="21" t="s">
        <v>54</v>
      </c>
      <c r="F137" s="120">
        <f t="shared" si="42"/>
        <v>2.8722999999999997E-4</v>
      </c>
      <c r="G137" s="93">
        <v>1.2999999999999999E-4</v>
      </c>
      <c r="H137" s="93">
        <v>1E-4</v>
      </c>
      <c r="I137" s="93"/>
      <c r="J137" s="93"/>
      <c r="K137" s="93">
        <v>1.5999999999999999E-5</v>
      </c>
      <c r="L137" s="93"/>
      <c r="M137" s="93">
        <v>9.0299999999999999E-6</v>
      </c>
      <c r="N137" s="93">
        <v>3.2199999999999997E-5</v>
      </c>
      <c r="O137" s="93"/>
      <c r="P137" s="93"/>
      <c r="Q137" s="93"/>
      <c r="R137" s="151">
        <f>'Parameters SH, country spec'!I20</f>
        <v>1.2367044164683077E-4</v>
      </c>
      <c r="S137" s="151">
        <f>'Parameters SH, country spec'!I38</f>
        <v>1.2367044164683077E-4</v>
      </c>
      <c r="T137" s="264">
        <f>'Parameters D24m, country spec'!I16</f>
        <v>1.2367044164683077E-4</v>
      </c>
    </row>
    <row r="138" spans="1:20" x14ac:dyDescent="0.3">
      <c r="A138" s="20" t="s">
        <v>235</v>
      </c>
      <c r="B138" s="15" t="s">
        <v>116</v>
      </c>
      <c r="C138" s="15" t="s">
        <v>232</v>
      </c>
      <c r="D138" s="21" t="s">
        <v>53</v>
      </c>
      <c r="E138" s="21" t="s">
        <v>54</v>
      </c>
      <c r="F138" s="120">
        <f t="shared" si="42"/>
        <v>2.7539999999999997E-4</v>
      </c>
      <c r="G138" s="93">
        <v>1.2E-4</v>
      </c>
      <c r="H138" s="93">
        <v>1E-4</v>
      </c>
      <c r="I138" s="93"/>
      <c r="J138" s="93"/>
      <c r="K138" s="93">
        <v>2.3200000000000001E-5</v>
      </c>
      <c r="L138" s="93"/>
      <c r="M138" s="93">
        <v>0</v>
      </c>
      <c r="N138" s="93">
        <v>3.2199999999999997E-5</v>
      </c>
      <c r="O138" s="93"/>
      <c r="P138" s="93"/>
      <c r="Q138" s="93"/>
      <c r="R138" s="151">
        <f>'Parameters SH, country spec'!I21</f>
        <v>4.6537012747958835E-4</v>
      </c>
      <c r="S138" s="151">
        <f>'Parameters SH, country spec'!I39</f>
        <v>4.6537012747958835E-4</v>
      </c>
      <c r="T138" s="264">
        <f>'Parameters D24m, country spec'!I17</f>
        <v>4.6537012747958835E-4</v>
      </c>
    </row>
    <row r="139" spans="1:20" x14ac:dyDescent="0.3">
      <c r="A139" s="20" t="s">
        <v>236</v>
      </c>
      <c r="B139" s="15" t="s">
        <v>117</v>
      </c>
      <c r="C139" s="15" t="s">
        <v>232</v>
      </c>
      <c r="D139" s="21" t="s">
        <v>53</v>
      </c>
      <c r="E139" s="21" t="s">
        <v>54</v>
      </c>
      <c r="F139" s="120">
        <f t="shared" si="42"/>
        <v>3.1559000000000003E-4</v>
      </c>
      <c r="G139" s="93">
        <v>1.7000000000000001E-4</v>
      </c>
      <c r="H139" s="93">
        <v>1E-4</v>
      </c>
      <c r="I139" s="93"/>
      <c r="J139" s="93"/>
      <c r="K139" s="93">
        <v>9.6299999999999993E-6</v>
      </c>
      <c r="L139" s="93"/>
      <c r="M139" s="93">
        <v>3.76E-6</v>
      </c>
      <c r="N139" s="93">
        <v>3.2199999999999997E-5</v>
      </c>
      <c r="O139" s="93"/>
      <c r="P139" s="93"/>
      <c r="Q139" s="93"/>
      <c r="R139" s="151">
        <f>'Parameters SH, country spec'!I22</f>
        <v>1.2739490248206042E-2</v>
      </c>
      <c r="S139" s="151">
        <f>'Parameters SH, country spec'!I40</f>
        <v>1.2739490248206042E-2</v>
      </c>
      <c r="T139" s="264">
        <f>'Parameters D24m, country spec'!I18</f>
        <v>1.2739490248206042E-2</v>
      </c>
    </row>
    <row r="140" spans="1:20" x14ac:dyDescent="0.3">
      <c r="A140" s="20" t="s">
        <v>237</v>
      </c>
      <c r="B140" s="15" t="s">
        <v>118</v>
      </c>
      <c r="C140" s="15" t="s">
        <v>238</v>
      </c>
      <c r="D140" s="21" t="s">
        <v>53</v>
      </c>
      <c r="E140" s="21" t="s">
        <v>54</v>
      </c>
      <c r="F140" s="120">
        <f t="shared" si="42"/>
        <v>1.5197E-4</v>
      </c>
      <c r="G140" s="93">
        <v>0</v>
      </c>
      <c r="H140" s="93">
        <v>1E-4</v>
      </c>
      <c r="I140" s="93"/>
      <c r="J140" s="93"/>
      <c r="K140" s="93">
        <v>1.5E-5</v>
      </c>
      <c r="L140" s="93"/>
      <c r="M140" s="93">
        <v>4.7700000000000001E-6</v>
      </c>
      <c r="N140" s="93">
        <v>3.2199999999999997E-5</v>
      </c>
      <c r="O140" s="93"/>
      <c r="P140" s="93"/>
      <c r="Q140" s="93"/>
      <c r="R140" s="151">
        <f>'Parameters SH, country spec'!I23</f>
        <v>0</v>
      </c>
      <c r="S140" s="151">
        <f>'Parameters SH, country spec'!I41</f>
        <v>0</v>
      </c>
      <c r="T140" s="264">
        <f>'Parameters D24m, country spec'!I19</f>
        <v>0</v>
      </c>
    </row>
    <row r="141" spans="1:20" x14ac:dyDescent="0.3">
      <c r="A141" s="20" t="s">
        <v>239</v>
      </c>
      <c r="B141" s="15" t="s">
        <v>119</v>
      </c>
      <c r="C141" s="15" t="s">
        <v>238</v>
      </c>
      <c r="D141" s="21" t="s">
        <v>53</v>
      </c>
      <c r="E141" s="21" t="s">
        <v>54</v>
      </c>
      <c r="F141" s="120">
        <f t="shared" si="42"/>
        <v>1.5696000000000002E-4</v>
      </c>
      <c r="G141" s="93">
        <v>7.5000000000000002E-6</v>
      </c>
      <c r="H141" s="93">
        <v>1E-4</v>
      </c>
      <c r="I141" s="93"/>
      <c r="J141" s="93"/>
      <c r="K141" s="93">
        <v>1.5E-5</v>
      </c>
      <c r="L141" s="93"/>
      <c r="M141" s="93">
        <v>2.26E-6</v>
      </c>
      <c r="N141" s="93">
        <v>3.2199999999999997E-5</v>
      </c>
      <c r="O141" s="93"/>
      <c r="P141" s="93"/>
      <c r="Q141" s="93"/>
      <c r="R141" s="151">
        <f>'Parameters SH, country spec'!I24</f>
        <v>0</v>
      </c>
      <c r="S141" s="151">
        <f>'Parameters SH, country spec'!I42</f>
        <v>0</v>
      </c>
      <c r="T141" s="264">
        <f>'Parameters D24m, country spec'!I20</f>
        <v>0</v>
      </c>
    </row>
    <row r="142" spans="1:20" x14ac:dyDescent="0.3">
      <c r="B142" s="16" t="s">
        <v>120</v>
      </c>
      <c r="C142" s="15" t="s">
        <v>240</v>
      </c>
      <c r="D142" s="21" t="s">
        <v>53</v>
      </c>
      <c r="E142" s="21" t="s">
        <v>54</v>
      </c>
      <c r="F142" s="120">
        <f t="shared" si="42"/>
        <v>4.6478527325651394E-4</v>
      </c>
      <c r="G142" s="27">
        <v>3.0425509539765719E-4</v>
      </c>
      <c r="H142" s="27">
        <v>4.5862068965517246E-5</v>
      </c>
      <c r="I142" s="27"/>
      <c r="J142" s="27"/>
      <c r="K142" s="27">
        <v>1.0936279334641699E-5</v>
      </c>
      <c r="L142" s="27"/>
      <c r="M142" s="27">
        <v>6.4606960551724142E-7</v>
      </c>
      <c r="N142" s="27">
        <v>2.1884761697575221E-5</v>
      </c>
      <c r="O142" s="27"/>
      <c r="P142" s="27">
        <v>5.7027085212127035E-5</v>
      </c>
      <c r="Q142" s="27">
        <v>2.4173913043478263E-5</v>
      </c>
      <c r="R142" s="151">
        <f>'Parameters SH, country spec'!I25</f>
        <v>4.3197597637154396E-2</v>
      </c>
      <c r="S142" s="151">
        <f>'Parameters SH, country spec'!I43</f>
        <v>4.3197597637154396E-2</v>
      </c>
      <c r="T142" s="264">
        <f>'Parameters D24m, country spec'!I21</f>
        <v>4.3197597637154396E-2</v>
      </c>
    </row>
    <row r="143" spans="1:20" x14ac:dyDescent="0.3">
      <c r="B143" s="16" t="s">
        <v>241</v>
      </c>
      <c r="C143" s="15" t="s">
        <v>240</v>
      </c>
      <c r="D143" s="21" t="s">
        <v>53</v>
      </c>
      <c r="E143" s="21" t="s">
        <v>54</v>
      </c>
      <c r="F143" s="120">
        <f t="shared" si="42"/>
        <v>4.7266553697523981E-4</v>
      </c>
      <c r="G143" s="27">
        <v>1.5603516238625262E-5</v>
      </c>
      <c r="H143" s="27">
        <v>7.5304878048780503E-5</v>
      </c>
      <c r="I143" s="27"/>
      <c r="J143" s="27"/>
      <c r="K143" s="27">
        <v>1.908459074435586E-5</v>
      </c>
      <c r="L143" s="27"/>
      <c r="M143" s="27">
        <v>5.9672097439024396E-7</v>
      </c>
      <c r="N143" s="27">
        <v>2.3084271612619523E-5</v>
      </c>
      <c r="O143" s="27"/>
      <c r="P143" s="27">
        <v>1.2899155935646844E-4</v>
      </c>
      <c r="Q143" s="27">
        <v>2.1000000000000001E-4</v>
      </c>
      <c r="R143" s="151">
        <f>'Parameters SH, country spec'!I26</f>
        <v>5.5787586237705654E-2</v>
      </c>
      <c r="S143" s="151">
        <f>'Parameters SH, country spec'!I44</f>
        <v>5.5787586237705654E-2</v>
      </c>
      <c r="T143" s="264">
        <f>'Parameters D24m, country spec'!I22</f>
        <v>5.5787586237705654E-2</v>
      </c>
    </row>
    <row r="144" spans="1:20" x14ac:dyDescent="0.3">
      <c r="B144" s="15" t="s">
        <v>122</v>
      </c>
      <c r="C144" s="15" t="s">
        <v>242</v>
      </c>
      <c r="D144" s="21" t="s">
        <v>53</v>
      </c>
      <c r="E144" s="21" t="s">
        <v>54</v>
      </c>
      <c r="F144" s="120"/>
      <c r="G144" s="93"/>
      <c r="H144" s="93"/>
      <c r="I144" s="93"/>
      <c r="J144" s="93"/>
      <c r="K144" s="93"/>
      <c r="L144" s="93"/>
      <c r="M144" s="93"/>
      <c r="N144" s="93"/>
      <c r="O144" s="93"/>
      <c r="P144" s="93"/>
      <c r="Q144" s="93"/>
      <c r="R144" s="151">
        <f>'Parameters SH, country spec'!I27</f>
        <v>3.963187482955613E-2</v>
      </c>
      <c r="S144" s="151">
        <f>'Parameters SH, country spec'!I45</f>
        <v>3.963187482955613E-2</v>
      </c>
      <c r="T144" s="264">
        <f>'Parameters D24m, country spec'!I23</f>
        <v>3.963187482955613E-2</v>
      </c>
    </row>
    <row r="145" spans="1:20" x14ac:dyDescent="0.3">
      <c r="A145" s="75"/>
      <c r="B145" s="15" t="s">
        <v>243</v>
      </c>
      <c r="C145" s="76" t="s">
        <v>244</v>
      </c>
      <c r="D145" s="21" t="s">
        <v>53</v>
      </c>
      <c r="E145" s="21" t="s">
        <v>54</v>
      </c>
      <c r="F145" s="120">
        <f t="shared" si="42"/>
        <v>5.5218345002985801E-5</v>
      </c>
      <c r="G145" s="74">
        <f>SUMPRODUCT(G135:G143,$R135:$R143)</f>
        <v>1.85119900712005E-5</v>
      </c>
      <c r="H145" s="74">
        <f t="shared" ref="H145:P145" si="43">SUMPRODUCT(H135:H143,$R135:$R143)</f>
        <v>9.0222506342980475E-6</v>
      </c>
      <c r="I145" s="74">
        <f t="shared" si="43"/>
        <v>0</v>
      </c>
      <c r="J145" s="74">
        <f t="shared" si="43"/>
        <v>0</v>
      </c>
      <c r="K145" s="74">
        <f t="shared" si="43"/>
        <v>1.8183335606794384E-6</v>
      </c>
      <c r="L145" s="74">
        <f t="shared" si="43"/>
        <v>0</v>
      </c>
      <c r="M145" s="74">
        <f t="shared" si="43"/>
        <v>2.9888337004837446E-7</v>
      </c>
      <c r="N145" s="74">
        <f t="shared" si="43"/>
        <v>3.1476784649252244E-6</v>
      </c>
      <c r="O145" s="74">
        <f t="shared" si="43"/>
        <v>0</v>
      </c>
      <c r="P145" s="74">
        <f t="shared" si="43"/>
        <v>9.6595608229482926E-6</v>
      </c>
      <c r="Q145" s="74">
        <f>SUMPRODUCT(Q135:Q143,$R135:$R143)</f>
        <v>1.275964807888592E-5</v>
      </c>
      <c r="R145" s="151">
        <f>'Parameters SH, country spec'!I28</f>
        <v>1.8583769386191842E-2</v>
      </c>
      <c r="S145" s="151">
        <f>'Parameters SH, country spec'!I46</f>
        <v>1.8583769386191842E-2</v>
      </c>
      <c r="T145" s="264">
        <f>'Parameters D24m, country spec'!I24</f>
        <v>1.8583769386191842E-2</v>
      </c>
    </row>
    <row r="146" spans="1:20" x14ac:dyDescent="0.3">
      <c r="A146" s="328"/>
      <c r="B146" s="329" t="s">
        <v>616</v>
      </c>
      <c r="C146" s="330"/>
      <c r="D146" s="331"/>
      <c r="E146" s="331"/>
      <c r="F146" s="334">
        <f>SUMPRODUCT(F132:F134,R132:R134)+SUMPRODUCT(F135:F145,R135:R145)/0.87</f>
        <v>4.983880254811131E-4</v>
      </c>
      <c r="G146" s="334">
        <f>SUMPRODUCT(G132:G134,R132:R134)+SUMPRODUCT(G135:G145,R135:R145)/0.87</f>
        <v>1.3389908983872062E-4</v>
      </c>
      <c r="H146" s="334">
        <f>SUMPRODUCT(H132:H134,R132:R134)+SUMPRODUCT(H135:H145,R135:R145)/0.87</f>
        <v>8.7931005586284564E-5</v>
      </c>
      <c r="I146" s="334">
        <f>SUMPRODUCT(I132:I134,R132:R134)+SUMPRODUCT(I135:I145,R135:R145)/0.87</f>
        <v>0</v>
      </c>
      <c r="J146" s="334">
        <f>SUMPRODUCT(J132:J134,R132:R134)+SUMPRODUCT(J135:J145,R135:R145)/0.87</f>
        <v>0</v>
      </c>
      <c r="K146" s="334">
        <f>SUMPRODUCT(K132:K134,R132:R134)+SUMPRODUCT(K135:K145,R135:R145)/0.87</f>
        <v>8.958599304028424E-6</v>
      </c>
      <c r="L146" s="334">
        <f>SUMPRODUCT(L132:L134,R132:R134)+SUMPRODUCT(L135:L145,R135:R145)/0.87</f>
        <v>0</v>
      </c>
      <c r="M146" s="334">
        <f>SUMPRODUCT(M132:M134,R132:R134)+SUMPRODUCT(M135:M145,R135:R145)/0.87</f>
        <v>5.5442700281112103E-7</v>
      </c>
      <c r="N146" s="334">
        <f>SUMPRODUCT(N132:N134,R132:R134)+SUMPRODUCT(N135:N145,R135:R145)/0.87</f>
        <v>3.6852576961141118E-6</v>
      </c>
      <c r="O146" s="334">
        <f>SUMPRODUCT(O132:O134,R132:R134)+SUMPRODUCT(O135:O145,R135:R145)/0.87</f>
        <v>0</v>
      </c>
      <c r="P146" s="334">
        <f>SUMPRODUCT(P132:P134,R132:R134)+SUMPRODUCT(P135:P145,R135:R145)/0.87</f>
        <v>2.4842082945978304E-4</v>
      </c>
      <c r="Q146" s="334">
        <f>SUMPRODUCT(Q132:Q134,R132:R134)+SUMPRODUCT(Q135:Q145,R135:R145)/0.87</f>
        <v>1.4938816593371151E-5</v>
      </c>
      <c r="R146" s="335"/>
      <c r="S146" s="336"/>
      <c r="T146" s="336"/>
    </row>
    <row r="147" spans="1:20" x14ac:dyDescent="0.3">
      <c r="A147" s="150"/>
      <c r="B147" s="23" t="s">
        <v>457</v>
      </c>
      <c r="C147" s="24"/>
      <c r="D147" s="94"/>
      <c r="E147" s="94"/>
      <c r="F147" s="28">
        <f>SUMPRODUCT(F132:F134,S132:S134)+SUMPRODUCT(F135:F145,S135:S145)/0.87</f>
        <v>4.983880254811131E-4</v>
      </c>
      <c r="G147" s="28">
        <f>SUMPRODUCT(G132:G134,S132:S134)+SUMPRODUCT(G135:G145,S135:S145)/0.87</f>
        <v>1.3389908983872062E-4</v>
      </c>
      <c r="H147" s="28">
        <f>SUMPRODUCT(H132:H134,S132:S134)+SUMPRODUCT(H135:H145,S135:S145)/0.87</f>
        <v>8.7931005586284564E-5</v>
      </c>
      <c r="I147" s="28">
        <f>SUMPRODUCT(I132:I134,S132:S134)+SUMPRODUCT(I135:I145,S135:S145)/0.87</f>
        <v>0</v>
      </c>
      <c r="J147" s="28">
        <f>SUMPRODUCT(J132:J134,S132:S134)+SUMPRODUCT(J135:J145,S135:S145)/0.87</f>
        <v>0</v>
      </c>
      <c r="K147" s="28">
        <f>SUMPRODUCT(K132:K134,S132:S134)+SUMPRODUCT(K135:K145,S135:S145)/0.87</f>
        <v>8.958599304028424E-6</v>
      </c>
      <c r="L147" s="28">
        <f>SUMPRODUCT(L132:L134,S132:S134)+SUMPRODUCT(L135:L145,S135:S145)/0.87</f>
        <v>0</v>
      </c>
      <c r="M147" s="28">
        <f>SUMPRODUCT(M132:M134,S132:S134)+SUMPRODUCT(M135:M145,S135:S145)/0.87</f>
        <v>5.5442700281112103E-7</v>
      </c>
      <c r="N147" s="28">
        <f>SUMPRODUCT(N132:N134,S132:S134)+SUMPRODUCT(N135:N145,S135:S145)/0.87</f>
        <v>3.6852576961141118E-6</v>
      </c>
      <c r="O147" s="28">
        <f>SUMPRODUCT(O132:O134,S132:S134)+SUMPRODUCT(O135:O145,S135:S145)/0.87</f>
        <v>0</v>
      </c>
      <c r="P147" s="28">
        <f>SUMPRODUCT(P132:P134,S132:S134)+SUMPRODUCT(P135:P145,S135:S145)/0.87</f>
        <v>2.4842082945978304E-4</v>
      </c>
      <c r="Q147" s="28">
        <f>SUMPRODUCT(Q132:Q134,S132:S134)+SUMPRODUCT(Q135:Q145,S135:S145)/0.87</f>
        <v>1.4938816593371151E-5</v>
      </c>
      <c r="R147" s="152"/>
      <c r="S147" s="152"/>
      <c r="T147" s="152"/>
    </row>
    <row r="148" spans="1:20" x14ac:dyDescent="0.3">
      <c r="A148" s="328"/>
      <c r="B148" s="329" t="s">
        <v>641</v>
      </c>
      <c r="C148" s="330"/>
      <c r="D148" s="331"/>
      <c r="E148" s="331"/>
      <c r="F148" s="332">
        <f>SUMPRODUCT(F132:F134,$T132:$T134)+SUMPRODUCT(F135:F145,$T135:$T145)/0.87</f>
        <v>4.983880254811131E-4</v>
      </c>
      <c r="G148" s="332">
        <f t="shared" ref="G148:O148" si="44">SUMPRODUCT(G132:G134,$T132:$T134)+SUMPRODUCT(G135:G145,$T135:$T145)/0.87</f>
        <v>1.3389908983872062E-4</v>
      </c>
      <c r="H148" s="332">
        <f t="shared" si="44"/>
        <v>8.7931005586284564E-5</v>
      </c>
      <c r="I148" s="332">
        <f t="shared" si="44"/>
        <v>0</v>
      </c>
      <c r="J148" s="332">
        <f t="shared" si="44"/>
        <v>0</v>
      </c>
      <c r="K148" s="332">
        <f t="shared" si="44"/>
        <v>8.958599304028424E-6</v>
      </c>
      <c r="L148" s="332">
        <f t="shared" si="44"/>
        <v>0</v>
      </c>
      <c r="M148" s="332">
        <f t="shared" si="44"/>
        <v>5.5442700281112103E-7</v>
      </c>
      <c r="N148" s="332">
        <f t="shared" si="44"/>
        <v>3.6852576961141118E-6</v>
      </c>
      <c r="O148" s="332">
        <f t="shared" si="44"/>
        <v>0</v>
      </c>
      <c r="P148" s="332">
        <f>SUMPRODUCT(P132:P134,$T132:$T134)+SUMPRODUCT(P135:P145,$T135:$T145)/0.87</f>
        <v>2.4842082945978304E-4</v>
      </c>
      <c r="Q148" s="332">
        <f t="shared" ref="Q148" si="45">SUMPRODUCT(Q132:Q134,$T132:$T134)+SUMPRODUCT(Q135:Q145,$T135:$T145)/0.87</f>
        <v>1.4938816593371151E-5</v>
      </c>
      <c r="R148" s="335"/>
      <c r="S148" s="335"/>
      <c r="T148" s="335"/>
    </row>
    <row r="149" spans="1:20" x14ac:dyDescent="0.3">
      <c r="A149" s="150"/>
      <c r="B149" s="23" t="s">
        <v>642</v>
      </c>
      <c r="C149" s="24"/>
      <c r="D149" s="94"/>
      <c r="E149" s="94"/>
      <c r="F149" s="327">
        <f>SUMPRODUCT(F132:F134,$U132:$U134)+SUMPRODUCT(F135:F145,$U135:$U145)/0.87</f>
        <v>0</v>
      </c>
      <c r="G149" s="327">
        <f t="shared" ref="G149:K149" si="46">SUMPRODUCT(G132:G134,$U132:$U134)+SUMPRODUCT(G135:G145,$U135:$U145)/0.87</f>
        <v>0</v>
      </c>
      <c r="H149" s="327">
        <f t="shared" si="46"/>
        <v>0</v>
      </c>
      <c r="I149" s="327">
        <f t="shared" si="46"/>
        <v>0</v>
      </c>
      <c r="J149" s="327">
        <f t="shared" si="46"/>
        <v>0</v>
      </c>
      <c r="K149" s="327">
        <f t="shared" si="46"/>
        <v>0</v>
      </c>
      <c r="L149" s="327">
        <f>SUMPRODUCT(L132:L134,$U132:$U134)+SUMPRODUCT(L135:L145,$U135:$U145)/0.87</f>
        <v>0</v>
      </c>
      <c r="M149" s="327">
        <f t="shared" ref="M149:Q149" si="47">SUMPRODUCT(M132:M134,$U132:$U134)+SUMPRODUCT(M135:M145,$U135:$U145)/0.87</f>
        <v>0</v>
      </c>
      <c r="N149" s="327">
        <f t="shared" si="47"/>
        <v>0</v>
      </c>
      <c r="O149" s="327">
        <f t="shared" si="47"/>
        <v>0</v>
      </c>
      <c r="P149" s="327">
        <f t="shared" si="47"/>
        <v>0</v>
      </c>
      <c r="Q149" s="327">
        <f t="shared" si="47"/>
        <v>0</v>
      </c>
      <c r="R149" s="152"/>
      <c r="S149" s="152"/>
      <c r="T149" s="152"/>
    </row>
    <row r="150" spans="1:20" x14ac:dyDescent="0.3">
      <c r="B150" s="16" t="s">
        <v>299</v>
      </c>
      <c r="C150" s="15" t="s">
        <v>302</v>
      </c>
      <c r="D150" s="21" t="s">
        <v>55</v>
      </c>
      <c r="E150" s="21" t="s">
        <v>56</v>
      </c>
      <c r="F150" s="120">
        <f>SUM(G150:Q150)</f>
        <v>1.4170396663282844E-4</v>
      </c>
      <c r="G150" s="27">
        <f>'Forage crops, CF'!F49</f>
        <v>3.9901302719260733E-5</v>
      </c>
      <c r="H150" s="27">
        <f>'Forage crops, CF'!G49</f>
        <v>9.5000000000000005E-5</v>
      </c>
      <c r="I150" s="27">
        <f>'Forage crops, CF'!H49</f>
        <v>0</v>
      </c>
      <c r="J150" s="27">
        <f>'Forage crops, CF'!I49</f>
        <v>0</v>
      </c>
      <c r="K150" s="27">
        <f>'Forage crops, CF'!J49</f>
        <v>6.7431948609054584E-6</v>
      </c>
      <c r="L150" s="27">
        <f>'Forage crops, CF'!K49</f>
        <v>0</v>
      </c>
      <c r="M150" s="27">
        <f>'Forage crops, CF'!L49</f>
        <v>5.9469052662250286E-8</v>
      </c>
      <c r="N150" s="27">
        <f>'Forage crops, CF'!M49</f>
        <v>0</v>
      </c>
      <c r="O150" s="27">
        <f>'Forage crops, CF'!N49</f>
        <v>0</v>
      </c>
      <c r="P150" s="27">
        <f>'Forage crops, CF'!O49</f>
        <v>0</v>
      </c>
      <c r="Q150" s="27">
        <f>'Forage crops, CF'!P49</f>
        <v>0</v>
      </c>
      <c r="R150" s="151">
        <f>'Parameters SH, country spec'!J15</f>
        <v>0.26557017524746096</v>
      </c>
      <c r="S150" s="151">
        <f>'Parameters SH, country spec'!J33</f>
        <v>0.26557017524746096</v>
      </c>
      <c r="T150" s="264">
        <f>'Parameters D24m, country spec'!J11</f>
        <v>0.26557017524746096</v>
      </c>
    </row>
    <row r="151" spans="1:20" x14ac:dyDescent="0.3">
      <c r="B151" s="16" t="s">
        <v>300</v>
      </c>
      <c r="C151" s="15" t="s">
        <v>302</v>
      </c>
      <c r="D151" s="21" t="s">
        <v>55</v>
      </c>
      <c r="E151" s="21" t="s">
        <v>56</v>
      </c>
      <c r="F151" s="120">
        <f>SUM(G151:Q151)</f>
        <v>8.6408739501382854E-4</v>
      </c>
      <c r="G151" s="27">
        <f>'Forage crops, CF'!F114</f>
        <v>5.5139938650563344E-5</v>
      </c>
      <c r="H151" s="27">
        <f>'Forage crops, CF'!G114</f>
        <v>9.5000000000000005E-5</v>
      </c>
      <c r="I151" s="27"/>
      <c r="J151" s="27"/>
      <c r="K151" s="27">
        <f>'Forage crops, CF'!J114</f>
        <v>5.8879873106029554E-6</v>
      </c>
      <c r="L151" s="27"/>
      <c r="M151" s="27">
        <f>'Forage crops, CF'!L114</f>
        <v>5.9469052662250286E-8</v>
      </c>
      <c r="N151" s="27">
        <f>'Forage crops, CF'!M114</f>
        <v>0</v>
      </c>
      <c r="O151" s="27"/>
      <c r="P151" s="27">
        <f>'Forage crops, CF'!O114</f>
        <v>7.0799999999999997E-4</v>
      </c>
      <c r="Q151" s="27"/>
      <c r="R151" s="151">
        <f>'Parameters SH, country spec'!J16</f>
        <v>0.3089723847114122</v>
      </c>
      <c r="S151" s="151">
        <f>'Parameters SH, country spec'!J34</f>
        <v>0.3089723847114122</v>
      </c>
      <c r="T151" s="264">
        <f>'Parameters D24m, country spec'!J12</f>
        <v>0.3089723847114122</v>
      </c>
    </row>
    <row r="152" spans="1:20" x14ac:dyDescent="0.3">
      <c r="B152" s="16" t="s">
        <v>301</v>
      </c>
      <c r="C152" s="15" t="s">
        <v>302</v>
      </c>
      <c r="D152" s="21" t="s">
        <v>55</v>
      </c>
      <c r="E152" s="21" t="s">
        <v>56</v>
      </c>
      <c r="F152" s="120">
        <f>SUM(G152:Q152)</f>
        <v>8.4119004059558865E-4</v>
      </c>
      <c r="G152" s="27">
        <f>'Forage crops, CF'!F179*'Forage, input data per ha'!$D$86+'Forage crops, CF'!F244*'Forage, input data per ha'!$E$86</f>
        <v>3.1434234210546957E-5</v>
      </c>
      <c r="H152" s="27">
        <f>'Forage crops, CF'!G179*'Forage, input data per ha'!$D$86+'Forage crops, CF'!G244*'Forage, input data per ha'!$E$86</f>
        <v>9.5000000000000005E-5</v>
      </c>
      <c r="I152" s="27"/>
      <c r="J152" s="27"/>
      <c r="K152" s="27">
        <f>'Forage crops, CF'!J179*'Forage, input data per ha'!$D$86+'Forage crops, CF'!J244*'Forage, input data per ha'!$E$86</f>
        <v>6.6963373323794081E-6</v>
      </c>
      <c r="L152" s="27"/>
      <c r="M152" s="27">
        <f>'Forage crops, CF'!L179*'Forage, input data per ha'!$D$86+'Forage crops, CF'!L244*'Forage, input data per ha'!$E$86</f>
        <v>5.9469052662250286E-8</v>
      </c>
      <c r="N152" s="27">
        <f>'Forage crops, CF'!M179*'Forage, input data per ha'!$D$86+'Forage crops, CF'!M244*'Forage, input data per ha'!$E$86</f>
        <v>0</v>
      </c>
      <c r="O152" s="27"/>
      <c r="P152" s="27">
        <f>'Forage crops, CF'!O179*'Forage, input data per ha'!$D$86+'Forage crops, CF'!O244*'Forage, input data per ha'!$E$86</f>
        <v>7.0799999999999997E-4</v>
      </c>
      <c r="Q152" s="27"/>
      <c r="R152" s="151">
        <f>'Parameters SH, country spec'!J17</f>
        <v>0.15280804679497859</v>
      </c>
      <c r="S152" s="151">
        <f>'Parameters SH, country spec'!J35</f>
        <v>0.15280804679497859</v>
      </c>
      <c r="T152" s="264">
        <f>'Parameters D24m, country spec'!J13</f>
        <v>0.15280804679497859</v>
      </c>
    </row>
    <row r="153" spans="1:20" x14ac:dyDescent="0.3">
      <c r="A153" s="20" t="s">
        <v>231</v>
      </c>
      <c r="B153" s="15" t="s">
        <v>113</v>
      </c>
      <c r="C153" s="15" t="s">
        <v>232</v>
      </c>
      <c r="D153" s="21" t="s">
        <v>55</v>
      </c>
      <c r="E153" s="21" t="s">
        <v>56</v>
      </c>
      <c r="F153" s="120">
        <f>SUM(G153:Q153)</f>
        <v>3.2225099999999996E-4</v>
      </c>
      <c r="G153" s="93">
        <v>1.4999999999999999E-4</v>
      </c>
      <c r="H153" s="93">
        <v>1E-4</v>
      </c>
      <c r="I153" s="93"/>
      <c r="J153" s="93"/>
      <c r="K153" s="93">
        <v>2.19E-5</v>
      </c>
      <c r="L153" s="93"/>
      <c r="M153" s="93">
        <v>2.5100000000000001E-7</v>
      </c>
      <c r="N153" s="93">
        <v>5.0099999999999998E-5</v>
      </c>
      <c r="O153" s="93"/>
      <c r="P153" s="93"/>
      <c r="Q153" s="93"/>
      <c r="R153" s="151">
        <f>'Parameters SH, country spec'!J18</f>
        <v>1.4852072857038275E-2</v>
      </c>
      <c r="S153" s="151">
        <f>'Parameters SH, country spec'!J36</f>
        <v>1.4852072857038275E-2</v>
      </c>
      <c r="T153" s="264">
        <f>'Parameters D24m, country spec'!J14</f>
        <v>1.4852072857038275E-2</v>
      </c>
    </row>
    <row r="154" spans="1:20" x14ac:dyDescent="0.3">
      <c r="A154" s="20" t="s">
        <v>233</v>
      </c>
      <c r="B154" s="15" t="s">
        <v>114</v>
      </c>
      <c r="C154" s="15" t="s">
        <v>232</v>
      </c>
      <c r="D154" s="21" t="s">
        <v>55</v>
      </c>
      <c r="E154" s="21" t="s">
        <v>56</v>
      </c>
      <c r="F154" s="120">
        <f t="shared" ref="F154:F163" si="48">SUM(G154:Q154)</f>
        <v>3.1550999999999997E-4</v>
      </c>
      <c r="G154" s="93">
        <v>1.4999999999999999E-4</v>
      </c>
      <c r="H154" s="93">
        <v>1E-4</v>
      </c>
      <c r="I154" s="93"/>
      <c r="J154" s="93"/>
      <c r="K154" s="93">
        <v>1.24E-5</v>
      </c>
      <c r="L154" s="93"/>
      <c r="M154" s="93">
        <v>3.01E-6</v>
      </c>
      <c r="N154" s="93">
        <v>5.0099999999999998E-5</v>
      </c>
      <c r="O154" s="93"/>
      <c r="P154" s="93"/>
      <c r="Q154" s="93"/>
      <c r="R154" s="151">
        <f>'Parameters SH, country spec'!J19</f>
        <v>2.0345709016517825E-2</v>
      </c>
      <c r="S154" s="151">
        <f>'Parameters SH, country spec'!J37</f>
        <v>2.0345709016517825E-2</v>
      </c>
      <c r="T154" s="264">
        <f>'Parameters D24m, country spec'!J15</f>
        <v>2.0345709016517825E-2</v>
      </c>
    </row>
    <row r="155" spans="1:20" x14ac:dyDescent="0.3">
      <c r="A155" s="20" t="s">
        <v>234</v>
      </c>
      <c r="B155" s="15" t="s">
        <v>115</v>
      </c>
      <c r="C155" s="15" t="s">
        <v>232</v>
      </c>
      <c r="D155" s="21" t="s">
        <v>55</v>
      </c>
      <c r="E155" s="21" t="s">
        <v>56</v>
      </c>
      <c r="F155" s="120">
        <f t="shared" si="48"/>
        <v>3.0925099999999997E-4</v>
      </c>
      <c r="G155" s="93">
        <v>1.2999999999999999E-4</v>
      </c>
      <c r="H155" s="93">
        <v>1E-4</v>
      </c>
      <c r="I155" s="93"/>
      <c r="J155" s="93"/>
      <c r="K155" s="93">
        <v>2.8900000000000001E-5</v>
      </c>
      <c r="L155" s="93"/>
      <c r="M155" s="93">
        <v>2.5100000000000001E-7</v>
      </c>
      <c r="N155" s="93">
        <v>5.0099999999999998E-5</v>
      </c>
      <c r="O155" s="93"/>
      <c r="P155" s="93"/>
      <c r="Q155" s="93"/>
      <c r="R155" s="151">
        <f>'Parameters SH, country spec'!J20</f>
        <v>4.4481071240192398E-4</v>
      </c>
      <c r="S155" s="151">
        <f>'Parameters SH, country spec'!J38</f>
        <v>4.4481071240192398E-4</v>
      </c>
      <c r="T155" s="264">
        <f>'Parameters D24m, country spec'!J16</f>
        <v>4.4481071240192398E-4</v>
      </c>
    </row>
    <row r="156" spans="1:20" x14ac:dyDescent="0.3">
      <c r="A156" s="20" t="s">
        <v>235</v>
      </c>
      <c r="B156" s="15" t="s">
        <v>116</v>
      </c>
      <c r="C156" s="15" t="s">
        <v>232</v>
      </c>
      <c r="D156" s="21" t="s">
        <v>55</v>
      </c>
      <c r="E156" s="21" t="s">
        <v>56</v>
      </c>
      <c r="F156" s="120">
        <f t="shared" si="48"/>
        <v>2.9759999999999997E-4</v>
      </c>
      <c r="G156" s="93">
        <v>1.2E-4</v>
      </c>
      <c r="H156" s="93">
        <v>1E-4</v>
      </c>
      <c r="I156" s="93"/>
      <c r="J156" s="93"/>
      <c r="K156" s="93">
        <v>2.7500000000000001E-5</v>
      </c>
      <c r="L156" s="93"/>
      <c r="M156" s="93">
        <v>0</v>
      </c>
      <c r="N156" s="93">
        <v>5.0099999999999998E-5</v>
      </c>
      <c r="O156" s="93"/>
      <c r="P156" s="93"/>
      <c r="Q156" s="93"/>
      <c r="R156" s="151">
        <f>'Parameters SH, country spec'!J21</f>
        <v>5.8075964903519491E-3</v>
      </c>
      <c r="S156" s="151">
        <f>'Parameters SH, country spec'!J39</f>
        <v>5.8075964903519491E-3</v>
      </c>
      <c r="T156" s="264">
        <f>'Parameters D24m, country spec'!J17</f>
        <v>5.8075964903519491E-3</v>
      </c>
    </row>
    <row r="157" spans="1:20" x14ac:dyDescent="0.3">
      <c r="A157" s="20" t="s">
        <v>236</v>
      </c>
      <c r="B157" s="15" t="s">
        <v>117</v>
      </c>
      <c r="C157" s="15" t="s">
        <v>232</v>
      </c>
      <c r="D157" s="21" t="s">
        <v>55</v>
      </c>
      <c r="E157" s="21" t="s">
        <v>56</v>
      </c>
      <c r="F157" s="120">
        <f t="shared" si="48"/>
        <v>3.3835099999999997E-4</v>
      </c>
      <c r="G157" s="93">
        <v>1.7000000000000001E-4</v>
      </c>
      <c r="H157" s="93">
        <v>1E-4</v>
      </c>
      <c r="I157" s="93"/>
      <c r="J157" s="93"/>
      <c r="K157" s="93">
        <v>1.8E-5</v>
      </c>
      <c r="L157" s="93"/>
      <c r="M157" s="93">
        <v>2.5100000000000001E-7</v>
      </c>
      <c r="N157" s="93">
        <v>5.0099999999999998E-5</v>
      </c>
      <c r="O157" s="93"/>
      <c r="P157" s="93"/>
      <c r="Q157" s="93"/>
      <c r="R157" s="151">
        <f>'Parameters SH, country spec'!J22</f>
        <v>2.3351211772125756E-2</v>
      </c>
      <c r="S157" s="151">
        <f>'Parameters SH, country spec'!J40</f>
        <v>2.3351211772125756E-2</v>
      </c>
      <c r="T157" s="264">
        <f>'Parameters D24m, country spec'!J18</f>
        <v>2.3351211772125756E-2</v>
      </c>
    </row>
    <row r="158" spans="1:20" x14ac:dyDescent="0.3">
      <c r="A158" s="20" t="s">
        <v>237</v>
      </c>
      <c r="B158" s="15" t="s">
        <v>118</v>
      </c>
      <c r="C158" s="15" t="s">
        <v>238</v>
      </c>
      <c r="D158" s="21" t="s">
        <v>55</v>
      </c>
      <c r="E158" s="21" t="s">
        <v>56</v>
      </c>
      <c r="F158" s="120">
        <f t="shared" si="48"/>
        <v>1.8650000000000001E-4</v>
      </c>
      <c r="G158" s="93">
        <v>0</v>
      </c>
      <c r="H158" s="93">
        <v>1E-4</v>
      </c>
      <c r="I158" s="93"/>
      <c r="J158" s="93"/>
      <c r="K158" s="93">
        <v>3.6399999999999997E-5</v>
      </c>
      <c r="L158" s="93"/>
      <c r="M158" s="93">
        <v>0</v>
      </c>
      <c r="N158" s="93">
        <v>5.0099999999999998E-5</v>
      </c>
      <c r="O158" s="93"/>
      <c r="P158" s="93"/>
      <c r="Q158" s="93"/>
      <c r="R158" s="151">
        <f>'Parameters SH, country spec'!J23</f>
        <v>2.6962503550840627E-3</v>
      </c>
      <c r="S158" s="151">
        <f>'Parameters SH, country spec'!J41</f>
        <v>2.6962503550840627E-3</v>
      </c>
      <c r="T158" s="264">
        <f>'Parameters D24m, country spec'!J19</f>
        <v>2.6962503550840627E-3</v>
      </c>
    </row>
    <row r="159" spans="1:20" x14ac:dyDescent="0.3">
      <c r="A159" s="20" t="s">
        <v>239</v>
      </c>
      <c r="B159" s="15" t="s">
        <v>119</v>
      </c>
      <c r="C159" s="15" t="s">
        <v>238</v>
      </c>
      <c r="D159" s="21" t="s">
        <v>55</v>
      </c>
      <c r="E159" s="21" t="s">
        <v>56</v>
      </c>
      <c r="F159" s="120">
        <f t="shared" si="48"/>
        <v>1.8700000000000002E-4</v>
      </c>
      <c r="G159" s="93">
        <v>7.5000000000000002E-6</v>
      </c>
      <c r="H159" s="93">
        <v>1E-4</v>
      </c>
      <c r="I159" s="93"/>
      <c r="J159" s="93"/>
      <c r="K159" s="93">
        <v>2.94E-5</v>
      </c>
      <c r="L159" s="93"/>
      <c r="M159" s="93">
        <v>0</v>
      </c>
      <c r="N159" s="93">
        <v>5.0099999999999998E-5</v>
      </c>
      <c r="O159" s="93"/>
      <c r="P159" s="93"/>
      <c r="Q159" s="93"/>
      <c r="R159" s="151">
        <f>'Parameters SH, country spec'!J24</f>
        <v>2.6486063692714159E-3</v>
      </c>
      <c r="S159" s="151">
        <f>'Parameters SH, country spec'!J42</f>
        <v>2.6486063692714159E-3</v>
      </c>
      <c r="T159" s="264">
        <f>'Parameters D24m, country spec'!J20</f>
        <v>2.6486063692714159E-3</v>
      </c>
    </row>
    <row r="160" spans="1:20" x14ac:dyDescent="0.3">
      <c r="B160" s="16" t="s">
        <v>120</v>
      </c>
      <c r="C160" s="15" t="s">
        <v>240</v>
      </c>
      <c r="D160" s="21" t="s">
        <v>55</v>
      </c>
      <c r="E160" s="21" t="s">
        <v>56</v>
      </c>
      <c r="F160" s="120">
        <f t="shared" si="48"/>
        <v>4.6478527325651394E-4</v>
      </c>
      <c r="G160" s="27">
        <v>3.0425509539765719E-4</v>
      </c>
      <c r="H160" s="27">
        <v>4.5862068965517246E-5</v>
      </c>
      <c r="I160" s="27"/>
      <c r="J160" s="27"/>
      <c r="K160" s="27">
        <v>1.0936279334641699E-5</v>
      </c>
      <c r="L160" s="27"/>
      <c r="M160" s="27">
        <v>6.4606960551724142E-7</v>
      </c>
      <c r="N160" s="27">
        <v>2.1884761697575221E-5</v>
      </c>
      <c r="O160" s="27"/>
      <c r="P160" s="27">
        <v>5.7027085212127035E-5</v>
      </c>
      <c r="Q160" s="27">
        <v>2.4173913043478263E-5</v>
      </c>
      <c r="R160" s="151">
        <f>'Parameters SH, country spec'!J25</f>
        <v>1.9433337380001321E-2</v>
      </c>
      <c r="S160" s="151">
        <f>'Parameters SH, country spec'!J43</f>
        <v>1.9433337380001321E-2</v>
      </c>
      <c r="T160" s="264">
        <f>'Parameters D24m, country spec'!J21</f>
        <v>1.9433337380001321E-2</v>
      </c>
    </row>
    <row r="161" spans="1:20" x14ac:dyDescent="0.3">
      <c r="B161" s="16" t="s">
        <v>241</v>
      </c>
      <c r="C161" s="15" t="s">
        <v>240</v>
      </c>
      <c r="D161" s="21" t="s">
        <v>55</v>
      </c>
      <c r="E161" s="21" t="s">
        <v>56</v>
      </c>
      <c r="F161" s="120">
        <f t="shared" si="48"/>
        <v>4.7266553697523981E-4</v>
      </c>
      <c r="G161" s="27">
        <v>1.5603516238625262E-5</v>
      </c>
      <c r="H161" s="27">
        <v>7.5304878048780503E-5</v>
      </c>
      <c r="I161" s="27"/>
      <c r="J161" s="27"/>
      <c r="K161" s="27">
        <v>1.908459074435586E-5</v>
      </c>
      <c r="L161" s="27"/>
      <c r="M161" s="27">
        <v>5.9672097439024396E-7</v>
      </c>
      <c r="N161" s="27">
        <v>2.3084271612619523E-5</v>
      </c>
      <c r="O161" s="27"/>
      <c r="P161" s="27">
        <v>1.2899155935646844E-4</v>
      </c>
      <c r="Q161" s="27">
        <v>2.1000000000000001E-4</v>
      </c>
      <c r="R161" s="151">
        <f>'Parameters SH, country spec'!J26</f>
        <v>6.7782810502236002E-2</v>
      </c>
      <c r="S161" s="151">
        <f>'Parameters SH, country spec'!J44</f>
        <v>6.7782810502236002E-2</v>
      </c>
      <c r="T161" s="264">
        <f>'Parameters D24m, country spec'!J22</f>
        <v>6.7782810502236002E-2</v>
      </c>
    </row>
    <row r="162" spans="1:20" x14ac:dyDescent="0.3">
      <c r="B162" s="15" t="s">
        <v>122</v>
      </c>
      <c r="C162" s="15" t="s">
        <v>242</v>
      </c>
      <c r="D162" s="21" t="s">
        <v>55</v>
      </c>
      <c r="E162" s="21" t="s">
        <v>56</v>
      </c>
      <c r="F162" s="120"/>
      <c r="G162" s="93"/>
      <c r="H162" s="93"/>
      <c r="I162" s="93"/>
      <c r="J162" s="93"/>
      <c r="K162" s="93"/>
      <c r="L162" s="93"/>
      <c r="M162" s="93"/>
      <c r="N162" s="93"/>
      <c r="O162" s="93"/>
      <c r="P162" s="93"/>
      <c r="Q162" s="93"/>
      <c r="R162" s="151">
        <f>'Parameters SH, country spec'!J27</f>
        <v>4.7732591070968847E-2</v>
      </c>
      <c r="S162" s="151">
        <f>'Parameters SH, country spec'!J45</f>
        <v>4.7732591070968847E-2</v>
      </c>
      <c r="T162" s="264">
        <f>'Parameters D24m, country spec'!J23</f>
        <v>4.7732591070968847E-2</v>
      </c>
    </row>
    <row r="163" spans="1:20" x14ac:dyDescent="0.3">
      <c r="A163" s="75"/>
      <c r="B163" s="15" t="s">
        <v>243</v>
      </c>
      <c r="C163" s="76" t="s">
        <v>244</v>
      </c>
      <c r="D163" s="21" t="s">
        <v>55</v>
      </c>
      <c r="E163" s="21" t="s">
        <v>56</v>
      </c>
      <c r="F163" s="120">
        <f t="shared" si="48"/>
        <v>6.3041242339972425E-5</v>
      </c>
      <c r="G163" s="74">
        <f>SUMPRODUCT(G153:G161,$R153:$R161)</f>
        <v>1.6994316904337269E-5</v>
      </c>
      <c r="H163" s="74">
        <f t="shared" ref="H163:P163" si="49">SUMPRODUCT(H153:H161,$R153:$R161)</f>
        <v>1.3010255095105386E-5</v>
      </c>
      <c r="I163" s="74">
        <f t="shared" si="49"/>
        <v>0</v>
      </c>
      <c r="J163" s="74">
        <f t="shared" si="49"/>
        <v>0</v>
      </c>
      <c r="K163" s="74">
        <f t="shared" si="49"/>
        <v>2.8525810764563856E-6</v>
      </c>
      <c r="L163" s="74">
        <f t="shared" si="49"/>
        <v>0</v>
      </c>
      <c r="M163" s="74">
        <f t="shared" si="49"/>
        <v>1.2394396941523615E-7</v>
      </c>
      <c r="N163" s="74">
        <f t="shared" si="49"/>
        <v>5.5043382702470847E-6</v>
      </c>
      <c r="O163" s="74">
        <f t="shared" si="49"/>
        <v>0</v>
      </c>
      <c r="P163" s="74">
        <f t="shared" si="49"/>
        <v>9.851637010972775E-6</v>
      </c>
      <c r="Q163" s="74">
        <f>SUMPRODUCT(Q153:Q161,$R153:$R161)</f>
        <v>1.4704170013438288E-5</v>
      </c>
      <c r="R163" s="151">
        <f>'Parameters SH, country spec'!J28</f>
        <v>6.7554396720150997E-2</v>
      </c>
      <c r="S163" s="151">
        <f>'Parameters SH, country spec'!J46</f>
        <v>6.7554396720150997E-2</v>
      </c>
      <c r="T163" s="264">
        <f>'Parameters D24m, country spec'!J24</f>
        <v>6.7554396720150997E-2</v>
      </c>
    </row>
    <row r="164" spans="1:20" x14ac:dyDescent="0.3">
      <c r="A164" s="328"/>
      <c r="B164" s="329" t="s">
        <v>616</v>
      </c>
      <c r="C164" s="330"/>
      <c r="D164" s="331"/>
      <c r="E164" s="331"/>
      <c r="F164" s="334">
        <f>SUMPRODUCT(F150:F152,R150:R152)+SUMPRODUCT(F153:F163,R153:R163)/0.87</f>
        <v>5.1050836798987741E-4</v>
      </c>
      <c r="G164" s="334">
        <f>SUMPRODUCT(G150:G152,R150:R152)+SUMPRODUCT(G153:G163,R153:R163)/0.87</f>
        <v>5.3290002973350285E-5</v>
      </c>
      <c r="H164" s="334">
        <f>SUMPRODUCT(H150:H152,R150:R152)+SUMPRODUCT(H153:H163,R153:R163)/0.87</f>
        <v>8.5062853652225683E-5</v>
      </c>
      <c r="I164" s="334">
        <f>SUMPRODUCT(I150:I152,R150:R152)+SUMPRODUCT(I153:I163,R153:R163)/0.87</f>
        <v>0</v>
      </c>
      <c r="J164" s="334">
        <f>SUMPRODUCT(J150:J152,R150:R152)+SUMPRODUCT(J153:J163,R153:R163)/0.87</f>
        <v>0</v>
      </c>
      <c r="K164" s="334">
        <f>SUMPRODUCT(K150:K152,R150:R152)+SUMPRODUCT(K153:K163,R153:R163)/0.87</f>
        <v>8.1335992765213207E-6</v>
      </c>
      <c r="L164" s="334">
        <f>SUMPRODUCT(L150:L152,R150:R152)+SUMPRODUCT(L153:L163,R153:R163)/0.87</f>
        <v>0</v>
      </c>
      <c r="M164" s="334">
        <f>SUMPRODUCT(M150:M152,R150:R152)+SUMPRODUCT(M153:M163,R153:R163)/0.87</f>
        <v>1.9534327624522115E-7</v>
      </c>
      <c r="N164" s="334">
        <f>SUMPRODUCT(N150:N152,R150:R152)+SUMPRODUCT(N153:N163,R153:R163)/0.87</f>
        <v>6.7542304844106506E-6</v>
      </c>
      <c r="O164" s="334">
        <f>SUMPRODUCT(O150:O152,R150:R152)+SUMPRODUCT(O153:O163,R153:R163)/0.87</f>
        <v>0</v>
      </c>
      <c r="P164" s="334">
        <f>SUMPRODUCT(P150:P152,R150:R152)+SUMPRODUCT(P153:P163,R153:R163)/0.87</f>
        <v>3.3902923332946141E-4</v>
      </c>
      <c r="Q164" s="334">
        <f>SUMPRODUCT(Q150:Q152,R150:R152)+SUMPRODUCT(Q153:Q163,R153:R163)/0.87</f>
        <v>1.8043104997662813E-5</v>
      </c>
      <c r="R164" s="335"/>
      <c r="S164" s="336"/>
      <c r="T164" s="336"/>
    </row>
    <row r="165" spans="1:20" x14ac:dyDescent="0.3">
      <c r="A165" s="150"/>
      <c r="B165" s="23" t="s">
        <v>457</v>
      </c>
      <c r="C165" s="24"/>
      <c r="D165" s="94"/>
      <c r="E165" s="94"/>
      <c r="F165" s="28">
        <f>SUMPRODUCT(F150:F152,S150:S152)+SUMPRODUCT(F153:F163,S153:S163)/0.87</f>
        <v>5.1050836798987741E-4</v>
      </c>
      <c r="G165" s="28">
        <f>SUMPRODUCT(G150:G152,S150:S152)+SUMPRODUCT(G153:G163,S153:S163)/0.87</f>
        <v>5.3290002973350285E-5</v>
      </c>
      <c r="H165" s="28">
        <f>SUMPRODUCT(H150:H152,S150:S152)+SUMPRODUCT(H153:H163,S153:S163)/0.87</f>
        <v>8.5062853652225683E-5</v>
      </c>
      <c r="I165" s="28">
        <f>SUMPRODUCT(I150:I152,S150:S152)+SUMPRODUCT(I153:I163,S153:S163)/0.87</f>
        <v>0</v>
      </c>
      <c r="J165" s="28">
        <f>SUMPRODUCT(J150:J152,S150:S152)+SUMPRODUCT(J153:J163,S153:S163)/0.87</f>
        <v>0</v>
      </c>
      <c r="K165" s="28">
        <f>SUMPRODUCT(K150:K152,S150:S152)+SUMPRODUCT(K153:K163,S153:S163)/0.87</f>
        <v>8.1335992765213207E-6</v>
      </c>
      <c r="L165" s="28">
        <f>SUMPRODUCT(L150:L152,S150:S152)+SUMPRODUCT(L153:L163,S153:S163)/0.87</f>
        <v>0</v>
      </c>
      <c r="M165" s="28">
        <f>SUMPRODUCT(M150:M152,S150:S152)+SUMPRODUCT(M153:M163,S153:S163)/0.87</f>
        <v>1.9534327624522115E-7</v>
      </c>
      <c r="N165" s="28">
        <f>SUMPRODUCT(N150:N152,S150:S152)+SUMPRODUCT(N153:N163,S153:S163)/0.87</f>
        <v>6.7542304844106506E-6</v>
      </c>
      <c r="O165" s="28">
        <f>SUMPRODUCT(O150:O152,S150:S152)+SUMPRODUCT(O153:O163,S153:S163)/0.87</f>
        <v>0</v>
      </c>
      <c r="P165" s="28">
        <f>SUMPRODUCT(P150:P152,S150:S152)+SUMPRODUCT(P153:P163,S153:S163)/0.87</f>
        <v>3.3902923332946141E-4</v>
      </c>
      <c r="Q165" s="28">
        <f>SUMPRODUCT(Q150:Q152,S150:S152)+SUMPRODUCT(Q153:Q163,S153:S163)/0.87</f>
        <v>1.8043104997662813E-5</v>
      </c>
      <c r="R165" s="152"/>
      <c r="S165" s="152"/>
      <c r="T165" s="152"/>
    </row>
    <row r="166" spans="1:20" x14ac:dyDescent="0.3">
      <c r="A166" s="328"/>
      <c r="B166" s="329" t="s">
        <v>641</v>
      </c>
      <c r="C166" s="330"/>
      <c r="D166" s="331"/>
      <c r="E166" s="331"/>
      <c r="F166" s="332">
        <f>SUMPRODUCT(F150:F152,$T150:$T152)+SUMPRODUCT(F153:F163,$T153:$T163)/0.87</f>
        <v>5.1050836798987741E-4</v>
      </c>
      <c r="G166" s="332">
        <f t="shared" ref="G166:O166" si="50">SUMPRODUCT(G150:G152,$T150:$T152)+SUMPRODUCT(G153:G163,$T153:$T163)/0.87</f>
        <v>5.3290002973350285E-5</v>
      </c>
      <c r="H166" s="332">
        <f t="shared" si="50"/>
        <v>8.5062853652225683E-5</v>
      </c>
      <c r="I166" s="332">
        <f t="shared" si="50"/>
        <v>0</v>
      </c>
      <c r="J166" s="332">
        <f t="shared" si="50"/>
        <v>0</v>
      </c>
      <c r="K166" s="332">
        <f t="shared" si="50"/>
        <v>8.1335992765213207E-6</v>
      </c>
      <c r="L166" s="332">
        <f t="shared" si="50"/>
        <v>0</v>
      </c>
      <c r="M166" s="332">
        <f t="shared" si="50"/>
        <v>1.9534327624522115E-7</v>
      </c>
      <c r="N166" s="332">
        <f t="shared" si="50"/>
        <v>6.7542304844106506E-6</v>
      </c>
      <c r="O166" s="332">
        <f t="shared" si="50"/>
        <v>0</v>
      </c>
      <c r="P166" s="332">
        <f>SUMPRODUCT(P150:P152,$T150:$T152)+SUMPRODUCT(P153:P163,$T153:$T163)/0.87</f>
        <v>3.3902923332946141E-4</v>
      </c>
      <c r="Q166" s="332">
        <f t="shared" ref="Q166" si="51">SUMPRODUCT(Q150:Q152,$T150:$T152)+SUMPRODUCT(Q153:Q163,$T153:$T163)/0.87</f>
        <v>1.8043104997662813E-5</v>
      </c>
      <c r="R166" s="335"/>
      <c r="S166" s="335"/>
      <c r="T166" s="335"/>
    </row>
    <row r="167" spans="1:20" x14ac:dyDescent="0.3">
      <c r="A167" s="150"/>
      <c r="B167" s="23" t="s">
        <v>642</v>
      </c>
      <c r="C167" s="24"/>
      <c r="D167" s="94"/>
      <c r="E167" s="94"/>
      <c r="F167" s="327">
        <f>SUMPRODUCT(F150:F152,$U150:$U152)+SUMPRODUCT(F153:F163,$U153:$U163)/0.87</f>
        <v>0</v>
      </c>
      <c r="G167" s="327">
        <f t="shared" ref="G167:K167" si="52">SUMPRODUCT(G150:G152,$U150:$U152)+SUMPRODUCT(G153:G163,$U153:$U163)/0.87</f>
        <v>0</v>
      </c>
      <c r="H167" s="327">
        <f t="shared" si="52"/>
        <v>0</v>
      </c>
      <c r="I167" s="327">
        <f t="shared" si="52"/>
        <v>0</v>
      </c>
      <c r="J167" s="327">
        <f t="shared" si="52"/>
        <v>0</v>
      </c>
      <c r="K167" s="327">
        <f t="shared" si="52"/>
        <v>0</v>
      </c>
      <c r="L167" s="327">
        <f>SUMPRODUCT(L150:L152,$U150:$U152)+SUMPRODUCT(L153:L163,$U153:$U163)/0.87</f>
        <v>0</v>
      </c>
      <c r="M167" s="327">
        <f t="shared" ref="M167:Q167" si="53">SUMPRODUCT(M150:M152,$U150:$U152)+SUMPRODUCT(M153:M163,$U153:$U163)/0.87</f>
        <v>0</v>
      </c>
      <c r="N167" s="327">
        <f t="shared" si="53"/>
        <v>0</v>
      </c>
      <c r="O167" s="327">
        <f t="shared" si="53"/>
        <v>0</v>
      </c>
      <c r="P167" s="327">
        <f t="shared" si="53"/>
        <v>0</v>
      </c>
      <c r="Q167" s="327">
        <f t="shared" si="53"/>
        <v>0</v>
      </c>
      <c r="R167" s="152"/>
      <c r="S167" s="152"/>
      <c r="T167" s="152"/>
    </row>
    <row r="168" spans="1:20" x14ac:dyDescent="0.3">
      <c r="B168" s="16" t="s">
        <v>299</v>
      </c>
      <c r="C168" s="15" t="s">
        <v>302</v>
      </c>
      <c r="D168" s="21" t="s">
        <v>57</v>
      </c>
      <c r="E168" s="21" t="s">
        <v>58</v>
      </c>
      <c r="F168" s="120">
        <f>SUM(G168:Q168)</f>
        <v>1.5504478074565914E-4</v>
      </c>
      <c r="G168" s="27">
        <f>'Forage crops, CF'!F54</f>
        <v>3.9901302719260733E-5</v>
      </c>
      <c r="H168" s="27">
        <f>'Forage crops, CF'!G54</f>
        <v>9.5000000000000005E-5</v>
      </c>
      <c r="I168" s="27">
        <f>'Forage crops, CF'!H54</f>
        <v>0</v>
      </c>
      <c r="J168" s="27">
        <f>'Forage crops, CF'!I54</f>
        <v>0</v>
      </c>
      <c r="K168" s="27">
        <f>'Forage crops, CF'!J54</f>
        <v>9.7094280467696498E-6</v>
      </c>
      <c r="L168" s="27">
        <f>'Forage crops, CF'!K54</f>
        <v>0</v>
      </c>
      <c r="M168" s="27">
        <f>'Forage crops, CF'!L54</f>
        <v>1.0434049979628758E-5</v>
      </c>
      <c r="N168" s="27">
        <f>'Forage crops, CF'!M54</f>
        <v>0</v>
      </c>
      <c r="O168" s="27">
        <f>'Forage crops, CF'!N54</f>
        <v>0</v>
      </c>
      <c r="P168" s="27">
        <f>'Forage crops, CF'!O54</f>
        <v>0</v>
      </c>
      <c r="Q168" s="27">
        <f>'Forage crops, CF'!P54</f>
        <v>0</v>
      </c>
      <c r="R168" s="151">
        <f>'Parameters SH, country spec'!K15</f>
        <v>0.42695226222969923</v>
      </c>
      <c r="S168" s="151">
        <f>'Parameters SH, country spec'!K33</f>
        <v>0.42695226222969923</v>
      </c>
      <c r="T168" s="264">
        <f>'Parameters D24m, country spec'!K11</f>
        <v>0.42695226222969923</v>
      </c>
    </row>
    <row r="169" spans="1:20" x14ac:dyDescent="0.3">
      <c r="B169" s="16" t="s">
        <v>300</v>
      </c>
      <c r="C169" s="15" t="s">
        <v>302</v>
      </c>
      <c r="D169" s="21" t="s">
        <v>57</v>
      </c>
      <c r="E169" s="21" t="s">
        <v>58</v>
      </c>
      <c r="F169" s="120">
        <f>SUM(G169:Q169)</f>
        <v>8.6189578605677685E-4</v>
      </c>
      <c r="G169" s="27">
        <f>'Forage crops, CF'!F119</f>
        <v>3.8936683186619176E-5</v>
      </c>
      <c r="H169" s="27">
        <f>'Forage crops, CF'!G119</f>
        <v>9.5000000000000005E-5</v>
      </c>
      <c r="I169" s="27"/>
      <c r="J169" s="27"/>
      <c r="K169" s="27">
        <f>'Forage crops, CF'!J119</f>
        <v>9.5250528905289057E-6</v>
      </c>
      <c r="L169" s="27"/>
      <c r="M169" s="27">
        <f>'Forage crops, CF'!L119</f>
        <v>1.0434049979628758E-5</v>
      </c>
      <c r="N169" s="27">
        <f>'Forage crops, CF'!M119</f>
        <v>0</v>
      </c>
      <c r="O169" s="27"/>
      <c r="P169" s="27">
        <f>'Forage crops, CF'!O119</f>
        <v>7.0799999999999997E-4</v>
      </c>
      <c r="Q169" s="27"/>
      <c r="R169" s="151">
        <f>'Parameters SH, country spec'!K16</f>
        <v>8.4238508213965613E-2</v>
      </c>
      <c r="S169" s="151">
        <f>'Parameters SH, country spec'!K34</f>
        <v>8.4238508213965613E-2</v>
      </c>
      <c r="T169" s="264">
        <f>'Parameters D24m, country spec'!K12</f>
        <v>8.4238508213965613E-2</v>
      </c>
    </row>
    <row r="170" spans="1:20" x14ac:dyDescent="0.3">
      <c r="B170" s="16" t="s">
        <v>301</v>
      </c>
      <c r="C170" s="15" t="s">
        <v>302</v>
      </c>
      <c r="D170" s="21" t="s">
        <v>57</v>
      </c>
      <c r="E170" s="21" t="s">
        <v>58</v>
      </c>
      <c r="F170" s="120">
        <f>SUM(G170:Q170)</f>
        <v>8.4215677137316038E-4</v>
      </c>
      <c r="G170" s="27">
        <f>'Forage crops, CF'!F184*'Forage, input data per ha'!$D$87+'Forage crops, CF'!F249*'Forage, input data per ha'!$E$87</f>
        <v>2.0808843922414577E-5</v>
      </c>
      <c r="H170" s="27">
        <f>'Forage crops, CF'!G184*'Forage, input data per ha'!$D$87+'Forage crops, CF'!G249*'Forage, input data per ha'!$E$87</f>
        <v>9.5000000000000005E-5</v>
      </c>
      <c r="I170" s="27"/>
      <c r="J170" s="27"/>
      <c r="K170" s="27">
        <f>'Forage crops, CF'!J184*'Forage, input data per ha'!$D$87+'Forage crops, CF'!J249*'Forage, input data per ha'!$E$87</f>
        <v>7.9138774711169853E-6</v>
      </c>
      <c r="L170" s="27"/>
      <c r="M170" s="27">
        <f>'Forage crops, CF'!L184*'Forage, input data per ha'!$D$87+'Forage crops, CF'!L249*'Forage, input data per ha'!$E$87</f>
        <v>1.0434049979628758E-5</v>
      </c>
      <c r="N170" s="27">
        <f>'Forage crops, CF'!M184*'Forage, input data per ha'!$D$87+'Forage crops, CF'!M249*'Forage, input data per ha'!$E$87</f>
        <v>0</v>
      </c>
      <c r="O170" s="27"/>
      <c r="P170" s="27">
        <f>'Forage crops, CF'!O184*'Forage, input data per ha'!$D$87+'Forage crops, CF'!O249*'Forage, input data per ha'!$E$87</f>
        <v>7.0800000000000008E-4</v>
      </c>
      <c r="Q170" s="27"/>
      <c r="R170" s="151">
        <f>'Parameters SH, country spec'!K17</f>
        <v>6.2955748563960065E-2</v>
      </c>
      <c r="S170" s="151">
        <f>'Parameters SH, country spec'!K35</f>
        <v>6.2955748563960065E-2</v>
      </c>
      <c r="T170" s="264">
        <f>'Parameters D24m, country spec'!K13</f>
        <v>6.2955748563960065E-2</v>
      </c>
    </row>
    <row r="171" spans="1:20" x14ac:dyDescent="0.3">
      <c r="A171" s="20" t="s">
        <v>231</v>
      </c>
      <c r="B171" s="15" t="s">
        <v>113</v>
      </c>
      <c r="C171" s="15" t="s">
        <v>232</v>
      </c>
      <c r="D171" s="21" t="s">
        <v>57</v>
      </c>
      <c r="E171" s="21" t="s">
        <v>58</v>
      </c>
      <c r="F171" s="120">
        <f>SUM(G171:Q171)</f>
        <v>1.7320000000000001E-4</v>
      </c>
      <c r="G171" s="93">
        <v>0</v>
      </c>
      <c r="H171" s="93">
        <v>1E-4</v>
      </c>
      <c r="I171" s="93"/>
      <c r="J171" s="93"/>
      <c r="K171" s="93">
        <v>2.48E-5</v>
      </c>
      <c r="L171" s="93"/>
      <c r="M171" s="93">
        <v>1.9300000000000002E-5</v>
      </c>
      <c r="N171" s="93">
        <v>2.9099999999999999E-5</v>
      </c>
      <c r="O171" s="93"/>
      <c r="P171" s="93"/>
      <c r="Q171" s="93"/>
      <c r="R171" s="151">
        <f>'Parameters SH, country spec'!K18</f>
        <v>7.4482644340220033E-2</v>
      </c>
      <c r="S171" s="151">
        <f>'Parameters SH, country spec'!K36</f>
        <v>7.4482644340220033E-2</v>
      </c>
      <c r="T171" s="264">
        <f>'Parameters D24m, country spec'!K14</f>
        <v>7.4482644340220033E-2</v>
      </c>
    </row>
    <row r="172" spans="1:20" x14ac:dyDescent="0.3">
      <c r="A172" s="20" t="s">
        <v>233</v>
      </c>
      <c r="B172" s="15" t="s">
        <v>114</v>
      </c>
      <c r="C172" s="15" t="s">
        <v>232</v>
      </c>
      <c r="D172" s="21" t="s">
        <v>57</v>
      </c>
      <c r="E172" s="21" t="s">
        <v>58</v>
      </c>
      <c r="F172" s="120">
        <f t="shared" ref="F172:F181" si="54">SUM(G172:Q172)</f>
        <v>1.9490000000000002E-4</v>
      </c>
      <c r="G172" s="93">
        <v>0</v>
      </c>
      <c r="H172" s="93">
        <v>1E-4</v>
      </c>
      <c r="I172" s="93"/>
      <c r="J172" s="93"/>
      <c r="K172" s="93">
        <v>6.8000000000000001E-6</v>
      </c>
      <c r="L172" s="93"/>
      <c r="M172" s="93">
        <v>5.8999999999999998E-5</v>
      </c>
      <c r="N172" s="93">
        <v>2.9099999999999999E-5</v>
      </c>
      <c r="O172" s="93"/>
      <c r="P172" s="93"/>
      <c r="Q172" s="93"/>
      <c r="R172" s="151">
        <f>'Parameters SH, country spec'!K19</f>
        <v>9.8235935846622865E-2</v>
      </c>
      <c r="S172" s="151">
        <f>'Parameters SH, country spec'!K37</f>
        <v>9.8235935846622865E-2</v>
      </c>
      <c r="T172" s="264">
        <f>'Parameters D24m, country spec'!K15</f>
        <v>9.8235935846622865E-2</v>
      </c>
    </row>
    <row r="173" spans="1:20" x14ac:dyDescent="0.3">
      <c r="A173" s="20" t="s">
        <v>234</v>
      </c>
      <c r="B173" s="15" t="s">
        <v>115</v>
      </c>
      <c r="C173" s="15" t="s">
        <v>232</v>
      </c>
      <c r="D173" s="21" t="s">
        <v>57</v>
      </c>
      <c r="E173" s="21" t="s">
        <v>58</v>
      </c>
      <c r="F173" s="120">
        <f t="shared" si="54"/>
        <v>4.5219999999999999E-4</v>
      </c>
      <c r="G173" s="93">
        <v>0</v>
      </c>
      <c r="H173" s="93">
        <v>1E-4</v>
      </c>
      <c r="I173" s="93"/>
      <c r="J173" s="93"/>
      <c r="K173" s="93">
        <v>3.6100000000000003E-5</v>
      </c>
      <c r="L173" s="93"/>
      <c r="M173" s="93">
        <v>2.8699999999999998E-4</v>
      </c>
      <c r="N173" s="93">
        <v>2.9099999999999999E-5</v>
      </c>
      <c r="O173" s="93"/>
      <c r="P173" s="93"/>
      <c r="Q173" s="93"/>
      <c r="R173" s="151">
        <f>'Parameters SH, country spec'!K20</f>
        <v>1.1613149284971752E-2</v>
      </c>
      <c r="S173" s="151">
        <f>'Parameters SH, country spec'!K38</f>
        <v>1.1613149284971752E-2</v>
      </c>
      <c r="T173" s="264">
        <f>'Parameters D24m, country spec'!K16</f>
        <v>1.1613149284971752E-2</v>
      </c>
    </row>
    <row r="174" spans="1:20" x14ac:dyDescent="0.3">
      <c r="A174" s="20" t="s">
        <v>235</v>
      </c>
      <c r="B174" s="15" t="s">
        <v>116</v>
      </c>
      <c r="C174" s="15" t="s">
        <v>232</v>
      </c>
      <c r="D174" s="21" t="s">
        <v>57</v>
      </c>
      <c r="E174" s="21" t="s">
        <v>58</v>
      </c>
      <c r="F174" s="120">
        <f t="shared" si="54"/>
        <v>1.6435300000000003E-4</v>
      </c>
      <c r="G174" s="93">
        <v>0</v>
      </c>
      <c r="H174" s="93">
        <v>1E-4</v>
      </c>
      <c r="I174" s="93"/>
      <c r="J174" s="93"/>
      <c r="K174" s="93">
        <v>3.4499999999999998E-5</v>
      </c>
      <c r="L174" s="93"/>
      <c r="M174" s="93">
        <v>7.5300000000000003E-7</v>
      </c>
      <c r="N174" s="93">
        <v>2.9099999999999999E-5</v>
      </c>
      <c r="O174" s="93"/>
      <c r="P174" s="93"/>
      <c r="Q174" s="93"/>
      <c r="R174" s="151">
        <f>'Parameters SH, country spec'!K21</f>
        <v>3.0653721191027461E-3</v>
      </c>
      <c r="S174" s="151">
        <f>'Parameters SH, country spec'!K39</f>
        <v>3.0653721191027461E-3</v>
      </c>
      <c r="T174" s="264">
        <f>'Parameters D24m, country spec'!K17</f>
        <v>3.0653721191027461E-3</v>
      </c>
    </row>
    <row r="175" spans="1:20" x14ac:dyDescent="0.3">
      <c r="A175" s="20" t="s">
        <v>236</v>
      </c>
      <c r="B175" s="15" t="s">
        <v>117</v>
      </c>
      <c r="C175" s="15" t="s">
        <v>232</v>
      </c>
      <c r="D175" s="21" t="s">
        <v>57</v>
      </c>
      <c r="E175" s="21" t="s">
        <v>58</v>
      </c>
      <c r="F175" s="120">
        <f t="shared" si="54"/>
        <v>1.6173000000000001E-4</v>
      </c>
      <c r="G175" s="93">
        <v>0</v>
      </c>
      <c r="H175" s="93">
        <v>1E-4</v>
      </c>
      <c r="I175" s="93"/>
      <c r="J175" s="93"/>
      <c r="K175" s="93">
        <v>2.3600000000000001E-5</v>
      </c>
      <c r="L175" s="93"/>
      <c r="M175" s="93">
        <v>9.0299999999999999E-6</v>
      </c>
      <c r="N175" s="93">
        <v>2.9099999999999999E-5</v>
      </c>
      <c r="O175" s="93"/>
      <c r="P175" s="93"/>
      <c r="Q175" s="93"/>
      <c r="R175" s="151">
        <f>'Parameters SH, country spec'!K22</f>
        <v>6.309442770624088E-2</v>
      </c>
      <c r="S175" s="151">
        <f>'Parameters SH, country spec'!K40</f>
        <v>6.309442770624088E-2</v>
      </c>
      <c r="T175" s="264">
        <f>'Parameters D24m, country spec'!K18</f>
        <v>6.309442770624088E-2</v>
      </c>
    </row>
    <row r="176" spans="1:20" x14ac:dyDescent="0.3">
      <c r="A176" s="20" t="s">
        <v>237</v>
      </c>
      <c r="B176" s="15" t="s">
        <v>118</v>
      </c>
      <c r="C176" s="15" t="s">
        <v>238</v>
      </c>
      <c r="D176" s="21" t="s">
        <v>57</v>
      </c>
      <c r="E176" s="21" t="s">
        <v>58</v>
      </c>
      <c r="F176" s="120">
        <f t="shared" si="54"/>
        <v>1.8352E-4</v>
      </c>
      <c r="G176" s="93">
        <v>0</v>
      </c>
      <c r="H176" s="93">
        <v>1E-4</v>
      </c>
      <c r="I176" s="93"/>
      <c r="J176" s="93"/>
      <c r="K176" s="93">
        <v>4.99E-5</v>
      </c>
      <c r="L176" s="93"/>
      <c r="M176" s="93">
        <v>4.5199999999999999E-6</v>
      </c>
      <c r="N176" s="93">
        <v>2.9099999999999999E-5</v>
      </c>
      <c r="O176" s="93"/>
      <c r="P176" s="93"/>
      <c r="Q176" s="93"/>
      <c r="R176" s="151">
        <f>'Parameters SH, country spec'!K23</f>
        <v>2.7198099192756071E-3</v>
      </c>
      <c r="S176" s="151">
        <f>'Parameters SH, country spec'!K41</f>
        <v>2.7198099192756071E-3</v>
      </c>
      <c r="T176" s="264">
        <f>'Parameters D24m, country spec'!K19</f>
        <v>2.7198099192756071E-3</v>
      </c>
    </row>
    <row r="177" spans="1:20" x14ac:dyDescent="0.3">
      <c r="A177" s="20" t="s">
        <v>239</v>
      </c>
      <c r="B177" s="15" t="s">
        <v>119</v>
      </c>
      <c r="C177" s="15" t="s">
        <v>238</v>
      </c>
      <c r="D177" s="21" t="s">
        <v>57</v>
      </c>
      <c r="E177" s="21" t="s">
        <v>58</v>
      </c>
      <c r="F177" s="120">
        <f t="shared" si="54"/>
        <v>2.3980000000000003E-4</v>
      </c>
      <c r="G177" s="93">
        <v>0</v>
      </c>
      <c r="H177" s="93">
        <v>1E-4</v>
      </c>
      <c r="I177" s="93"/>
      <c r="J177" s="93"/>
      <c r="K177" s="93">
        <v>5.7800000000000002E-5</v>
      </c>
      <c r="L177" s="93"/>
      <c r="M177" s="93">
        <v>5.2899999999999998E-5</v>
      </c>
      <c r="N177" s="93">
        <v>2.9099999999999999E-5</v>
      </c>
      <c r="O177" s="93"/>
      <c r="P177" s="93"/>
      <c r="Q177" s="93"/>
      <c r="R177" s="151">
        <f>'Parameters SH, country spec'!K24</f>
        <v>2.67174962512282E-3</v>
      </c>
      <c r="S177" s="151">
        <f>'Parameters SH, country spec'!K42</f>
        <v>2.67174962512282E-3</v>
      </c>
      <c r="T177" s="264">
        <f>'Parameters D24m, country spec'!K20</f>
        <v>2.67174962512282E-3</v>
      </c>
    </row>
    <row r="178" spans="1:20" x14ac:dyDescent="0.3">
      <c r="B178" s="16" t="s">
        <v>120</v>
      </c>
      <c r="C178" s="15" t="s">
        <v>240</v>
      </c>
      <c r="D178" s="21" t="s">
        <v>57</v>
      </c>
      <c r="E178" s="21" t="s">
        <v>58</v>
      </c>
      <c r="F178" s="120">
        <f t="shared" si="54"/>
        <v>4.6478527325651394E-4</v>
      </c>
      <c r="G178" s="27">
        <v>3.0425509539765719E-4</v>
      </c>
      <c r="H178" s="27">
        <v>4.5862068965517246E-5</v>
      </c>
      <c r="I178" s="27"/>
      <c r="J178" s="27"/>
      <c r="K178" s="27">
        <v>1.0936279334641699E-5</v>
      </c>
      <c r="L178" s="27"/>
      <c r="M178" s="27">
        <v>6.4606960551724142E-7</v>
      </c>
      <c r="N178" s="27">
        <v>2.1884761697575221E-5</v>
      </c>
      <c r="O178" s="27"/>
      <c r="P178" s="27">
        <v>5.7027085212127035E-5</v>
      </c>
      <c r="Q178" s="27">
        <v>2.4173913043478263E-5</v>
      </c>
      <c r="R178" s="151">
        <f>'Parameters SH, country spec'!K25</f>
        <v>7.8768273776592904E-3</v>
      </c>
      <c r="S178" s="151">
        <f>'Parameters SH, country spec'!K43</f>
        <v>7.8768273776592904E-3</v>
      </c>
      <c r="T178" s="264">
        <f>'Parameters D24m, country spec'!K21</f>
        <v>7.8768273776592904E-3</v>
      </c>
    </row>
    <row r="179" spans="1:20" x14ac:dyDescent="0.3">
      <c r="B179" s="16" t="s">
        <v>241</v>
      </c>
      <c r="C179" s="15" t="s">
        <v>240</v>
      </c>
      <c r="D179" s="21" t="s">
        <v>57</v>
      </c>
      <c r="E179" s="21" t="s">
        <v>58</v>
      </c>
      <c r="F179" s="120">
        <f t="shared" si="54"/>
        <v>4.7266553697523981E-4</v>
      </c>
      <c r="G179" s="27">
        <v>1.5603516238625262E-5</v>
      </c>
      <c r="H179" s="27">
        <v>7.5304878048780503E-5</v>
      </c>
      <c r="I179" s="27"/>
      <c r="J179" s="27"/>
      <c r="K179" s="27">
        <v>1.908459074435586E-5</v>
      </c>
      <c r="L179" s="27"/>
      <c r="M179" s="27">
        <v>5.9672097439024396E-7</v>
      </c>
      <c r="N179" s="27">
        <v>2.3084271612619523E-5</v>
      </c>
      <c r="O179" s="27"/>
      <c r="P179" s="27">
        <v>1.2899155935646844E-4</v>
      </c>
      <c r="Q179" s="27">
        <v>2.1000000000000001E-4</v>
      </c>
      <c r="R179" s="151">
        <f>'Parameters SH, country spec'!K26</f>
        <v>6.7333865050956468E-2</v>
      </c>
      <c r="S179" s="151">
        <f>'Parameters SH, country spec'!K44</f>
        <v>6.7333865050956468E-2</v>
      </c>
      <c r="T179" s="264">
        <f>'Parameters D24m, country spec'!K22</f>
        <v>6.7333865050956468E-2</v>
      </c>
    </row>
    <row r="180" spans="1:20" x14ac:dyDescent="0.3">
      <c r="B180" s="15" t="s">
        <v>122</v>
      </c>
      <c r="C180" s="15" t="s">
        <v>242</v>
      </c>
      <c r="D180" s="21" t="s">
        <v>57</v>
      </c>
      <c r="E180" s="21" t="s">
        <v>58</v>
      </c>
      <c r="F180" s="120"/>
      <c r="G180" s="93"/>
      <c r="H180" s="93"/>
      <c r="I180" s="93"/>
      <c r="J180" s="93"/>
      <c r="K180" s="93"/>
      <c r="L180" s="93"/>
      <c r="M180" s="93"/>
      <c r="N180" s="93"/>
      <c r="O180" s="93"/>
      <c r="P180" s="93"/>
      <c r="Q180" s="93"/>
      <c r="R180" s="151">
        <f>'Parameters SH, country spec'!K27</f>
        <v>6.255642502619195E-2</v>
      </c>
      <c r="S180" s="151">
        <f>'Parameters SH, country spec'!K45</f>
        <v>6.255642502619195E-2</v>
      </c>
      <c r="T180" s="264">
        <f>'Parameters D24m, country spec'!K23</f>
        <v>6.255642502619195E-2</v>
      </c>
    </row>
    <row r="181" spans="1:20" x14ac:dyDescent="0.3">
      <c r="A181" s="75"/>
      <c r="B181" s="15" t="s">
        <v>243</v>
      </c>
      <c r="C181" s="76" t="s">
        <v>244</v>
      </c>
      <c r="D181" s="21" t="s">
        <v>57</v>
      </c>
      <c r="E181" s="21" t="s">
        <v>58</v>
      </c>
      <c r="F181" s="120">
        <f t="shared" si="54"/>
        <v>8.4633364822256715E-5</v>
      </c>
      <c r="G181" s="74">
        <f>SUMPRODUCT(G171:G179,$R171:$R179)</f>
        <v>3.4472099219526068E-6</v>
      </c>
      <c r="H181" s="74">
        <f t="shared" ref="H181:P181" si="55">SUMPRODUCT(H171:H179,$R171:$R179)</f>
        <v>3.1020124980794673E-5</v>
      </c>
      <c r="I181" s="74">
        <f t="shared" si="55"/>
        <v>0</v>
      </c>
      <c r="J181" s="74">
        <f t="shared" si="55"/>
        <v>0</v>
      </c>
      <c r="K181" s="74">
        <f t="shared" si="55"/>
        <v>6.190520550068279E-6</v>
      </c>
      <c r="L181" s="74">
        <f t="shared" si="55"/>
        <v>0</v>
      </c>
      <c r="M181" s="74">
        <f t="shared" si="55"/>
        <v>1.133735760722033E-5</v>
      </c>
      <c r="N181" s="74">
        <f t="shared" si="55"/>
        <v>9.1729336049460573E-6</v>
      </c>
      <c r="O181" s="74">
        <f t="shared" si="55"/>
        <v>0</v>
      </c>
      <c r="P181" s="74">
        <f t="shared" si="55"/>
        <v>9.1346927564878786E-6</v>
      </c>
      <c r="Q181" s="74">
        <f>SUMPRODUCT(Q171:Q179,$R171:$R179)</f>
        <v>1.4330525400786884E-5</v>
      </c>
      <c r="R181" s="151">
        <f>'Parameters SH, country spec'!K28</f>
        <v>3.220327469601051E-2</v>
      </c>
      <c r="S181" s="151">
        <f>'Parameters SH, country spec'!K46</f>
        <v>3.220327469601051E-2</v>
      </c>
      <c r="T181" s="264">
        <f>'Parameters D24m, country spec'!K24</f>
        <v>3.220327469601051E-2</v>
      </c>
    </row>
    <row r="182" spans="1:20" x14ac:dyDescent="0.3">
      <c r="A182" s="328"/>
      <c r="B182" s="329" t="s">
        <v>616</v>
      </c>
      <c r="C182" s="330"/>
      <c r="D182" s="331"/>
      <c r="E182" s="331"/>
      <c r="F182" s="334">
        <f>SUMPRODUCT(F168:F170,R168:R170)+SUMPRODUCT(F171:F181,R171:R181)/0.87</f>
        <v>2.9223260062761597E-4</v>
      </c>
      <c r="G182" s="334">
        <f>SUMPRODUCT(G168:G170,R168:R170)+SUMPRODUCT(G171:G181,R171:R181)/0.87</f>
        <v>2.5715865534921553E-5</v>
      </c>
      <c r="H182" s="334">
        <f>SUMPRODUCT(H168:H170,R168:R170)+SUMPRODUCT(H171:H181,R171:R181)/0.87</f>
        <v>9.134745331337469E-5</v>
      </c>
      <c r="I182" s="334">
        <f>SUMPRODUCT(I168:I170,R168:R170)+SUMPRODUCT(I171:I181,R171:R181)/0.87</f>
        <v>0</v>
      </c>
      <c r="J182" s="334">
        <f>SUMPRODUCT(J168:J170,R168:R170)+SUMPRODUCT(J171:J181,R171:R181)/0.87</f>
        <v>0</v>
      </c>
      <c r="K182" s="334">
        <f>SUMPRODUCT(K168:K170,R168:R170)+SUMPRODUCT(K171:K181,R171:R181)/0.87</f>
        <v>1.2790747175061566E-5</v>
      </c>
      <c r="L182" s="334">
        <f>SUMPRODUCT(L168:L170,R168:R170)+SUMPRODUCT(L171:L181,R171:R181)/0.87</f>
        <v>0</v>
      </c>
      <c r="M182" s="334">
        <f>SUMPRODUCT(M168:M170,R168:R170)+SUMPRODUCT(M171:M181,R171:R181)/0.87</f>
        <v>1.9441774220441124E-5</v>
      </c>
      <c r="N182" s="334">
        <f>SUMPRODUCT(N168:N170,R168:R170)+SUMPRODUCT(N171:N181,R171:R181)/0.87</f>
        <v>1.0883140351257933E-5</v>
      </c>
      <c r="O182" s="334">
        <f>SUMPRODUCT(O168:O170,R168:R170)+SUMPRODUCT(O171:O181,R171:R181)/0.87</f>
        <v>0</v>
      </c>
      <c r="P182" s="334">
        <f>SUMPRODUCT(P168:P170,R168:R170)+SUMPRODUCT(P171:P181,R171:R181)/0.87</f>
        <v>1.1505130365691933E-4</v>
      </c>
      <c r="Q182" s="334">
        <f>SUMPRODUCT(Q168:Q170,R168:R170)+SUMPRODUCT(Q171:Q181,R171:R181)/0.87</f>
        <v>1.7002316375639748E-5</v>
      </c>
      <c r="R182" s="335"/>
      <c r="S182" s="336"/>
      <c r="T182" s="336"/>
    </row>
    <row r="183" spans="1:20" x14ac:dyDescent="0.3">
      <c r="A183" s="150"/>
      <c r="B183" s="23" t="s">
        <v>457</v>
      </c>
      <c r="C183" s="24"/>
      <c r="D183" s="94"/>
      <c r="E183" s="94"/>
      <c r="F183" s="28">
        <f>SUMPRODUCT(F168:F170,S168:S170)+SUMPRODUCT(F171:F181,S171:S181)/0.87</f>
        <v>2.9223260062761597E-4</v>
      </c>
      <c r="G183" s="28">
        <f>SUMPRODUCT(G168:G170,S168:S170)+SUMPRODUCT(G171:G181,S171:S181)/0.87</f>
        <v>2.5715865534921553E-5</v>
      </c>
      <c r="H183" s="28">
        <f>SUMPRODUCT(H168:H170,S168:S170)+SUMPRODUCT(H171:H181,S171:S181)/0.87</f>
        <v>9.134745331337469E-5</v>
      </c>
      <c r="I183" s="28">
        <f>SUMPRODUCT(I168:I170,S168:S170)+SUMPRODUCT(I171:I181,S171:S181)/0.87</f>
        <v>0</v>
      </c>
      <c r="J183" s="28">
        <f>SUMPRODUCT(J168:J170,S168:S170)+SUMPRODUCT(J171:J181,S171:S181)/0.87</f>
        <v>0</v>
      </c>
      <c r="K183" s="28">
        <f>SUMPRODUCT(K168:K170,S168:S170)+SUMPRODUCT(K171:K181,S171:S181)/0.87</f>
        <v>1.2790747175061566E-5</v>
      </c>
      <c r="L183" s="28">
        <f>SUMPRODUCT(L168:L170,S168:S170)+SUMPRODUCT(L171:L181,S171:S181)/0.87</f>
        <v>0</v>
      </c>
      <c r="M183" s="28">
        <f>SUMPRODUCT(M168:M170,S168:S170)+SUMPRODUCT(M171:M181,S171:S181)/0.87</f>
        <v>1.9441774220441124E-5</v>
      </c>
      <c r="N183" s="28">
        <f>SUMPRODUCT(N168:N170,S168:S170)+SUMPRODUCT(N171:N181,S171:S181)/0.87</f>
        <v>1.0883140351257933E-5</v>
      </c>
      <c r="O183" s="28">
        <f>SUMPRODUCT(O168:O170,S168:S170)+SUMPRODUCT(O171:O181,S171:S181)/0.87</f>
        <v>0</v>
      </c>
      <c r="P183" s="28">
        <f>SUMPRODUCT(P168:P170,S168:S170)+SUMPRODUCT(P171:P181,S171:S181)/0.87</f>
        <v>1.1505130365691933E-4</v>
      </c>
      <c r="Q183" s="28">
        <f>SUMPRODUCT(Q168:Q170,S168:S170)+SUMPRODUCT(Q171:Q181,S171:S181)/0.87</f>
        <v>1.7002316375639748E-5</v>
      </c>
      <c r="R183" s="152"/>
      <c r="S183" s="152"/>
      <c r="T183" s="152"/>
    </row>
    <row r="184" spans="1:20" x14ac:dyDescent="0.3">
      <c r="A184" s="328"/>
      <c r="B184" s="329" t="s">
        <v>641</v>
      </c>
      <c r="C184" s="330"/>
      <c r="D184" s="331"/>
      <c r="E184" s="331"/>
      <c r="F184" s="332">
        <f>SUMPRODUCT(F168:F170,$T168:$T170)+SUMPRODUCT(F171:F181,$T171:$T181)/0.87</f>
        <v>2.9223260062761597E-4</v>
      </c>
      <c r="G184" s="332">
        <f t="shared" ref="G184:O184" si="56">SUMPRODUCT(G168:G170,$T168:$T170)+SUMPRODUCT(G171:G181,$T171:$T181)/0.87</f>
        <v>2.5715865534921553E-5</v>
      </c>
      <c r="H184" s="332">
        <f t="shared" si="56"/>
        <v>9.134745331337469E-5</v>
      </c>
      <c r="I184" s="332">
        <f t="shared" si="56"/>
        <v>0</v>
      </c>
      <c r="J184" s="332">
        <f t="shared" si="56"/>
        <v>0</v>
      </c>
      <c r="K184" s="332">
        <f t="shared" si="56"/>
        <v>1.2790747175061566E-5</v>
      </c>
      <c r="L184" s="332">
        <f t="shared" si="56"/>
        <v>0</v>
      </c>
      <c r="M184" s="332">
        <f t="shared" si="56"/>
        <v>1.9441774220441124E-5</v>
      </c>
      <c r="N184" s="332">
        <f t="shared" si="56"/>
        <v>1.0883140351257933E-5</v>
      </c>
      <c r="O184" s="332">
        <f t="shared" si="56"/>
        <v>0</v>
      </c>
      <c r="P184" s="332">
        <f>SUMPRODUCT(P168:P170,$T168:$T170)+SUMPRODUCT(P171:P181,$T171:$T181)/0.87</f>
        <v>1.1505130365691933E-4</v>
      </c>
      <c r="Q184" s="332">
        <f t="shared" ref="Q184" si="57">SUMPRODUCT(Q168:Q170,$T168:$T170)+SUMPRODUCT(Q171:Q181,$T171:$T181)/0.87</f>
        <v>1.7002316375639748E-5</v>
      </c>
      <c r="R184" s="335"/>
      <c r="S184" s="335"/>
      <c r="T184" s="335"/>
    </row>
    <row r="185" spans="1:20" x14ac:dyDescent="0.3">
      <c r="A185" s="150"/>
      <c r="B185" s="23" t="s">
        <v>642</v>
      </c>
      <c r="C185" s="24"/>
      <c r="D185" s="94"/>
      <c r="E185" s="94"/>
      <c r="F185" s="327">
        <f>SUMPRODUCT(F168:F170,$U168:$U170)+SUMPRODUCT(F171:F181,$U171:$U181)/0.87</f>
        <v>0</v>
      </c>
      <c r="G185" s="327">
        <f t="shared" ref="G185:K185" si="58">SUMPRODUCT(G168:G170,$U168:$U170)+SUMPRODUCT(G171:G181,$U171:$U181)/0.87</f>
        <v>0</v>
      </c>
      <c r="H185" s="327">
        <f t="shared" si="58"/>
        <v>0</v>
      </c>
      <c r="I185" s="327">
        <f t="shared" si="58"/>
        <v>0</v>
      </c>
      <c r="J185" s="327">
        <f t="shared" si="58"/>
        <v>0</v>
      </c>
      <c r="K185" s="327">
        <f t="shared" si="58"/>
        <v>0</v>
      </c>
      <c r="L185" s="327">
        <f>SUMPRODUCT(L168:L170,$U168:$U170)+SUMPRODUCT(L171:L181,$U171:$U181)/0.87</f>
        <v>0</v>
      </c>
      <c r="M185" s="327">
        <f t="shared" ref="M185:Q185" si="59">SUMPRODUCT(M168:M170,$U168:$U170)+SUMPRODUCT(M171:M181,$U171:$U181)/0.87</f>
        <v>0</v>
      </c>
      <c r="N185" s="327">
        <f t="shared" si="59"/>
        <v>0</v>
      </c>
      <c r="O185" s="327">
        <f t="shared" si="59"/>
        <v>0</v>
      </c>
      <c r="P185" s="327">
        <f t="shared" si="59"/>
        <v>0</v>
      </c>
      <c r="Q185" s="327">
        <f t="shared" si="59"/>
        <v>0</v>
      </c>
      <c r="R185" s="152"/>
      <c r="S185" s="152"/>
      <c r="T185" s="152"/>
    </row>
    <row r="186" spans="1:20" x14ac:dyDescent="0.3">
      <c r="B186" s="16" t="s">
        <v>299</v>
      </c>
      <c r="C186" s="15" t="s">
        <v>302</v>
      </c>
      <c r="D186" s="21" t="s">
        <v>59</v>
      </c>
      <c r="E186" s="21" t="s">
        <v>60</v>
      </c>
      <c r="F186" s="120">
        <f>SUM(G186:Q186)</f>
        <v>1.0963552846463486E-4</v>
      </c>
      <c r="G186" s="27">
        <f>'Forage crops, CF'!F59</f>
        <v>0</v>
      </c>
      <c r="H186" s="27">
        <f>'Forage crops, CF'!G59</f>
        <v>9.5000000000000005E-5</v>
      </c>
      <c r="I186" s="27">
        <f>'Forage crops, CF'!H59</f>
        <v>0</v>
      </c>
      <c r="J186" s="27">
        <f>'Forage crops, CF'!I59</f>
        <v>0</v>
      </c>
      <c r="K186" s="27">
        <f>'Forage crops, CF'!J59</f>
        <v>1.463552846463485E-5</v>
      </c>
      <c r="L186" s="27">
        <f>'Forage crops, CF'!K59</f>
        <v>0</v>
      </c>
      <c r="M186" s="27">
        <f>'Forage crops, CF'!L59</f>
        <v>0</v>
      </c>
      <c r="N186" s="27">
        <f>'Forage crops, CF'!M59</f>
        <v>0</v>
      </c>
      <c r="O186" s="27">
        <f>'Forage crops, CF'!N59</f>
        <v>0</v>
      </c>
      <c r="P186" s="27">
        <f>'Forage crops, CF'!O59</f>
        <v>0</v>
      </c>
      <c r="Q186" s="27">
        <f>'Forage crops, CF'!P59</f>
        <v>0</v>
      </c>
      <c r="R186" s="151">
        <f>'Parameters SH, country spec'!L15</f>
        <v>0.51738911290322576</v>
      </c>
      <c r="S186" s="151">
        <f>'Parameters SH, country spec'!L33</f>
        <v>0.2708957255649333</v>
      </c>
      <c r="T186" s="264">
        <f>'Parameters D24m, country spec'!L11</f>
        <v>0.35361702127659567</v>
      </c>
    </row>
    <row r="187" spans="1:20" x14ac:dyDescent="0.3">
      <c r="B187" s="16" t="s">
        <v>300</v>
      </c>
      <c r="C187" s="15" t="s">
        <v>302</v>
      </c>
      <c r="D187" s="21" t="s">
        <v>59</v>
      </c>
      <c r="E187" s="21" t="s">
        <v>60</v>
      </c>
      <c r="F187" s="120">
        <f>SUM(G187:Q187)</f>
        <v>8.367522838024818E-4</v>
      </c>
      <c r="G187" s="27">
        <f>'Forage crops, CF'!F124</f>
        <v>2.5256780244444398E-5</v>
      </c>
      <c r="H187" s="27">
        <f>'Forage crops, CF'!G124</f>
        <v>9.5000000000000005E-5</v>
      </c>
      <c r="I187" s="27"/>
      <c r="J187" s="27"/>
      <c r="K187" s="27">
        <f>'Forage crops, CF'!J124</f>
        <v>8.4955035580373929E-6</v>
      </c>
      <c r="L187" s="27"/>
      <c r="M187" s="27">
        <f>'Forage crops, CF'!L124</f>
        <v>0</v>
      </c>
      <c r="N187" s="27">
        <f>'Forage crops, CF'!M124</f>
        <v>0</v>
      </c>
      <c r="O187" s="27"/>
      <c r="P187" s="27">
        <f>'Forage crops, CF'!O124</f>
        <v>7.0799999999999997E-4</v>
      </c>
      <c r="Q187" s="27"/>
      <c r="R187" s="151">
        <f>'Parameters SH, country spec'!L16</f>
        <v>0</v>
      </c>
      <c r="S187" s="151">
        <f>'Parameters SH, country spec'!L34</f>
        <v>0</v>
      </c>
      <c r="T187" s="264">
        <f>'Parameters D24m, country spec'!L12</f>
        <v>0</v>
      </c>
    </row>
    <row r="188" spans="1:20" x14ac:dyDescent="0.3">
      <c r="B188" s="16" t="s">
        <v>301</v>
      </c>
      <c r="C188" s="15" t="s">
        <v>302</v>
      </c>
      <c r="D188" s="21" t="s">
        <v>59</v>
      </c>
      <c r="E188" s="21" t="s">
        <v>60</v>
      </c>
      <c r="F188" s="120">
        <f>SUM(G188:Q188)</f>
        <v>8.398404472104346E-4</v>
      </c>
      <c r="G188" s="27">
        <f>'Forage crops, CF'!F189*'Forage, input data per ha'!$D$88+'Forage crops, CF'!F254*'Forage, input data per ha'!$E$88</f>
        <v>2.7334106593661882E-5</v>
      </c>
      <c r="H188" s="27">
        <f>'Forage crops, CF'!G189*'Forage, input data per ha'!$D$88+'Forage crops, CF'!G254*'Forage, input data per ha'!$E$88</f>
        <v>9.5000000000000005E-5</v>
      </c>
      <c r="I188" s="27"/>
      <c r="J188" s="27"/>
      <c r="K188" s="27">
        <f>'Forage crops, CF'!J189*'Forage, input data per ha'!$D$88+'Forage crops, CF'!J254*'Forage, input data per ha'!$E$88</f>
        <v>9.5063406167727091E-6</v>
      </c>
      <c r="L188" s="27"/>
      <c r="M188" s="27">
        <f>'Forage crops, CF'!L189*'Forage, input data per ha'!$D$88+'Forage crops, CF'!L254*'Forage, input data per ha'!$E$88</f>
        <v>0</v>
      </c>
      <c r="N188" s="27">
        <f>'Forage crops, CF'!M189*'Forage, input data per ha'!$D$88+'Forage crops, CF'!M254*'Forage, input data per ha'!$E$88</f>
        <v>0</v>
      </c>
      <c r="O188" s="27"/>
      <c r="P188" s="27">
        <f>'Forage crops, CF'!O189*'Forage, input data per ha'!$D$88+'Forage crops, CF'!O254*'Forage, input data per ha'!$E$88</f>
        <v>7.0799999999999997E-4</v>
      </c>
      <c r="Q188" s="27"/>
      <c r="R188" s="151">
        <f>'Parameters SH, country spec'!L17</f>
        <v>0.48261088709677419</v>
      </c>
      <c r="S188" s="151">
        <f>'Parameters SH, country spec'!L35</f>
        <v>0.72910427443506676</v>
      </c>
      <c r="T188" s="264">
        <f>'Parameters D24m, country spec'!L13</f>
        <v>0.60723404255319147</v>
      </c>
    </row>
    <row r="189" spans="1:20" x14ac:dyDescent="0.3">
      <c r="A189" s="20" t="s">
        <v>231</v>
      </c>
      <c r="B189" s="15" t="s">
        <v>113</v>
      </c>
      <c r="C189" s="15" t="s">
        <v>232</v>
      </c>
      <c r="D189" s="21" t="s">
        <v>59</v>
      </c>
      <c r="E189" s="21" t="s">
        <v>60</v>
      </c>
      <c r="F189" s="120">
        <f>SUM(G189:Q189)</f>
        <v>2.0655355021385218E-4</v>
      </c>
      <c r="G189" s="93">
        <v>8.0930691575108743E-5</v>
      </c>
      <c r="H189" s="93">
        <v>9.5000000000000005E-5</v>
      </c>
      <c r="I189" s="93"/>
      <c r="J189" s="93"/>
      <c r="K189" s="93">
        <v>1.8076858638743458E-5</v>
      </c>
      <c r="L189" s="93"/>
      <c r="M189" s="93">
        <v>0</v>
      </c>
      <c r="N189" s="93">
        <v>1.2546000000000003E-5</v>
      </c>
      <c r="O189" s="93"/>
      <c r="P189" s="93"/>
      <c r="Q189" s="93"/>
      <c r="R189" s="151">
        <f>'Parameters SH, country spec'!L18</f>
        <v>0</v>
      </c>
      <c r="S189" s="151">
        <f>'Parameters SH, country spec'!L36</f>
        <v>0</v>
      </c>
      <c r="T189" s="264">
        <f>'Parameters D24m, country spec'!L14</f>
        <v>3.9148936170212763E-2</v>
      </c>
    </row>
    <row r="190" spans="1:20" x14ac:dyDescent="0.3">
      <c r="A190" s="20" t="s">
        <v>233</v>
      </c>
      <c r="B190" s="15" t="s">
        <v>114</v>
      </c>
      <c r="C190" s="15" t="s">
        <v>232</v>
      </c>
      <c r="D190" s="21" t="s">
        <v>59</v>
      </c>
      <c r="E190" s="21" t="s">
        <v>60</v>
      </c>
      <c r="F190" s="120">
        <f t="shared" ref="F190:F199" si="60">SUM(G190:Q190)</f>
        <v>1.9871902439798405E-4</v>
      </c>
      <c r="G190" s="93">
        <v>7.8815626877616721E-5</v>
      </c>
      <c r="H190" s="93">
        <v>9.5000000000000005E-5</v>
      </c>
      <c r="I190" s="93"/>
      <c r="J190" s="93"/>
      <c r="K190" s="93">
        <v>1.2357397520367332E-5</v>
      </c>
      <c r="L190" s="93"/>
      <c r="M190" s="93">
        <v>0</v>
      </c>
      <c r="N190" s="93">
        <v>1.2546000000000003E-5</v>
      </c>
      <c r="O190" s="93"/>
      <c r="P190" s="93"/>
      <c r="Q190" s="93"/>
      <c r="R190" s="151">
        <f>'Parameters SH, country spec'!L19</f>
        <v>3.1697869732220848E-4</v>
      </c>
      <c r="S190" s="151">
        <f>'Parameters SH, country spec'!L37</f>
        <v>0</v>
      </c>
      <c r="T190" s="264">
        <f>'Parameters D24m, country spec'!L15</f>
        <v>3.1697869732220848E-4</v>
      </c>
    </row>
    <row r="191" spans="1:20" x14ac:dyDescent="0.3">
      <c r="A191" s="20" t="s">
        <v>234</v>
      </c>
      <c r="B191" s="15" t="s">
        <v>115</v>
      </c>
      <c r="C191" s="15" t="s">
        <v>232</v>
      </c>
      <c r="D191" s="21" t="s">
        <v>59</v>
      </c>
      <c r="E191" s="21" t="s">
        <v>60</v>
      </c>
      <c r="F191" s="120">
        <f t="shared" si="60"/>
        <v>1.9956753055993292E-4</v>
      </c>
      <c r="G191" s="93">
        <v>7.134532609711123E-5</v>
      </c>
      <c r="H191" s="93">
        <v>9.5000000000000005E-5</v>
      </c>
      <c r="I191" s="93"/>
      <c r="J191" s="93"/>
      <c r="K191" s="93">
        <v>2.0676204462821701E-5</v>
      </c>
      <c r="L191" s="93"/>
      <c r="M191" s="93">
        <v>0</v>
      </c>
      <c r="N191" s="93">
        <v>1.2546000000000003E-5</v>
      </c>
      <c r="O191" s="93"/>
      <c r="P191" s="93"/>
      <c r="Q191" s="93"/>
      <c r="R191" s="151">
        <f>'Parameters SH, country spec'!L20</f>
        <v>0</v>
      </c>
      <c r="S191" s="151">
        <f>'Parameters SH, country spec'!L38</f>
        <v>0</v>
      </c>
      <c r="T191" s="264">
        <f>'Parameters D24m, country spec'!L16</f>
        <v>0</v>
      </c>
    </row>
    <row r="192" spans="1:20" x14ac:dyDescent="0.3">
      <c r="A192" s="20" t="s">
        <v>235</v>
      </c>
      <c r="B192" s="15" t="s">
        <v>116</v>
      </c>
      <c r="C192" s="15" t="s">
        <v>232</v>
      </c>
      <c r="D192" s="21" t="s">
        <v>59</v>
      </c>
      <c r="E192" s="21" t="s">
        <v>60</v>
      </c>
      <c r="F192" s="120">
        <f t="shared" si="60"/>
        <v>1.840193507270561E-4</v>
      </c>
      <c r="G192" s="93">
        <v>6.2842418816841267E-5</v>
      </c>
      <c r="H192" s="93">
        <v>9.5000000000000005E-5</v>
      </c>
      <c r="I192" s="93"/>
      <c r="J192" s="93"/>
      <c r="K192" s="93">
        <v>1.3630931910214812E-5</v>
      </c>
      <c r="L192" s="93"/>
      <c r="M192" s="93">
        <v>0</v>
      </c>
      <c r="N192" s="93">
        <v>1.2546000000000003E-5</v>
      </c>
      <c r="O192" s="93"/>
      <c r="P192" s="93"/>
      <c r="Q192" s="93"/>
      <c r="R192" s="151">
        <f>'Parameters SH, country spec'!L21</f>
        <v>4.9002790875207444E-6</v>
      </c>
      <c r="S192" s="151">
        <f>'Parameters SH, country spec'!L39</f>
        <v>0</v>
      </c>
      <c r="T192" s="264">
        <f>'Parameters D24m, country spec'!L17</f>
        <v>4.9002790875207444E-6</v>
      </c>
    </row>
    <row r="193" spans="1:20" x14ac:dyDescent="0.3">
      <c r="A193" s="20" t="s">
        <v>236</v>
      </c>
      <c r="B193" s="15" t="s">
        <v>117</v>
      </c>
      <c r="C193" s="15" t="s">
        <v>232</v>
      </c>
      <c r="D193" s="21" t="s">
        <v>59</v>
      </c>
      <c r="E193" s="21" t="s">
        <v>60</v>
      </c>
      <c r="F193" s="120">
        <f t="shared" si="60"/>
        <v>2.1322851393583626E-4</v>
      </c>
      <c r="G193" s="93">
        <v>9.2769916609057948E-5</v>
      </c>
      <c r="H193" s="93">
        <v>9.5000000000000005E-5</v>
      </c>
      <c r="I193" s="93"/>
      <c r="J193" s="93"/>
      <c r="K193" s="93">
        <v>1.291259732677831E-5</v>
      </c>
      <c r="L193" s="93"/>
      <c r="M193" s="93">
        <v>0</v>
      </c>
      <c r="N193" s="93">
        <v>1.2546000000000003E-5</v>
      </c>
      <c r="O193" s="93"/>
      <c r="P193" s="93"/>
      <c r="Q193" s="93"/>
      <c r="R193" s="151">
        <f>'Parameters SH, country spec'!L22</f>
        <v>0</v>
      </c>
      <c r="S193" s="151">
        <f>'Parameters SH, country spec'!L40</f>
        <v>0</v>
      </c>
      <c r="T193" s="264">
        <f>'Parameters D24m, country spec'!L18</f>
        <v>0</v>
      </c>
    </row>
    <row r="194" spans="1:20" x14ac:dyDescent="0.3">
      <c r="A194" s="20" t="s">
        <v>237</v>
      </c>
      <c r="B194" s="15" t="s">
        <v>118</v>
      </c>
      <c r="C194" s="15" t="s">
        <v>238</v>
      </c>
      <c r="D194" s="21" t="s">
        <v>59</v>
      </c>
      <c r="E194" s="21" t="s">
        <v>60</v>
      </c>
      <c r="F194" s="120">
        <f t="shared" si="60"/>
        <v>1.3280125199673234E-4</v>
      </c>
      <c r="G194" s="93">
        <v>0</v>
      </c>
      <c r="H194" s="93">
        <v>9.5000000000000005E-5</v>
      </c>
      <c r="I194" s="93"/>
      <c r="J194" s="93"/>
      <c r="K194" s="93">
        <v>2.5255251996732317E-5</v>
      </c>
      <c r="L194" s="93"/>
      <c r="M194" s="93">
        <v>0</v>
      </c>
      <c r="N194" s="93">
        <v>1.2546000000000003E-5</v>
      </c>
      <c r="O194" s="93"/>
      <c r="P194" s="93"/>
      <c r="Q194" s="93"/>
      <c r="R194" s="151">
        <f>'Parameters SH, country spec'!L23</f>
        <v>1.4784950076098704E-3</v>
      </c>
      <c r="S194" s="151">
        <f>'Parameters SH, country spec'!L41</f>
        <v>0</v>
      </c>
      <c r="T194" s="264">
        <f>'Parameters D24m, country spec'!L19</f>
        <v>1.4784950076098704E-3</v>
      </c>
    </row>
    <row r="195" spans="1:20" x14ac:dyDescent="0.3">
      <c r="A195" s="20" t="s">
        <v>239</v>
      </c>
      <c r="B195" s="15" t="s">
        <v>119</v>
      </c>
      <c r="C195" s="15" t="s">
        <v>238</v>
      </c>
      <c r="D195" s="21" t="s">
        <v>59</v>
      </c>
      <c r="E195" s="21" t="s">
        <v>60</v>
      </c>
      <c r="F195" s="120">
        <f t="shared" si="60"/>
        <v>1.4931770127423491E-4</v>
      </c>
      <c r="G195" s="93">
        <v>3.9865279409015522E-6</v>
      </c>
      <c r="H195" s="93">
        <v>9.5000000000000005E-5</v>
      </c>
      <c r="I195" s="93"/>
      <c r="J195" s="93"/>
      <c r="K195" s="93">
        <v>3.7785173333333341E-5</v>
      </c>
      <c r="L195" s="93"/>
      <c r="M195" s="93">
        <v>0</v>
      </c>
      <c r="N195" s="93">
        <v>1.2546000000000003E-5</v>
      </c>
      <c r="O195" s="93"/>
      <c r="P195" s="93"/>
      <c r="Q195" s="93"/>
      <c r="R195" s="151">
        <f>'Parameters SH, country spec'!L24</f>
        <v>1.4523693197724004E-3</v>
      </c>
      <c r="S195" s="151">
        <f>'Parameters SH, country spec'!L42</f>
        <v>0</v>
      </c>
      <c r="T195" s="264">
        <f>'Parameters D24m, country spec'!L20</f>
        <v>1.4523693197724004E-3</v>
      </c>
    </row>
    <row r="196" spans="1:20" x14ac:dyDescent="0.3">
      <c r="B196" s="16" t="s">
        <v>120</v>
      </c>
      <c r="C196" s="15" t="s">
        <v>240</v>
      </c>
      <c r="D196" s="21" t="s">
        <v>59</v>
      </c>
      <c r="E196" s="21" t="s">
        <v>60</v>
      </c>
      <c r="F196" s="120">
        <f t="shared" si="60"/>
        <v>4.6478527325651394E-4</v>
      </c>
      <c r="G196" s="27">
        <v>3.0425509539765719E-4</v>
      </c>
      <c r="H196" s="27">
        <v>4.5862068965517246E-5</v>
      </c>
      <c r="I196" s="27"/>
      <c r="J196" s="27"/>
      <c r="K196" s="27">
        <v>1.0936279334641699E-5</v>
      </c>
      <c r="L196" s="27"/>
      <c r="M196" s="27">
        <v>6.4606960551724142E-7</v>
      </c>
      <c r="N196" s="27">
        <v>2.1884761697575221E-5</v>
      </c>
      <c r="O196" s="27"/>
      <c r="P196" s="27">
        <v>5.7027085212127035E-5</v>
      </c>
      <c r="Q196" s="27">
        <v>2.4173913043478263E-5</v>
      </c>
      <c r="R196" s="151">
        <f>'Parameters SH, country spec'!L25</f>
        <v>0</v>
      </c>
      <c r="S196" s="151">
        <f>'Parameters SH, country spec'!L43</f>
        <v>0</v>
      </c>
      <c r="T196" s="264">
        <f>'Parameters D24m, country spec'!L21</f>
        <v>0</v>
      </c>
    </row>
    <row r="197" spans="1:20" x14ac:dyDescent="0.3">
      <c r="B197" s="16" t="s">
        <v>241</v>
      </c>
      <c r="C197" s="15" t="s">
        <v>240</v>
      </c>
      <c r="D197" s="21" t="s">
        <v>59</v>
      </c>
      <c r="E197" s="21" t="s">
        <v>60</v>
      </c>
      <c r="F197" s="120">
        <f t="shared" si="60"/>
        <v>4.7266553697523981E-4</v>
      </c>
      <c r="G197" s="27">
        <v>1.5603516238625262E-5</v>
      </c>
      <c r="H197" s="27">
        <v>7.5304878048780503E-5</v>
      </c>
      <c r="I197" s="27"/>
      <c r="J197" s="27"/>
      <c r="K197" s="27">
        <v>1.908459074435586E-5</v>
      </c>
      <c r="L197" s="27"/>
      <c r="M197" s="27">
        <v>5.9672097439024396E-7</v>
      </c>
      <c r="N197" s="27">
        <v>2.3084271612619523E-5</v>
      </c>
      <c r="O197" s="27"/>
      <c r="P197" s="27">
        <v>1.2899155935646844E-4</v>
      </c>
      <c r="Q197" s="27">
        <v>2.1000000000000001E-4</v>
      </c>
      <c r="R197" s="151">
        <f>'Parameters SH, country spec'!L26</f>
        <v>0</v>
      </c>
      <c r="S197" s="151">
        <f>'Parameters SH, country spec'!L44</f>
        <v>0</v>
      </c>
      <c r="T197" s="264">
        <f>'Parameters D24m, country spec'!L22</f>
        <v>0</v>
      </c>
    </row>
    <row r="198" spans="1:20" x14ac:dyDescent="0.3">
      <c r="B198" s="15" t="s">
        <v>122</v>
      </c>
      <c r="C198" s="15" t="s">
        <v>242</v>
      </c>
      <c r="D198" s="21" t="s">
        <v>59</v>
      </c>
      <c r="E198" s="21" t="s">
        <v>60</v>
      </c>
      <c r="F198" s="120"/>
      <c r="G198" s="93"/>
      <c r="H198" s="93"/>
      <c r="I198" s="93"/>
      <c r="J198" s="93"/>
      <c r="K198" s="93"/>
      <c r="L198" s="93"/>
      <c r="M198" s="93"/>
      <c r="N198" s="93"/>
      <c r="O198" s="93"/>
      <c r="P198" s="93"/>
      <c r="Q198" s="93"/>
      <c r="R198" s="151">
        <f>'Parameters SH, country spec'!L27</f>
        <v>0</v>
      </c>
      <c r="S198" s="151">
        <f>'Parameters SH, country spec'!L45</f>
        <v>0</v>
      </c>
      <c r="T198" s="264">
        <f>'Parameters D24m, country spec'!L23</f>
        <v>0</v>
      </c>
    </row>
    <row r="199" spans="1:20" x14ac:dyDescent="0.3">
      <c r="A199" s="75"/>
      <c r="B199" s="15" t="s">
        <v>243</v>
      </c>
      <c r="C199" s="76" t="s">
        <v>244</v>
      </c>
      <c r="D199" s="21" t="s">
        <v>59</v>
      </c>
      <c r="E199" s="21" t="s">
        <v>60</v>
      </c>
      <c r="F199" s="120">
        <f t="shared" si="60"/>
        <v>4.7710187997402816E-7</v>
      </c>
      <c r="G199" s="74">
        <f>SUMPRODUCT(G189:G197,$R189:$R197)</f>
        <v>3.1080731000818435E-8</v>
      </c>
      <c r="H199" s="74">
        <f t="shared" ref="H199:P199" si="61">SUMPRODUCT(H189:H197,$R189:$R197)</f>
        <v>3.0901061386024003E-7</v>
      </c>
      <c r="I199" s="74">
        <f t="shared" si="61"/>
        <v>0</v>
      </c>
      <c r="J199" s="74">
        <f t="shared" si="61"/>
        <v>0</v>
      </c>
      <c r="K199" s="74">
        <f t="shared" si="61"/>
        <v>9.6201617623595308E-8</v>
      </c>
      <c r="L199" s="74">
        <f t="shared" si="61"/>
        <v>0</v>
      </c>
      <c r="M199" s="74">
        <f t="shared" si="61"/>
        <v>0</v>
      </c>
      <c r="N199" s="74">
        <f t="shared" si="61"/>
        <v>4.0808917489374438E-8</v>
      </c>
      <c r="O199" s="74">
        <f t="shared" si="61"/>
        <v>0</v>
      </c>
      <c r="P199" s="74">
        <f t="shared" si="61"/>
        <v>0</v>
      </c>
      <c r="Q199" s="74">
        <f>SUMPRODUCT(Q189:Q197,$R189:$R197)</f>
        <v>0</v>
      </c>
      <c r="R199" s="151">
        <f>'Parameters SH, country spec'!L28</f>
        <v>0</v>
      </c>
      <c r="S199" s="151">
        <f>'Parameters SH, country spec'!L46</f>
        <v>0</v>
      </c>
      <c r="T199" s="264">
        <f>'Parameters D24m, country spec'!L24</f>
        <v>0</v>
      </c>
    </row>
    <row r="200" spans="1:20" x14ac:dyDescent="0.3">
      <c r="A200" s="328"/>
      <c r="B200" s="329" t="s">
        <v>616</v>
      </c>
      <c r="C200" s="330"/>
      <c r="D200" s="331"/>
      <c r="E200" s="331"/>
      <c r="F200" s="334">
        <f>SUMPRODUCT(F186:F188,R186:R188)+SUMPRODUCT(F189:F199,R189:R199)/0.87</f>
        <v>4.6258876502846055E-4</v>
      </c>
      <c r="G200" s="334">
        <f>SUMPRODUCT(G186:G188,R186:R188)+SUMPRODUCT(G189:G199,R189:R199)/0.87</f>
        <v>1.3227462409326804E-5</v>
      </c>
      <c r="H200" s="334">
        <f>SUMPRODUCT(H186:H188,R186:R188)+SUMPRODUCT(H189:H199,R189:R199)/0.87</f>
        <v>9.5355184613632471E-5</v>
      </c>
      <c r="I200" s="334">
        <f>SUMPRODUCT(I186:I188,R186:R188)+SUMPRODUCT(I189:I199,R189:R199)/0.87</f>
        <v>0</v>
      </c>
      <c r="J200" s="334">
        <f>SUMPRODUCT(J186:J188,R186:R188)+SUMPRODUCT(J189:J199,R189:R199)/0.87</f>
        <v>0</v>
      </c>
      <c r="K200" s="334">
        <f>SUMPRODUCT(K186:K188,R186:R188)+SUMPRODUCT(K189:K199,R189:R199)/0.87</f>
        <v>1.2270703139273251E-5</v>
      </c>
      <c r="L200" s="334">
        <f>SUMPRODUCT(L186:L188,R186:R188)+SUMPRODUCT(L189:L199,R189:R199)/0.87</f>
        <v>0</v>
      </c>
      <c r="M200" s="334">
        <f>SUMPRODUCT(M186:M188,R186:R188)+SUMPRODUCT(M189:M199,R189:R199)/0.87</f>
        <v>0</v>
      </c>
      <c r="N200" s="334">
        <f>SUMPRODUCT(N186:N188,R186:R188)+SUMPRODUCT(N189:N199,R189:R199)/0.87</f>
        <v>4.6906801711924645E-8</v>
      </c>
      <c r="O200" s="334">
        <f>SUMPRODUCT(O186:O188,R186:R188)+SUMPRODUCT(O189:O199,R189:R199)/0.87</f>
        <v>0</v>
      </c>
      <c r="P200" s="334">
        <f>SUMPRODUCT(P186:P188,R186:R188)+SUMPRODUCT(P189:P199,R189:R199)/0.87</f>
        <v>3.4168850806451612E-4</v>
      </c>
      <c r="Q200" s="334">
        <f>SUMPRODUCT(Q186:Q188,R186:R188)+SUMPRODUCT(Q189:Q199,R189:R199)/0.87</f>
        <v>0</v>
      </c>
      <c r="R200" s="335"/>
      <c r="S200" s="335"/>
      <c r="T200" s="336"/>
    </row>
    <row r="201" spans="1:20" x14ac:dyDescent="0.3">
      <c r="A201" s="150"/>
      <c r="B201" s="23" t="s">
        <v>457</v>
      </c>
      <c r="C201" s="24"/>
      <c r="D201" s="94"/>
      <c r="E201" s="94"/>
      <c r="F201" s="28">
        <f>SUMPRODUCT(F186:F188,S186:S188)+SUMPRODUCT(F189:F199,S189:S199)/0.87</f>
        <v>6.4203105593570815E-4</v>
      </c>
      <c r="G201" s="28">
        <f>SUMPRODUCT(G186:G188,S186:S188)+SUMPRODUCT(G189:G199,S189:S199)/0.87</f>
        <v>1.9929413955302621E-5</v>
      </c>
      <c r="H201" s="28">
        <f>SUMPRODUCT(H186:H188,S186:S188)+SUMPRODUCT(H189:H199,S189:S199)/0.87</f>
        <v>9.5000000000000005E-5</v>
      </c>
      <c r="I201" s="28">
        <f>SUMPRODUCT(I186:I188,S186:S188)+SUMPRODUCT(I189:I199,S189:S199)/0.87</f>
        <v>0</v>
      </c>
      <c r="J201" s="28">
        <f>SUMPRODUCT(J186:J188,S186:S188)+SUMPRODUCT(J189:J199,S189:S199)/0.87</f>
        <v>0</v>
      </c>
      <c r="K201" s="28">
        <f>SUMPRODUCT(K186:K188,S186:S188)+SUMPRODUCT(K189:K199,S189:S199)/0.87</f>
        <v>1.0895815680378164E-5</v>
      </c>
      <c r="L201" s="28">
        <f>SUMPRODUCT(L186:L188,S186:S188)+SUMPRODUCT(L189:L199,S189:S199)/0.87</f>
        <v>0</v>
      </c>
      <c r="M201" s="28">
        <f>SUMPRODUCT(M186:M188,S186:S188)+SUMPRODUCT(M189:M199,S189:S199)/0.87</f>
        <v>0</v>
      </c>
      <c r="N201" s="28">
        <f>SUMPRODUCT(N186:N188,S186:S188)+SUMPRODUCT(N189:N199,S189:S199)/0.87</f>
        <v>0</v>
      </c>
      <c r="O201" s="28">
        <f>SUMPRODUCT(O186:O188,S186:S188)+SUMPRODUCT(O189:O199,S189:S199)/0.87</f>
        <v>0</v>
      </c>
      <c r="P201" s="28">
        <f>SUMPRODUCT(P186:P188,S186:S188)+SUMPRODUCT(P189:P199,S189:S199)/0.87</f>
        <v>5.1620582630002726E-4</v>
      </c>
      <c r="Q201" s="28">
        <f>SUMPRODUCT(Q186:Q188,S186:S188)+SUMPRODUCT(Q189:Q199,S189:S199)/0.87</f>
        <v>0</v>
      </c>
      <c r="R201" s="152"/>
      <c r="S201" s="152"/>
      <c r="T201" s="152"/>
    </row>
    <row r="202" spans="1:20" x14ac:dyDescent="0.3">
      <c r="A202" s="328"/>
      <c r="B202" s="329" t="s">
        <v>641</v>
      </c>
      <c r="C202" s="330"/>
      <c r="D202" s="331"/>
      <c r="E202" s="331"/>
      <c r="F202" s="332">
        <f>SUMPRODUCT(F186:F188,$T186:$T188)+SUMPRODUCT(F189:F199,$T189:$T199)/0.87</f>
        <v>5.5859174901392661E-4</v>
      </c>
      <c r="G202" s="332">
        <f t="shared" ref="G202:O202" si="62">SUMPRODUCT(G186:G188,$T186:$T188)+SUMPRODUCT(G189:G199,$T189:$T199)/0.87</f>
        <v>2.0275707184019181E-5</v>
      </c>
      <c r="H202" s="332">
        <f t="shared" si="62"/>
        <v>9.5910919512140645E-5</v>
      </c>
      <c r="I202" s="332">
        <f t="shared" si="62"/>
        <v>0</v>
      </c>
      <c r="J202" s="332">
        <f t="shared" si="62"/>
        <v>0</v>
      </c>
      <c r="K202" s="332">
        <f t="shared" si="62"/>
        <v>1.1871958729554439E-5</v>
      </c>
      <c r="L202" s="332">
        <f t="shared" si="62"/>
        <v>0</v>
      </c>
      <c r="M202" s="332">
        <f t="shared" si="62"/>
        <v>0</v>
      </c>
      <c r="N202" s="332">
        <f t="shared" si="62"/>
        <v>6.1146146055271721E-7</v>
      </c>
      <c r="O202" s="332">
        <f t="shared" si="62"/>
        <v>0</v>
      </c>
      <c r="P202" s="332">
        <f>SUMPRODUCT(P186:P188,$T186:$T188)+SUMPRODUCT(P189:P199,$T189:$T199)/0.87</f>
        <v>4.2992170212765955E-4</v>
      </c>
      <c r="Q202" s="332">
        <f t="shared" ref="Q202" si="63">SUMPRODUCT(Q186:Q188,$T186:$T188)+SUMPRODUCT(Q189:Q199,$T189:$T199)/0.87</f>
        <v>0</v>
      </c>
      <c r="R202" s="335"/>
      <c r="S202" s="335"/>
      <c r="T202" s="335"/>
    </row>
    <row r="203" spans="1:20" x14ac:dyDescent="0.3">
      <c r="A203" s="150"/>
      <c r="B203" s="23" t="s">
        <v>642</v>
      </c>
      <c r="C203" s="24"/>
      <c r="D203" s="94"/>
      <c r="E203" s="94"/>
      <c r="F203" s="327">
        <f>SUMPRODUCT(F186:F188,$U186:$U188)+SUMPRODUCT(F189:F199,$U189:$U199)/0.87</f>
        <v>0</v>
      </c>
      <c r="G203" s="327">
        <f t="shared" ref="G203:K203" si="64">SUMPRODUCT(G186:G188,$U186:$U188)+SUMPRODUCT(G189:G199,$U189:$U199)/0.87</f>
        <v>0</v>
      </c>
      <c r="H203" s="327">
        <f t="shared" si="64"/>
        <v>0</v>
      </c>
      <c r="I203" s="327">
        <f t="shared" si="64"/>
        <v>0</v>
      </c>
      <c r="J203" s="327">
        <f t="shared" si="64"/>
        <v>0</v>
      </c>
      <c r="K203" s="327">
        <f t="shared" si="64"/>
        <v>0</v>
      </c>
      <c r="L203" s="327">
        <f>SUMPRODUCT(L186:L188,$U186:$U188)+SUMPRODUCT(L189:L199,$U189:$U199)/0.87</f>
        <v>0</v>
      </c>
      <c r="M203" s="327">
        <f t="shared" ref="M203:Q203" si="65">SUMPRODUCT(M186:M188,$U186:$U188)+SUMPRODUCT(M189:M199,$U189:$U199)/0.87</f>
        <v>0</v>
      </c>
      <c r="N203" s="327">
        <f t="shared" si="65"/>
        <v>0</v>
      </c>
      <c r="O203" s="327">
        <f t="shared" si="65"/>
        <v>0</v>
      </c>
      <c r="P203" s="327">
        <f t="shared" si="65"/>
        <v>0</v>
      </c>
      <c r="Q203" s="327">
        <f t="shared" si="65"/>
        <v>0</v>
      </c>
      <c r="R203" s="152"/>
      <c r="S203" s="152"/>
      <c r="T203" s="152"/>
    </row>
    <row r="204" spans="1:20" x14ac:dyDescent="0.3">
      <c r="B204" s="16" t="s">
        <v>299</v>
      </c>
      <c r="C204" s="15" t="s">
        <v>302</v>
      </c>
      <c r="D204" s="21" t="s">
        <v>556</v>
      </c>
      <c r="E204" s="21" t="s">
        <v>560</v>
      </c>
      <c r="F204" s="120">
        <f>SUM(G204:Q204)</f>
        <v>1.4141800552451564E-4</v>
      </c>
      <c r="G204" s="27">
        <f>'Forage crops, CF'!F64</f>
        <v>3.9901302719260733E-5</v>
      </c>
      <c r="H204" s="27">
        <f>'Forage crops, CF'!G64</f>
        <v>9.5000000000000005E-5</v>
      </c>
      <c r="I204" s="27">
        <f>'Forage crops, CF'!H64</f>
        <v>0</v>
      </c>
      <c r="J204" s="27">
        <f>'Forage crops, CF'!I64</f>
        <v>0</v>
      </c>
      <c r="K204" s="27">
        <f>'Forage crops, CF'!J64</f>
        <v>6.5167028052549126E-6</v>
      </c>
      <c r="L204" s="27">
        <f>'Forage crops, CF'!K64</f>
        <v>0</v>
      </c>
      <c r="M204" s="27">
        <f>'Forage crops, CF'!L64</f>
        <v>0</v>
      </c>
      <c r="N204" s="27">
        <f>'Forage crops, CF'!M64</f>
        <v>0</v>
      </c>
      <c r="O204" s="27">
        <f>'Forage crops, CF'!N64</f>
        <v>0</v>
      </c>
      <c r="P204" s="27">
        <f>'Forage crops, CF'!O64</f>
        <v>0</v>
      </c>
      <c r="Q204" s="27">
        <f>'Forage crops, CF'!P64</f>
        <v>0</v>
      </c>
      <c r="R204" s="151">
        <f>'Parameters SH, country spec'!M15</f>
        <v>0.74946751429338065</v>
      </c>
      <c r="S204" s="151">
        <f>'Parameters SH, country spec'!L33</f>
        <v>0.2708957255649333</v>
      </c>
      <c r="T204" s="264">
        <f>'Parameters D24m, country spec'!M11</f>
        <v>0.74946751429338065</v>
      </c>
    </row>
    <row r="205" spans="1:20" x14ac:dyDescent="0.3">
      <c r="B205" s="16" t="s">
        <v>300</v>
      </c>
      <c r="C205" s="15" t="s">
        <v>302</v>
      </c>
      <c r="D205" s="21" t="s">
        <v>556</v>
      </c>
      <c r="E205" s="21" t="s">
        <v>560</v>
      </c>
      <c r="F205" s="120">
        <f>SUM(G205:Q205)</f>
        <v>1.6065162869061049E-4</v>
      </c>
      <c r="G205" s="27">
        <f>'Forage crops, CF'!F129</f>
        <v>5.989541782308556E-5</v>
      </c>
      <c r="H205" s="27">
        <f>'Forage crops, CF'!G129</f>
        <v>9.5000000000000005E-5</v>
      </c>
      <c r="I205" s="27">
        <f>'Forage crops, CF'!H129</f>
        <v>0</v>
      </c>
      <c r="J205" s="27">
        <f>'Forage crops, CF'!I129</f>
        <v>0</v>
      </c>
      <c r="K205" s="27">
        <f>'Forage crops, CF'!J129</f>
        <v>5.756210867524934E-6</v>
      </c>
      <c r="L205" s="27">
        <f>'Forage crops, CF'!K129</f>
        <v>0</v>
      </c>
      <c r="M205" s="27">
        <f>'Forage crops, CF'!L129</f>
        <v>0</v>
      </c>
      <c r="N205" s="27">
        <f>'Forage crops, CF'!M129</f>
        <v>0</v>
      </c>
      <c r="O205" s="27">
        <f>'Forage crops, CF'!N129</f>
        <v>0</v>
      </c>
      <c r="P205" s="27">
        <f>'Forage crops, CF'!O129</f>
        <v>0</v>
      </c>
      <c r="Q205" s="27">
        <f>'Forage crops, CF'!P129</f>
        <v>0</v>
      </c>
      <c r="R205" s="151">
        <f>'Parameters SH, country spec'!M16</f>
        <v>6.8994040926595557E-2</v>
      </c>
      <c r="S205" s="151">
        <f>'Parameters SH, country spec'!L34</f>
        <v>0</v>
      </c>
      <c r="T205" s="264">
        <f>'Parameters D24m, country spec'!M12</f>
        <v>6.8994040926595557E-2</v>
      </c>
    </row>
    <row r="206" spans="1:20" x14ac:dyDescent="0.3">
      <c r="B206" s="16" t="s">
        <v>301</v>
      </c>
      <c r="C206" s="15" t="s">
        <v>302</v>
      </c>
      <c r="D206" s="21" t="s">
        <v>556</v>
      </c>
      <c r="E206" s="21" t="s">
        <v>560</v>
      </c>
      <c r="F206" s="120">
        <f>SUM(G206:Q206)</f>
        <v>1.0811785942500287E-4</v>
      </c>
      <c r="G206" s="27">
        <f>'Forage crops, CF'!F194*'Forage, input data per ha'!$D$89+'Forage crops, CF'!F259*'Forage, input data per ha'!$E$89</f>
        <v>6.5155369446603544E-6</v>
      </c>
      <c r="H206" s="27">
        <f>'Forage crops, CF'!G194*'Forage, input data per ha'!$D$89+'Forage crops, CF'!G259*'Forage, input data per ha'!$E$89</f>
        <v>9.5000000000000005E-5</v>
      </c>
      <c r="I206" s="27">
        <f>'Forage crops, CF'!H194*'Forage, input data per ha'!$D$89+'Forage crops, CF'!H259*'Forage, input data per ha'!$E$89</f>
        <v>0</v>
      </c>
      <c r="J206" s="27">
        <f>'Forage crops, CF'!I194*'Forage, input data per ha'!$D$89+'Forage crops, CF'!I259*'Forage, input data per ha'!$E$89</f>
        <v>0</v>
      </c>
      <c r="K206" s="27">
        <f>'Forage crops, CF'!J194*'Forage, input data per ha'!$D$89+'Forage crops, CF'!J259*'Forage, input data per ha'!$E$89</f>
        <v>6.6023224803425144E-6</v>
      </c>
      <c r="L206" s="27">
        <f>'Forage crops, CF'!K194*'Forage, input data per ha'!$D$89+'Forage crops, CF'!K259*'Forage, input data per ha'!$E$89</f>
        <v>0</v>
      </c>
      <c r="M206" s="27">
        <f>'Forage crops, CF'!L194*'Forage, input data per ha'!$D$89+'Forage crops, CF'!L259*'Forage, input data per ha'!$E$89</f>
        <v>0</v>
      </c>
      <c r="N206" s="27">
        <f>'Forage crops, CF'!M194*'Forage, input data per ha'!$D$89+'Forage crops, CF'!M259*'Forage, input data per ha'!$E$89</f>
        <v>0</v>
      </c>
      <c r="O206" s="27">
        <f>'Forage crops, CF'!N194*'Forage, input data per ha'!$D$89+'Forage crops, CF'!N259*'Forage, input data per ha'!$E$89</f>
        <v>0</v>
      </c>
      <c r="P206" s="27">
        <f>'Forage crops, CF'!O194*'Forage, input data per ha'!$D$89+'Forage crops, CF'!O259*'Forage, input data per ha'!$E$89</f>
        <v>0</v>
      </c>
      <c r="Q206" s="27">
        <f>'Forage crops, CF'!P194*'Forage, input data per ha'!$D$89+'Forage crops, CF'!P259*'Forage, input data per ha'!$E$89</f>
        <v>0</v>
      </c>
      <c r="R206" s="151">
        <f>'Parameters SH, country spec'!M17</f>
        <v>3.2584598647782959E-3</v>
      </c>
      <c r="S206" s="151">
        <f>'Parameters SH, country spec'!L35</f>
        <v>0.72910427443506676</v>
      </c>
      <c r="T206" s="264">
        <f>'Parameters D24m, country spec'!M13</f>
        <v>3.2584598647782959E-3</v>
      </c>
    </row>
    <row r="207" spans="1:20" x14ac:dyDescent="0.3">
      <c r="A207" s="20" t="s">
        <v>231</v>
      </c>
      <c r="B207" s="15" t="s">
        <v>113</v>
      </c>
      <c r="C207" s="15" t="s">
        <v>232</v>
      </c>
      <c r="D207" s="21" t="s">
        <v>556</v>
      </c>
      <c r="E207" s="21" t="s">
        <v>560</v>
      </c>
      <c r="F207" s="120">
        <f>SUM(G207:Q207)</f>
        <v>2.0655355021385218E-4</v>
      </c>
      <c r="G207" s="105">
        <v>8.0930691575108743E-5</v>
      </c>
      <c r="H207" s="105">
        <v>9.5000000000000005E-5</v>
      </c>
      <c r="I207" s="105"/>
      <c r="J207" s="105"/>
      <c r="K207" s="105">
        <v>1.8076858638743458E-5</v>
      </c>
      <c r="L207" s="105"/>
      <c r="M207" s="105">
        <v>0</v>
      </c>
      <c r="N207" s="105">
        <v>1.2546000000000003E-5</v>
      </c>
      <c r="O207" s="105"/>
      <c r="P207" s="93"/>
      <c r="Q207" s="93"/>
      <c r="R207" s="151">
        <f>'Parameters SH, country spec'!M18</f>
        <v>1.3909861729922528E-2</v>
      </c>
      <c r="S207" s="151">
        <f>'Parameters SH, country spec'!L36</f>
        <v>0</v>
      </c>
      <c r="T207" s="264">
        <f>'Parameters D24m, country spec'!M14</f>
        <v>1.3909861729922528E-2</v>
      </c>
    </row>
    <row r="208" spans="1:20" x14ac:dyDescent="0.3">
      <c r="A208" s="20" t="s">
        <v>233</v>
      </c>
      <c r="B208" s="15" t="s">
        <v>114</v>
      </c>
      <c r="C208" s="15" t="s">
        <v>232</v>
      </c>
      <c r="D208" s="21" t="s">
        <v>556</v>
      </c>
      <c r="E208" s="21" t="s">
        <v>560</v>
      </c>
      <c r="F208" s="120">
        <f t="shared" ref="F208:F215" si="66">SUM(G208:Q208)</f>
        <v>1.9871902439798405E-4</v>
      </c>
      <c r="G208" s="105">
        <v>7.8815626877616721E-5</v>
      </c>
      <c r="H208" s="105">
        <v>9.5000000000000005E-5</v>
      </c>
      <c r="I208" s="105"/>
      <c r="J208" s="105"/>
      <c r="K208" s="105">
        <v>1.2357397520367332E-5</v>
      </c>
      <c r="L208" s="105"/>
      <c r="M208" s="105">
        <v>0</v>
      </c>
      <c r="N208" s="105">
        <v>1.2546000000000003E-5</v>
      </c>
      <c r="O208" s="105"/>
      <c r="P208" s="93"/>
      <c r="Q208" s="93"/>
      <c r="R208" s="151">
        <f>'Parameters SH, country spec'!M19</f>
        <v>6.5309995773990038E-4</v>
      </c>
      <c r="S208" s="151">
        <f>'Parameters SH, country spec'!L37</f>
        <v>0</v>
      </c>
      <c r="T208" s="264">
        <f>'Parameters D24m, country spec'!M15</f>
        <v>6.5309995773990038E-4</v>
      </c>
    </row>
    <row r="209" spans="1:20" x14ac:dyDescent="0.3">
      <c r="A209" s="20" t="s">
        <v>234</v>
      </c>
      <c r="B209" s="15" t="s">
        <v>115</v>
      </c>
      <c r="C209" s="15" t="s">
        <v>232</v>
      </c>
      <c r="D209" s="21" t="s">
        <v>556</v>
      </c>
      <c r="E209" s="21" t="s">
        <v>560</v>
      </c>
      <c r="F209" s="120">
        <f t="shared" si="66"/>
        <v>1.9956753055993292E-4</v>
      </c>
      <c r="G209" s="105">
        <v>7.134532609711123E-5</v>
      </c>
      <c r="H209" s="105">
        <v>9.5000000000000005E-5</v>
      </c>
      <c r="I209" s="105"/>
      <c r="J209" s="105"/>
      <c r="K209" s="105">
        <v>2.0676204462821701E-5</v>
      </c>
      <c r="L209" s="105"/>
      <c r="M209" s="105">
        <v>0</v>
      </c>
      <c r="N209" s="105">
        <v>1.2546000000000003E-5</v>
      </c>
      <c r="O209" s="105"/>
      <c r="P209" s="93"/>
      <c r="Q209" s="93"/>
      <c r="R209" s="151">
        <f>'Parameters SH, country spec'!M20</f>
        <v>1.5338046639374065E-3</v>
      </c>
      <c r="S209" s="151">
        <f>'Parameters SH, country spec'!L38</f>
        <v>0</v>
      </c>
      <c r="T209" s="264">
        <f>'Parameters D24m, country spec'!M16</f>
        <v>1.5338046639374065E-3</v>
      </c>
    </row>
    <row r="210" spans="1:20" x14ac:dyDescent="0.3">
      <c r="A210" s="20" t="s">
        <v>235</v>
      </c>
      <c r="B210" s="15" t="s">
        <v>116</v>
      </c>
      <c r="C210" s="15" t="s">
        <v>232</v>
      </c>
      <c r="D210" s="21" t="s">
        <v>556</v>
      </c>
      <c r="E210" s="21" t="s">
        <v>560</v>
      </c>
      <c r="F210" s="120">
        <f t="shared" si="66"/>
        <v>1.840193507270561E-4</v>
      </c>
      <c r="G210" s="105">
        <v>6.2842418816841267E-5</v>
      </c>
      <c r="H210" s="105">
        <v>9.5000000000000005E-5</v>
      </c>
      <c r="I210" s="105"/>
      <c r="J210" s="105"/>
      <c r="K210" s="105">
        <v>1.3630931910214812E-5</v>
      </c>
      <c r="L210" s="105"/>
      <c r="M210" s="105">
        <v>0</v>
      </c>
      <c r="N210" s="105">
        <v>1.2546000000000003E-5</v>
      </c>
      <c r="O210" s="105"/>
      <c r="P210" s="93"/>
      <c r="Q210" s="93"/>
      <c r="R210" s="151">
        <f>'Parameters SH, country spec'!M21</f>
        <v>7.2745448066960375E-5</v>
      </c>
      <c r="S210" s="151">
        <f>'Parameters SH, country spec'!L39</f>
        <v>0</v>
      </c>
      <c r="T210" s="264">
        <f>'Parameters D24m, country spec'!M17</f>
        <v>7.2745448066960375E-5</v>
      </c>
    </row>
    <row r="211" spans="1:20" x14ac:dyDescent="0.3">
      <c r="A211" s="20" t="s">
        <v>236</v>
      </c>
      <c r="B211" s="15" t="s">
        <v>117</v>
      </c>
      <c r="C211" s="15" t="s">
        <v>232</v>
      </c>
      <c r="D211" s="21" t="s">
        <v>556</v>
      </c>
      <c r="E211" s="21" t="s">
        <v>560</v>
      </c>
      <c r="F211" s="120">
        <f t="shared" si="66"/>
        <v>2.1322851393583626E-4</v>
      </c>
      <c r="G211" s="105">
        <v>9.2769916609057948E-5</v>
      </c>
      <c r="H211" s="105">
        <v>9.5000000000000005E-5</v>
      </c>
      <c r="I211" s="105"/>
      <c r="J211" s="105"/>
      <c r="K211" s="105">
        <v>1.291259732677831E-5</v>
      </c>
      <c r="L211" s="105"/>
      <c r="M211" s="105">
        <v>0</v>
      </c>
      <c r="N211" s="105">
        <v>1.2546000000000003E-5</v>
      </c>
      <c r="O211" s="105"/>
      <c r="P211" s="93"/>
      <c r="Q211" s="93"/>
      <c r="R211" s="151">
        <f>'Parameters SH, country spec'!M22</f>
        <v>2.0790459475885831E-2</v>
      </c>
      <c r="S211" s="151">
        <f>'Parameters SH, country spec'!L40</f>
        <v>0</v>
      </c>
      <c r="T211" s="264">
        <f>'Parameters D24m, country spec'!M18</f>
        <v>2.0790459475885831E-2</v>
      </c>
    </row>
    <row r="212" spans="1:20" x14ac:dyDescent="0.3">
      <c r="A212" s="20" t="s">
        <v>237</v>
      </c>
      <c r="B212" s="15" t="s">
        <v>118</v>
      </c>
      <c r="C212" s="15" t="s">
        <v>238</v>
      </c>
      <c r="D212" s="21" t="s">
        <v>556</v>
      </c>
      <c r="E212" s="21" t="s">
        <v>560</v>
      </c>
      <c r="F212" s="120">
        <f t="shared" si="66"/>
        <v>1.3280125199673234E-4</v>
      </c>
      <c r="G212" s="105">
        <v>0</v>
      </c>
      <c r="H212" s="105">
        <v>9.5000000000000005E-5</v>
      </c>
      <c r="I212" s="105"/>
      <c r="J212" s="105"/>
      <c r="K212" s="105">
        <v>2.5255251996732317E-5</v>
      </c>
      <c r="L212" s="105"/>
      <c r="M212" s="105">
        <v>0</v>
      </c>
      <c r="N212" s="105">
        <v>1.2546000000000003E-5</v>
      </c>
      <c r="O212" s="105"/>
      <c r="P212" s="93"/>
      <c r="Q212" s="93"/>
      <c r="R212" s="151">
        <f>'Parameters SH, country spec'!M23</f>
        <v>6.5340906393272433E-4</v>
      </c>
      <c r="S212" s="151">
        <f>'Parameters SH, country spec'!L41</f>
        <v>0</v>
      </c>
      <c r="T212" s="264">
        <f>'Parameters D24m, country spec'!M19</f>
        <v>6.5340906393272433E-4</v>
      </c>
    </row>
    <row r="213" spans="1:20" x14ac:dyDescent="0.3">
      <c r="A213" s="20" t="s">
        <v>239</v>
      </c>
      <c r="B213" s="15" t="s">
        <v>119</v>
      </c>
      <c r="C213" s="15" t="s">
        <v>238</v>
      </c>
      <c r="D213" s="21" t="s">
        <v>556</v>
      </c>
      <c r="E213" s="21" t="s">
        <v>560</v>
      </c>
      <c r="F213" s="120">
        <f t="shared" si="66"/>
        <v>1.4931770127423491E-4</v>
      </c>
      <c r="G213" s="105">
        <v>3.9865279409015522E-6</v>
      </c>
      <c r="H213" s="105">
        <v>9.5000000000000005E-5</v>
      </c>
      <c r="I213" s="105"/>
      <c r="J213" s="105"/>
      <c r="K213" s="105">
        <v>3.7785173333333341E-5</v>
      </c>
      <c r="L213" s="105"/>
      <c r="M213" s="105">
        <v>0</v>
      </c>
      <c r="N213" s="105">
        <v>1.2546000000000003E-5</v>
      </c>
      <c r="O213" s="105"/>
      <c r="P213" s="93"/>
      <c r="Q213" s="93"/>
      <c r="R213" s="151">
        <f>'Parameters SH, country spec'!M24</f>
        <v>6.4186302502542813E-4</v>
      </c>
      <c r="S213" s="151">
        <f>'Parameters SH, country spec'!L42</f>
        <v>0</v>
      </c>
      <c r="T213" s="264">
        <f>'Parameters D24m, country spec'!M20</f>
        <v>6.4186302502542813E-4</v>
      </c>
    </row>
    <row r="214" spans="1:20" x14ac:dyDescent="0.3">
      <c r="B214" s="16" t="s">
        <v>120</v>
      </c>
      <c r="C214" s="15" t="s">
        <v>240</v>
      </c>
      <c r="D214" s="21" t="s">
        <v>556</v>
      </c>
      <c r="E214" s="21" t="s">
        <v>560</v>
      </c>
      <c r="F214" s="120">
        <f t="shared" si="66"/>
        <v>4.6478527325651394E-4</v>
      </c>
      <c r="G214" s="27">
        <v>3.0425509539765719E-4</v>
      </c>
      <c r="H214" s="27">
        <v>4.5862068965517246E-5</v>
      </c>
      <c r="I214" s="27"/>
      <c r="J214" s="27"/>
      <c r="K214" s="27">
        <v>1.0936279334641699E-5</v>
      </c>
      <c r="L214" s="27"/>
      <c r="M214" s="27">
        <v>6.4606960551724142E-7</v>
      </c>
      <c r="N214" s="27">
        <v>2.1884761697575221E-5</v>
      </c>
      <c r="O214" s="27"/>
      <c r="P214" s="27">
        <v>5.7027085212127035E-5</v>
      </c>
      <c r="Q214" s="27">
        <v>2.4173913043478263E-5</v>
      </c>
      <c r="R214" s="151">
        <f>'Parameters SH, country spec'!M25</f>
        <v>1.0151950508744787E-2</v>
      </c>
      <c r="S214" s="151">
        <f>'Parameters SH, country spec'!L43</f>
        <v>0</v>
      </c>
      <c r="T214" s="264">
        <f>'Parameters D24m, country spec'!M21</f>
        <v>1.0151950508744787E-2</v>
      </c>
    </row>
    <row r="215" spans="1:20" x14ac:dyDescent="0.3">
      <c r="B215" s="16" t="s">
        <v>241</v>
      </c>
      <c r="C215" s="15" t="s">
        <v>240</v>
      </c>
      <c r="D215" s="21" t="s">
        <v>556</v>
      </c>
      <c r="E215" s="21" t="s">
        <v>560</v>
      </c>
      <c r="F215" s="120">
        <f t="shared" si="66"/>
        <v>4.7266553697523981E-4</v>
      </c>
      <c r="G215" s="27">
        <v>1.5603516238625262E-5</v>
      </c>
      <c r="H215" s="27">
        <v>7.5304878048780503E-5</v>
      </c>
      <c r="I215" s="27"/>
      <c r="J215" s="27"/>
      <c r="K215" s="27">
        <v>1.908459074435586E-5</v>
      </c>
      <c r="L215" s="27"/>
      <c r="M215" s="27">
        <v>5.9672097439024396E-7</v>
      </c>
      <c r="N215" s="27">
        <v>2.3084271612619523E-5</v>
      </c>
      <c r="O215" s="27"/>
      <c r="P215" s="27">
        <v>1.2899155935646844E-4</v>
      </c>
      <c r="Q215" s="27">
        <v>2.1000000000000001E-4</v>
      </c>
      <c r="R215" s="151">
        <f>'Parameters SH, country spec'!M26</f>
        <v>1.9990823703774308E-2</v>
      </c>
      <c r="S215" s="151">
        <f>'Parameters SH, country spec'!L44</f>
        <v>0</v>
      </c>
      <c r="T215" s="264">
        <f>'Parameters D24m, country spec'!M22</f>
        <v>1.9990823703774308E-2</v>
      </c>
    </row>
    <row r="216" spans="1:20" x14ac:dyDescent="0.3">
      <c r="B216" s="15" t="s">
        <v>122</v>
      </c>
      <c r="C216" s="15" t="s">
        <v>242</v>
      </c>
      <c r="D216" s="21" t="s">
        <v>556</v>
      </c>
      <c r="E216" s="21" t="s">
        <v>560</v>
      </c>
      <c r="F216" s="120"/>
      <c r="G216" s="93"/>
      <c r="H216" s="93"/>
      <c r="I216" s="93"/>
      <c r="J216" s="93"/>
      <c r="K216" s="93"/>
      <c r="L216" s="93"/>
      <c r="M216" s="93"/>
      <c r="N216" s="93"/>
      <c r="O216" s="93"/>
      <c r="P216" s="93"/>
      <c r="Q216" s="93"/>
      <c r="R216" s="151">
        <f>'Parameters SH, country spec'!M27</f>
        <v>8.0060070909469844E-2</v>
      </c>
      <c r="S216" s="151">
        <f>'Parameters SH, country spec'!L45</f>
        <v>0</v>
      </c>
      <c r="T216" s="264">
        <f>'Parameters D24m, country spec'!M23</f>
        <v>8.0060070909469844E-2</v>
      </c>
    </row>
    <row r="217" spans="1:20" x14ac:dyDescent="0.3">
      <c r="A217" s="75"/>
      <c r="B217" s="15" t="s">
        <v>243</v>
      </c>
      <c r="C217" s="76" t="s">
        <v>244</v>
      </c>
      <c r="D217" s="21" t="s">
        <v>556</v>
      </c>
      <c r="E217" s="21" t="s">
        <v>560</v>
      </c>
      <c r="F217" s="120">
        <f t="shared" ref="F217" si="67">SUM(G217:Q217)</f>
        <v>2.2105583232088411E-5</v>
      </c>
      <c r="G217" s="74">
        <f>SUMPRODUCT(G207:G215,$R207:$R215)</f>
        <v>6.6232083154533102E-6</v>
      </c>
      <c r="H217" s="74">
        <f t="shared" ref="H217:P217" si="68">SUMPRODUCT(H207:H215,$R207:$R215)</f>
        <v>5.6052441151024912E-6</v>
      </c>
      <c r="I217" s="74">
        <f t="shared" si="68"/>
        <v>0</v>
      </c>
      <c r="J217" s="74">
        <f t="shared" si="68"/>
        <v>0</v>
      </c>
      <c r="K217" s="74">
        <f t="shared" si="68"/>
        <v>1.0939770703200036E-6</v>
      </c>
      <c r="L217" s="74">
        <f t="shared" si="68"/>
        <v>0</v>
      </c>
      <c r="M217" s="74">
        <f t="shared" si="68"/>
        <v>1.8487810459795092E-8</v>
      </c>
      <c r="N217" s="74">
        <f t="shared" si="68"/>
        <v>1.1635969050385284E-6</v>
      </c>
      <c r="O217" s="74">
        <f t="shared" si="68"/>
        <v>0</v>
      </c>
      <c r="P217" s="74">
        <f t="shared" si="68"/>
        <v>3.1575836691015851E-6</v>
      </c>
      <c r="Q217" s="74">
        <f>SUMPRODUCT(Q207:Q215,$R207:$R215)</f>
        <v>4.4434853466126961E-6</v>
      </c>
      <c r="R217" s="151">
        <f>'Parameters SH, country spec'!M28</f>
        <v>2.9821896428745772E-2</v>
      </c>
      <c r="S217" s="151">
        <f>'Parameters SH, country spec'!L46</f>
        <v>0</v>
      </c>
      <c r="T217" s="264">
        <f>'Parameters D24m, country spec'!M24</f>
        <v>2.9821896428745772E-2</v>
      </c>
    </row>
    <row r="218" spans="1:20" x14ac:dyDescent="0.3">
      <c r="A218" s="328"/>
      <c r="B218" s="329" t="s">
        <v>616</v>
      </c>
      <c r="C218" s="330"/>
      <c r="D218" s="331"/>
      <c r="E218" s="331"/>
      <c r="F218" s="334">
        <f>SUMPRODUCT(F204:F206,R204:R206)+SUMPRODUCT(F207:F217,R207:R217)/0.87</f>
        <v>1.4359095629355216E-4</v>
      </c>
      <c r="G218" s="334">
        <f>SUMPRODUCT(G204:G206,R204:R206)+SUMPRODUCT(G207:G217,R207:R217)/0.87</f>
        <v>4.1898301423480811E-5</v>
      </c>
      <c r="H218" s="334">
        <f>SUMPRODUCT(H204:H206,R204:R206)+SUMPRODUCT(H207:H217,R207:R217)/0.87</f>
        <v>8.4698347553236632E-5</v>
      </c>
      <c r="I218" s="334">
        <f>SUMPRODUCT(I204:I206,R204:R206)+SUMPRODUCT(I207:I217,R207:R217)/0.87</f>
        <v>0</v>
      </c>
      <c r="J218" s="334">
        <f>SUMPRODUCT(J204:J206,R204:R206)+SUMPRODUCT(J207:J217,R207:R217)/0.87</f>
        <v>0</v>
      </c>
      <c r="K218" s="334">
        <f>SUMPRODUCT(K204:K206,R204:R206)+SUMPRODUCT(K207:K217,R207:R217)/0.87</f>
        <v>6.5976590040731162E-6</v>
      </c>
      <c r="L218" s="334">
        <f>SUMPRODUCT(L204:L206,R204:R206)+SUMPRODUCT(L207:L217,R207:R217)/0.87</f>
        <v>0</v>
      </c>
      <c r="M218" s="334">
        <f>SUMPRODUCT(M204:M206,R204:R206)+SUMPRODUCT(M207:M217,R207:R217)/0.87</f>
        <v>2.1884082791403889E-8</v>
      </c>
      <c r="N218" s="334">
        <f>SUMPRODUCT(N204:N206,R204:R206)+SUMPRODUCT(N207:N217,R207:R217)/0.87</f>
        <v>1.377353530374019E-6</v>
      </c>
      <c r="O218" s="334">
        <f>SUMPRODUCT(O204:O206,R204:R206)+SUMPRODUCT(O207:O217,R207:R217)/0.87</f>
        <v>0</v>
      </c>
      <c r="P218" s="334">
        <f>SUMPRODUCT(P204:P206,R204:R206)+SUMPRODUCT(P207:P217,R207:R217)/0.87</f>
        <v>3.7376423014329101E-6</v>
      </c>
      <c r="Q218" s="334">
        <f>SUMPRODUCT(Q204:Q206,R204:R206)+SUMPRODUCT(Q207:Q217,R207:R217)/0.87</f>
        <v>5.259768398163252E-6</v>
      </c>
      <c r="R218" s="335"/>
      <c r="S218" s="335"/>
      <c r="T218" s="336"/>
    </row>
    <row r="219" spans="1:20" x14ac:dyDescent="0.3">
      <c r="A219" s="150"/>
      <c r="B219" s="23" t="s">
        <v>457</v>
      </c>
      <c r="C219" s="24"/>
      <c r="D219" s="94"/>
      <c r="E219" s="94"/>
      <c r="F219" s="28">
        <f>SUMPRODUCT(F204:F206,S204:S206)+SUMPRODUCT(F207:F217,S207:S217)/0.87</f>
        <v>1.1713872666404865E-4</v>
      </c>
      <c r="G219" s="28">
        <f>SUMPRODUCT(G204:G206,S204:S206)+SUMPRODUCT(G207:G217,S207:S217)/0.87</f>
        <v>1.5559598187711643E-5</v>
      </c>
      <c r="H219" s="28">
        <f>SUMPRODUCT(H204:H206,S204:S206)+SUMPRODUCT(H207:H217,S207:S217)/0.87</f>
        <v>9.5000000000000005E-5</v>
      </c>
      <c r="I219" s="28">
        <f>SUMPRODUCT(I204:I206,S204:S206)+SUMPRODUCT(I207:I217,S207:S217)/0.87</f>
        <v>0</v>
      </c>
      <c r="J219" s="28">
        <f>SUMPRODUCT(J204:J206,S204:S206)+SUMPRODUCT(J207:J217,S207:S217)/0.87</f>
        <v>0</v>
      </c>
      <c r="K219" s="28">
        <f>SUMPRODUCT(K204:K206,S204:S206)+SUMPRODUCT(K207:K217,S207:S217)/0.87</f>
        <v>6.5791284763370249E-6</v>
      </c>
      <c r="L219" s="28">
        <f>SUMPRODUCT(L204:L206,S204:S206)+SUMPRODUCT(L207:L217,S207:S217)/0.87</f>
        <v>0</v>
      </c>
      <c r="M219" s="28">
        <f>SUMPRODUCT(M204:M206,S204:S206)+SUMPRODUCT(M207:M217,S207:S217)/0.87</f>
        <v>0</v>
      </c>
      <c r="N219" s="28">
        <f>SUMPRODUCT(N204:N206,S204:S206)+SUMPRODUCT(N207:N217,S207:S217)/0.87</f>
        <v>0</v>
      </c>
      <c r="O219" s="28">
        <f>SUMPRODUCT(O204:O206,S204:S206)+SUMPRODUCT(O207:O217,S207:S217)/0.87</f>
        <v>0</v>
      </c>
      <c r="P219" s="28">
        <f>SUMPRODUCT(P204:P206,S204:S206)+SUMPRODUCT(P207:P217,S207:S217)/0.87</f>
        <v>0</v>
      </c>
      <c r="Q219" s="28">
        <f>SUMPRODUCT(Q204:Q206,S204:S206)+SUMPRODUCT(Q207:Q217,S207:S217)/0.87</f>
        <v>0</v>
      </c>
      <c r="R219" s="152"/>
      <c r="S219" s="152"/>
      <c r="T219" s="152"/>
    </row>
    <row r="220" spans="1:20" x14ac:dyDescent="0.3">
      <c r="A220" s="328"/>
      <c r="B220" s="329" t="s">
        <v>641</v>
      </c>
      <c r="C220" s="330"/>
      <c r="D220" s="331"/>
      <c r="E220" s="331"/>
      <c r="F220" s="332">
        <f>SUMPRODUCT(F204:F206,$T204:$T206)+SUMPRODUCT(F207:F217,$T207:$T217)/0.87</f>
        <v>1.4359095629355216E-4</v>
      </c>
      <c r="G220" s="332">
        <f t="shared" ref="G220:O220" si="69">SUMPRODUCT(G204:G206,$T204:$T206)+SUMPRODUCT(G207:G217,$T207:$T217)/0.87</f>
        <v>4.1898301423480811E-5</v>
      </c>
      <c r="H220" s="332">
        <f t="shared" si="69"/>
        <v>8.4698347553236632E-5</v>
      </c>
      <c r="I220" s="332">
        <f t="shared" si="69"/>
        <v>0</v>
      </c>
      <c r="J220" s="332">
        <f t="shared" si="69"/>
        <v>0</v>
      </c>
      <c r="K220" s="332">
        <f t="shared" si="69"/>
        <v>6.5976590040731162E-6</v>
      </c>
      <c r="L220" s="332">
        <f t="shared" si="69"/>
        <v>0</v>
      </c>
      <c r="M220" s="332">
        <f t="shared" si="69"/>
        <v>2.1884082791403889E-8</v>
      </c>
      <c r="N220" s="332">
        <f t="shared" si="69"/>
        <v>1.377353530374019E-6</v>
      </c>
      <c r="O220" s="332">
        <f t="shared" si="69"/>
        <v>0</v>
      </c>
      <c r="P220" s="332">
        <f>SUMPRODUCT(P204:P206,$T204:$T206)+SUMPRODUCT(P207:P217,$T207:$T217)/0.87</f>
        <v>3.7376423014329101E-6</v>
      </c>
      <c r="Q220" s="332">
        <f t="shared" ref="Q220" si="70">SUMPRODUCT(Q204:Q206,$T204:$T206)+SUMPRODUCT(Q207:Q217,$T207:$T217)/0.87</f>
        <v>5.259768398163252E-6</v>
      </c>
      <c r="R220" s="335"/>
      <c r="S220" s="335"/>
      <c r="T220" s="335"/>
    </row>
    <row r="221" spans="1:20" x14ac:dyDescent="0.3">
      <c r="A221" s="150"/>
      <c r="B221" s="23" t="s">
        <v>642</v>
      </c>
      <c r="C221" s="24"/>
      <c r="D221" s="94"/>
      <c r="E221" s="94"/>
      <c r="F221" s="327">
        <f>SUMPRODUCT(F204:F206,$U204:$U206)+SUMPRODUCT(F207:F217,$U207:$U217)/0.87</f>
        <v>0</v>
      </c>
      <c r="G221" s="327">
        <f t="shared" ref="G221:K221" si="71">SUMPRODUCT(G204:G206,$U204:$U206)+SUMPRODUCT(G207:G217,$U207:$U217)/0.87</f>
        <v>0</v>
      </c>
      <c r="H221" s="327">
        <f t="shared" si="71"/>
        <v>0</v>
      </c>
      <c r="I221" s="327">
        <f t="shared" si="71"/>
        <v>0</v>
      </c>
      <c r="J221" s="327">
        <f t="shared" si="71"/>
        <v>0</v>
      </c>
      <c r="K221" s="327">
        <f t="shared" si="71"/>
        <v>0</v>
      </c>
      <c r="L221" s="327">
        <f>SUMPRODUCT(L204:L206,$U204:$U206)+SUMPRODUCT(L207:L217,$U207:$U217)/0.87</f>
        <v>0</v>
      </c>
      <c r="M221" s="327">
        <f t="shared" ref="M221:Q221" si="72">SUMPRODUCT(M204:M206,$U204:$U206)+SUMPRODUCT(M207:M217,$U207:$U217)/0.87</f>
        <v>0</v>
      </c>
      <c r="N221" s="327">
        <f t="shared" si="72"/>
        <v>0</v>
      </c>
      <c r="O221" s="327">
        <f t="shared" si="72"/>
        <v>0</v>
      </c>
      <c r="P221" s="327">
        <f t="shared" si="72"/>
        <v>0</v>
      </c>
      <c r="Q221" s="327">
        <f t="shared" si="72"/>
        <v>0</v>
      </c>
      <c r="R221" s="152"/>
      <c r="S221" s="152"/>
      <c r="T221" s="152"/>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tabColor theme="4" tint="0.79998168889431442"/>
  </sheetPr>
  <dimension ref="A1:U221"/>
  <sheetViews>
    <sheetView zoomScale="70" zoomScaleNormal="70" workbookViewId="0">
      <selection activeCell="T6" sqref="T6:T19"/>
    </sheetView>
  </sheetViews>
  <sheetFormatPr defaultColWidth="8.6640625" defaultRowHeight="14.4" x14ac:dyDescent="0.3"/>
  <cols>
    <col min="1" max="1" width="8.6640625" customWidth="1"/>
    <col min="2" max="2" width="30.44140625" customWidth="1"/>
    <col min="3" max="3" width="19" customWidth="1"/>
    <col min="4" max="5" width="12.6640625" customWidth="1"/>
    <col min="6" max="6" width="12.6640625" style="15" customWidth="1"/>
    <col min="7" max="10" width="12.6640625" customWidth="1"/>
    <col min="11" max="11" width="14.44140625" customWidth="1"/>
    <col min="12" max="12" width="15" customWidth="1"/>
    <col min="13" max="17" width="12.6640625" customWidth="1"/>
    <col min="19" max="19" width="8.6640625" style="3"/>
  </cols>
  <sheetData>
    <row r="1" spans="1:21" x14ac:dyDescent="0.3">
      <c r="F1" s="6"/>
    </row>
    <row r="2" spans="1:21" ht="21" x14ac:dyDescent="0.4">
      <c r="A2" s="2" t="s">
        <v>246</v>
      </c>
      <c r="F2" t="s">
        <v>456</v>
      </c>
      <c r="O2" t="s">
        <v>223</v>
      </c>
    </row>
    <row r="3" spans="1:21" x14ac:dyDescent="0.3">
      <c r="H3" s="7"/>
      <c r="I3" s="7"/>
      <c r="J3" s="7"/>
      <c r="K3" s="7"/>
      <c r="L3" s="7"/>
      <c r="M3" s="7"/>
      <c r="N3" s="7"/>
    </row>
    <row r="4" spans="1:21" ht="28.8" x14ac:dyDescent="0.3">
      <c r="A4" s="153" t="s">
        <v>224</v>
      </c>
      <c r="B4" s="145"/>
      <c r="C4" s="145"/>
      <c r="D4" s="145"/>
      <c r="E4" s="145"/>
      <c r="F4" s="296" t="s">
        <v>65</v>
      </c>
      <c r="G4" s="146" t="s">
        <v>66</v>
      </c>
      <c r="H4" s="147"/>
      <c r="I4" s="146" t="s">
        <v>67</v>
      </c>
      <c r="J4" s="95"/>
      <c r="K4" s="146" t="s">
        <v>68</v>
      </c>
      <c r="L4" s="95"/>
      <c r="M4" s="95"/>
      <c r="N4" s="95"/>
      <c r="O4" s="96" t="s">
        <v>69</v>
      </c>
      <c r="P4" s="96" t="s">
        <v>305</v>
      </c>
      <c r="Q4" s="148" t="s">
        <v>70</v>
      </c>
      <c r="R4" s="146" t="s">
        <v>225</v>
      </c>
      <c r="S4" s="354" t="s">
        <v>225</v>
      </c>
      <c r="T4" s="354" t="s">
        <v>225</v>
      </c>
      <c r="U4" s="354" t="s">
        <v>225</v>
      </c>
    </row>
    <row r="5" spans="1:21" ht="55.5" customHeight="1" x14ac:dyDescent="0.3">
      <c r="A5" s="89" t="s">
        <v>19</v>
      </c>
      <c r="B5" s="89" t="s">
        <v>224</v>
      </c>
      <c r="C5" s="89" t="s">
        <v>226</v>
      </c>
      <c r="D5" s="89" t="s">
        <v>22</v>
      </c>
      <c r="E5" s="149" t="s">
        <v>23</v>
      </c>
      <c r="F5" s="297"/>
      <c r="G5" s="90" t="s">
        <v>227</v>
      </c>
      <c r="H5" s="90" t="s">
        <v>76</v>
      </c>
      <c r="I5" s="90" t="s">
        <v>228</v>
      </c>
      <c r="J5" s="90" t="s">
        <v>229</v>
      </c>
      <c r="K5" s="90" t="s">
        <v>77</v>
      </c>
      <c r="L5" s="90" t="s">
        <v>78</v>
      </c>
      <c r="M5" s="90" t="s">
        <v>79</v>
      </c>
      <c r="N5" s="90" t="s">
        <v>80</v>
      </c>
      <c r="O5" s="90" t="s">
        <v>81</v>
      </c>
      <c r="P5" s="90" t="s">
        <v>305</v>
      </c>
      <c r="Q5" s="149" t="s">
        <v>230</v>
      </c>
      <c r="R5" s="90" t="s">
        <v>585</v>
      </c>
      <c r="S5" s="90" t="s">
        <v>643</v>
      </c>
      <c r="T5" s="90" t="s">
        <v>645</v>
      </c>
      <c r="U5" s="90" t="s">
        <v>644</v>
      </c>
    </row>
    <row r="6" spans="1:21" x14ac:dyDescent="0.3">
      <c r="B6" s="16" t="s">
        <v>299</v>
      </c>
      <c r="C6" s="15" t="s">
        <v>302</v>
      </c>
      <c r="D6" s="21" t="s">
        <v>90</v>
      </c>
      <c r="E6" s="21" t="s">
        <v>40</v>
      </c>
      <c r="F6" s="120">
        <f>SUM(G6:Q6)</f>
        <v>1.1152725257467368E-4</v>
      </c>
      <c r="G6" s="27">
        <f>'Forage crops, CF'!F11</f>
        <v>1.5109205782627397E-5</v>
      </c>
      <c r="H6" s="27">
        <f>'Forage crops, CF'!G11</f>
        <v>1.1000000000000001E-6</v>
      </c>
      <c r="I6" s="27">
        <f>'Forage crops, CF'!H11</f>
        <v>8.6405487735697828E-5</v>
      </c>
      <c r="J6" s="27">
        <f>'Forage crops, CF'!I11</f>
        <v>8.6405487735697824E-6</v>
      </c>
      <c r="K6" s="27">
        <f>'Forage crops, CF'!J11</f>
        <v>2.720102827786762E-7</v>
      </c>
      <c r="L6" s="27">
        <f>'Forage crops, CF'!K11</f>
        <v>0</v>
      </c>
      <c r="M6" s="27">
        <f>'Forage crops, CF'!L11</f>
        <v>0</v>
      </c>
      <c r="N6" s="27">
        <f>'Forage crops, CF'!M11</f>
        <v>0</v>
      </c>
      <c r="O6" s="27">
        <f>'Forage crops, CF'!N11</f>
        <v>0</v>
      </c>
      <c r="P6" s="27">
        <f>'Forage crops, CF'!O11</f>
        <v>0</v>
      </c>
      <c r="Q6" s="27">
        <f>'Forage crops, CF'!P11</f>
        <v>0</v>
      </c>
      <c r="R6" s="151">
        <f>'Parameters SH, country spec'!B15</f>
        <v>1.3213875800981024E-2</v>
      </c>
      <c r="S6" s="151">
        <f>'Parameters SH, country spec'!B33</f>
        <v>1.3213875800981E-2</v>
      </c>
      <c r="T6" s="264">
        <f>'Parameters D24m, country spec'!B11</f>
        <v>1.3213875800981024E-2</v>
      </c>
      <c r="U6" s="151" t="s">
        <v>525</v>
      </c>
    </row>
    <row r="7" spans="1:21" x14ac:dyDescent="0.3">
      <c r="B7" s="16" t="s">
        <v>300</v>
      </c>
      <c r="C7" s="15" t="s">
        <v>302</v>
      </c>
      <c r="D7" s="21" t="s">
        <v>90</v>
      </c>
      <c r="E7" s="21" t="s">
        <v>40</v>
      </c>
      <c r="F7" s="120">
        <f>SUM(G7:Q7)</f>
        <v>1.9141119699440169E-4</v>
      </c>
      <c r="G7" s="27">
        <f>'Forage crops, CF'!F76</f>
        <v>1.9849248903347439E-5</v>
      </c>
      <c r="H7" s="27">
        <f>'Forage crops, CF'!G76</f>
        <v>1.1000000000000001E-6</v>
      </c>
      <c r="I7" s="27">
        <f>'Forage crops, CF'!H76</f>
        <v>9.2670829535701108E-5</v>
      </c>
      <c r="J7" s="27">
        <f>'Forage crops, CF'!I76</f>
        <v>9.2670829535701108E-6</v>
      </c>
      <c r="K7" s="27">
        <f>'Forage crops, CF'!J76</f>
        <v>4.2403560178305126E-7</v>
      </c>
      <c r="L7" s="27"/>
      <c r="M7" s="27">
        <f>'Forage crops, CF'!L76</f>
        <v>0</v>
      </c>
      <c r="N7" s="27">
        <f>'Forage crops, CF'!M76</f>
        <v>0</v>
      </c>
      <c r="O7" s="27"/>
      <c r="P7" s="27">
        <f>'Forage crops, CF'!O76</f>
        <v>6.8099999999999988E-5</v>
      </c>
      <c r="Q7" s="27"/>
      <c r="R7" s="151">
        <f>'Parameters SH, country spec'!B16</f>
        <v>0.2760369962266197</v>
      </c>
      <c r="S7" s="151">
        <f>'Parameters SH, country spec'!B34</f>
        <v>0.2760369962266197</v>
      </c>
      <c r="T7" s="264">
        <f>'Parameters D24m, country spec'!B12</f>
        <v>0.2760369962266197</v>
      </c>
    </row>
    <row r="8" spans="1:21" x14ac:dyDescent="0.3">
      <c r="B8" s="16" t="s">
        <v>301</v>
      </c>
      <c r="C8" s="15" t="s">
        <v>302</v>
      </c>
      <c r="D8" s="21" t="s">
        <v>90</v>
      </c>
      <c r="E8" s="21" t="s">
        <v>40</v>
      </c>
      <c r="F8" s="120">
        <f>SUM(G8:Q8)</f>
        <v>1.7959141828253301E-4</v>
      </c>
      <c r="G8" s="27">
        <f>'Forage crops, CF'!F141*'Forage, input data per ha'!$D$78+'Forage crops, CF'!F206*'Forage, input data per ha'!$E$78</f>
        <v>1.5102305299877725E-5</v>
      </c>
      <c r="H8" s="27">
        <f>'Forage crops, CF'!G141*'Forage, input data per ha'!$D$78+'Forage crops, CF'!G206*'Forage, input data per ha'!$E$78</f>
        <v>1.1000000000000001E-6</v>
      </c>
      <c r="I8" s="27">
        <f>'Forage crops, CF'!H141*'Forage, input data per ha'!$D$78+'Forage crops, CF'!H206*'Forage, input data per ha'!$E$78</f>
        <v>8.6379186881751306E-5</v>
      </c>
      <c r="J8" s="27">
        <f>'Forage crops, CF'!I141*'Forage, input data per ha'!$D$78+'Forage crops, CF'!I206*'Forage, input data per ha'!$E$78</f>
        <v>8.6379186881751299E-6</v>
      </c>
      <c r="K8" s="27">
        <f>'Forage crops, CF'!J141*'Forage, input data per ha'!$D$78+'Forage crops, CF'!J206*'Forage, input data per ha'!$E$78</f>
        <v>2.7200741272884463E-7</v>
      </c>
      <c r="L8" s="27"/>
      <c r="M8" s="27">
        <f>'Forage crops, CF'!L141*'Forage, input data per ha'!$D$78+'Forage crops, CF'!L206*'Forage, input data per ha'!$E$78</f>
        <v>0</v>
      </c>
      <c r="N8" s="27">
        <f>'Forage crops, CF'!M141*'Forage, input data per ha'!$D$78+'Forage crops, CF'!M206*'Forage, input data per ha'!$E$78</f>
        <v>0</v>
      </c>
      <c r="O8" s="27"/>
      <c r="P8" s="27">
        <f>'Forage crops, CF'!O141*'Forage, input data per ha'!$D$78+'Forage crops, CF'!O206*'Forage, input data per ha'!$E$78</f>
        <v>6.8099999999999988E-5</v>
      </c>
      <c r="Q8" s="27"/>
      <c r="R8" s="151">
        <f>'Parameters SH, country spec'!B17</f>
        <v>0.61590538837145792</v>
      </c>
      <c r="S8" s="151">
        <f>'Parameters SH, country spec'!B35</f>
        <v>0.61590538837145792</v>
      </c>
      <c r="T8" s="264">
        <f>'Parameters D24m, country spec'!B13</f>
        <v>0.61590538837145792</v>
      </c>
    </row>
    <row r="9" spans="1:21" x14ac:dyDescent="0.3">
      <c r="A9" s="20" t="s">
        <v>231</v>
      </c>
      <c r="B9" s="15" t="s">
        <v>113</v>
      </c>
      <c r="C9" s="15" t="s">
        <v>232</v>
      </c>
      <c r="D9" s="21" t="s">
        <v>90</v>
      </c>
      <c r="E9" s="21" t="s">
        <v>40</v>
      </c>
      <c r="F9" s="120">
        <f>SUM(G9:Q9)</f>
        <v>8.1663199999999997E-4</v>
      </c>
      <c r="G9" s="91">
        <v>1.3999999999999999E-4</v>
      </c>
      <c r="H9" s="92">
        <v>9.9999999999999995E-7</v>
      </c>
      <c r="I9" s="93">
        <v>6.1200000000000002E-4</v>
      </c>
      <c r="J9" s="93">
        <v>6.1199999999999997E-5</v>
      </c>
      <c r="K9" s="93">
        <v>8.8199999999999998E-7</v>
      </c>
      <c r="L9" s="93"/>
      <c r="M9" s="93">
        <v>0</v>
      </c>
      <c r="N9" s="93">
        <v>1.55E-6</v>
      </c>
      <c r="O9" s="93"/>
      <c r="P9" s="93"/>
      <c r="Q9" s="12"/>
      <c r="R9" s="151">
        <f>'Parameters SH, country spec'!B18</f>
        <v>5.1639112390513857E-3</v>
      </c>
      <c r="S9" s="151">
        <f>'Parameters SH, country spec'!B36</f>
        <v>5.1639112390513857E-3</v>
      </c>
      <c r="T9" s="264">
        <f>'Parameters D24m, country spec'!B14</f>
        <v>5.1639112390513857E-3</v>
      </c>
    </row>
    <row r="10" spans="1:21" x14ac:dyDescent="0.3">
      <c r="A10" s="20" t="s">
        <v>233</v>
      </c>
      <c r="B10" s="15" t="s">
        <v>114</v>
      </c>
      <c r="C10" s="15" t="s">
        <v>232</v>
      </c>
      <c r="D10" s="21" t="s">
        <v>90</v>
      </c>
      <c r="E10" s="21" t="s">
        <v>40</v>
      </c>
      <c r="F10" s="120">
        <f t="shared" ref="F10:F19" si="0">SUM(G10:Q10)</f>
        <v>7.6922700000000004E-4</v>
      </c>
      <c r="G10" s="91">
        <v>1.2999999999999999E-4</v>
      </c>
      <c r="H10" s="92">
        <v>9.9999999999999995E-7</v>
      </c>
      <c r="I10" s="93">
        <v>5.7799999999999995E-4</v>
      </c>
      <c r="J10" s="93">
        <v>5.7800000000000002E-5</v>
      </c>
      <c r="K10" s="93">
        <v>7.2600000000000002E-7</v>
      </c>
      <c r="L10" s="93"/>
      <c r="M10" s="93">
        <v>1.5099999999999999E-7</v>
      </c>
      <c r="N10" s="93">
        <v>1.55E-6</v>
      </c>
      <c r="O10" s="93"/>
      <c r="P10" s="93"/>
      <c r="Q10" s="12"/>
      <c r="R10" s="151">
        <f>'Parameters SH, country spec'!B19</f>
        <v>3.1075970320211814E-4</v>
      </c>
      <c r="S10" s="151">
        <f>'Parameters SH, country spec'!B37</f>
        <v>3.1075970320211814E-4</v>
      </c>
      <c r="T10" s="264">
        <f>'Parameters D24m, country spec'!B15</f>
        <v>3.1075970320211814E-4</v>
      </c>
    </row>
    <row r="11" spans="1:21" x14ac:dyDescent="0.3">
      <c r="A11" s="20" t="s">
        <v>234</v>
      </c>
      <c r="B11" s="15" t="s">
        <v>115</v>
      </c>
      <c r="C11" s="15" t="s">
        <v>232</v>
      </c>
      <c r="D11" s="21" t="s">
        <v>90</v>
      </c>
      <c r="E11" s="21" t="s">
        <v>40</v>
      </c>
      <c r="F11" s="120">
        <f t="shared" si="0"/>
        <v>7.4175999999999995E-4</v>
      </c>
      <c r="G11" s="91">
        <v>1.2E-4</v>
      </c>
      <c r="H11" s="92">
        <v>9.9999999999999995E-7</v>
      </c>
      <c r="I11" s="93">
        <v>5.62E-4</v>
      </c>
      <c r="J11" s="93">
        <v>5.6199999999999997E-5</v>
      </c>
      <c r="K11" s="93">
        <v>1.0100000000000001E-6</v>
      </c>
      <c r="L11" s="93"/>
      <c r="M11" s="93">
        <v>0</v>
      </c>
      <c r="N11" s="93">
        <v>1.55E-6</v>
      </c>
      <c r="O11" s="93"/>
      <c r="P11" s="93"/>
      <c r="Q11" s="12"/>
      <c r="R11" s="151">
        <f>'Parameters SH, country spec'!B20</f>
        <v>8.6733359151412953E-5</v>
      </c>
      <c r="S11" s="151">
        <f>'Parameters SH, country spec'!B38</f>
        <v>8.6733359151412953E-5</v>
      </c>
      <c r="T11" s="264">
        <f>'Parameters D24m, country spec'!B16</f>
        <v>8.6733359151412953E-5</v>
      </c>
    </row>
    <row r="12" spans="1:21" x14ac:dyDescent="0.3">
      <c r="A12" s="20" t="s">
        <v>235</v>
      </c>
      <c r="B12" s="15" t="s">
        <v>116</v>
      </c>
      <c r="C12" s="15" t="s">
        <v>232</v>
      </c>
      <c r="D12" s="21" t="s">
        <v>90</v>
      </c>
      <c r="E12" s="21" t="s">
        <v>40</v>
      </c>
      <c r="F12" s="120">
        <f t="shared" si="0"/>
        <v>6.6777399999999999E-4</v>
      </c>
      <c r="G12" s="91">
        <v>1.1E-4</v>
      </c>
      <c r="H12" s="92">
        <v>9.9999999999999995E-7</v>
      </c>
      <c r="I12" s="93">
        <v>5.04E-4</v>
      </c>
      <c r="J12" s="93">
        <v>5.0399999999999999E-5</v>
      </c>
      <c r="K12" s="93">
        <v>8.2399999999999997E-7</v>
      </c>
      <c r="L12" s="93"/>
      <c r="M12" s="93">
        <v>0</v>
      </c>
      <c r="N12" s="93">
        <v>1.55E-6</v>
      </c>
      <c r="O12" s="93"/>
      <c r="P12" s="93"/>
      <c r="Q12" s="12"/>
      <c r="R12" s="151">
        <f>'Parameters SH, country spec'!B21</f>
        <v>6.2924072151971947E-5</v>
      </c>
      <c r="S12" s="151">
        <f>'Parameters SH, country spec'!B39</f>
        <v>6.2924072151971947E-5</v>
      </c>
      <c r="T12" s="264">
        <f>'Parameters D24m, country spec'!B17</f>
        <v>6.2924072151971947E-5</v>
      </c>
    </row>
    <row r="13" spans="1:21" x14ac:dyDescent="0.3">
      <c r="A13" s="20" t="s">
        <v>236</v>
      </c>
      <c r="B13" s="15" t="s">
        <v>117</v>
      </c>
      <c r="C13" s="15" t="s">
        <v>232</v>
      </c>
      <c r="D13" s="21" t="s">
        <v>90</v>
      </c>
      <c r="E13" s="21" t="s">
        <v>40</v>
      </c>
      <c r="F13" s="120">
        <f t="shared" si="0"/>
        <v>9.2223750000000008E-4</v>
      </c>
      <c r="G13" s="91">
        <v>1.6000000000000001E-4</v>
      </c>
      <c r="H13" s="92">
        <v>9.9999999999999995E-7</v>
      </c>
      <c r="I13" s="93">
        <v>6.8999999999999997E-4</v>
      </c>
      <c r="J13" s="93">
        <v>6.8999999999999997E-5</v>
      </c>
      <c r="K13" s="93">
        <v>6.6899999999999997E-7</v>
      </c>
      <c r="L13" s="93"/>
      <c r="M13" s="93">
        <v>1.85E-8</v>
      </c>
      <c r="N13" s="93">
        <v>1.55E-6</v>
      </c>
      <c r="O13" s="93"/>
      <c r="P13" s="93"/>
      <c r="Q13" s="12"/>
      <c r="R13" s="151">
        <f>'Parameters SH, country spec'!B22</f>
        <v>5.3306026591199238E-3</v>
      </c>
      <c r="S13" s="151">
        <f>'Parameters SH, country spec'!B40</f>
        <v>5.3306026591199238E-3</v>
      </c>
      <c r="T13" s="264">
        <f>'Parameters D24m, country spec'!B18</f>
        <v>5.3306026591199238E-3</v>
      </c>
    </row>
    <row r="14" spans="1:21" x14ac:dyDescent="0.3">
      <c r="A14" s="20" t="s">
        <v>237</v>
      </c>
      <c r="B14" s="15" t="s">
        <v>118</v>
      </c>
      <c r="C14" s="15" t="s">
        <v>238</v>
      </c>
      <c r="D14" s="21" t="s">
        <v>90</v>
      </c>
      <c r="E14" s="21" t="s">
        <v>40</v>
      </c>
      <c r="F14" s="120">
        <f t="shared" si="0"/>
        <v>2.0725309000000001E-4</v>
      </c>
      <c r="G14" s="91">
        <v>0</v>
      </c>
      <c r="H14" s="92">
        <v>9.9999999999999995E-7</v>
      </c>
      <c r="I14" s="93">
        <v>1.85E-4</v>
      </c>
      <c r="J14" s="93">
        <v>1.8499999999999999E-5</v>
      </c>
      <c r="K14" s="93">
        <v>1.1999999999999999E-6</v>
      </c>
      <c r="L14" s="93"/>
      <c r="M14" s="93">
        <v>3.0899999999999999E-9</v>
      </c>
      <c r="N14" s="93">
        <v>1.55E-6</v>
      </c>
      <c r="O14" s="93"/>
      <c r="P14" s="93"/>
      <c r="Q14" s="12"/>
      <c r="R14" s="151">
        <f>'Parameters SH, country spec'!B23</f>
        <v>2.439015630520557E-4</v>
      </c>
      <c r="S14" s="151">
        <f>'Parameters SH, country spec'!B41</f>
        <v>2.439015630520557E-4</v>
      </c>
      <c r="T14" s="264">
        <f>'Parameters D24m, country spec'!B19</f>
        <v>2.439015630520557E-4</v>
      </c>
    </row>
    <row r="15" spans="1:21" x14ac:dyDescent="0.3">
      <c r="A15" s="20" t="s">
        <v>239</v>
      </c>
      <c r="B15" s="15" t="s">
        <v>119</v>
      </c>
      <c r="C15" s="15" t="s">
        <v>238</v>
      </c>
      <c r="D15" s="21" t="s">
        <v>90</v>
      </c>
      <c r="E15" s="21" t="s">
        <v>40</v>
      </c>
      <c r="F15" s="120">
        <f t="shared" si="0"/>
        <v>2.3858199999999999E-4</v>
      </c>
      <c r="G15" s="91">
        <v>6.7000000000000002E-6</v>
      </c>
      <c r="H15" s="92">
        <v>9.9999999999999995E-7</v>
      </c>
      <c r="I15" s="93">
        <v>2.0699999999999999E-4</v>
      </c>
      <c r="J15" s="93">
        <v>2.0699999999999998E-5</v>
      </c>
      <c r="K15" s="93">
        <v>1.28E-6</v>
      </c>
      <c r="L15" s="93"/>
      <c r="M15" s="93">
        <v>3.5199999999999998E-7</v>
      </c>
      <c r="N15" s="93">
        <v>1.55E-6</v>
      </c>
      <c r="O15" s="93"/>
      <c r="P15" s="93"/>
      <c r="Q15" s="12"/>
      <c r="R15" s="151">
        <f>'Parameters SH, country spec'!B24</f>
        <v>2.3959170998341588E-4</v>
      </c>
      <c r="S15" s="151">
        <f>'Parameters SH, country spec'!B42</f>
        <v>2.3959170998341588E-4</v>
      </c>
      <c r="T15" s="264">
        <f>'Parameters D24m, country spec'!B20</f>
        <v>2.3959170998341588E-4</v>
      </c>
    </row>
    <row r="16" spans="1:21" x14ac:dyDescent="0.3">
      <c r="B16" s="16" t="s">
        <v>120</v>
      </c>
      <c r="C16" s="15" t="s">
        <v>240</v>
      </c>
      <c r="D16" s="21" t="s">
        <v>90</v>
      </c>
      <c r="E16" s="21" t="s">
        <v>40</v>
      </c>
      <c r="F16" s="120">
        <f t="shared" si="0"/>
        <v>1.5426052012212825E-3</v>
      </c>
      <c r="G16" s="32">
        <f>'Off-farm feed'!$F$77</f>
        <v>3.5160526410462907E-4</v>
      </c>
      <c r="H16" s="32">
        <f>'Off-farm feed'!$G$77</f>
        <v>5.3103448275862083E-7</v>
      </c>
      <c r="I16" s="32">
        <f>'Off-farm feed'!$H$77</f>
        <v>1.0756102664162708E-3</v>
      </c>
      <c r="J16" s="32">
        <f>'Off-farm feed'!$I$77</f>
        <v>1.0756102664162706E-4</v>
      </c>
      <c r="K16" s="32">
        <f>'Off-farm feed'!$J$77</f>
        <v>6.6339607025480414E-7</v>
      </c>
      <c r="L16" s="32"/>
      <c r="M16" s="32">
        <f>'Off-farm feed'!$L$77</f>
        <v>7.9511067188965511E-9</v>
      </c>
      <c r="N16" s="32">
        <f>'Off-farm feed'!$M$77</f>
        <v>1.2789681892721844E-6</v>
      </c>
      <c r="O16" s="32"/>
      <c r="P16" s="32">
        <f>'Off-farm feed'!$O$77</f>
        <v>4.8776996151562902E-6</v>
      </c>
      <c r="Q16" s="32">
        <f>'Off-farm feed'!$P$77</f>
        <v>4.6959459459459463E-7</v>
      </c>
      <c r="R16" s="151">
        <f>'Parameters SH, country spec'!B25</f>
        <v>1.5312279516773717E-2</v>
      </c>
      <c r="S16" s="151">
        <f>'Parameters SH, country spec'!B43</f>
        <v>1.5312279516773717E-2</v>
      </c>
      <c r="T16" s="264">
        <f>'Parameters D24m, country spec'!B21</f>
        <v>1.5312279516773717E-2</v>
      </c>
    </row>
    <row r="17" spans="1:20" x14ac:dyDescent="0.3">
      <c r="B17" s="16" t="s">
        <v>241</v>
      </c>
      <c r="C17" s="15" t="s">
        <v>240</v>
      </c>
      <c r="D17" s="21" t="s">
        <v>90</v>
      </c>
      <c r="E17" s="21" t="s">
        <v>40</v>
      </c>
      <c r="F17" s="120">
        <f t="shared" si="0"/>
        <v>1.8866346644602505E-4</v>
      </c>
      <c r="G17" s="32">
        <f>'Off-farm feed'!$F$26</f>
        <v>1.6332109719061441E-5</v>
      </c>
      <c r="H17" s="32">
        <f>'Off-farm feed'!$G$26</f>
        <v>8.7195121951219526E-7</v>
      </c>
      <c r="I17" s="32">
        <f>'Off-farm feed'!$H$26</f>
        <v>1.3333449845358202E-4</v>
      </c>
      <c r="J17" s="32">
        <f>'Off-farm feed'!$I$26</f>
        <v>1.3333449845358203E-5</v>
      </c>
      <c r="K17" s="32">
        <f>'Off-farm feed'!$J$26</f>
        <v>1.1576736579983931E-6</v>
      </c>
      <c r="L17" s="32"/>
      <c r="M17" s="32">
        <f>'Off-farm feed'!$L$26</f>
        <v>7.3437786087804866E-9</v>
      </c>
      <c r="N17" s="32">
        <f>'Off-farm feed'!$M$26</f>
        <v>1.1195281639512197E-6</v>
      </c>
      <c r="O17" s="32"/>
      <c r="P17" s="32">
        <f>'Off-farm feed'!$O$26</f>
        <v>1.3419073770114991E-5</v>
      </c>
      <c r="Q17" s="32">
        <f>'Off-farm feed'!$P$26</f>
        <v>9.087837837837838E-6</v>
      </c>
      <c r="R17" s="151">
        <f>'Parameters SH, country spec'!B26</f>
        <v>3.7726798982461625E-2</v>
      </c>
      <c r="S17" s="151">
        <f>'Parameters SH, country spec'!B44</f>
        <v>3.7726798982461625E-2</v>
      </c>
      <c r="T17" s="264">
        <f>'Parameters D24m, country spec'!B22</f>
        <v>3.7726798982461625E-2</v>
      </c>
    </row>
    <row r="18" spans="1:20" x14ac:dyDescent="0.3">
      <c r="B18" s="15" t="s">
        <v>122</v>
      </c>
      <c r="C18" s="15" t="s">
        <v>242</v>
      </c>
      <c r="D18" s="21" t="s">
        <v>90</v>
      </c>
      <c r="E18" s="21" t="s">
        <v>40</v>
      </c>
      <c r="F18" s="120"/>
      <c r="G18" s="12"/>
      <c r="H18" s="12"/>
      <c r="I18" s="12"/>
      <c r="J18" s="12"/>
      <c r="K18" s="12"/>
      <c r="L18" s="12"/>
      <c r="M18" s="12"/>
      <c r="N18" s="12"/>
      <c r="O18" s="12"/>
      <c r="P18" s="12"/>
      <c r="Q18" s="12"/>
      <c r="R18" s="151">
        <f>'Parameters SH, country spec'!B27</f>
        <v>1.6611298610472246E-2</v>
      </c>
      <c r="S18" s="151">
        <f>'Parameters SH, country spec'!B45</f>
        <v>1.6611298610472246E-2</v>
      </c>
      <c r="T18" s="264">
        <f>'Parameters D24m, country spec'!B23</f>
        <v>1.6611298610472246E-2</v>
      </c>
    </row>
    <row r="19" spans="1:20" x14ac:dyDescent="0.3">
      <c r="A19" s="75"/>
      <c r="B19" s="15" t="s">
        <v>243</v>
      </c>
      <c r="C19" s="76" t="s">
        <v>244</v>
      </c>
      <c r="D19" s="21" t="s">
        <v>90</v>
      </c>
      <c r="E19" s="21" t="s">
        <v>40</v>
      </c>
      <c r="F19" s="120">
        <f t="shared" si="0"/>
        <v>4.0324678303888001E-5</v>
      </c>
      <c r="G19" s="74">
        <f>SUMPRODUCT(G9:G17,$R9:$R17)</f>
        <v>7.6352139797040955E-6</v>
      </c>
      <c r="H19" s="74">
        <f t="shared" ref="H19:P19" si="1">SUMPRODUCT(H9:H17,$R9:$R17)</f>
        <v>5.2465701119806499E-8</v>
      </c>
      <c r="I19" s="74">
        <f t="shared" si="1"/>
        <v>2.8693552645944921E-5</v>
      </c>
      <c r="J19" s="74">
        <f t="shared" si="1"/>
        <v>2.8693552645944917E-6</v>
      </c>
      <c r="K19" s="74">
        <f t="shared" si="1"/>
        <v>6.2918591269623896E-8</v>
      </c>
      <c r="L19" s="74">
        <f t="shared" si="1"/>
        <v>0</v>
      </c>
      <c r="M19" s="74">
        <f t="shared" si="1"/>
        <v>6.2943763001383629E-10</v>
      </c>
      <c r="N19" s="74">
        <f t="shared" si="1"/>
        <v>7.954969007764368E-8</v>
      </c>
      <c r="O19" s="74">
        <f t="shared" si="1"/>
        <v>0</v>
      </c>
      <c r="P19" s="74">
        <f t="shared" si="1"/>
        <v>5.8094739856208451E-7</v>
      </c>
      <c r="Q19" s="74">
        <f>SUMPRODUCT(Q9:Q17,$R9:$R17)</f>
        <v>3.5004559498531525E-7</v>
      </c>
      <c r="R19" s="151">
        <f>'Parameters SH, country spec'!B28</f>
        <v>1.3754938185521381E-2</v>
      </c>
      <c r="S19" s="151">
        <f>'Parameters SH, country spec'!B46</f>
        <v>1.3754938185521381E-2</v>
      </c>
      <c r="T19" s="264">
        <f>'Parameters D24m, country spec'!B24</f>
        <v>1.3754938185521381E-2</v>
      </c>
    </row>
    <row r="20" spans="1:20" x14ac:dyDescent="0.3">
      <c r="A20" s="328"/>
      <c r="B20" s="329" t="s">
        <v>616</v>
      </c>
      <c r="C20" s="330"/>
      <c r="D20" s="331"/>
      <c r="E20" s="331"/>
      <c r="F20" s="334">
        <f>SUMPRODUCT(F6:F8,R6:R8)+SUMPRODUCT(F9:F19,R9:R19)/0.87</f>
        <v>2.1190935050283713E-4</v>
      </c>
      <c r="G20" s="334">
        <f>SUMPRODUCT(G6:G8,R6:R8)+SUMPRODUCT(G9:G19,R9:R19)/0.87</f>
        <v>2.3877192270332544E-5</v>
      </c>
      <c r="H20" s="334">
        <f>SUMPRODUCT(H6:H8,R6:R8)+SUMPRODUCT(H9:H19,R9:R19)/0.87</f>
        <v>1.0568067871235272E-6</v>
      </c>
      <c r="I20" s="334">
        <f>SUMPRODUCT(I6:I8,R6:R8)+SUMPRODUCT(I9:I19,R9:R19)/0.87</f>
        <v>1.1335848336823321E-4</v>
      </c>
      <c r="J20" s="334">
        <f>SUMPRODUCT(J6:J8,R6:R8)+SUMPRODUCT(J9:J19,R9:R19)/0.87</f>
        <v>1.1335848336823321E-5</v>
      </c>
      <c r="K20" s="334">
        <f>SUMPRODUCT(K6:K8,R6:R8)+SUMPRODUCT(K9:K19,R9:R19)/0.87</f>
        <v>3.6148963508298661E-7</v>
      </c>
      <c r="L20" s="334">
        <f>SUMPRODUCT(L6:L8,R6:R8)+SUMPRODUCT(L9:L19,R9:R19)/0.87</f>
        <v>0</v>
      </c>
      <c r="M20" s="334">
        <f>SUMPRODUCT(M6:M8,R6:R8)+SUMPRODUCT(M9:M19,R9:R19)/0.87</f>
        <v>7.3344311000726172E-10</v>
      </c>
      <c r="N20" s="334">
        <f>SUMPRODUCT(N6:N8,R6:R8)+SUMPRODUCT(N9:N19,R9:R19)/0.87</f>
        <v>9.2694127755562131E-8</v>
      </c>
      <c r="O20" s="334">
        <f>SUMPRODUCT(O6:O8,R6:R8)+SUMPRODUCT(O9:O19,R9:R19)/0.87</f>
        <v>0</v>
      </c>
      <c r="P20" s="334">
        <f>SUMPRODUCT(P6:P8,R6:R8)+SUMPRODUCT(P9:P19,R9:R19)/0.87</f>
        <v>6.1418216959081194E-5</v>
      </c>
      <c r="Q20" s="334">
        <f>SUMPRODUCT(Q6:Q8,R6:R8)+SUMPRODUCT(Q9:Q19,R9:R19)/0.87</f>
        <v>4.0788557529477278E-7</v>
      </c>
      <c r="R20" s="335"/>
      <c r="S20" s="335"/>
      <c r="T20" s="335"/>
    </row>
    <row r="21" spans="1:20" x14ac:dyDescent="0.3">
      <c r="A21" s="150"/>
      <c r="B21" s="23" t="s">
        <v>457</v>
      </c>
      <c r="C21" s="24"/>
      <c r="D21" s="94"/>
      <c r="E21" s="94"/>
      <c r="F21" s="28">
        <f>SUMPRODUCT(F6:F8,S6:S8)+SUMPRODUCT(F9:F19,S9:S19)/0.87</f>
        <v>2.1190935050283713E-4</v>
      </c>
      <c r="G21" s="28">
        <f>SUMPRODUCT(G6:G8,S6:S8)+SUMPRODUCT(G9:G19,S9:S19)/0.87</f>
        <v>2.3877192270332544E-5</v>
      </c>
      <c r="H21" s="28">
        <f>SUMPRODUCT(H6:H8,S6:S8)+SUMPRODUCT(H9:H19,S9:S19)/0.87</f>
        <v>1.0568067871235272E-6</v>
      </c>
      <c r="I21" s="28">
        <f>SUMPRODUCT(I6:I8,S6:S8)+SUMPRODUCT(I9:I19,S9:S19)/0.87</f>
        <v>1.1335848336823321E-4</v>
      </c>
      <c r="J21" s="28">
        <f>SUMPRODUCT(J6:J8,S6:S8)+SUMPRODUCT(J9:J19,S9:S19)/0.87</f>
        <v>1.1335848336823321E-5</v>
      </c>
      <c r="K21" s="28">
        <f>SUMPRODUCT(K6:K8,S6:S8)+SUMPRODUCT(K9:K19,S9:S19)/0.87</f>
        <v>3.6148963508298661E-7</v>
      </c>
      <c r="L21" s="28">
        <f>SUMPRODUCT(L6:L8,S6:S8)+SUMPRODUCT(L9:L19,S9:S19)/0.87</f>
        <v>0</v>
      </c>
      <c r="M21" s="28">
        <f>SUMPRODUCT(M6:M8,S6:S8)+SUMPRODUCT(M9:M19,S9:S19)/0.87</f>
        <v>7.3344311000726172E-10</v>
      </c>
      <c r="N21" s="28">
        <f>SUMPRODUCT(N6:N8,S6:S8)+SUMPRODUCT(N9:N19,S9:S19)/0.87</f>
        <v>9.2694127755562131E-8</v>
      </c>
      <c r="O21" s="28">
        <f>SUMPRODUCT(O6:O8,S6:S8)+SUMPRODUCT(O9:O19,S9:S19)/0.87</f>
        <v>0</v>
      </c>
      <c r="P21" s="28">
        <f>SUMPRODUCT(P6:P8,S6:S8)+SUMPRODUCT(P9:P19,S9:S19)/0.87</f>
        <v>6.1418216959081194E-5</v>
      </c>
      <c r="Q21" s="28">
        <f>SUMPRODUCT(Q6:Q8,S6:S8)+SUMPRODUCT(Q9:Q19,S9:S19)/0.87</f>
        <v>4.0788557529477278E-7</v>
      </c>
      <c r="R21" s="152"/>
      <c r="S21" s="152"/>
      <c r="T21" s="152"/>
    </row>
    <row r="22" spans="1:20" x14ac:dyDescent="0.3">
      <c r="A22" s="328"/>
      <c r="B22" s="329" t="s">
        <v>641</v>
      </c>
      <c r="C22" s="330"/>
      <c r="D22" s="331"/>
      <c r="E22" s="331"/>
      <c r="F22" s="332">
        <f>SUMPRODUCT(F6:F8,$T6:$T8)+SUMPRODUCT(F9:F19,$T9:$T19)/0.87</f>
        <v>2.1190935050283713E-4</v>
      </c>
      <c r="G22" s="332">
        <f t="shared" ref="G22:O22" si="2">SUMPRODUCT(G6:G8,$T6:$T8)+SUMPRODUCT(G9:G19,$T9:$T19)/0.87</f>
        <v>2.3877192270332544E-5</v>
      </c>
      <c r="H22" s="332">
        <f t="shared" si="2"/>
        <v>1.0568067871235272E-6</v>
      </c>
      <c r="I22" s="332">
        <f t="shared" si="2"/>
        <v>1.1335848336823321E-4</v>
      </c>
      <c r="J22" s="332">
        <f t="shared" si="2"/>
        <v>1.1335848336823321E-5</v>
      </c>
      <c r="K22" s="332">
        <f t="shared" si="2"/>
        <v>3.6148963508298661E-7</v>
      </c>
      <c r="L22" s="332">
        <f t="shared" si="2"/>
        <v>0</v>
      </c>
      <c r="M22" s="332">
        <f t="shared" si="2"/>
        <v>7.3344311000726172E-10</v>
      </c>
      <c r="N22" s="332">
        <f t="shared" si="2"/>
        <v>9.2694127755562131E-8</v>
      </c>
      <c r="O22" s="332">
        <f t="shared" si="2"/>
        <v>0</v>
      </c>
      <c r="P22" s="332">
        <f>SUMPRODUCT(P6:P8,$T6:$T8)+SUMPRODUCT(P9:P19,$T9:$T19)/0.87</f>
        <v>6.1418216959081194E-5</v>
      </c>
      <c r="Q22" s="332">
        <f t="shared" ref="Q22" si="3">SUMPRODUCT(Q6:Q8,$T6:$T8)+SUMPRODUCT(Q9:Q19,$T9:$T19)/0.87</f>
        <v>4.0788557529477278E-7</v>
      </c>
      <c r="R22" s="335"/>
      <c r="S22" s="335"/>
      <c r="T22" s="335"/>
    </row>
    <row r="23" spans="1:20" x14ac:dyDescent="0.3">
      <c r="A23" s="150"/>
      <c r="B23" s="23" t="s">
        <v>642</v>
      </c>
      <c r="C23" s="24"/>
      <c r="D23" s="94"/>
      <c r="E23" s="94"/>
      <c r="F23" s="327">
        <f>SUMPRODUCT(F6:F8,$U6:$U8)+SUMPRODUCT(F9:F19,$U9:$U19)/0.87</f>
        <v>0</v>
      </c>
      <c r="G23" s="327">
        <f t="shared" ref="G23:K23" si="4">SUMPRODUCT(G6:G8,$U6:$U8)+SUMPRODUCT(G9:G19,$U9:$U19)/0.87</f>
        <v>0</v>
      </c>
      <c r="H23" s="327">
        <f t="shared" si="4"/>
        <v>0</v>
      </c>
      <c r="I23" s="327">
        <f t="shared" si="4"/>
        <v>0</v>
      </c>
      <c r="J23" s="327">
        <f t="shared" si="4"/>
        <v>0</v>
      </c>
      <c r="K23" s="327">
        <f t="shared" si="4"/>
        <v>0</v>
      </c>
      <c r="L23" s="327">
        <f>SUMPRODUCT(L6:L8,$U6:$U8)+SUMPRODUCT(L9:L19,$U9:$U19)/0.87</f>
        <v>0</v>
      </c>
      <c r="M23" s="327">
        <f t="shared" ref="M23:Q23" si="5">SUMPRODUCT(M6:M8,$U6:$U8)+SUMPRODUCT(M9:M19,$U9:$U19)/0.87</f>
        <v>0</v>
      </c>
      <c r="N23" s="327">
        <f t="shared" si="5"/>
        <v>0</v>
      </c>
      <c r="O23" s="327">
        <f t="shared" si="5"/>
        <v>0</v>
      </c>
      <c r="P23" s="327">
        <f t="shared" si="5"/>
        <v>0</v>
      </c>
      <c r="Q23" s="327">
        <f t="shared" si="5"/>
        <v>0</v>
      </c>
      <c r="R23" s="152"/>
      <c r="S23" s="152"/>
      <c r="T23" s="152"/>
    </row>
    <row r="24" spans="1:20" x14ac:dyDescent="0.3">
      <c r="B24" s="16" t="s">
        <v>299</v>
      </c>
      <c r="C24" s="15" t="s">
        <v>302</v>
      </c>
      <c r="D24" s="21" t="s">
        <v>41</v>
      </c>
      <c r="E24" s="21" t="s">
        <v>42</v>
      </c>
      <c r="F24" s="120">
        <f>SUM(G24:Q24)</f>
        <v>2.0526606903337259E-4</v>
      </c>
      <c r="G24" s="27">
        <f>'Forage crops, CF'!F16</f>
        <v>3.9622270994168309E-5</v>
      </c>
      <c r="H24" s="27">
        <f>'Forage crops, CF'!G16</f>
        <v>1.1000000000000001E-6</v>
      </c>
      <c r="I24" s="27">
        <f>'Forage crops, CF'!H16</f>
        <v>1.492448690828462E-4</v>
      </c>
      <c r="J24" s="27">
        <f>'Forage crops, CF'!I16</f>
        <v>1.4924486908284621E-5</v>
      </c>
      <c r="K24" s="27">
        <f>'Forage crops, CF'!J16</f>
        <v>3.521296689696708E-7</v>
      </c>
      <c r="L24" s="27">
        <f>'Forage crops, CF'!K16</f>
        <v>0</v>
      </c>
      <c r="M24" s="27">
        <f>'Forage crops, CF'!L16</f>
        <v>2.231237910379547E-8</v>
      </c>
      <c r="N24" s="27">
        <f>'Forage crops, CF'!M16</f>
        <v>0</v>
      </c>
      <c r="O24" s="27">
        <f>'Forage crops, CF'!N16</f>
        <v>0</v>
      </c>
      <c r="P24" s="27">
        <f>'Forage crops, CF'!O16</f>
        <v>0</v>
      </c>
      <c r="Q24" s="27">
        <f>'Forage crops, CF'!P16</f>
        <v>0</v>
      </c>
      <c r="R24" s="151">
        <f>'Parameters SH, country spec'!C15</f>
        <v>0.18889688285610365</v>
      </c>
      <c r="S24" s="151">
        <f>'Parameters SH, country spec'!C33</f>
        <v>0.18889688285610365</v>
      </c>
      <c r="T24" s="264">
        <f>'Parameters D24m, country spec'!C11</f>
        <v>0.18889688285610365</v>
      </c>
    </row>
    <row r="25" spans="1:20" x14ac:dyDescent="0.3">
      <c r="B25" s="16" t="s">
        <v>300</v>
      </c>
      <c r="C25" s="15" t="s">
        <v>302</v>
      </c>
      <c r="D25" s="21" t="s">
        <v>41</v>
      </c>
      <c r="E25" s="21" t="s">
        <v>42</v>
      </c>
      <c r="F25" s="120">
        <f>SUM(G25:Q25)</f>
        <v>2.6292744135242361E-4</v>
      </c>
      <c r="G25" s="27">
        <f>'Forage crops, CF'!F81</f>
        <v>4.0187053386844723E-5</v>
      </c>
      <c r="H25" s="27">
        <f>'Forage crops, CF'!G81</f>
        <v>1.1000000000000001E-6</v>
      </c>
      <c r="I25" s="27">
        <f>'Forage crops, CF'!H81</f>
        <v>1.3916035917453407E-4</v>
      </c>
      <c r="J25" s="27">
        <f>'Forage crops, CF'!I81</f>
        <v>1.3916035917453407E-5</v>
      </c>
      <c r="K25" s="27">
        <f>'Forage crops, CF'!J81</f>
        <v>4.4168049448757817E-7</v>
      </c>
      <c r="L25" s="27"/>
      <c r="M25" s="27">
        <f>'Forage crops, CF'!L81</f>
        <v>2.231237910379547E-8</v>
      </c>
      <c r="N25" s="27">
        <f>'Forage crops, CF'!M81</f>
        <v>0</v>
      </c>
      <c r="O25" s="27"/>
      <c r="P25" s="27">
        <f>'Forage crops, CF'!O81</f>
        <v>6.8099999999999988E-5</v>
      </c>
      <c r="Q25" s="27"/>
      <c r="R25" s="151">
        <f>'Parameters SH, country spec'!C16</f>
        <v>0.36965765773619236</v>
      </c>
      <c r="S25" s="151">
        <f>'Parameters SH, country spec'!C34</f>
        <v>0.36965765773619236</v>
      </c>
      <c r="T25" s="264">
        <f>'Parameters D24m, country spec'!C12</f>
        <v>0.36965765773619236</v>
      </c>
    </row>
    <row r="26" spans="1:20" x14ac:dyDescent="0.3">
      <c r="B26" s="16" t="s">
        <v>301</v>
      </c>
      <c r="C26" s="15" t="s">
        <v>302</v>
      </c>
      <c r="D26" s="21" t="s">
        <v>41</v>
      </c>
      <c r="E26" s="21" t="s">
        <v>42</v>
      </c>
      <c r="F26" s="120">
        <f>SUM(G26:Q26)</f>
        <v>2.5721205923100849E-4</v>
      </c>
      <c r="G26" s="27">
        <f>'Forage crops, CF'!F146*'Forage, input data per ha'!$D$79+'Forage crops, CF'!F211*'Forage, input data per ha'!$E$79</f>
        <v>3.5903158953308976E-5</v>
      </c>
      <c r="H26" s="27">
        <f>'Forage crops, CF'!G146*'Forage, input data per ha'!$D$79+'Forage crops, CF'!G211*'Forage, input data per ha'!$E$79</f>
        <v>1.1000000000000001E-6</v>
      </c>
      <c r="I26" s="27">
        <f>'Forage crops, CF'!H146*'Forage, input data per ha'!$D$79+'Forage crops, CF'!H211*'Forage, input data per ha'!$E$79</f>
        <v>1.3794105129811811E-4</v>
      </c>
      <c r="J26" s="27">
        <f>'Forage crops, CF'!I146*'Forage, input data per ha'!$D$79+'Forage crops, CF'!I211*'Forage, input data per ha'!$E$79</f>
        <v>1.3794105129811812E-5</v>
      </c>
      <c r="K26" s="27">
        <f>'Forage crops, CF'!J146*'Forage, input data per ha'!$D$79+'Forage crops, CF'!J211*'Forage, input data per ha'!$E$79</f>
        <v>3.5143147066577134E-7</v>
      </c>
      <c r="L26" s="27"/>
      <c r="M26" s="27">
        <f>'Forage crops, CF'!L146*'Forage, input data per ha'!$D$79+'Forage crops, CF'!L211*'Forage, input data per ha'!$E$79</f>
        <v>2.231237910379547E-8</v>
      </c>
      <c r="N26" s="27">
        <f>'Forage crops, CF'!M146*'Forage, input data per ha'!$D$79+'Forage crops, CF'!M211*'Forage, input data per ha'!$E$79</f>
        <v>0</v>
      </c>
      <c r="O26" s="27"/>
      <c r="P26" s="27">
        <f>'Forage crops, CF'!O146*'Forage, input data per ha'!$D$79+'Forage crops, CF'!O211*'Forage, input data per ha'!$E$79</f>
        <v>6.8099999999999988E-5</v>
      </c>
      <c r="Q26" s="27"/>
      <c r="R26" s="151">
        <f>'Parameters SH, country spec'!C17</f>
        <v>0.23243726980023638</v>
      </c>
      <c r="S26" s="151">
        <f>'Parameters SH, country spec'!C35</f>
        <v>0.23243726980023638</v>
      </c>
      <c r="T26" s="264">
        <f>'Parameters D24m, country spec'!C13</f>
        <v>0.23243726980023638</v>
      </c>
    </row>
    <row r="27" spans="1:20" x14ac:dyDescent="0.3">
      <c r="A27" s="20" t="s">
        <v>231</v>
      </c>
      <c r="B27" s="15" t="s">
        <v>113</v>
      </c>
      <c r="C27" s="15" t="s">
        <v>232</v>
      </c>
      <c r="D27" s="21" t="s">
        <v>41</v>
      </c>
      <c r="E27" s="21" t="s">
        <v>42</v>
      </c>
      <c r="F27" s="120">
        <f>SUM(G27:Q27)</f>
        <v>6.9794440000000017E-4</v>
      </c>
      <c r="G27" s="91">
        <v>1.8000000000000001E-4</v>
      </c>
      <c r="H27" s="92">
        <v>9.9999999999999995E-7</v>
      </c>
      <c r="I27" s="93">
        <v>4.6799999999999999E-4</v>
      </c>
      <c r="J27" s="93">
        <v>4.6799999999999999E-5</v>
      </c>
      <c r="K27" s="93">
        <v>8.0200000000000001E-7</v>
      </c>
      <c r="L27" s="93"/>
      <c r="M27" s="93">
        <v>1.24E-8</v>
      </c>
      <c r="N27" s="93">
        <v>1.33E-6</v>
      </c>
      <c r="O27" s="93"/>
      <c r="P27" s="93"/>
      <c r="Q27" s="12"/>
      <c r="R27" s="151">
        <f>'Parameters SH, country spec'!C18</f>
        <v>9.8050025013408561E-3</v>
      </c>
      <c r="S27" s="151">
        <f>'Parameters SH, country spec'!C36</f>
        <v>9.8050025013408561E-3</v>
      </c>
      <c r="T27" s="264">
        <f>'Parameters D24m, country spec'!C14</f>
        <v>9.8050025013408561E-3</v>
      </c>
    </row>
    <row r="28" spans="1:20" x14ac:dyDescent="0.3">
      <c r="A28" s="20" t="s">
        <v>233</v>
      </c>
      <c r="B28" s="15" t="s">
        <v>114</v>
      </c>
      <c r="C28" s="15" t="s">
        <v>232</v>
      </c>
      <c r="D28" s="21" t="s">
        <v>41</v>
      </c>
      <c r="E28" s="21" t="s">
        <v>42</v>
      </c>
      <c r="F28" s="120">
        <f t="shared" ref="F28:F37" si="6">SUM(G28:Q28)</f>
        <v>6.5715800000000003E-4</v>
      </c>
      <c r="G28" s="91">
        <v>1.7000000000000001E-4</v>
      </c>
      <c r="H28" s="92">
        <v>9.9999999999999995E-7</v>
      </c>
      <c r="I28" s="93">
        <v>4.4000000000000002E-4</v>
      </c>
      <c r="J28" s="93">
        <v>4.3999999999999999E-5</v>
      </c>
      <c r="K28" s="93">
        <v>5.4700000000000001E-7</v>
      </c>
      <c r="L28" s="93"/>
      <c r="M28" s="93">
        <v>2.8099999999999999E-7</v>
      </c>
      <c r="N28" s="93">
        <v>1.33E-6</v>
      </c>
      <c r="O28" s="93"/>
      <c r="P28" s="93"/>
      <c r="Q28" s="12"/>
      <c r="R28" s="151">
        <f>'Parameters SH, country spec'!C19</f>
        <v>1.6126916347682995E-2</v>
      </c>
      <c r="S28" s="151">
        <f>'Parameters SH, country spec'!C37</f>
        <v>1.6126916347682995E-2</v>
      </c>
      <c r="T28" s="264">
        <f>'Parameters D24m, country spec'!C15</f>
        <v>1.6126916347682995E-2</v>
      </c>
    </row>
    <row r="29" spans="1:20" x14ac:dyDescent="0.3">
      <c r="A29" s="20" t="s">
        <v>234</v>
      </c>
      <c r="B29" s="15" t="s">
        <v>115</v>
      </c>
      <c r="C29" s="15" t="s">
        <v>232</v>
      </c>
      <c r="D29" s="21" t="s">
        <v>41</v>
      </c>
      <c r="E29" s="21" t="s">
        <v>42</v>
      </c>
      <c r="F29" s="120">
        <f t="shared" si="6"/>
        <v>6.6289399999999992E-4</v>
      </c>
      <c r="G29" s="91">
        <v>1.4999999999999999E-4</v>
      </c>
      <c r="H29" s="92">
        <v>9.9999999999999995E-7</v>
      </c>
      <c r="I29" s="93">
        <v>4.6299999999999998E-4</v>
      </c>
      <c r="J29" s="93">
        <v>4.6300000000000001E-5</v>
      </c>
      <c r="K29" s="93">
        <v>1.1000000000000001E-6</v>
      </c>
      <c r="L29" s="93"/>
      <c r="M29" s="93">
        <v>1.6400000000000001E-7</v>
      </c>
      <c r="N29" s="93">
        <v>1.33E-6</v>
      </c>
      <c r="O29" s="93"/>
      <c r="P29" s="93"/>
      <c r="Q29" s="12"/>
      <c r="R29" s="151">
        <f>'Parameters SH, country spec'!C20</f>
        <v>1.1110741938309403E-3</v>
      </c>
      <c r="S29" s="151">
        <f>'Parameters SH, country spec'!C38</f>
        <v>1.1110741938309403E-3</v>
      </c>
      <c r="T29" s="264">
        <f>'Parameters D24m, country spec'!C16</f>
        <v>1.1110741938309403E-3</v>
      </c>
    </row>
    <row r="30" spans="1:20" x14ac:dyDescent="0.3">
      <c r="A30" s="20" t="s">
        <v>235</v>
      </c>
      <c r="B30" s="15" t="s">
        <v>116</v>
      </c>
      <c r="C30" s="15" t="s">
        <v>232</v>
      </c>
      <c r="D30" s="21" t="s">
        <v>41</v>
      </c>
      <c r="E30" s="21" t="s">
        <v>42</v>
      </c>
      <c r="F30" s="120">
        <f t="shared" si="6"/>
        <v>6.0983308999999991E-4</v>
      </c>
      <c r="G30" s="91">
        <v>1.3999999999999999E-4</v>
      </c>
      <c r="H30" s="92">
        <v>9.9999999999999995E-7</v>
      </c>
      <c r="I30" s="93">
        <v>4.2400000000000001E-4</v>
      </c>
      <c r="J30" s="93">
        <v>4.2400000000000001E-5</v>
      </c>
      <c r="K30" s="93">
        <v>1.1000000000000001E-6</v>
      </c>
      <c r="L30" s="93"/>
      <c r="M30" s="93">
        <v>3.0899999999999999E-9</v>
      </c>
      <c r="N30" s="93">
        <v>1.33E-6</v>
      </c>
      <c r="O30" s="93"/>
      <c r="P30" s="93"/>
      <c r="Q30" s="12"/>
      <c r="R30" s="151">
        <f>'Parameters SH, country spec'!C21</f>
        <v>1.7062794715375247E-4</v>
      </c>
      <c r="S30" s="151">
        <f>'Parameters SH, country spec'!C39</f>
        <v>1.7062794715375247E-4</v>
      </c>
      <c r="T30" s="264">
        <f>'Parameters D24m, country spec'!C17</f>
        <v>1.7062794715375247E-4</v>
      </c>
    </row>
    <row r="31" spans="1:20" x14ac:dyDescent="0.3">
      <c r="A31" s="20" t="s">
        <v>236</v>
      </c>
      <c r="B31" s="15" t="s">
        <v>117</v>
      </c>
      <c r="C31" s="15" t="s">
        <v>232</v>
      </c>
      <c r="D31" s="21" t="s">
        <v>41</v>
      </c>
      <c r="E31" s="21" t="s">
        <v>42</v>
      </c>
      <c r="F31" s="120">
        <f t="shared" si="6"/>
        <v>7.9156026000000001E-4</v>
      </c>
      <c r="G31" s="91">
        <v>2.0000000000000001E-4</v>
      </c>
      <c r="H31" s="92">
        <v>9.9999999999999995E-7</v>
      </c>
      <c r="I31" s="93">
        <v>5.3499999999999999E-4</v>
      </c>
      <c r="J31" s="93">
        <v>5.3499999999999999E-5</v>
      </c>
      <c r="K31" s="93">
        <v>7.2099999999999996E-7</v>
      </c>
      <c r="L31" s="93"/>
      <c r="M31" s="93">
        <v>9.2599999999999999E-9</v>
      </c>
      <c r="N31" s="93">
        <v>1.33E-6</v>
      </c>
      <c r="O31" s="93"/>
      <c r="P31" s="93"/>
      <c r="Q31" s="12"/>
      <c r="R31" s="151">
        <f>'Parameters SH, country spec'!C22</f>
        <v>2.3886940717374589E-2</v>
      </c>
      <c r="S31" s="151">
        <f>'Parameters SH, country spec'!C40</f>
        <v>2.3886940717374589E-2</v>
      </c>
      <c r="T31" s="264">
        <f>'Parameters D24m, country spec'!C18</f>
        <v>2.3886940717374589E-2</v>
      </c>
    </row>
    <row r="32" spans="1:20" x14ac:dyDescent="0.3">
      <c r="A32" s="20" t="s">
        <v>237</v>
      </c>
      <c r="B32" s="15" t="s">
        <v>118</v>
      </c>
      <c r="C32" s="15" t="s">
        <v>238</v>
      </c>
      <c r="D32" s="21" t="s">
        <v>41</v>
      </c>
      <c r="E32" s="21" t="s">
        <v>42</v>
      </c>
      <c r="F32" s="120">
        <f t="shared" si="6"/>
        <v>3.4258030000000004E-4</v>
      </c>
      <c r="G32" s="91">
        <v>0</v>
      </c>
      <c r="H32" s="92">
        <v>9.9999999999999995E-7</v>
      </c>
      <c r="I32" s="93">
        <v>3.0800000000000001E-4</v>
      </c>
      <c r="J32" s="93">
        <v>3.0800000000000003E-5</v>
      </c>
      <c r="K32" s="93">
        <v>1.37E-6</v>
      </c>
      <c r="L32" s="93"/>
      <c r="M32" s="93">
        <v>8.0299999999999998E-8</v>
      </c>
      <c r="N32" s="93">
        <v>1.33E-6</v>
      </c>
      <c r="O32" s="93"/>
      <c r="P32" s="93"/>
      <c r="Q32" s="12"/>
      <c r="R32" s="151">
        <f>'Parameters SH, country spec'!C23</f>
        <v>0</v>
      </c>
      <c r="S32" s="151">
        <f>'Parameters SH, country spec'!C41</f>
        <v>0</v>
      </c>
      <c r="T32" s="264">
        <f>'Parameters D24m, country spec'!C19</f>
        <v>0</v>
      </c>
    </row>
    <row r="33" spans="1:20" x14ac:dyDescent="0.3">
      <c r="A33" s="20" t="s">
        <v>239</v>
      </c>
      <c r="B33" s="15" t="s">
        <v>119</v>
      </c>
      <c r="C33" s="15" t="s">
        <v>238</v>
      </c>
      <c r="D33" s="21" t="s">
        <v>41</v>
      </c>
      <c r="E33" s="21" t="s">
        <v>42</v>
      </c>
      <c r="F33" s="120">
        <f t="shared" si="6"/>
        <v>3.6272900000000006E-4</v>
      </c>
      <c r="G33" s="91">
        <v>8.6000000000000007E-6</v>
      </c>
      <c r="H33" s="92">
        <v>9.9999999999999995E-7</v>
      </c>
      <c r="I33" s="93">
        <v>3.1799999999999998E-4</v>
      </c>
      <c r="J33" s="93">
        <v>3.18E-5</v>
      </c>
      <c r="K33" s="93">
        <v>1.86E-6</v>
      </c>
      <c r="L33" s="93"/>
      <c r="M33" s="93">
        <v>1.3899999999999999E-7</v>
      </c>
      <c r="N33" s="93">
        <v>1.33E-6</v>
      </c>
      <c r="O33" s="93"/>
      <c r="P33" s="93"/>
      <c r="Q33" s="12"/>
      <c r="R33" s="151">
        <f>'Parameters SH, country spec'!C24</f>
        <v>0</v>
      </c>
      <c r="S33" s="151">
        <f>'Parameters SH, country spec'!C42</f>
        <v>0</v>
      </c>
      <c r="T33" s="264">
        <f>'Parameters D24m, country spec'!C20</f>
        <v>0</v>
      </c>
    </row>
    <row r="34" spans="1:20" x14ac:dyDescent="0.3">
      <c r="B34" s="16" t="s">
        <v>120</v>
      </c>
      <c r="C34" s="15" t="s">
        <v>240</v>
      </c>
      <c r="D34" s="21" t="s">
        <v>41</v>
      </c>
      <c r="E34" s="21" t="s">
        <v>42</v>
      </c>
      <c r="F34" s="120">
        <f t="shared" si="6"/>
        <v>1.5426052012212825E-3</v>
      </c>
      <c r="G34" s="32">
        <f>'Off-farm feed'!$F$77</f>
        <v>3.5160526410462907E-4</v>
      </c>
      <c r="H34" s="32">
        <f>'Off-farm feed'!$G$77</f>
        <v>5.3103448275862083E-7</v>
      </c>
      <c r="I34" s="32">
        <f>'Off-farm feed'!$H$77</f>
        <v>1.0756102664162708E-3</v>
      </c>
      <c r="J34" s="32">
        <f>'Off-farm feed'!$I$77</f>
        <v>1.0756102664162706E-4</v>
      </c>
      <c r="K34" s="32">
        <f>'Off-farm feed'!$J$77</f>
        <v>6.6339607025480414E-7</v>
      </c>
      <c r="L34" s="32"/>
      <c r="M34" s="32">
        <f>'Off-farm feed'!$L$77</f>
        <v>7.9511067188965511E-9</v>
      </c>
      <c r="N34" s="32">
        <f>'Off-farm feed'!$M$77</f>
        <v>1.2789681892721844E-6</v>
      </c>
      <c r="O34" s="32"/>
      <c r="P34" s="32">
        <f>'Off-farm feed'!$O$77</f>
        <v>4.8776996151562902E-6</v>
      </c>
      <c r="Q34" s="32">
        <f>'Off-farm feed'!$P$77</f>
        <v>4.6959459459459463E-7</v>
      </c>
      <c r="R34" s="151">
        <f>'Parameters SH, country spec'!C25</f>
        <v>3.0917251771110446E-2</v>
      </c>
      <c r="S34" s="151">
        <f>'Parameters SH, country spec'!C43</f>
        <v>3.0917251771110446E-2</v>
      </c>
      <c r="T34" s="264">
        <f>'Parameters D24m, country spec'!C21</f>
        <v>3.0917251771110446E-2</v>
      </c>
    </row>
    <row r="35" spans="1:20" x14ac:dyDescent="0.3">
      <c r="B35" s="16" t="s">
        <v>241</v>
      </c>
      <c r="C35" s="15" t="s">
        <v>240</v>
      </c>
      <c r="D35" s="21" t="s">
        <v>41</v>
      </c>
      <c r="E35" s="21" t="s">
        <v>42</v>
      </c>
      <c r="F35" s="120">
        <f t="shared" si="6"/>
        <v>1.8866346644602505E-4</v>
      </c>
      <c r="G35" s="32">
        <f>'Off-farm feed'!$F$26</f>
        <v>1.6332109719061441E-5</v>
      </c>
      <c r="H35" s="32">
        <f>'Off-farm feed'!$G$26</f>
        <v>8.7195121951219526E-7</v>
      </c>
      <c r="I35" s="32">
        <f>'Off-farm feed'!$H$26</f>
        <v>1.3333449845358202E-4</v>
      </c>
      <c r="J35" s="32">
        <f>'Off-farm feed'!$I$26</f>
        <v>1.3333449845358203E-5</v>
      </c>
      <c r="K35" s="32">
        <f>'Off-farm feed'!$J$26</f>
        <v>1.1576736579983931E-6</v>
      </c>
      <c r="L35" s="32"/>
      <c r="M35" s="32">
        <f>'Off-farm feed'!$L$26</f>
        <v>7.3437786087804866E-9</v>
      </c>
      <c r="N35" s="32">
        <f>'Off-farm feed'!$M$26</f>
        <v>1.1195281639512197E-6</v>
      </c>
      <c r="O35" s="32"/>
      <c r="P35" s="32">
        <f>'Off-farm feed'!$O$26</f>
        <v>1.3419073770114991E-5</v>
      </c>
      <c r="Q35" s="32">
        <f>'Off-farm feed'!$P$26</f>
        <v>9.087837837837838E-6</v>
      </c>
      <c r="R35" s="151">
        <f>'Parameters SH, country spec'!C26</f>
        <v>2.7855163642864746E-2</v>
      </c>
      <c r="S35" s="151">
        <f>'Parameters SH, country spec'!C44</f>
        <v>2.7855163642864746E-2</v>
      </c>
      <c r="T35" s="264">
        <f>'Parameters D24m, country spec'!C22</f>
        <v>2.7855163642864746E-2</v>
      </c>
    </row>
    <row r="36" spans="1:20" x14ac:dyDescent="0.3">
      <c r="B36" s="15" t="s">
        <v>122</v>
      </c>
      <c r="C36" s="15" t="s">
        <v>242</v>
      </c>
      <c r="D36" s="21" t="s">
        <v>41</v>
      </c>
      <c r="E36" s="21" t="s">
        <v>42</v>
      </c>
      <c r="F36" s="120"/>
      <c r="G36" s="12"/>
      <c r="H36" s="12"/>
      <c r="I36" s="12"/>
      <c r="J36" s="12"/>
      <c r="K36" s="12"/>
      <c r="L36" s="12"/>
      <c r="M36" s="12"/>
      <c r="N36" s="12"/>
      <c r="O36" s="12"/>
      <c r="P36" s="12"/>
      <c r="Q36" s="12"/>
      <c r="R36" s="151">
        <f>'Parameters SH, country spec'!C27</f>
        <v>5.6499694118849607E-2</v>
      </c>
      <c r="S36" s="151">
        <f>'Parameters SH, country spec'!C45</f>
        <v>5.6499694118849607E-2</v>
      </c>
      <c r="T36" s="264">
        <f>'Parameters D24m, country spec'!C23</f>
        <v>5.6499694118849607E-2</v>
      </c>
    </row>
    <row r="37" spans="1:20" x14ac:dyDescent="0.3">
      <c r="A37" s="75"/>
      <c r="B37" s="15" t="s">
        <v>243</v>
      </c>
      <c r="C37" s="76" t="s">
        <v>244</v>
      </c>
      <c r="D37" s="21" t="s">
        <v>41</v>
      </c>
      <c r="E37" s="21" t="s">
        <v>42</v>
      </c>
      <c r="F37" s="120">
        <f t="shared" si="6"/>
        <v>9.0138175791622656E-5</v>
      </c>
      <c r="G37" s="74">
        <f>SUMPRODUCT(G27:G35,$R27:$R35)</f>
        <v>2.0800015477726828E-5</v>
      </c>
      <c r="H37" s="74">
        <f t="shared" ref="H37:P37" si="7">SUMPRODUCT(H27:H35,$R27:$R35)</f>
        <v>9.1807032418080487E-8</v>
      </c>
      <c r="I37" s="74">
        <f t="shared" si="7"/>
        <v>6.2019838936787217E-5</v>
      </c>
      <c r="J37" s="74">
        <f t="shared" si="7"/>
        <v>6.2019838936787207E-6</v>
      </c>
      <c r="K37" s="74">
        <f t="shared" si="7"/>
        <v>8.8074964377180332E-8</v>
      </c>
      <c r="L37" s="74">
        <f t="shared" si="7"/>
        <v>0</v>
      </c>
      <c r="M37" s="74">
        <f t="shared" si="7"/>
        <v>5.5075705270950595E-9</v>
      </c>
      <c r="N37" s="74">
        <f t="shared" si="7"/>
        <v>1.3869056879544608E-7</v>
      </c>
      <c r="O37" s="74">
        <f t="shared" si="7"/>
        <v>0</v>
      </c>
      <c r="P37" s="74">
        <f t="shared" si="7"/>
        <v>5.2459556286786257E-7</v>
      </c>
      <c r="Q37" s="74">
        <f>SUMPRODUCT(Q27:Q35,$R27:$R35)</f>
        <v>2.676617844442247E-7</v>
      </c>
      <c r="R37" s="151">
        <f>'Parameters SH, country spec'!C28</f>
        <v>4.2635518367259616E-2</v>
      </c>
      <c r="S37" s="151">
        <f>'Parameters SH, country spec'!C46</f>
        <v>4.2635518367259616E-2</v>
      </c>
      <c r="T37" s="264">
        <f>'Parameters D24m, country spec'!C24</f>
        <v>4.2635518367259616E-2</v>
      </c>
    </row>
    <row r="38" spans="1:20" x14ac:dyDescent="0.3">
      <c r="A38" s="328"/>
      <c r="B38" s="329" t="s">
        <v>616</v>
      </c>
      <c r="C38" s="330"/>
      <c r="D38" s="331"/>
      <c r="E38" s="331"/>
      <c r="F38" s="334">
        <f>SUMPRODUCT(F24:F26,R24:R26)+SUMPRODUCT(F27:F37,R27:R37)/0.87</f>
        <v>3.0377737249566005E-4</v>
      </c>
      <c r="G38" s="334">
        <f>SUMPRODUCT(G24:G26,R24:R26)+SUMPRODUCT(G27:G37,R27:R37)/0.87</f>
        <v>5.5612604212476637E-5</v>
      </c>
      <c r="H38" s="334">
        <f>SUMPRODUCT(H24:H26,R24:R26)+SUMPRODUCT(H27:H37,R27:R37)/0.87</f>
        <v>9.8011544296625119E-7</v>
      </c>
      <c r="I38" s="334">
        <f>SUMPRODUCT(I24:I26,R24:R26)+SUMPRODUCT(I27:I37,R27:R37)/0.87</f>
        <v>1.860227610197149E-4</v>
      </c>
      <c r="J38" s="334">
        <f>SUMPRODUCT(J24:J26,R24:R26)+SUMPRODUCT(J27:J37,R27:R37)/0.87</f>
        <v>1.8602276101971492E-5</v>
      </c>
      <c r="K38" s="334">
        <f>SUMPRODUCT(K24:K26,R24:R26)+SUMPRODUCT(K27:K37,R27:R37)/0.87</f>
        <v>4.1702436860078996E-7</v>
      </c>
      <c r="L38" s="334">
        <f>SUMPRODUCT(L24:L26,R24:R26)+SUMPRODUCT(L27:L37,R27:R37)/0.87</f>
        <v>0</v>
      </c>
      <c r="M38" s="334">
        <f>SUMPRODUCT(M24:M26,R24:R26)+SUMPRODUCT(M27:M37,R27:R37)/0.87</f>
        <v>2.424935586729408E-8</v>
      </c>
      <c r="N38" s="334">
        <f>SUMPRODUCT(N24:N26,R24:R26)+SUMPRODUCT(N27:N37,R27:R37)/0.87</f>
        <v>1.6621116446975861E-7</v>
      </c>
      <c r="O38" s="334">
        <f>SUMPRODUCT(O24:O26,R24:R26)+SUMPRODUCT(O27:O37,R27:R37)/0.87</f>
        <v>0</v>
      </c>
      <c r="P38" s="334">
        <f>SUMPRODUCT(P24:P26,R24:R26)+SUMPRODUCT(P27:P37,R27:R37)/0.87</f>
        <v>4.1631356480890442E-5</v>
      </c>
      <c r="Q38" s="334">
        <f>SUMPRODUCT(Q24:Q26,R24:R26)+SUMPRODUCT(Q27:Q37,R27:R37)/0.87</f>
        <v>3.2077434870242518E-7</v>
      </c>
      <c r="R38" s="335"/>
      <c r="S38" s="336"/>
      <c r="T38" s="336"/>
    </row>
    <row r="39" spans="1:20" x14ac:dyDescent="0.3">
      <c r="A39" s="150"/>
      <c r="B39" s="23" t="s">
        <v>457</v>
      </c>
      <c r="C39" s="24"/>
      <c r="D39" s="94"/>
      <c r="E39" s="94"/>
      <c r="F39" s="28">
        <f>SUMPRODUCT(F24:F26,S24:S26)+SUMPRODUCT(F27:F37,S27:S37)/0.87</f>
        <v>3.0377737249566005E-4</v>
      </c>
      <c r="G39" s="28">
        <f>SUMPRODUCT(G24:G26,S24:S26)+SUMPRODUCT(G27:G37,S27:S37)/0.87</f>
        <v>5.5612604212476637E-5</v>
      </c>
      <c r="H39" s="28">
        <f>SUMPRODUCT(H24:H26,S24:S26)+SUMPRODUCT(H27:H37,S27:S37)/0.87</f>
        <v>9.8011544296625119E-7</v>
      </c>
      <c r="I39" s="28">
        <f>SUMPRODUCT(I24:I26,S24:S26)+SUMPRODUCT(I27:I37,S27:S37)/0.87</f>
        <v>1.860227610197149E-4</v>
      </c>
      <c r="J39" s="28">
        <f>SUMPRODUCT(J24:J26,S24:S26)+SUMPRODUCT(J27:J37,S27:S37)/0.87</f>
        <v>1.8602276101971492E-5</v>
      </c>
      <c r="K39" s="28">
        <f>SUMPRODUCT(K24:K26,S24:S26)+SUMPRODUCT(K27:K37,S27:S37)/0.87</f>
        <v>4.1702436860078996E-7</v>
      </c>
      <c r="L39" s="28">
        <f>SUMPRODUCT(L24:L26,S24:S26)+SUMPRODUCT(L27:L37,S27:S37)/0.87</f>
        <v>0</v>
      </c>
      <c r="M39" s="28">
        <f>SUMPRODUCT(M24:M26,S24:S26)+SUMPRODUCT(M27:M37,S27:S37)/0.87</f>
        <v>2.424935586729408E-8</v>
      </c>
      <c r="N39" s="28">
        <f>SUMPRODUCT(N24:N26,S24:S26)+SUMPRODUCT(N27:N37,S27:S37)/0.87</f>
        <v>1.6621116446975861E-7</v>
      </c>
      <c r="O39" s="28">
        <f>SUMPRODUCT(O24:O26,S24:S26)+SUMPRODUCT(O27:O37,S27:S37)/0.87</f>
        <v>0</v>
      </c>
      <c r="P39" s="28">
        <f>SUMPRODUCT(P24:P26,S24:S26)+SUMPRODUCT(P27:P37,S27:S37)/0.87</f>
        <v>4.1631356480890442E-5</v>
      </c>
      <c r="Q39" s="28">
        <f>SUMPRODUCT(Q24:Q26,S24:S26)+SUMPRODUCT(Q27:Q37,S27:S37)/0.87</f>
        <v>3.2077434870242518E-7</v>
      </c>
      <c r="R39" s="152"/>
      <c r="S39" s="152"/>
      <c r="T39" s="152"/>
    </row>
    <row r="40" spans="1:20" x14ac:dyDescent="0.3">
      <c r="A40" s="328"/>
      <c r="B40" s="329" t="s">
        <v>641</v>
      </c>
      <c r="C40" s="330"/>
      <c r="D40" s="331"/>
      <c r="E40" s="331"/>
      <c r="F40" s="332">
        <f>SUMPRODUCT(F24:F26,$T24:$T26)+SUMPRODUCT(F27:F37,$T27:$T37)/0.87</f>
        <v>3.0377737249566005E-4</v>
      </c>
      <c r="G40" s="332">
        <f t="shared" ref="G40:O40" si="8">SUMPRODUCT(G24:G26,$T24:$T26)+SUMPRODUCT(G27:G37,$T27:$T37)/0.87</f>
        <v>5.5612604212476637E-5</v>
      </c>
      <c r="H40" s="332">
        <f t="shared" si="8"/>
        <v>9.8011544296625119E-7</v>
      </c>
      <c r="I40" s="332">
        <f t="shared" si="8"/>
        <v>1.860227610197149E-4</v>
      </c>
      <c r="J40" s="332">
        <f t="shared" si="8"/>
        <v>1.8602276101971492E-5</v>
      </c>
      <c r="K40" s="332">
        <f t="shared" si="8"/>
        <v>4.1702436860078996E-7</v>
      </c>
      <c r="L40" s="332">
        <f t="shared" si="8"/>
        <v>0</v>
      </c>
      <c r="M40" s="332">
        <f t="shared" si="8"/>
        <v>2.424935586729408E-8</v>
      </c>
      <c r="N40" s="332">
        <f t="shared" si="8"/>
        <v>1.6621116446975861E-7</v>
      </c>
      <c r="O40" s="332">
        <f t="shared" si="8"/>
        <v>0</v>
      </c>
      <c r="P40" s="332">
        <f>SUMPRODUCT(P24:P26,$T24:$T26)+SUMPRODUCT(P27:P37,$T27:$T37)/0.87</f>
        <v>4.1631356480890442E-5</v>
      </c>
      <c r="Q40" s="332">
        <f t="shared" ref="Q40" si="9">SUMPRODUCT(Q24:Q26,$T24:$T26)+SUMPRODUCT(Q27:Q37,$T27:$T37)/0.87</f>
        <v>3.2077434870242518E-7</v>
      </c>
      <c r="R40" s="335"/>
      <c r="S40" s="335"/>
      <c r="T40" s="335"/>
    </row>
    <row r="41" spans="1:20" x14ac:dyDescent="0.3">
      <c r="A41" s="150"/>
      <c r="B41" s="23" t="s">
        <v>642</v>
      </c>
      <c r="C41" s="24"/>
      <c r="D41" s="94"/>
      <c r="E41" s="94"/>
      <c r="F41" s="327">
        <f>SUMPRODUCT(F24:F26,$U24:$U26)+SUMPRODUCT(F27:F37,$U27:$U37)/0.87</f>
        <v>0</v>
      </c>
      <c r="G41" s="327">
        <f t="shared" ref="G41:K41" si="10">SUMPRODUCT(G24:G26,$U24:$U26)+SUMPRODUCT(G27:G37,$U27:$U37)/0.87</f>
        <v>0</v>
      </c>
      <c r="H41" s="327">
        <f t="shared" si="10"/>
        <v>0</v>
      </c>
      <c r="I41" s="327">
        <f t="shared" si="10"/>
        <v>0</v>
      </c>
      <c r="J41" s="327">
        <f t="shared" si="10"/>
        <v>0</v>
      </c>
      <c r="K41" s="327">
        <f t="shared" si="10"/>
        <v>0</v>
      </c>
      <c r="L41" s="327">
        <f>SUMPRODUCT(L24:L26,$U24:$U26)+SUMPRODUCT(L27:L37,$U27:$U37)/0.87</f>
        <v>0</v>
      </c>
      <c r="M41" s="327">
        <f t="shared" ref="M41:Q41" si="11">SUMPRODUCT(M24:M26,$U24:$U26)+SUMPRODUCT(M27:M37,$U27:$U37)/0.87</f>
        <v>0</v>
      </c>
      <c r="N41" s="327">
        <f t="shared" si="11"/>
        <v>0</v>
      </c>
      <c r="O41" s="327">
        <f t="shared" si="11"/>
        <v>0</v>
      </c>
      <c r="P41" s="327">
        <f t="shared" si="11"/>
        <v>0</v>
      </c>
      <c r="Q41" s="327">
        <f t="shared" si="11"/>
        <v>0</v>
      </c>
      <c r="R41" s="152"/>
      <c r="S41" s="152"/>
      <c r="T41" s="152"/>
    </row>
    <row r="42" spans="1:20" x14ac:dyDescent="0.3">
      <c r="B42" s="16" t="s">
        <v>299</v>
      </c>
      <c r="C42" s="15" t="s">
        <v>302</v>
      </c>
      <c r="D42" s="21" t="s">
        <v>43</v>
      </c>
      <c r="E42" s="21" t="s">
        <v>44</v>
      </c>
      <c r="F42" s="120">
        <f>SUM(G42:Q42)</f>
        <v>2.3482182282842832E-4</v>
      </c>
      <c r="G42" s="27">
        <f>'Forage crops, CF'!F21</f>
        <v>4.6431822132832091E-5</v>
      </c>
      <c r="H42" s="27">
        <f>'Forage crops, CF'!G21</f>
        <v>1.1000000000000001E-6</v>
      </c>
      <c r="I42" s="27">
        <f>'Forage crops, CF'!H21</f>
        <v>1.6994172478968788E-4</v>
      </c>
      <c r="J42" s="27">
        <f>'Forage crops, CF'!I21</f>
        <v>1.6994172478968787E-5</v>
      </c>
      <c r="K42" s="27">
        <f>'Forage crops, CF'!J21</f>
        <v>3.5369766433412225E-7</v>
      </c>
      <c r="L42" s="27">
        <f>'Forage crops, CF'!K21</f>
        <v>0</v>
      </c>
      <c r="M42" s="27">
        <f>'Forage crops, CF'!L21</f>
        <v>4.0576260543632219E-10</v>
      </c>
      <c r="N42" s="27">
        <f>'Forage crops, CF'!M21</f>
        <v>0</v>
      </c>
      <c r="O42" s="27">
        <f>'Forage crops, CF'!N21</f>
        <v>0</v>
      </c>
      <c r="P42" s="27">
        <f>'Forage crops, CF'!O21</f>
        <v>0</v>
      </c>
      <c r="Q42" s="27">
        <f>'Forage crops, CF'!P21</f>
        <v>0</v>
      </c>
      <c r="R42" s="151">
        <f>'Parameters SH, country spec'!D15</f>
        <v>0.26457370102986028</v>
      </c>
      <c r="S42" s="151">
        <f>'Parameters SH, country spec'!D33</f>
        <v>0.26457370102986028</v>
      </c>
      <c r="T42" s="264">
        <f>'Parameters D24m, country spec'!D11</f>
        <v>0.26457370102986028</v>
      </c>
    </row>
    <row r="43" spans="1:20" x14ac:dyDescent="0.3">
      <c r="B43" s="16" t="s">
        <v>300</v>
      </c>
      <c r="C43" s="15" t="s">
        <v>302</v>
      </c>
      <c r="D43" s="21" t="s">
        <v>43</v>
      </c>
      <c r="E43" s="21" t="s">
        <v>44</v>
      </c>
      <c r="F43" s="120">
        <f>SUM(G43:Q43)</f>
        <v>2.0519135993858823E-4</v>
      </c>
      <c r="G43" s="27">
        <f>'Forage crops, CF'!F86</f>
        <v>2.691792179512361E-5</v>
      </c>
      <c r="H43" s="27">
        <f>'Forage crops, CF'!G86</f>
        <v>1.1000000000000001E-6</v>
      </c>
      <c r="I43" s="27">
        <f>'Forage crops, CF'!H86</f>
        <v>9.8830343830404321E-5</v>
      </c>
      <c r="J43" s="27">
        <f>'Forage crops, CF'!I86</f>
        <v>9.8830343830404331E-6</v>
      </c>
      <c r="K43" s="27">
        <f>'Forage crops, CF'!J86</f>
        <v>3.5965416741445745E-7</v>
      </c>
      <c r="L43" s="27"/>
      <c r="M43" s="27">
        <f>'Forage crops, CF'!L86</f>
        <v>4.0576260543632219E-10</v>
      </c>
      <c r="N43" s="27">
        <f>'Forage crops, CF'!M86</f>
        <v>0</v>
      </c>
      <c r="O43" s="27"/>
      <c r="P43" s="27">
        <f>'Forage crops, CF'!O86</f>
        <v>6.8099999999999988E-5</v>
      </c>
      <c r="Q43" s="27"/>
      <c r="R43" s="151">
        <f>'Parameters SH, country spec'!D16</f>
        <v>0.47771254487501524</v>
      </c>
      <c r="S43" s="151">
        <f>'Parameters SH, country spec'!D34</f>
        <v>0.47771254487501524</v>
      </c>
      <c r="T43" s="264">
        <f>'Parameters D24m, country spec'!D12</f>
        <v>0.47771254487501524</v>
      </c>
    </row>
    <row r="44" spans="1:20" x14ac:dyDescent="0.3">
      <c r="B44" s="16" t="s">
        <v>301</v>
      </c>
      <c r="C44" s="15" t="s">
        <v>302</v>
      </c>
      <c r="D44" s="21" t="s">
        <v>43</v>
      </c>
      <c r="E44" s="21" t="s">
        <v>44</v>
      </c>
      <c r="F44" s="120">
        <f>SUM(G44:Q44)</f>
        <v>2.7558615058748159E-4</v>
      </c>
      <c r="G44" s="27">
        <f>'Forage crops, CF'!F151*'Forage, input data per ha'!$D$80+'Forage crops, CF'!F216*'Forage, input data per ha'!$E$80</f>
        <v>4.0134967983783636E-5</v>
      </c>
      <c r="H44" s="27">
        <f>'Forage crops, CF'!G151*'Forage, input data per ha'!$D$80+'Forage crops, CF'!G216*'Forage, input data per ha'!$E$80</f>
        <v>1.1000000000000001E-6</v>
      </c>
      <c r="I44" s="27">
        <f>'Forage crops, CF'!H151*'Forage, input data per ha'!$D$80+'Forage crops, CF'!H216*'Forage, input data per ha'!$E$80</f>
        <v>1.5080315323393381E-4</v>
      </c>
      <c r="J44" s="27">
        <f>'Forage crops, CF'!I151*'Forage, input data per ha'!$D$80+'Forage crops, CF'!I216*'Forage, input data per ha'!$E$80</f>
        <v>1.5080315323393381E-5</v>
      </c>
      <c r="K44" s="27">
        <f>'Forage crops, CF'!J151*'Forage, input data per ha'!$D$80+'Forage crops, CF'!J216*'Forage, input data per ha'!$E$80</f>
        <v>3.6730828376537743E-7</v>
      </c>
      <c r="L44" s="27"/>
      <c r="M44" s="27">
        <f>'Forage crops, CF'!L151*'Forage, input data per ha'!$D$80+'Forage crops, CF'!L216*'Forage, input data per ha'!$E$80</f>
        <v>4.0576260543632214E-10</v>
      </c>
      <c r="N44" s="27">
        <f>'Forage crops, CF'!M151*'Forage, input data per ha'!$D$80+'Forage crops, CF'!M216*'Forage, input data per ha'!$E$80</f>
        <v>0</v>
      </c>
      <c r="O44" s="27"/>
      <c r="P44" s="27">
        <f>'Forage crops, CF'!O151*'Forage, input data per ha'!$D$80+'Forage crops, CF'!O216*'Forage, input data per ha'!$E$80</f>
        <v>6.8099999999999975E-5</v>
      </c>
      <c r="Q44" s="27"/>
      <c r="R44" s="151">
        <f>'Parameters SH, country spec'!D17</f>
        <v>0.13883749692306407</v>
      </c>
      <c r="S44" s="151">
        <f>'Parameters SH, country spec'!D35</f>
        <v>0.13883749692306407</v>
      </c>
      <c r="T44" s="264">
        <f>'Parameters D24m, country spec'!D13</f>
        <v>0.13883749692306407</v>
      </c>
    </row>
    <row r="45" spans="1:20" x14ac:dyDescent="0.3">
      <c r="A45" s="20" t="s">
        <v>231</v>
      </c>
      <c r="B45" s="15" t="s">
        <v>113</v>
      </c>
      <c r="C45" s="15" t="s">
        <v>232</v>
      </c>
      <c r="D45" s="21" t="s">
        <v>43</v>
      </c>
      <c r="E45" s="21" t="s">
        <v>44</v>
      </c>
      <c r="F45" s="120">
        <f>SUM(G45:Q45)</f>
        <v>6.9154900000000007E-4</v>
      </c>
      <c r="G45" s="91">
        <v>1.8000000000000001E-4</v>
      </c>
      <c r="H45" s="92">
        <v>9.9999999999999995E-7</v>
      </c>
      <c r="I45" s="93">
        <v>4.6200000000000001E-4</v>
      </c>
      <c r="J45" s="93">
        <v>4.6199999999999998E-5</v>
      </c>
      <c r="K45" s="93">
        <v>7.6899999999999996E-7</v>
      </c>
      <c r="L45" s="93"/>
      <c r="M45" s="93">
        <v>0</v>
      </c>
      <c r="N45" s="93">
        <v>1.5799999999999999E-6</v>
      </c>
      <c r="O45" s="93"/>
      <c r="P45" s="93"/>
      <c r="Q45" s="12"/>
      <c r="R45" s="151">
        <f>'Parameters SH, country spec'!D18</f>
        <v>1.298916356294802E-3</v>
      </c>
      <c r="S45" s="151">
        <f>'Parameters SH, country spec'!D36</f>
        <v>1.298916356294802E-3</v>
      </c>
      <c r="T45" s="264">
        <f>'Parameters D24m, country spec'!D14</f>
        <v>1.298916356294802E-3</v>
      </c>
    </row>
    <row r="46" spans="1:20" x14ac:dyDescent="0.3">
      <c r="A46" s="20" t="s">
        <v>233</v>
      </c>
      <c r="B46" s="15" t="s">
        <v>114</v>
      </c>
      <c r="C46" s="15" t="s">
        <v>232</v>
      </c>
      <c r="D46" s="21" t="s">
        <v>43</v>
      </c>
      <c r="E46" s="21" t="s">
        <v>44</v>
      </c>
      <c r="F46" s="120">
        <f t="shared" ref="F46:F55" si="12">SUM(G46:Q46)</f>
        <v>6.5716690000000003E-4</v>
      </c>
      <c r="G46" s="91">
        <v>1.7000000000000001E-4</v>
      </c>
      <c r="H46" s="92">
        <v>9.9999999999999995E-7</v>
      </c>
      <c r="I46" s="93">
        <v>4.4000000000000002E-4</v>
      </c>
      <c r="J46" s="93">
        <v>4.3999999999999999E-5</v>
      </c>
      <c r="K46" s="93">
        <v>5.2200000000000004E-7</v>
      </c>
      <c r="L46" s="93"/>
      <c r="M46" s="93">
        <v>6.4900000000000005E-8</v>
      </c>
      <c r="N46" s="93">
        <v>1.5799999999999999E-6</v>
      </c>
      <c r="O46" s="93"/>
      <c r="P46" s="93"/>
      <c r="Q46" s="12"/>
      <c r="R46" s="151">
        <f>'Parameters SH, country spec'!D19</f>
        <v>1.9338522642940996E-3</v>
      </c>
      <c r="S46" s="151">
        <f>'Parameters SH, country spec'!D37</f>
        <v>1.9338522642940996E-3</v>
      </c>
      <c r="T46" s="264">
        <f>'Parameters D24m, country spec'!D15</f>
        <v>1.9338522642940996E-3</v>
      </c>
    </row>
    <row r="47" spans="1:20" x14ac:dyDescent="0.3">
      <c r="A47" s="20" t="s">
        <v>234</v>
      </c>
      <c r="B47" s="15" t="s">
        <v>115</v>
      </c>
      <c r="C47" s="15" t="s">
        <v>232</v>
      </c>
      <c r="D47" s="21" t="s">
        <v>43</v>
      </c>
      <c r="E47" s="21" t="s">
        <v>44</v>
      </c>
      <c r="F47" s="120">
        <f t="shared" si="12"/>
        <v>6.6303239999999995E-4</v>
      </c>
      <c r="G47" s="91">
        <v>1.4999999999999999E-4</v>
      </c>
      <c r="H47" s="92">
        <v>9.9999999999999995E-7</v>
      </c>
      <c r="I47" s="93">
        <v>4.6299999999999998E-4</v>
      </c>
      <c r="J47" s="93">
        <v>4.6300000000000001E-5</v>
      </c>
      <c r="K47" s="93">
        <v>1.1400000000000001E-6</v>
      </c>
      <c r="L47" s="93"/>
      <c r="M47" s="93">
        <v>1.24E-8</v>
      </c>
      <c r="N47" s="93">
        <v>1.5799999999999999E-6</v>
      </c>
      <c r="O47" s="93"/>
      <c r="P47" s="93"/>
      <c r="Q47" s="12"/>
      <c r="R47" s="151">
        <f>'Parameters SH, country spec'!D20</f>
        <v>2.5855421185781316E-7</v>
      </c>
      <c r="S47" s="151">
        <f>'Parameters SH, country spec'!D38</f>
        <v>2.5855421185781316E-7</v>
      </c>
      <c r="T47" s="264">
        <f>'Parameters D24m, country spec'!D16</f>
        <v>2.5855421185781316E-7</v>
      </c>
    </row>
    <row r="48" spans="1:20" x14ac:dyDescent="0.3">
      <c r="A48" s="20" t="s">
        <v>235</v>
      </c>
      <c r="B48" s="15" t="s">
        <v>116</v>
      </c>
      <c r="C48" s="15" t="s">
        <v>232</v>
      </c>
      <c r="D48" s="21" t="s">
        <v>43</v>
      </c>
      <c r="E48" s="21" t="s">
        <v>44</v>
      </c>
      <c r="F48" s="120">
        <f t="shared" si="12"/>
        <v>6.0995899999999998E-4</v>
      </c>
      <c r="G48" s="91">
        <v>1.3999999999999999E-4</v>
      </c>
      <c r="H48" s="92">
        <v>9.9999999999999995E-7</v>
      </c>
      <c r="I48" s="93">
        <v>4.2400000000000001E-4</v>
      </c>
      <c r="J48" s="93">
        <v>4.2400000000000001E-5</v>
      </c>
      <c r="K48" s="93">
        <v>9.7900000000000007E-7</v>
      </c>
      <c r="L48" s="93"/>
      <c r="M48" s="93">
        <v>0</v>
      </c>
      <c r="N48" s="93">
        <v>1.5799999999999999E-6</v>
      </c>
      <c r="O48" s="93"/>
      <c r="P48" s="93"/>
      <c r="Q48" s="12"/>
      <c r="R48" s="151">
        <f>'Parameters SH, country spec'!D21</f>
        <v>2.1217635552166355E-4</v>
      </c>
      <c r="S48" s="151">
        <f>'Parameters SH, country spec'!D39</f>
        <v>2.1217635552166355E-4</v>
      </c>
      <c r="T48" s="264">
        <f>'Parameters D24m, country spec'!D17</f>
        <v>2.1217635552166355E-4</v>
      </c>
    </row>
    <row r="49" spans="1:20" x14ac:dyDescent="0.3">
      <c r="A49" s="20" t="s">
        <v>236</v>
      </c>
      <c r="B49" s="15" t="s">
        <v>117</v>
      </c>
      <c r="C49" s="15" t="s">
        <v>232</v>
      </c>
      <c r="D49" s="21" t="s">
        <v>43</v>
      </c>
      <c r="E49" s="21" t="s">
        <v>44</v>
      </c>
      <c r="F49" s="120">
        <f t="shared" si="12"/>
        <v>7.9177509000000017E-4</v>
      </c>
      <c r="G49" s="91">
        <v>2.0000000000000001E-4</v>
      </c>
      <c r="H49" s="92">
        <v>9.9999999999999995E-7</v>
      </c>
      <c r="I49" s="93">
        <v>5.3499999999999999E-4</v>
      </c>
      <c r="J49" s="93">
        <v>5.3499999999999999E-5</v>
      </c>
      <c r="K49" s="93">
        <v>6.92E-7</v>
      </c>
      <c r="L49" s="93"/>
      <c r="M49" s="93">
        <v>3.0899999999999999E-9</v>
      </c>
      <c r="N49" s="93">
        <v>1.5799999999999999E-6</v>
      </c>
      <c r="O49" s="93"/>
      <c r="P49" s="93"/>
      <c r="Q49" s="12"/>
      <c r="R49" s="151">
        <f>'Parameters SH, country spec'!D22</f>
        <v>4.3386015699034622E-3</v>
      </c>
      <c r="S49" s="151">
        <f>'Parameters SH, country spec'!D40</f>
        <v>4.3386015699034622E-3</v>
      </c>
      <c r="T49" s="264">
        <f>'Parameters D24m, country spec'!D18</f>
        <v>4.3386015699034622E-3</v>
      </c>
    </row>
    <row r="50" spans="1:20" x14ac:dyDescent="0.3">
      <c r="A50" s="20" t="s">
        <v>237</v>
      </c>
      <c r="B50" s="15" t="s">
        <v>118</v>
      </c>
      <c r="C50" s="15" t="s">
        <v>238</v>
      </c>
      <c r="D50" s="21" t="s">
        <v>43</v>
      </c>
      <c r="E50" s="21" t="s">
        <v>44</v>
      </c>
      <c r="F50" s="120">
        <f t="shared" si="12"/>
        <v>3.4280618000000006E-4</v>
      </c>
      <c r="G50" s="91">
        <v>0</v>
      </c>
      <c r="H50" s="92">
        <v>9.9999999999999995E-7</v>
      </c>
      <c r="I50" s="93">
        <v>3.0800000000000001E-4</v>
      </c>
      <c r="J50" s="93">
        <v>3.0800000000000003E-5</v>
      </c>
      <c r="K50" s="93">
        <v>1.42E-6</v>
      </c>
      <c r="L50" s="93"/>
      <c r="M50" s="93">
        <v>6.1799999999999998E-9</v>
      </c>
      <c r="N50" s="93">
        <v>1.5799999999999999E-6</v>
      </c>
      <c r="O50" s="93"/>
      <c r="P50" s="93"/>
      <c r="Q50" s="12"/>
      <c r="R50" s="151">
        <f>'Parameters SH, country spec'!D23</f>
        <v>2.7051994141606358E-4</v>
      </c>
      <c r="S50" s="151">
        <f>'Parameters SH, country spec'!D41</f>
        <v>2.7051994141606358E-4</v>
      </c>
      <c r="T50" s="264">
        <f>'Parameters D24m, country spec'!D19</f>
        <v>2.7051994141606358E-4</v>
      </c>
    </row>
    <row r="51" spans="1:20" x14ac:dyDescent="0.3">
      <c r="A51" s="20" t="s">
        <v>239</v>
      </c>
      <c r="B51" s="15" t="s">
        <v>119</v>
      </c>
      <c r="C51" s="15" t="s">
        <v>238</v>
      </c>
      <c r="D51" s="21" t="s">
        <v>43</v>
      </c>
      <c r="E51" s="21" t="s">
        <v>44</v>
      </c>
      <c r="F51" s="120">
        <f t="shared" si="12"/>
        <v>3.6247300000000004E-4</v>
      </c>
      <c r="G51" s="91">
        <v>8.6000000000000007E-6</v>
      </c>
      <c r="H51" s="92">
        <v>9.9999999999999995E-7</v>
      </c>
      <c r="I51" s="93">
        <v>3.1799999999999998E-4</v>
      </c>
      <c r="J51" s="93">
        <v>3.18E-5</v>
      </c>
      <c r="K51" s="93">
        <v>1.24E-6</v>
      </c>
      <c r="L51" s="93"/>
      <c r="M51" s="93">
        <v>2.53E-7</v>
      </c>
      <c r="N51" s="93">
        <v>1.5799999999999999E-6</v>
      </c>
      <c r="O51" s="93"/>
      <c r="P51" s="93"/>
      <c r="Q51" s="12"/>
      <c r="R51" s="151">
        <f>'Parameters SH, country spec'!D24</f>
        <v>2.6573972962751311E-4</v>
      </c>
      <c r="S51" s="151">
        <f>'Parameters SH, country spec'!D42</f>
        <v>2.6573972962751311E-4</v>
      </c>
      <c r="T51" s="264">
        <f>'Parameters D24m, country spec'!D20</f>
        <v>2.6573972962751311E-4</v>
      </c>
    </row>
    <row r="52" spans="1:20" x14ac:dyDescent="0.3">
      <c r="B52" s="16" t="s">
        <v>120</v>
      </c>
      <c r="C52" s="15" t="s">
        <v>240</v>
      </c>
      <c r="D52" s="21" t="s">
        <v>43</v>
      </c>
      <c r="E52" s="21" t="s">
        <v>44</v>
      </c>
      <c r="F52" s="120">
        <f t="shared" si="12"/>
        <v>1.5426052012212825E-3</v>
      </c>
      <c r="G52" s="32">
        <f>'Off-farm feed'!$F$77</f>
        <v>3.5160526410462907E-4</v>
      </c>
      <c r="H52" s="32">
        <f>'Off-farm feed'!$G$77</f>
        <v>5.3103448275862083E-7</v>
      </c>
      <c r="I52" s="32">
        <f>'Off-farm feed'!$H$77</f>
        <v>1.0756102664162708E-3</v>
      </c>
      <c r="J52" s="32">
        <f>'Off-farm feed'!$I$77</f>
        <v>1.0756102664162706E-4</v>
      </c>
      <c r="K52" s="32">
        <f>'Off-farm feed'!$J$77</f>
        <v>6.6339607025480414E-7</v>
      </c>
      <c r="L52" s="32"/>
      <c r="M52" s="32">
        <f>'Off-farm feed'!$L$77</f>
        <v>7.9511067188965511E-9</v>
      </c>
      <c r="N52" s="32">
        <f>'Off-farm feed'!$M$77</f>
        <v>1.2789681892721844E-6</v>
      </c>
      <c r="O52" s="32"/>
      <c r="P52" s="32">
        <f>'Off-farm feed'!$O$77</f>
        <v>4.8776996151562902E-6</v>
      </c>
      <c r="Q52" s="32">
        <f>'Off-farm feed'!$P$77</f>
        <v>4.6959459459459463E-7</v>
      </c>
      <c r="R52" s="151">
        <f>'Parameters SH, country spec'!D25</f>
        <v>2.7355781220453596E-2</v>
      </c>
      <c r="S52" s="151">
        <f>'Parameters SH, country spec'!D43</f>
        <v>2.7355781220453596E-2</v>
      </c>
      <c r="T52" s="264">
        <f>'Parameters D24m, country spec'!D21</f>
        <v>2.7355781220453596E-2</v>
      </c>
    </row>
    <row r="53" spans="1:20" x14ac:dyDescent="0.3">
      <c r="B53" s="16" t="s">
        <v>241</v>
      </c>
      <c r="C53" s="15" t="s">
        <v>240</v>
      </c>
      <c r="D53" s="21" t="s">
        <v>43</v>
      </c>
      <c r="E53" s="21" t="s">
        <v>44</v>
      </c>
      <c r="F53" s="120">
        <f t="shared" si="12"/>
        <v>1.8866346644602505E-4</v>
      </c>
      <c r="G53" s="32">
        <f>'Off-farm feed'!$F$26</f>
        <v>1.6332109719061441E-5</v>
      </c>
      <c r="H53" s="32">
        <f>'Off-farm feed'!$G$26</f>
        <v>8.7195121951219526E-7</v>
      </c>
      <c r="I53" s="32">
        <f>'Off-farm feed'!$H$26</f>
        <v>1.3333449845358202E-4</v>
      </c>
      <c r="J53" s="32">
        <f>'Off-farm feed'!$I$26</f>
        <v>1.3333449845358203E-5</v>
      </c>
      <c r="K53" s="32">
        <f>'Off-farm feed'!$J$26</f>
        <v>1.1576736579983931E-6</v>
      </c>
      <c r="L53" s="32"/>
      <c r="M53" s="32">
        <f>'Off-farm feed'!$L$26</f>
        <v>7.3437786087804866E-9</v>
      </c>
      <c r="N53" s="32">
        <f>'Off-farm feed'!$M$26</f>
        <v>1.1195281639512197E-6</v>
      </c>
      <c r="O53" s="32"/>
      <c r="P53" s="32">
        <f>'Off-farm feed'!$O$26</f>
        <v>1.3419073770114991E-5</v>
      </c>
      <c r="Q53" s="32">
        <f>'Off-farm feed'!$P$26</f>
        <v>9.087837837837838E-6</v>
      </c>
      <c r="R53" s="151">
        <f>'Parameters SH, country spec'!D26</f>
        <v>2.6285117627784533E-2</v>
      </c>
      <c r="S53" s="151">
        <f>'Parameters SH, country spec'!D44</f>
        <v>2.6285117627784533E-2</v>
      </c>
      <c r="T53" s="264">
        <f>'Parameters D24m, country spec'!D22</f>
        <v>2.6285117627784533E-2</v>
      </c>
    </row>
    <row r="54" spans="1:20" x14ac:dyDescent="0.3">
      <c r="B54" s="15" t="s">
        <v>122</v>
      </c>
      <c r="C54" s="15" t="s">
        <v>242</v>
      </c>
      <c r="D54" s="21" t="s">
        <v>43</v>
      </c>
      <c r="E54" s="21" t="s">
        <v>44</v>
      </c>
      <c r="F54" s="120"/>
      <c r="G54" s="12"/>
      <c r="H54" s="12"/>
      <c r="I54" s="12"/>
      <c r="J54" s="12"/>
      <c r="K54" s="12"/>
      <c r="L54" s="12"/>
      <c r="M54" s="12"/>
      <c r="N54" s="12"/>
      <c r="O54" s="12"/>
      <c r="P54" s="12"/>
      <c r="Q54" s="12"/>
      <c r="R54" s="151">
        <f>'Parameters SH, country spec'!D27</f>
        <v>4.2051693837096289E-2</v>
      </c>
      <c r="S54" s="151">
        <f>'Parameters SH, country spec'!D45</f>
        <v>4.2051693837096289E-2</v>
      </c>
      <c r="T54" s="264">
        <f>'Parameters D24m, country spec'!D23</f>
        <v>4.2051693837096289E-2</v>
      </c>
    </row>
    <row r="55" spans="1:20" x14ac:dyDescent="0.3">
      <c r="A55" s="75"/>
      <c r="B55" s="15" t="s">
        <v>243</v>
      </c>
      <c r="C55" s="76" t="s">
        <v>244</v>
      </c>
      <c r="D55" s="21" t="s">
        <v>43</v>
      </c>
      <c r="E55" s="21" t="s">
        <v>44</v>
      </c>
      <c r="F55" s="120">
        <f t="shared" si="12"/>
        <v>5.3081186147295639E-5</v>
      </c>
      <c r="G55" s="74">
        <f>SUMPRODUCT(G45:G53,$R45:$R53)</f>
        <v>1.1510037083504814E-5</v>
      </c>
      <c r="H55" s="74">
        <f t="shared" ref="H55:P55" si="13">SUMPRODUCT(H45:H53,$R45:$R53)</f>
        <v>4.5766268272699253E-8</v>
      </c>
      <c r="I55" s="74">
        <f t="shared" si="13"/>
        <v>3.6958926156366294E-5</v>
      </c>
      <c r="J55" s="74">
        <f t="shared" si="13"/>
        <v>3.6958926156366292E-6</v>
      </c>
      <c r="K55" s="74">
        <f t="shared" si="13"/>
        <v>5.4509626867206019E-8</v>
      </c>
      <c r="L55" s="74">
        <f t="shared" si="13"/>
        <v>0</v>
      </c>
      <c r="M55" s="74">
        <f t="shared" si="13"/>
        <v>6.1836128213644357E-10</v>
      </c>
      <c r="N55" s="74">
        <f t="shared" si="13"/>
        <v>7.7559805789330768E-8</v>
      </c>
      <c r="O55" s="74">
        <f t="shared" si="13"/>
        <v>0</v>
      </c>
      <c r="P55" s="74">
        <f t="shared" si="13"/>
        <v>4.8615521603469676E-7</v>
      </c>
      <c r="Q55" s="74">
        <f>SUMPRODUCT(Q45:Q53,$R45:$R53)</f>
        <v>2.5172101354183597E-7</v>
      </c>
      <c r="R55" s="151">
        <f>'Parameters SH, country spec'!D28</f>
        <v>1.4863599715456545E-2</v>
      </c>
      <c r="S55" s="151">
        <f>'Parameters SH, country spec'!D46</f>
        <v>1.4863599715456545E-2</v>
      </c>
      <c r="T55" s="264">
        <f>'Parameters D24m, country spec'!D24</f>
        <v>1.4863599715456545E-2</v>
      </c>
    </row>
    <row r="56" spans="1:20" x14ac:dyDescent="0.3">
      <c r="A56" s="328"/>
      <c r="B56" s="329" t="s">
        <v>616</v>
      </c>
      <c r="C56" s="330"/>
      <c r="D56" s="331"/>
      <c r="E56" s="331"/>
      <c r="F56" s="334">
        <f>SUMPRODUCT(F42:F44,R42:R44)+SUMPRODUCT(F45:F55,R45:R55)/0.87</f>
        <v>2.6033158515918747E-4</v>
      </c>
      <c r="G56" s="334">
        <f>SUMPRODUCT(G42:G44,R42:R44)+SUMPRODUCT(G45:G55,R45:R55)/0.87</f>
        <v>4.4142478476216478E-5</v>
      </c>
      <c r="H56" s="334">
        <f>SUMPRODUCT(H42:H44,R42:R44)+SUMPRODUCT(H45:H55,R45:R55)/0.87</f>
        <v>1.0226229214380611E-6</v>
      </c>
      <c r="I56" s="334">
        <f>SUMPRODUCT(I42:I44,R42:R44)+SUMPRODUCT(I45:I55,R45:R55)/0.87</f>
        <v>1.5622469116262811E-4</v>
      </c>
      <c r="J56" s="334">
        <f>SUMPRODUCT(J42:J44,R42:R44)+SUMPRODUCT(J45:J55,R45:R55)/0.87</f>
        <v>1.5622469116262811E-5</v>
      </c>
      <c r="K56" s="334">
        <f>SUMPRODUCT(K42:K44,R42:R44)+SUMPRODUCT(K45:K55,R45:R55)/0.87</f>
        <v>3.7997258895961485E-7</v>
      </c>
      <c r="L56" s="334">
        <f>SUMPRODUCT(L42:L44,R42:R44)+SUMPRODUCT(L45:L55,R45:R55)/0.87</f>
        <v>0</v>
      </c>
      <c r="M56" s="334">
        <f>SUMPRODUCT(M42:M44,R42:R44)+SUMPRODUCT(M45:M55,R45:R55)/0.87</f>
        <v>1.0788516135483999E-9</v>
      </c>
      <c r="N56" s="334">
        <f>SUMPRODUCT(N42:N44,R42:R44)+SUMPRODUCT(N45:N55,R45:R55)/0.87</f>
        <v>9.0474280111025217E-8</v>
      </c>
      <c r="O56" s="334">
        <f>SUMPRODUCT(O42:O44,R42:R44)+SUMPRODUCT(O45:O55,R45:R55)/0.87</f>
        <v>0</v>
      </c>
      <c r="P56" s="334">
        <f>SUMPRODUCT(P42:P44,R42:R44)+SUMPRODUCT(P45:P55,R45:R55)/0.87</f>
        <v>4.2554162711466912E-5</v>
      </c>
      <c r="Q56" s="334">
        <f>SUMPRODUCT(Q42:Q44,R42:R44)+SUMPRODUCT(Q45:Q55,R45:R55)/0.87</f>
        <v>2.9363505049090897E-7</v>
      </c>
      <c r="R56" s="335"/>
      <c r="S56" s="336"/>
      <c r="T56" s="336"/>
    </row>
    <row r="57" spans="1:20" x14ac:dyDescent="0.3">
      <c r="A57" s="150"/>
      <c r="B57" s="23" t="s">
        <v>457</v>
      </c>
      <c r="C57" s="24"/>
      <c r="D57" s="94"/>
      <c r="E57" s="94"/>
      <c r="F57" s="28">
        <f>SUMPRODUCT(F42:F44,S42:S44)+SUMPRODUCT(F45:F55,S45:S55)/0.87</f>
        <v>2.6033158515918747E-4</v>
      </c>
      <c r="G57" s="28">
        <f>SUMPRODUCT(G42:G44,S42:S44)+SUMPRODUCT(G45:G55,S45:S55)/0.87</f>
        <v>4.4142478476216478E-5</v>
      </c>
      <c r="H57" s="28">
        <f>SUMPRODUCT(H42:H44,S42:S44)+SUMPRODUCT(H45:H55,S45:S55)/0.87</f>
        <v>1.0226229214380611E-6</v>
      </c>
      <c r="I57" s="28">
        <f>SUMPRODUCT(I42:I44,S42:S44)+SUMPRODUCT(I45:I55,S45:S55)/0.87</f>
        <v>1.5622469116262811E-4</v>
      </c>
      <c r="J57" s="28">
        <f>SUMPRODUCT(J42:J44,S42:S44)+SUMPRODUCT(J45:J55,S45:S55)/0.87</f>
        <v>1.5622469116262811E-5</v>
      </c>
      <c r="K57" s="28">
        <f>SUMPRODUCT(K42:K44,S42:S44)+SUMPRODUCT(K45:K55,S45:S55)/0.87</f>
        <v>3.7997258895961485E-7</v>
      </c>
      <c r="L57" s="28">
        <f>SUMPRODUCT(L42:L44,S42:S44)+SUMPRODUCT(L45:L55,S45:S55)/0.87</f>
        <v>0</v>
      </c>
      <c r="M57" s="28">
        <f>SUMPRODUCT(M42:M44,S42:S44)+SUMPRODUCT(M45:M55,S45:S55)/0.87</f>
        <v>1.0788516135483999E-9</v>
      </c>
      <c r="N57" s="28">
        <f>SUMPRODUCT(N42:N44,S42:S44)+SUMPRODUCT(N45:N55,S45:S55)/0.87</f>
        <v>9.0474280111025217E-8</v>
      </c>
      <c r="O57" s="28">
        <f>SUMPRODUCT(O42:O44,S42:S44)+SUMPRODUCT(O45:O55,S45:S55)/0.87</f>
        <v>0</v>
      </c>
      <c r="P57" s="28">
        <f>SUMPRODUCT(P42:P44,S42:S44)+SUMPRODUCT(P45:P55,S45:S55)/0.87</f>
        <v>4.2554162711466912E-5</v>
      </c>
      <c r="Q57" s="28">
        <f>SUMPRODUCT(Q42:Q44,S42:S44)+SUMPRODUCT(Q45:Q55,S45:S55)/0.87</f>
        <v>2.9363505049090897E-7</v>
      </c>
      <c r="R57" s="152"/>
      <c r="S57" s="152"/>
      <c r="T57" s="152"/>
    </row>
    <row r="58" spans="1:20" x14ac:dyDescent="0.3">
      <c r="A58" s="328"/>
      <c r="B58" s="329" t="s">
        <v>641</v>
      </c>
      <c r="C58" s="330"/>
      <c r="D58" s="331"/>
      <c r="E58" s="331"/>
      <c r="F58" s="332">
        <f>SUMPRODUCT(F42:F44,$T42:$T44)+SUMPRODUCT(F45:F55,$T45:$T55)/0.87</f>
        <v>2.6033158515918747E-4</v>
      </c>
      <c r="G58" s="332">
        <f t="shared" ref="G58:O58" si="14">SUMPRODUCT(G42:G44,$T42:$T44)+SUMPRODUCT(G45:G55,$T45:$T55)/0.87</f>
        <v>4.4142478476216478E-5</v>
      </c>
      <c r="H58" s="332">
        <f t="shared" si="14"/>
        <v>1.0226229214380611E-6</v>
      </c>
      <c r="I58" s="332">
        <f t="shared" si="14"/>
        <v>1.5622469116262811E-4</v>
      </c>
      <c r="J58" s="332">
        <f t="shared" si="14"/>
        <v>1.5622469116262811E-5</v>
      </c>
      <c r="K58" s="332">
        <f t="shared" si="14"/>
        <v>3.7997258895961485E-7</v>
      </c>
      <c r="L58" s="332">
        <f t="shared" si="14"/>
        <v>0</v>
      </c>
      <c r="M58" s="332">
        <f t="shared" si="14"/>
        <v>1.0788516135483999E-9</v>
      </c>
      <c r="N58" s="332">
        <f t="shared" si="14"/>
        <v>9.0474280111025217E-8</v>
      </c>
      <c r="O58" s="332">
        <f t="shared" si="14"/>
        <v>0</v>
      </c>
      <c r="P58" s="332">
        <f>SUMPRODUCT(P42:P44,$T42:$T44)+SUMPRODUCT(P45:P55,$T45:$T55)/0.87</f>
        <v>4.2554162711466912E-5</v>
      </c>
      <c r="Q58" s="332">
        <f t="shared" ref="Q58" si="15">SUMPRODUCT(Q42:Q44,$T42:$T44)+SUMPRODUCT(Q45:Q55,$T45:$T55)/0.87</f>
        <v>2.9363505049090897E-7</v>
      </c>
      <c r="R58" s="335"/>
      <c r="S58" s="335"/>
      <c r="T58" s="335"/>
    </row>
    <row r="59" spans="1:20" x14ac:dyDescent="0.3">
      <c r="A59" s="150"/>
      <c r="B59" s="23" t="s">
        <v>642</v>
      </c>
      <c r="C59" s="24"/>
      <c r="D59" s="94"/>
      <c r="E59" s="94"/>
      <c r="F59" s="327">
        <f>SUMPRODUCT(F42:F44,$U42:$U44)+SUMPRODUCT(F45:F55,$U45:$U55)/0.87</f>
        <v>0</v>
      </c>
      <c r="G59" s="327">
        <f t="shared" ref="G59:K59" si="16">SUMPRODUCT(G42:G44,$U42:$U44)+SUMPRODUCT(G45:G55,$U45:$U55)/0.87</f>
        <v>0</v>
      </c>
      <c r="H59" s="327">
        <f t="shared" si="16"/>
        <v>0</v>
      </c>
      <c r="I59" s="327">
        <f t="shared" si="16"/>
        <v>0</v>
      </c>
      <c r="J59" s="327">
        <f t="shared" si="16"/>
        <v>0</v>
      </c>
      <c r="K59" s="327">
        <f t="shared" si="16"/>
        <v>0</v>
      </c>
      <c r="L59" s="327">
        <f>SUMPRODUCT(L42:L44,$U42:$U44)+SUMPRODUCT(L45:L55,$U45:$U55)/0.87</f>
        <v>0</v>
      </c>
      <c r="M59" s="327">
        <f t="shared" ref="M59:Q59" si="17">SUMPRODUCT(M42:M44,$U42:$U44)+SUMPRODUCT(M45:M55,$U45:$U55)/0.87</f>
        <v>0</v>
      </c>
      <c r="N59" s="327">
        <f t="shared" si="17"/>
        <v>0</v>
      </c>
      <c r="O59" s="327">
        <f t="shared" si="17"/>
        <v>0</v>
      </c>
      <c r="P59" s="327">
        <f t="shared" si="17"/>
        <v>0</v>
      </c>
      <c r="Q59" s="327">
        <f t="shared" si="17"/>
        <v>0</v>
      </c>
      <c r="R59" s="152"/>
      <c r="S59" s="152"/>
      <c r="T59" s="152"/>
    </row>
    <row r="60" spans="1:20" x14ac:dyDescent="0.3">
      <c r="B60" s="16" t="s">
        <v>299</v>
      </c>
      <c r="C60" s="15" t="s">
        <v>302</v>
      </c>
      <c r="D60" s="21" t="s">
        <v>45</v>
      </c>
      <c r="E60" s="21" t="s">
        <v>46</v>
      </c>
      <c r="F60" s="120">
        <f>SUM(G60:Q60)</f>
        <v>2.4137158990018053E-4</v>
      </c>
      <c r="G60" s="27">
        <f>'Forage crops, CF'!F26</f>
        <v>4.7791180802654265E-5</v>
      </c>
      <c r="H60" s="27">
        <f>'Forage crops, CF'!G26</f>
        <v>1.1000000000000001E-6</v>
      </c>
      <c r="I60" s="27">
        <f>'Forage crops, CF'!H26</f>
        <v>1.7407334076117382E-4</v>
      </c>
      <c r="J60" s="27">
        <f>'Forage crops, CF'!I26</f>
        <v>1.7407334076117384E-5</v>
      </c>
      <c r="K60" s="27">
        <f>'Forage crops, CF'!J26</f>
        <v>8.7105712152424362E-7</v>
      </c>
      <c r="L60" s="27">
        <f>'Forage crops, CF'!K26</f>
        <v>0</v>
      </c>
      <c r="M60" s="27">
        <f>'Forage crops, CF'!L26</f>
        <v>1.2867713871083588E-7</v>
      </c>
      <c r="N60" s="27">
        <f>'Forage crops, CF'!M26</f>
        <v>0</v>
      </c>
      <c r="O60" s="27">
        <f>'Forage crops, CF'!N26</f>
        <v>0</v>
      </c>
      <c r="P60" s="27">
        <f>'Forage crops, CF'!O26</f>
        <v>0</v>
      </c>
      <c r="Q60" s="27">
        <f>'Forage crops, CF'!P26</f>
        <v>0</v>
      </c>
      <c r="R60" s="151">
        <f>'Parameters SH, country spec'!E15</f>
        <v>0.3707697249953647</v>
      </c>
      <c r="S60" s="151">
        <f>'Parameters SH, country spec'!E33</f>
        <v>0.3707697249953647</v>
      </c>
      <c r="T60" s="264">
        <f>'Parameters D24m, country spec'!E11</f>
        <v>0.3707697249953647</v>
      </c>
    </row>
    <row r="61" spans="1:20" x14ac:dyDescent="0.3">
      <c r="B61" s="16" t="s">
        <v>300</v>
      </c>
      <c r="C61" s="15" t="s">
        <v>302</v>
      </c>
      <c r="D61" s="21" t="s">
        <v>45</v>
      </c>
      <c r="E61" s="21" t="s">
        <v>46</v>
      </c>
      <c r="F61" s="120">
        <f>SUM(G61:Q61)</f>
        <v>1.0423862634773786E-3</v>
      </c>
      <c r="G61" s="27">
        <f>'Forage crops, CF'!F91</f>
        <v>2.1953423334417359E-4</v>
      </c>
      <c r="H61" s="27">
        <f>'Forage crops, CF'!G91</f>
        <v>1.1000000000000001E-6</v>
      </c>
      <c r="I61" s="27">
        <f>'Forage crops, CF'!H91</f>
        <v>6.842657015707418E-4</v>
      </c>
      <c r="J61" s="27">
        <f>'Forage crops, CF'!I91</f>
        <v>6.842657015707418E-5</v>
      </c>
      <c r="K61" s="27">
        <f>'Forage crops, CF'!J91</f>
        <v>8.3108126667827814E-7</v>
      </c>
      <c r="L61" s="27"/>
      <c r="M61" s="27">
        <f>'Forage crops, CF'!L91</f>
        <v>1.2867713871083588E-7</v>
      </c>
      <c r="N61" s="27">
        <f>'Forage crops, CF'!M91</f>
        <v>0</v>
      </c>
      <c r="O61" s="27"/>
      <c r="P61" s="27">
        <f>'Forage crops, CF'!O91</f>
        <v>6.8099999999999988E-5</v>
      </c>
      <c r="Q61" s="27"/>
      <c r="R61" s="151">
        <f>'Parameters SH, country spec'!E16</f>
        <v>0.13544388222799708</v>
      </c>
      <c r="S61" s="151">
        <f>'Parameters SH, country spec'!E34</f>
        <v>0.13544388222799708</v>
      </c>
      <c r="T61" s="264">
        <f>'Parameters D24m, country spec'!E12</f>
        <v>0.13544388222799708</v>
      </c>
    </row>
    <row r="62" spans="1:20" x14ac:dyDescent="0.3">
      <c r="B62" s="16" t="s">
        <v>301</v>
      </c>
      <c r="C62" s="15" t="s">
        <v>302</v>
      </c>
      <c r="D62" s="21" t="s">
        <v>45</v>
      </c>
      <c r="E62" s="21" t="s">
        <v>46</v>
      </c>
      <c r="F62" s="120">
        <f>SUM(G62:Q62)</f>
        <v>1.8905933628287087E-4</v>
      </c>
      <c r="G62" s="27">
        <f>'Forage crops, CF'!F156*'Forage, input data per ha'!$D$81+'Forage crops, CF'!F221*'Forage, input data per ha'!$E$81</f>
        <v>2.0089368845286376E-5</v>
      </c>
      <c r="H62" s="27">
        <f>'Forage crops, CF'!G156*'Forage, input data per ha'!$D$81+'Forage crops, CF'!G221*'Forage, input data per ha'!$E$81</f>
        <v>1.1000000000000001E-6</v>
      </c>
      <c r="I62" s="27">
        <f>'Forage crops, CF'!H156*'Forage, input data per ha'!$D$81+'Forage crops, CF'!H221*'Forage, input data per ha'!$E$81</f>
        <v>8.9876835995338403E-5</v>
      </c>
      <c r="J62" s="27">
        <f>'Forage crops, CF'!I156*'Forage, input data per ha'!$D$81+'Forage crops, CF'!I221*'Forage, input data per ha'!$E$81</f>
        <v>8.9876835995338424E-6</v>
      </c>
      <c r="K62" s="27">
        <f>'Forage crops, CF'!J156*'Forage, input data per ha'!$D$81+'Forage crops, CF'!J221*'Forage, input data per ha'!$E$81</f>
        <v>7.7677070400142466E-7</v>
      </c>
      <c r="L62" s="27"/>
      <c r="M62" s="27">
        <f>'Forage crops, CF'!L156*'Forage, input data per ha'!$D$81+'Forage crops, CF'!L221*'Forage, input data per ha'!$E$81</f>
        <v>1.2867713871083588E-7</v>
      </c>
      <c r="N62" s="27">
        <f>'Forage crops, CF'!M156*'Forage, input data per ha'!$D$81+'Forage crops, CF'!M221*'Forage, input data per ha'!$E$81</f>
        <v>0</v>
      </c>
      <c r="O62" s="27"/>
      <c r="P62" s="27">
        <f>'Forage crops, CF'!O156*'Forage, input data per ha'!$D$81+'Forage crops, CF'!O221*'Forage, input data per ha'!$E$81</f>
        <v>6.8099999999999988E-5</v>
      </c>
      <c r="Q62" s="27"/>
      <c r="R62" s="151">
        <f>'Parameters SH, country spec'!E17</f>
        <v>3.5518223853143398E-2</v>
      </c>
      <c r="S62" s="151">
        <f>'Parameters SH, country spec'!E35</f>
        <v>3.5518223853143398E-2</v>
      </c>
      <c r="T62" s="264">
        <f>'Parameters D24m, country spec'!E13</f>
        <v>3.5518223853143398E-2</v>
      </c>
    </row>
    <row r="63" spans="1:20" x14ac:dyDescent="0.3">
      <c r="A63" s="20" t="s">
        <v>231</v>
      </c>
      <c r="B63" s="15" t="s">
        <v>113</v>
      </c>
      <c r="C63" s="15" t="s">
        <v>232</v>
      </c>
      <c r="D63" s="21" t="s">
        <v>45</v>
      </c>
      <c r="E63" s="21" t="s">
        <v>46</v>
      </c>
      <c r="F63" s="120">
        <f>SUM(G63:Q63)</f>
        <v>5.3860780000000003E-4</v>
      </c>
      <c r="G63" s="93">
        <v>1.8000000000000001E-4</v>
      </c>
      <c r="H63" s="93">
        <v>9.9999999999999995E-7</v>
      </c>
      <c r="I63" s="93">
        <v>3.2200000000000002E-4</v>
      </c>
      <c r="J63" s="93">
        <v>3.2199999999999997E-5</v>
      </c>
      <c r="K63" s="93">
        <v>1.77E-6</v>
      </c>
      <c r="L63" s="93"/>
      <c r="M63" s="93">
        <v>2.7800000000000001E-8</v>
      </c>
      <c r="N63" s="93">
        <v>1.61E-6</v>
      </c>
      <c r="O63" s="93"/>
      <c r="P63" s="93"/>
      <c r="Q63" s="93"/>
      <c r="R63" s="151">
        <f>'Parameters SH, country spec'!E18</f>
        <v>6.7240073264057107E-2</v>
      </c>
      <c r="S63" s="151">
        <f>'Parameters SH, country spec'!E36</f>
        <v>6.7240073264057107E-2</v>
      </c>
      <c r="T63" s="264">
        <f>'Parameters D24m, country spec'!E14</f>
        <v>6.7240073264057107E-2</v>
      </c>
    </row>
    <row r="64" spans="1:20" x14ac:dyDescent="0.3">
      <c r="A64" s="20" t="s">
        <v>233</v>
      </c>
      <c r="B64" s="15" t="s">
        <v>114</v>
      </c>
      <c r="C64" s="15" t="s">
        <v>232</v>
      </c>
      <c r="D64" s="21" t="s">
        <v>45</v>
      </c>
      <c r="E64" s="21" t="s">
        <v>46</v>
      </c>
      <c r="F64" s="120">
        <f t="shared" ref="F64:F73" si="18">SUM(G64:Q64)</f>
        <v>4.1570499999999999E-4</v>
      </c>
      <c r="G64" s="93">
        <v>1.7000000000000001E-4</v>
      </c>
      <c r="H64" s="93">
        <v>9.9999999999999995E-7</v>
      </c>
      <c r="I64" s="93">
        <v>2.2000000000000001E-4</v>
      </c>
      <c r="J64" s="93">
        <v>2.1999999999999999E-5</v>
      </c>
      <c r="K64" s="93">
        <v>4.5900000000000002E-7</v>
      </c>
      <c r="L64" s="93"/>
      <c r="M64" s="93">
        <v>6.3600000000000003E-7</v>
      </c>
      <c r="N64" s="93">
        <v>1.61E-6</v>
      </c>
      <c r="O64" s="93"/>
      <c r="P64" s="93"/>
      <c r="Q64" s="93"/>
      <c r="R64" s="151">
        <f>'Parameters SH, country spec'!E19</f>
        <v>0.20110909949687941</v>
      </c>
      <c r="S64" s="151">
        <f>'Parameters SH, country spec'!E37</f>
        <v>0.20110909949687941</v>
      </c>
      <c r="T64" s="264">
        <f>'Parameters D24m, country spec'!E15</f>
        <v>0.20110909949687941</v>
      </c>
    </row>
    <row r="65" spans="1:20" x14ac:dyDescent="0.3">
      <c r="A65" s="20" t="s">
        <v>234</v>
      </c>
      <c r="B65" s="15" t="s">
        <v>115</v>
      </c>
      <c r="C65" s="15" t="s">
        <v>232</v>
      </c>
      <c r="D65" s="21" t="s">
        <v>45</v>
      </c>
      <c r="E65" s="21" t="s">
        <v>46</v>
      </c>
      <c r="F65" s="120">
        <f t="shared" si="18"/>
        <v>4.1096199999999996E-4</v>
      </c>
      <c r="G65" s="93">
        <v>1.4999999999999999E-4</v>
      </c>
      <c r="H65" s="93">
        <v>9.9999999999999995E-7</v>
      </c>
      <c r="I65" s="93">
        <v>2.31E-4</v>
      </c>
      <c r="J65" s="93">
        <v>2.3099999999999999E-5</v>
      </c>
      <c r="K65" s="93">
        <v>3.7299999999999999E-6</v>
      </c>
      <c r="L65" s="93"/>
      <c r="M65" s="93">
        <v>5.2200000000000004E-7</v>
      </c>
      <c r="N65" s="93">
        <v>1.61E-6</v>
      </c>
      <c r="O65" s="93"/>
      <c r="P65" s="93"/>
      <c r="Q65" s="93"/>
      <c r="R65" s="151">
        <f>'Parameters SH, country spec'!E20</f>
        <v>1.8273719871874414E-2</v>
      </c>
      <c r="S65" s="151">
        <f>'Parameters SH, country spec'!E38</f>
        <v>1.8273719871874414E-2</v>
      </c>
      <c r="T65" s="264">
        <f>'Parameters D24m, country spec'!E16</f>
        <v>1.8273719871874414E-2</v>
      </c>
    </row>
    <row r="66" spans="1:20" x14ac:dyDescent="0.3">
      <c r="A66" s="20" t="s">
        <v>235</v>
      </c>
      <c r="B66" s="15" t="s">
        <v>116</v>
      </c>
      <c r="C66" s="15" t="s">
        <v>232</v>
      </c>
      <c r="D66" s="21" t="s">
        <v>45</v>
      </c>
      <c r="E66" s="21" t="s">
        <v>46</v>
      </c>
      <c r="F66" s="120">
        <f t="shared" si="18"/>
        <v>3.7824308999999997E-4</v>
      </c>
      <c r="G66" s="93">
        <v>1.3999999999999999E-4</v>
      </c>
      <c r="H66" s="93">
        <v>9.9999999999999995E-7</v>
      </c>
      <c r="I66" s="93">
        <v>2.12E-4</v>
      </c>
      <c r="J66" s="93">
        <v>2.12E-5</v>
      </c>
      <c r="K66" s="93">
        <v>2.43E-6</v>
      </c>
      <c r="L66" s="93"/>
      <c r="M66" s="93">
        <v>3.0899999999999999E-9</v>
      </c>
      <c r="N66" s="93">
        <v>1.61E-6</v>
      </c>
      <c r="O66" s="93"/>
      <c r="P66" s="93"/>
      <c r="Q66" s="93"/>
      <c r="R66" s="151">
        <f>'Parameters SH, country spec'!E21</f>
        <v>4.0305382311056149E-3</v>
      </c>
      <c r="S66" s="151">
        <f>'Parameters SH, country spec'!E39</f>
        <v>4.0305382311056149E-3</v>
      </c>
      <c r="T66" s="264">
        <f>'Parameters D24m, country spec'!E17</f>
        <v>4.0305382311056149E-3</v>
      </c>
    </row>
    <row r="67" spans="1:20" x14ac:dyDescent="0.3">
      <c r="A67" s="20" t="s">
        <v>236</v>
      </c>
      <c r="B67" s="15" t="s">
        <v>117</v>
      </c>
      <c r="C67" s="15" t="s">
        <v>232</v>
      </c>
      <c r="D67" s="21" t="s">
        <v>45</v>
      </c>
      <c r="E67" s="21" t="s">
        <v>46</v>
      </c>
      <c r="F67" s="120">
        <f t="shared" si="18"/>
        <v>4.992703E-4</v>
      </c>
      <c r="G67" s="93">
        <v>2.0000000000000001E-4</v>
      </c>
      <c r="H67" s="93">
        <v>9.9999999999999995E-7</v>
      </c>
      <c r="I67" s="93">
        <v>2.6800000000000001E-4</v>
      </c>
      <c r="J67" s="93">
        <v>2.6800000000000001E-5</v>
      </c>
      <c r="K67" s="93">
        <v>1.7799999999999999E-6</v>
      </c>
      <c r="L67" s="93"/>
      <c r="M67" s="93">
        <v>8.0299999999999998E-8</v>
      </c>
      <c r="N67" s="93">
        <v>1.61E-6</v>
      </c>
      <c r="O67" s="93"/>
      <c r="P67" s="93"/>
      <c r="Q67" s="93"/>
      <c r="R67" s="151">
        <f>'Parameters SH, country spec'!E22</f>
        <v>2.8904067051552513E-3</v>
      </c>
      <c r="S67" s="151">
        <f>'Parameters SH, country spec'!E40</f>
        <v>2.8904067051552513E-3</v>
      </c>
      <c r="T67" s="264">
        <f>'Parameters D24m, country spec'!E18</f>
        <v>2.8904067051552513E-3</v>
      </c>
    </row>
    <row r="68" spans="1:20" x14ac:dyDescent="0.3">
      <c r="A68" s="20" t="s">
        <v>237</v>
      </c>
      <c r="B68" s="15" t="s">
        <v>118</v>
      </c>
      <c r="C68" s="15" t="s">
        <v>238</v>
      </c>
      <c r="D68" s="21" t="s">
        <v>45</v>
      </c>
      <c r="E68" s="21" t="s">
        <v>46</v>
      </c>
      <c r="F68" s="120">
        <f t="shared" si="18"/>
        <v>1.7493699999999998E-4</v>
      </c>
      <c r="G68" s="93">
        <v>0</v>
      </c>
      <c r="H68" s="93">
        <v>9.9999999999999995E-7</v>
      </c>
      <c r="I68" s="93">
        <v>1.54E-4</v>
      </c>
      <c r="J68" s="93">
        <v>1.5400000000000002E-5</v>
      </c>
      <c r="K68" s="93">
        <v>2.7999999999999999E-6</v>
      </c>
      <c r="L68" s="93"/>
      <c r="M68" s="93">
        <v>1.2700000000000001E-7</v>
      </c>
      <c r="N68" s="93">
        <v>1.61E-6</v>
      </c>
      <c r="O68" s="93"/>
      <c r="P68" s="93"/>
      <c r="Q68" s="93"/>
      <c r="R68" s="151">
        <f>'Parameters SH, country spec'!E23</f>
        <v>2.7727022810161413E-4</v>
      </c>
      <c r="S68" s="151">
        <f>'Parameters SH, country spec'!E41</f>
        <v>2.7727022810161413E-4</v>
      </c>
      <c r="T68" s="264">
        <f>'Parameters D24m, country spec'!E19</f>
        <v>2.7727022810161413E-4</v>
      </c>
    </row>
    <row r="69" spans="1:20" x14ac:dyDescent="0.3">
      <c r="A69" s="20" t="s">
        <v>239</v>
      </c>
      <c r="B69" s="15" t="s">
        <v>119</v>
      </c>
      <c r="C69" s="15" t="s">
        <v>238</v>
      </c>
      <c r="D69" s="21" t="s">
        <v>45</v>
      </c>
      <c r="E69" s="21" t="s">
        <v>46</v>
      </c>
      <c r="F69" s="120">
        <f t="shared" si="18"/>
        <v>1.8877999999999999E-4</v>
      </c>
      <c r="G69" s="93">
        <v>8.6000000000000007E-6</v>
      </c>
      <c r="H69" s="93">
        <v>9.9999999999999995E-7</v>
      </c>
      <c r="I69" s="93">
        <v>1.5899999999999999E-4</v>
      </c>
      <c r="J69" s="93">
        <v>1.59E-5</v>
      </c>
      <c r="K69" s="93">
        <v>1.7400000000000001E-6</v>
      </c>
      <c r="L69" s="93"/>
      <c r="M69" s="93">
        <v>9.2999999999999999E-7</v>
      </c>
      <c r="N69" s="93">
        <v>1.61E-6</v>
      </c>
      <c r="O69" s="93"/>
      <c r="P69" s="93"/>
      <c r="Q69" s="93"/>
      <c r="R69" s="151">
        <f>'Parameters SH, country spec'!E24</f>
        <v>2.7237073543292042E-4</v>
      </c>
      <c r="S69" s="151">
        <f>'Parameters SH, country spec'!E42</f>
        <v>2.7237073543292042E-4</v>
      </c>
      <c r="T69" s="264">
        <f>'Parameters D24m, country spec'!E20</f>
        <v>2.7237073543292042E-4</v>
      </c>
    </row>
    <row r="70" spans="1:20" x14ac:dyDescent="0.3">
      <c r="B70" s="16" t="s">
        <v>120</v>
      </c>
      <c r="C70" s="15" t="s">
        <v>240</v>
      </c>
      <c r="D70" s="21" t="s">
        <v>45</v>
      </c>
      <c r="E70" s="21" t="s">
        <v>46</v>
      </c>
      <c r="F70" s="120">
        <f t="shared" si="18"/>
        <v>1.5426052012212825E-3</v>
      </c>
      <c r="G70" s="27">
        <f>'Off-farm feed'!$F$77</f>
        <v>3.5160526410462907E-4</v>
      </c>
      <c r="H70" s="27">
        <f>'Off-farm feed'!$G$77</f>
        <v>5.3103448275862083E-7</v>
      </c>
      <c r="I70" s="27">
        <f>'Off-farm feed'!$H$77</f>
        <v>1.0756102664162708E-3</v>
      </c>
      <c r="J70" s="27">
        <f>'Off-farm feed'!$I$77</f>
        <v>1.0756102664162706E-4</v>
      </c>
      <c r="K70" s="27">
        <f>'Off-farm feed'!$J$77</f>
        <v>6.6339607025480414E-7</v>
      </c>
      <c r="L70" s="27"/>
      <c r="M70" s="27">
        <f>'Off-farm feed'!$L$77</f>
        <v>7.9511067188965511E-9</v>
      </c>
      <c r="N70" s="27">
        <f>'Off-farm feed'!$M$77</f>
        <v>1.2789681892721844E-6</v>
      </c>
      <c r="O70" s="27"/>
      <c r="P70" s="27">
        <f>'Off-farm feed'!$O$77</f>
        <v>4.8776996151562902E-6</v>
      </c>
      <c r="Q70" s="27">
        <f>'Off-farm feed'!$P$77</f>
        <v>4.6959459459459463E-7</v>
      </c>
      <c r="R70" s="151">
        <f>'Parameters SH, country spec'!E25</f>
        <v>3.0258775338687637E-4</v>
      </c>
      <c r="S70" s="151">
        <f>'Parameters SH, country spec'!E43</f>
        <v>3.0258775338687637E-4</v>
      </c>
      <c r="T70" s="264">
        <f>'Parameters D24m, country spec'!E21</f>
        <v>3.0258775338687637E-4</v>
      </c>
    </row>
    <row r="71" spans="1:20" x14ac:dyDescent="0.3">
      <c r="B71" s="16" t="s">
        <v>241</v>
      </c>
      <c r="C71" s="15" t="s">
        <v>240</v>
      </c>
      <c r="D71" s="21" t="s">
        <v>45</v>
      </c>
      <c r="E71" s="21" t="s">
        <v>46</v>
      </c>
      <c r="F71" s="120">
        <f t="shared" si="18"/>
        <v>1.8866346644602505E-4</v>
      </c>
      <c r="G71" s="27">
        <f>'Off-farm feed'!$F$26</f>
        <v>1.6332109719061441E-5</v>
      </c>
      <c r="H71" s="27">
        <f>'Off-farm feed'!$G$26</f>
        <v>8.7195121951219526E-7</v>
      </c>
      <c r="I71" s="27">
        <f>'Off-farm feed'!$H$26</f>
        <v>1.3333449845358202E-4</v>
      </c>
      <c r="J71" s="27">
        <f>'Off-farm feed'!$I$26</f>
        <v>1.3333449845358203E-5</v>
      </c>
      <c r="K71" s="27">
        <f>'Off-farm feed'!$J$26</f>
        <v>1.1576736579983931E-6</v>
      </c>
      <c r="L71" s="27"/>
      <c r="M71" s="27">
        <f>'Off-farm feed'!$L$26</f>
        <v>7.3437786087804866E-9</v>
      </c>
      <c r="N71" s="27">
        <f>'Off-farm feed'!$M$26</f>
        <v>1.1195281639512197E-6</v>
      </c>
      <c r="O71" s="27"/>
      <c r="P71" s="27">
        <f>'Off-farm feed'!$O$26</f>
        <v>1.3419073770114991E-5</v>
      </c>
      <c r="Q71" s="27">
        <f>'Off-farm feed'!$P$26</f>
        <v>9.087837837837838E-6</v>
      </c>
      <c r="R71" s="151">
        <f>'Parameters SH, country spec'!E26</f>
        <v>5.3317910590755316E-2</v>
      </c>
      <c r="S71" s="151">
        <f>'Parameters SH, country spec'!E44</f>
        <v>5.3317910590755316E-2</v>
      </c>
      <c r="T71" s="264">
        <f>'Parameters D24m, country spec'!E22</f>
        <v>5.3317910590755316E-2</v>
      </c>
    </row>
    <row r="72" spans="1:20" x14ac:dyDescent="0.3">
      <c r="B72" s="15" t="s">
        <v>122</v>
      </c>
      <c r="C72" s="15" t="s">
        <v>242</v>
      </c>
      <c r="D72" s="21" t="s">
        <v>45</v>
      </c>
      <c r="E72" s="21" t="s">
        <v>46</v>
      </c>
      <c r="F72" s="120"/>
      <c r="G72" s="93"/>
      <c r="H72" s="93"/>
      <c r="I72" s="93"/>
      <c r="J72" s="93"/>
      <c r="K72" s="93"/>
      <c r="L72" s="93"/>
      <c r="M72" s="93"/>
      <c r="N72" s="93"/>
      <c r="O72" s="93"/>
      <c r="P72" s="93"/>
      <c r="Q72" s="93"/>
      <c r="R72" s="151">
        <f>'Parameters SH, country spec'!E27</f>
        <v>4.6947510766466367E-2</v>
      </c>
      <c r="S72" s="151">
        <f>'Parameters SH, country spec'!E45</f>
        <v>4.6947510766466367E-2</v>
      </c>
      <c r="T72" s="264">
        <f>'Parameters D24m, country spec'!E23</f>
        <v>4.6947510766466367E-2</v>
      </c>
    </row>
    <row r="73" spans="1:20" x14ac:dyDescent="0.3">
      <c r="A73" s="75"/>
      <c r="B73" s="15" t="s">
        <v>243</v>
      </c>
      <c r="C73" s="76" t="s">
        <v>244</v>
      </c>
      <c r="D73" s="21" t="s">
        <v>45</v>
      </c>
      <c r="E73" s="21" t="s">
        <v>46</v>
      </c>
      <c r="F73" s="120">
        <f t="shared" si="18"/>
        <v>1.4092134630986958E-4</v>
      </c>
      <c r="G73" s="74">
        <f>SUMPRODUCT(G63:G71,$R63:$R71)</f>
        <v>5.1154702577195246E-5</v>
      </c>
      <c r="H73" s="74">
        <f t="shared" ref="H73:P73" si="19">SUMPRODUCT(H63:H71,$R63:$R71)</f>
        <v>3.407447802251665E-7</v>
      </c>
      <c r="I73" s="74">
        <f t="shared" si="19"/>
        <v>7.9266227796026396E-5</v>
      </c>
      <c r="J73" s="74">
        <f t="shared" si="19"/>
        <v>7.9266227796026379E-6</v>
      </c>
      <c r="K73" s="74">
        <f t="shared" si="19"/>
        <v>3.5759987114057611E-7</v>
      </c>
      <c r="L73" s="74">
        <f t="shared" si="19"/>
        <v>0</v>
      </c>
      <c r="M73" s="74">
        <f t="shared" si="19"/>
        <v>1.4024057605313442E-7</v>
      </c>
      <c r="N73" s="74">
        <f t="shared" si="19"/>
        <v>5.3356840309792485E-7</v>
      </c>
      <c r="O73" s="74">
        <f t="shared" si="19"/>
        <v>0</v>
      </c>
      <c r="P73" s="74">
        <f t="shared" si="19"/>
        <v>7.1695290765398718E-7</v>
      </c>
      <c r="Q73" s="74">
        <f>SUMPRODUCT(Q63:Q71,$R63:$R71)</f>
        <v>4.8468661887450196E-7</v>
      </c>
      <c r="R73" s="151">
        <f>'Parameters SH, country spec'!E28</f>
        <v>6.3606681280279728E-2</v>
      </c>
      <c r="S73" s="151">
        <f>'Parameters SH, country spec'!E46</f>
        <v>6.3606681280279728E-2</v>
      </c>
      <c r="T73" s="264">
        <f>'Parameters D24m, country spec'!E24</f>
        <v>6.3606681280279728E-2</v>
      </c>
    </row>
    <row r="74" spans="1:20" x14ac:dyDescent="0.3">
      <c r="A74" s="328"/>
      <c r="B74" s="329" t="s">
        <v>616</v>
      </c>
      <c r="C74" s="330"/>
      <c r="D74" s="331"/>
      <c r="E74" s="331"/>
      <c r="F74" s="334">
        <f>SUMPRODUCT(F60:F62,R60:R62)+SUMPRODUCT(F63:F73,R63:R73)/0.87</f>
        <v>4.0967464969505932E-4</v>
      </c>
      <c r="G74" s="334">
        <f>SUMPRODUCT(G60:G62,R60:R62)+SUMPRODUCT(G63:G73,R63:R73)/0.87</f>
        <v>1.1070611722185665E-4</v>
      </c>
      <c r="H74" s="334">
        <f>SUMPRODUCT(H60:H62,R60:R62)+SUMPRODUCT(H63:H73,R63:R73)/0.87</f>
        <v>1.0124779163207851E-6</v>
      </c>
      <c r="I74" s="334">
        <f>SUMPRODUCT(I60:I62,R60:R62)+SUMPRODUCT(I63:I73,R63:R73)/0.87</f>
        <v>2.5731884334065326E-4</v>
      </c>
      <c r="J74" s="334">
        <f>SUMPRODUCT(J60:J62,R60:R62)+SUMPRODUCT(J63:J73,R63:R73)/0.87</f>
        <v>2.5731884334065328E-5</v>
      </c>
      <c r="K74" s="334">
        <f>SUMPRODUCT(K60:K62,R60:R62)+SUMPRODUCT(K63:K73,R63:R73)/0.87</f>
        <v>9.0029486291926631E-7</v>
      </c>
      <c r="L74" s="334">
        <f>SUMPRODUCT(L60:L62,R60:R62)+SUMPRODUCT(L63:L73,R63:R73)/0.87</f>
        <v>0</v>
      </c>
      <c r="M74" s="334">
        <f>SUMPRODUCT(M60:M62,R60:R62)+SUMPRODUCT(M63:M73,R63:R73)/0.87</f>
        <v>2.4115771309416056E-7</v>
      </c>
      <c r="N74" s="334">
        <f>SUMPRODUCT(N60:N62,R60:R62)+SUMPRODUCT(N63:N73,R63:R73)/0.87</f>
        <v>6.5230680282184175E-7</v>
      </c>
      <c r="O74" s="334">
        <f>SUMPRODUCT(O60:O62,R60:R62)+SUMPRODUCT(O63:O73,R63:R73)/0.87</f>
        <v>0</v>
      </c>
      <c r="P74" s="334">
        <f>SUMPRODUCT(P60:P62,R60:R62)+SUMPRODUCT(P63:P73,R63:R73)/0.87</f>
        <v>1.2519020461762565E-5</v>
      </c>
      <c r="Q74" s="334">
        <f>SUMPRODUCT(Q60:Q62,R60:R62)+SUMPRODUCT(Q63:Q73,R63:R73)/0.87</f>
        <v>5.9254704156559631E-7</v>
      </c>
      <c r="R74" s="335"/>
      <c r="S74" s="336"/>
      <c r="T74" s="336"/>
    </row>
    <row r="75" spans="1:20" x14ac:dyDescent="0.3">
      <c r="A75" s="150"/>
      <c r="B75" s="23" t="s">
        <v>457</v>
      </c>
      <c r="C75" s="24"/>
      <c r="D75" s="94"/>
      <c r="E75" s="94"/>
      <c r="F75" s="28">
        <f>SUMPRODUCT(F60:F62,S60:S62)+SUMPRODUCT(F63:F73,S63:S73)/0.87</f>
        <v>4.0967464969505932E-4</v>
      </c>
      <c r="G75" s="28">
        <f>SUMPRODUCT(G60:G62,S60:S62)+SUMPRODUCT(G63:G73,S63:S73)/0.87</f>
        <v>1.1070611722185665E-4</v>
      </c>
      <c r="H75" s="28">
        <f>SUMPRODUCT(H60:H62,S60:S62)+SUMPRODUCT(H63:H73,S63:S73)/0.87</f>
        <v>1.0124779163207851E-6</v>
      </c>
      <c r="I75" s="28">
        <f>SUMPRODUCT(I60:I62,S60:S62)+SUMPRODUCT(I63:I73,S63:S73)/0.87</f>
        <v>2.5731884334065326E-4</v>
      </c>
      <c r="J75" s="28">
        <f>SUMPRODUCT(J60:J62,S60:S62)+SUMPRODUCT(J63:J73,S63:S73)/0.87</f>
        <v>2.5731884334065328E-5</v>
      </c>
      <c r="K75" s="28">
        <f>SUMPRODUCT(K60:K62,S60:S62)+SUMPRODUCT(K63:K73,S63:S73)/0.87</f>
        <v>9.0029486291926631E-7</v>
      </c>
      <c r="L75" s="28">
        <f>SUMPRODUCT(L60:L62,S60:S62)+SUMPRODUCT(L63:L73,S63:S73)/0.87</f>
        <v>0</v>
      </c>
      <c r="M75" s="28">
        <f>SUMPRODUCT(M60:M62,S60:S62)+SUMPRODUCT(M63:M73,S63:S73)/0.87</f>
        <v>2.4115771309416056E-7</v>
      </c>
      <c r="N75" s="28">
        <f>SUMPRODUCT(N60:N62,S60:S62)+SUMPRODUCT(N63:N73,S63:S73)/0.87</f>
        <v>6.5230680282184175E-7</v>
      </c>
      <c r="O75" s="28">
        <f>SUMPRODUCT(O60:O62,S60:S62)+SUMPRODUCT(O63:O73,S63:S73)/0.87</f>
        <v>0</v>
      </c>
      <c r="P75" s="28">
        <f>SUMPRODUCT(P60:P62,S60:S62)+SUMPRODUCT(P63:P73,S63:S73)/0.87</f>
        <v>1.2519020461762565E-5</v>
      </c>
      <c r="Q75" s="28">
        <f>SUMPRODUCT(Q60:Q62,S60:S62)+SUMPRODUCT(Q63:Q73,S63:S73)/0.87</f>
        <v>5.9254704156559631E-7</v>
      </c>
      <c r="R75" s="152"/>
      <c r="S75" s="152"/>
      <c r="T75" s="152"/>
    </row>
    <row r="76" spans="1:20" x14ac:dyDescent="0.3">
      <c r="A76" s="328"/>
      <c r="B76" s="329" t="s">
        <v>641</v>
      </c>
      <c r="C76" s="330"/>
      <c r="D76" s="331"/>
      <c r="E76" s="331"/>
      <c r="F76" s="332">
        <f>SUMPRODUCT(F60:F62,$T60:$T62)+SUMPRODUCT(F63:F73,$T63:$T73)/0.87</f>
        <v>4.0967464969505932E-4</v>
      </c>
      <c r="G76" s="332">
        <f t="shared" ref="G76:O76" si="20">SUMPRODUCT(G60:G62,$T60:$T62)+SUMPRODUCT(G63:G73,$T63:$T73)/0.87</f>
        <v>1.1070611722185665E-4</v>
      </c>
      <c r="H76" s="332">
        <f t="shared" si="20"/>
        <v>1.0124779163207851E-6</v>
      </c>
      <c r="I76" s="332">
        <f t="shared" si="20"/>
        <v>2.5731884334065326E-4</v>
      </c>
      <c r="J76" s="332">
        <f t="shared" si="20"/>
        <v>2.5731884334065328E-5</v>
      </c>
      <c r="K76" s="332">
        <f t="shared" si="20"/>
        <v>9.0029486291926631E-7</v>
      </c>
      <c r="L76" s="332">
        <f t="shared" si="20"/>
        <v>0</v>
      </c>
      <c r="M76" s="332">
        <f t="shared" si="20"/>
        <v>2.4115771309416056E-7</v>
      </c>
      <c r="N76" s="332">
        <f t="shared" si="20"/>
        <v>6.5230680282184175E-7</v>
      </c>
      <c r="O76" s="332">
        <f t="shared" si="20"/>
        <v>0</v>
      </c>
      <c r="P76" s="332">
        <f>SUMPRODUCT(P60:P62,$T60:$T62)+SUMPRODUCT(P63:P73,$T63:$T73)/0.87</f>
        <v>1.2519020461762565E-5</v>
      </c>
      <c r="Q76" s="332">
        <f t="shared" ref="Q76" si="21">SUMPRODUCT(Q60:Q62,$T60:$T62)+SUMPRODUCT(Q63:Q73,$T63:$T73)/0.87</f>
        <v>5.9254704156559631E-7</v>
      </c>
      <c r="R76" s="335"/>
      <c r="S76" s="335"/>
      <c r="T76" s="335"/>
    </row>
    <row r="77" spans="1:20" x14ac:dyDescent="0.3">
      <c r="A77" s="150"/>
      <c r="B77" s="23" t="s">
        <v>642</v>
      </c>
      <c r="C77" s="24"/>
      <c r="D77" s="94"/>
      <c r="E77" s="94"/>
      <c r="F77" s="327">
        <f>SUMPRODUCT(F60:F62,$U60:$U62)+SUMPRODUCT(F63:F73,$U63:$U73)/0.87</f>
        <v>0</v>
      </c>
      <c r="G77" s="327">
        <f t="shared" ref="G77:K77" si="22">SUMPRODUCT(G60:G62,$U60:$U62)+SUMPRODUCT(G63:G73,$U63:$U73)/0.87</f>
        <v>0</v>
      </c>
      <c r="H77" s="327">
        <f t="shared" si="22"/>
        <v>0</v>
      </c>
      <c r="I77" s="327">
        <f t="shared" si="22"/>
        <v>0</v>
      </c>
      <c r="J77" s="327">
        <f t="shared" si="22"/>
        <v>0</v>
      </c>
      <c r="K77" s="327">
        <f t="shared" si="22"/>
        <v>0</v>
      </c>
      <c r="L77" s="327">
        <f>SUMPRODUCT(L60:L62,$U60:$U62)+SUMPRODUCT(L63:L73,$U63:$U73)/0.87</f>
        <v>0</v>
      </c>
      <c r="M77" s="327">
        <f t="shared" ref="M77:Q77" si="23">SUMPRODUCT(M60:M62,$U60:$U62)+SUMPRODUCT(M63:M73,$U63:$U73)/0.87</f>
        <v>0</v>
      </c>
      <c r="N77" s="327">
        <f t="shared" si="23"/>
        <v>0</v>
      </c>
      <c r="O77" s="327">
        <f t="shared" si="23"/>
        <v>0</v>
      </c>
      <c r="P77" s="327">
        <f t="shared" si="23"/>
        <v>0</v>
      </c>
      <c r="Q77" s="327">
        <f t="shared" si="23"/>
        <v>0</v>
      </c>
      <c r="R77" s="152"/>
      <c r="S77" s="152"/>
      <c r="T77" s="152"/>
    </row>
    <row r="78" spans="1:20" x14ac:dyDescent="0.3">
      <c r="B78" s="16" t="s">
        <v>299</v>
      </c>
      <c r="C78" s="15" t="s">
        <v>302</v>
      </c>
      <c r="D78" s="21" t="s">
        <v>96</v>
      </c>
      <c r="E78" s="21" t="s">
        <v>48</v>
      </c>
      <c r="F78" s="120">
        <f>SUM(G78:Q78)</f>
        <v>2.4168074768549639E-4</v>
      </c>
      <c r="G78" s="27">
        <f>'Forage crops, CF'!F31</f>
        <v>4.7791180802654265E-5</v>
      </c>
      <c r="H78" s="27">
        <f>'Forage crops, CF'!G31</f>
        <v>1.1000000000000001E-6</v>
      </c>
      <c r="I78" s="27">
        <f>'Forage crops, CF'!H31</f>
        <v>1.7407334076117385E-4</v>
      </c>
      <c r="J78" s="27">
        <f>'Forage crops, CF'!I31</f>
        <v>1.7407334076117384E-5</v>
      </c>
      <c r="K78" s="27">
        <f>'Forage crops, CF'!J31</f>
        <v>1.3085391515895945E-6</v>
      </c>
      <c r="L78" s="27">
        <f>'Forage crops, CF'!K31</f>
        <v>0</v>
      </c>
      <c r="M78" s="27">
        <f>'Forage crops, CF'!L31</f>
        <v>3.5289396128023986E-10</v>
      </c>
      <c r="N78" s="27">
        <f>'Forage crops, CF'!M31</f>
        <v>0</v>
      </c>
      <c r="O78" s="27">
        <f>'Forage crops, CF'!N31</f>
        <v>0</v>
      </c>
      <c r="P78" s="27">
        <f>'Forage crops, CF'!O31</f>
        <v>0</v>
      </c>
      <c r="Q78" s="27">
        <f>'Forage crops, CF'!P31</f>
        <v>0</v>
      </c>
      <c r="R78" s="151">
        <f>'Parameters SH, country spec'!F15</f>
        <v>7.7439143939213403E-2</v>
      </c>
      <c r="S78" s="151">
        <f>'Parameters SH, country spec'!F33</f>
        <v>7.7439143939213403E-2</v>
      </c>
      <c r="T78" s="264">
        <f>'Parameters D24m, country spec'!F11</f>
        <v>7.7439143939213403E-2</v>
      </c>
    </row>
    <row r="79" spans="1:20" x14ac:dyDescent="0.3">
      <c r="B79" s="16" t="s">
        <v>300</v>
      </c>
      <c r="C79" s="15" t="s">
        <v>302</v>
      </c>
      <c r="D79" s="21" t="s">
        <v>96</v>
      </c>
      <c r="E79" s="21" t="s">
        <v>48</v>
      </c>
      <c r="F79" s="120">
        <f>SUM(G79:Q79)</f>
        <v>5.2939530100777621E-4</v>
      </c>
      <c r="G79" s="27">
        <f>'Forage crops, CF'!F96</f>
        <v>1.0151185038431108E-4</v>
      </c>
      <c r="H79" s="27">
        <f>'Forage crops, CF'!G96</f>
        <v>1.1000000000000001E-6</v>
      </c>
      <c r="I79" s="27">
        <f>'Forage crops, CF'!H96</f>
        <v>3.2555010041627146E-4</v>
      </c>
      <c r="J79" s="27">
        <f>'Forage crops, CF'!I96</f>
        <v>3.2555010041627146E-5</v>
      </c>
      <c r="K79" s="27">
        <f>'Forage crops, CF'!J96</f>
        <v>5.7798727160526391E-7</v>
      </c>
      <c r="L79" s="27"/>
      <c r="M79" s="27">
        <f>'Forage crops, CF'!L96</f>
        <v>3.5289396128023991E-10</v>
      </c>
      <c r="N79" s="27">
        <f>'Forage crops, CF'!M96</f>
        <v>0</v>
      </c>
      <c r="O79" s="27">
        <f>'Forage crops, CF'!N96</f>
        <v>0</v>
      </c>
      <c r="P79" s="27">
        <f>'Forage crops, CF'!O96</f>
        <v>6.8099999999999988E-5</v>
      </c>
      <c r="Q79" s="27"/>
      <c r="R79" s="151">
        <f>'Parameters SH, country spec'!F16</f>
        <v>0.38082943222890436</v>
      </c>
      <c r="S79" s="151">
        <f>'Parameters SH, country spec'!F34</f>
        <v>0.38082943222890436</v>
      </c>
      <c r="T79" s="264">
        <f>'Parameters D24m, country spec'!F12</f>
        <v>0.38082943222890436</v>
      </c>
    </row>
    <row r="80" spans="1:20" x14ac:dyDescent="0.3">
      <c r="B80" s="16" t="s">
        <v>301</v>
      </c>
      <c r="C80" s="15" t="s">
        <v>302</v>
      </c>
      <c r="D80" s="21" t="s">
        <v>96</v>
      </c>
      <c r="E80" s="21" t="s">
        <v>48</v>
      </c>
      <c r="F80" s="120">
        <f>SUM(G80:Q80)</f>
        <v>1.3562898327114094E-4</v>
      </c>
      <c r="G80" s="27">
        <f>'Forage crops, CF'!F161*'Forage, input data per ha'!$D$82+'Forage crops, CF'!F226*'Forage, input data per ha'!$E$82</f>
        <v>7.8038856610645942E-6</v>
      </c>
      <c r="H80" s="27">
        <f>'Forage crops, CF'!G161*'Forage, input data per ha'!$D$82+'Forage crops, CF'!G226*'Forage, input data per ha'!$E$82</f>
        <v>1.1000000000000001E-6</v>
      </c>
      <c r="I80" s="27">
        <f>'Forage crops, CF'!H161*'Forage, input data per ha'!$D$82+'Forage crops, CF'!H226*'Forage, input data per ha'!$E$82</f>
        <v>5.2536508039072698E-5</v>
      </c>
      <c r="J80" s="27">
        <f>'Forage crops, CF'!I161*'Forage, input data per ha'!$D$82+'Forage crops, CF'!I226*'Forage, input data per ha'!$E$82</f>
        <v>5.2536508039072694E-6</v>
      </c>
      <c r="K80" s="27">
        <f>'Forage crops, CF'!J161*'Forage, input data per ha'!$D$82+'Forage crops, CF'!J226*'Forage, input data per ha'!$E$82</f>
        <v>8.3458587313510728E-7</v>
      </c>
      <c r="L80" s="27"/>
      <c r="M80" s="27">
        <f>'Forage crops, CF'!L161*'Forage, input data per ha'!$D$82+'Forage crops, CF'!L226*'Forage, input data per ha'!$E$82</f>
        <v>3.5289396128023997E-10</v>
      </c>
      <c r="N80" s="27">
        <f>'Forage crops, CF'!M161*'Forage, input data per ha'!$D$82+'Forage crops, CF'!M226*'Forage, input data per ha'!$E$82</f>
        <v>0</v>
      </c>
      <c r="O80" s="27">
        <f>'Forage crops, CF'!N161*'Forage, input data per ha'!$D$82+'Forage crops, CF'!N226*'Forage, input data per ha'!$E$82</f>
        <v>0</v>
      </c>
      <c r="P80" s="27">
        <f>'Forage crops, CF'!O161*'Forage, input data per ha'!$D$82+'Forage crops, CF'!O226*'Forage, input data per ha'!$E$82</f>
        <v>6.8099999999999988E-5</v>
      </c>
      <c r="Q80" s="27"/>
      <c r="R80" s="151">
        <f>'Parameters SH, country spec'!F17</f>
        <v>0.18201404564523588</v>
      </c>
      <c r="S80" s="151">
        <f>'Parameters SH, country spec'!F35</f>
        <v>0.18201404564523588</v>
      </c>
      <c r="T80" s="264">
        <f>'Parameters D24m, country spec'!F13</f>
        <v>0.18201404564523588</v>
      </c>
    </row>
    <row r="81" spans="1:20" x14ac:dyDescent="0.3">
      <c r="A81" s="20" t="s">
        <v>231</v>
      </c>
      <c r="B81" s="15" t="s">
        <v>113</v>
      </c>
      <c r="C81" s="15" t="s">
        <v>232</v>
      </c>
      <c r="D81" s="21" t="s">
        <v>96</v>
      </c>
      <c r="E81" s="21" t="s">
        <v>48</v>
      </c>
      <c r="F81" s="120">
        <f>SUM(G81:Q81)</f>
        <v>4.5179309000000005E-4</v>
      </c>
      <c r="G81" s="93">
        <v>1.8000000000000001E-4</v>
      </c>
      <c r="H81" s="93">
        <v>9.9999999999999995E-7</v>
      </c>
      <c r="I81" s="93">
        <v>2.4399999999999999E-4</v>
      </c>
      <c r="J81" s="93">
        <v>2.44E-5</v>
      </c>
      <c r="K81" s="93">
        <v>9.0999999999999997E-7</v>
      </c>
      <c r="L81" s="93"/>
      <c r="M81" s="93">
        <v>3.0899999999999999E-9</v>
      </c>
      <c r="N81" s="93">
        <v>1.48E-6</v>
      </c>
      <c r="O81" s="93"/>
      <c r="P81" s="93"/>
      <c r="Q81" s="93"/>
      <c r="R81" s="151">
        <f>'Parameters SH, country spec'!F18</f>
        <v>1.3777713958130216E-2</v>
      </c>
      <c r="S81" s="151">
        <f>'Parameters SH, country spec'!F36</f>
        <v>1.3777713958130216E-2</v>
      </c>
      <c r="T81" s="264">
        <f>'Parameters D24m, country spec'!F14</f>
        <v>1.3777713958130216E-2</v>
      </c>
    </row>
    <row r="82" spans="1:20" x14ac:dyDescent="0.3">
      <c r="A82" s="20" t="s">
        <v>233</v>
      </c>
      <c r="B82" s="15" t="s">
        <v>114</v>
      </c>
      <c r="C82" s="15" t="s">
        <v>232</v>
      </c>
      <c r="D82" s="21" t="s">
        <v>96</v>
      </c>
      <c r="E82" s="21" t="s">
        <v>48</v>
      </c>
      <c r="F82" s="120">
        <f t="shared" ref="F82:F91" si="24">SUM(G82:Q82)</f>
        <v>4.1514018000000003E-4</v>
      </c>
      <c r="G82" s="93">
        <v>1.7000000000000001E-4</v>
      </c>
      <c r="H82" s="93">
        <v>9.9999999999999995E-7</v>
      </c>
      <c r="I82" s="93">
        <v>2.2000000000000001E-4</v>
      </c>
      <c r="J82" s="93">
        <v>2.1999999999999999E-5</v>
      </c>
      <c r="K82" s="93">
        <v>6.5400000000000001E-7</v>
      </c>
      <c r="L82" s="93"/>
      <c r="M82" s="93">
        <v>6.1799999999999998E-9</v>
      </c>
      <c r="N82" s="93">
        <v>1.48E-6</v>
      </c>
      <c r="O82" s="93"/>
      <c r="P82" s="93"/>
      <c r="Q82" s="93"/>
      <c r="R82" s="151">
        <f>'Parameters SH, country spec'!F19</f>
        <v>8.1721304315358359E-2</v>
      </c>
      <c r="S82" s="151">
        <f>'Parameters SH, country spec'!F37</f>
        <v>8.1721304315358359E-2</v>
      </c>
      <c r="T82" s="264">
        <f>'Parameters D24m, country spec'!F15</f>
        <v>8.1721304315358359E-2</v>
      </c>
    </row>
    <row r="83" spans="1:20" x14ac:dyDescent="0.3">
      <c r="A83" s="20" t="s">
        <v>234</v>
      </c>
      <c r="B83" s="15" t="s">
        <v>115</v>
      </c>
      <c r="C83" s="15" t="s">
        <v>232</v>
      </c>
      <c r="D83" s="21" t="s">
        <v>96</v>
      </c>
      <c r="E83" s="21" t="s">
        <v>48</v>
      </c>
      <c r="F83" s="120">
        <f t="shared" si="24"/>
        <v>4.0830779999999995E-4</v>
      </c>
      <c r="G83" s="93">
        <v>1.4999999999999999E-4</v>
      </c>
      <c r="H83" s="93">
        <v>9.9999999999999995E-7</v>
      </c>
      <c r="I83" s="93">
        <v>2.31E-4</v>
      </c>
      <c r="J83" s="93">
        <v>2.3099999999999999E-5</v>
      </c>
      <c r="K83" s="93">
        <v>1.7E-6</v>
      </c>
      <c r="L83" s="93"/>
      <c r="M83" s="93">
        <v>2.7800000000000001E-8</v>
      </c>
      <c r="N83" s="93">
        <v>1.48E-6</v>
      </c>
      <c r="O83" s="93"/>
      <c r="P83" s="93"/>
      <c r="Q83" s="93"/>
      <c r="R83" s="151">
        <f>'Parameters SH, country spec'!F20</f>
        <v>7.3794391499110061E-3</v>
      </c>
      <c r="S83" s="151">
        <f>'Parameters SH, country spec'!F38</f>
        <v>7.3794391499110061E-3</v>
      </c>
      <c r="T83" s="264">
        <f>'Parameters D24m, country spec'!F16</f>
        <v>7.3794391499110061E-3</v>
      </c>
    </row>
    <row r="84" spans="1:20" x14ac:dyDescent="0.3">
      <c r="A84" s="20" t="s">
        <v>235</v>
      </c>
      <c r="B84" s="15" t="s">
        <v>116</v>
      </c>
      <c r="C84" s="15" t="s">
        <v>232</v>
      </c>
      <c r="D84" s="21" t="s">
        <v>96</v>
      </c>
      <c r="E84" s="21" t="s">
        <v>48</v>
      </c>
      <c r="F84" s="120">
        <f t="shared" si="24"/>
        <v>3.7715999999999997E-4</v>
      </c>
      <c r="G84" s="93">
        <v>1.3999999999999999E-4</v>
      </c>
      <c r="H84" s="93">
        <v>9.9999999999999995E-7</v>
      </c>
      <c r="I84" s="93">
        <v>2.12E-4</v>
      </c>
      <c r="J84" s="93">
        <v>2.12E-5</v>
      </c>
      <c r="K84" s="93">
        <v>1.48E-6</v>
      </c>
      <c r="L84" s="93"/>
      <c r="M84" s="93">
        <v>0</v>
      </c>
      <c r="N84" s="93">
        <v>1.48E-6</v>
      </c>
      <c r="O84" s="93"/>
      <c r="P84" s="93"/>
      <c r="Q84" s="93"/>
      <c r="R84" s="151">
        <f>'Parameters SH, country spec'!F21</f>
        <v>2.8681330795635538E-3</v>
      </c>
      <c r="S84" s="151">
        <f>'Parameters SH, country spec'!F39</f>
        <v>2.8681330795635538E-3</v>
      </c>
      <c r="T84" s="264">
        <f>'Parameters D24m, country spec'!F17</f>
        <v>2.8681330795635538E-3</v>
      </c>
    </row>
    <row r="85" spans="1:20" x14ac:dyDescent="0.3">
      <c r="A85" s="20" t="s">
        <v>236</v>
      </c>
      <c r="B85" s="15" t="s">
        <v>117</v>
      </c>
      <c r="C85" s="15" t="s">
        <v>232</v>
      </c>
      <c r="D85" s="21" t="s">
        <v>96</v>
      </c>
      <c r="E85" s="21" t="s">
        <v>48</v>
      </c>
      <c r="F85" s="120">
        <f t="shared" si="24"/>
        <v>4.9822218000000003E-4</v>
      </c>
      <c r="G85" s="93">
        <v>2.0000000000000001E-4</v>
      </c>
      <c r="H85" s="93">
        <v>9.9999999999999995E-7</v>
      </c>
      <c r="I85" s="93">
        <v>2.6800000000000001E-4</v>
      </c>
      <c r="J85" s="93">
        <v>2.6800000000000001E-5</v>
      </c>
      <c r="K85" s="93">
        <v>9.3600000000000002E-7</v>
      </c>
      <c r="L85" s="93"/>
      <c r="M85" s="93">
        <v>6.1799999999999998E-9</v>
      </c>
      <c r="N85" s="93">
        <v>1.48E-6</v>
      </c>
      <c r="O85" s="93"/>
      <c r="P85" s="93"/>
      <c r="Q85" s="93"/>
      <c r="R85" s="151">
        <f>'Parameters SH, country spec'!F22</f>
        <v>1.2902756316192223E-2</v>
      </c>
      <c r="S85" s="151">
        <f>'Parameters SH, country spec'!F40</f>
        <v>1.2902756316192223E-2</v>
      </c>
      <c r="T85" s="264">
        <f>'Parameters D24m, country spec'!F18</f>
        <v>1.2902756316192223E-2</v>
      </c>
    </row>
    <row r="86" spans="1:20" x14ac:dyDescent="0.3">
      <c r="A86" s="20" t="s">
        <v>237</v>
      </c>
      <c r="B86" s="15" t="s">
        <v>118</v>
      </c>
      <c r="C86" s="15" t="s">
        <v>238</v>
      </c>
      <c r="D86" s="21" t="s">
        <v>96</v>
      </c>
      <c r="E86" s="21" t="s">
        <v>48</v>
      </c>
      <c r="F86" s="120">
        <f t="shared" si="24"/>
        <v>1.7401899999999997E-4</v>
      </c>
      <c r="G86" s="93">
        <v>0</v>
      </c>
      <c r="H86" s="93">
        <v>9.9999999999999995E-7</v>
      </c>
      <c r="I86" s="93">
        <v>1.54E-4</v>
      </c>
      <c r="J86" s="93">
        <v>1.5400000000000002E-5</v>
      </c>
      <c r="K86" s="93">
        <v>1.9099999999999999E-6</v>
      </c>
      <c r="L86" s="93"/>
      <c r="M86" s="93">
        <v>2.29E-7</v>
      </c>
      <c r="N86" s="93">
        <v>1.48E-6</v>
      </c>
      <c r="O86" s="93"/>
      <c r="P86" s="93"/>
      <c r="Q86" s="93"/>
      <c r="R86" s="151">
        <f>'Parameters SH, country spec'!F23</f>
        <v>9.2331122908701521E-4</v>
      </c>
      <c r="S86" s="151">
        <f>'Parameters SH, country spec'!F41</f>
        <v>9.2331122908701521E-4</v>
      </c>
      <c r="T86" s="264">
        <f>'Parameters D24m, country spec'!F19</f>
        <v>9.2331122908701521E-4</v>
      </c>
    </row>
    <row r="87" spans="1:20" x14ac:dyDescent="0.3">
      <c r="A87" s="20" t="s">
        <v>239</v>
      </c>
      <c r="B87" s="15" t="s">
        <v>119</v>
      </c>
      <c r="C87" s="15" t="s">
        <v>238</v>
      </c>
      <c r="D87" s="21" t="s">
        <v>96</v>
      </c>
      <c r="E87" s="21" t="s">
        <v>48</v>
      </c>
      <c r="F87" s="120">
        <f t="shared" si="24"/>
        <v>1.8870699999999998E-4</v>
      </c>
      <c r="G87" s="93">
        <v>8.6000000000000007E-6</v>
      </c>
      <c r="H87" s="93">
        <v>9.9999999999999995E-7</v>
      </c>
      <c r="I87" s="93">
        <v>1.5899999999999999E-4</v>
      </c>
      <c r="J87" s="93">
        <v>1.59E-5</v>
      </c>
      <c r="K87" s="93">
        <v>2.39E-6</v>
      </c>
      <c r="L87" s="93"/>
      <c r="M87" s="93">
        <v>3.3700000000000001E-7</v>
      </c>
      <c r="N87" s="93">
        <v>1.48E-6</v>
      </c>
      <c r="O87" s="93"/>
      <c r="P87" s="93"/>
      <c r="Q87" s="93"/>
      <c r="R87" s="151">
        <f>'Parameters SH, country spec'!F24</f>
        <v>9.0699589423403552E-4</v>
      </c>
      <c r="S87" s="151">
        <f>'Parameters SH, country spec'!F42</f>
        <v>9.0699589423403552E-4</v>
      </c>
      <c r="T87" s="264">
        <f>'Parameters D24m, country spec'!F20</f>
        <v>9.0699589423403552E-4</v>
      </c>
    </row>
    <row r="88" spans="1:20" x14ac:dyDescent="0.3">
      <c r="B88" s="16" t="s">
        <v>120</v>
      </c>
      <c r="C88" s="15" t="s">
        <v>240</v>
      </c>
      <c r="D88" s="21" t="s">
        <v>96</v>
      </c>
      <c r="E88" s="21" t="s">
        <v>48</v>
      </c>
      <c r="F88" s="120">
        <f t="shared" si="24"/>
        <v>1.5426052012212825E-3</v>
      </c>
      <c r="G88" s="27">
        <f>'Off-farm feed'!$F$77</f>
        <v>3.5160526410462907E-4</v>
      </c>
      <c r="H88" s="27">
        <f>'Off-farm feed'!$G$77</f>
        <v>5.3103448275862083E-7</v>
      </c>
      <c r="I88" s="27">
        <f>'Off-farm feed'!$H$77</f>
        <v>1.0756102664162708E-3</v>
      </c>
      <c r="J88" s="27">
        <f>'Off-farm feed'!$I$77</f>
        <v>1.0756102664162706E-4</v>
      </c>
      <c r="K88" s="27">
        <f>'Off-farm feed'!$J$77</f>
        <v>6.6339607025480414E-7</v>
      </c>
      <c r="L88" s="27"/>
      <c r="M88" s="27">
        <f>'Off-farm feed'!$L$77</f>
        <v>7.9511067188965511E-9</v>
      </c>
      <c r="N88" s="27">
        <f>'Off-farm feed'!$M$77</f>
        <v>1.2789681892721844E-6</v>
      </c>
      <c r="O88" s="27"/>
      <c r="P88" s="27">
        <f>'Off-farm feed'!$O$77</f>
        <v>4.8776996151562902E-6</v>
      </c>
      <c r="Q88" s="27">
        <f>'Off-farm feed'!$P$77</f>
        <v>4.6959459459459463E-7</v>
      </c>
      <c r="R88" s="151">
        <f>'Parameters SH, country spec'!F25</f>
        <v>3.9849321881062677E-4</v>
      </c>
      <c r="S88" s="151">
        <f>'Parameters SH, country spec'!F43</f>
        <v>3.9849321881062677E-4</v>
      </c>
      <c r="T88" s="264">
        <f>'Parameters D24m, country spec'!F21</f>
        <v>3.9849321881062677E-4</v>
      </c>
    </row>
    <row r="89" spans="1:20" x14ac:dyDescent="0.3">
      <c r="B89" s="16" t="s">
        <v>241</v>
      </c>
      <c r="C89" s="15" t="s">
        <v>240</v>
      </c>
      <c r="D89" s="21" t="s">
        <v>96</v>
      </c>
      <c r="E89" s="21" t="s">
        <v>48</v>
      </c>
      <c r="F89" s="120">
        <f t="shared" si="24"/>
        <v>1.8866346644602505E-4</v>
      </c>
      <c r="G89" s="27">
        <f>'Off-farm feed'!$F$26</f>
        <v>1.6332109719061441E-5</v>
      </c>
      <c r="H89" s="27">
        <f>'Off-farm feed'!$G$26</f>
        <v>8.7195121951219526E-7</v>
      </c>
      <c r="I89" s="27">
        <f>'Off-farm feed'!$H$26</f>
        <v>1.3333449845358202E-4</v>
      </c>
      <c r="J89" s="27">
        <f>'Off-farm feed'!$I$26</f>
        <v>1.3333449845358203E-5</v>
      </c>
      <c r="K89" s="27">
        <f>'Off-farm feed'!$J$26</f>
        <v>1.1576736579983931E-6</v>
      </c>
      <c r="L89" s="27"/>
      <c r="M89" s="27">
        <f>'Off-farm feed'!$L$26</f>
        <v>7.3437786087804866E-9</v>
      </c>
      <c r="N89" s="27">
        <f>'Off-farm feed'!$M$26</f>
        <v>1.1195281639512197E-6</v>
      </c>
      <c r="O89" s="27"/>
      <c r="P89" s="27">
        <f>'Off-farm feed'!$O$26</f>
        <v>1.3419073770114991E-5</v>
      </c>
      <c r="Q89" s="27">
        <f>'Off-farm feed'!$P$26</f>
        <v>9.087837837837838E-6</v>
      </c>
      <c r="R89" s="151">
        <f>'Parameters SH, country spec'!F26</f>
        <v>7.5984876674379837E-2</v>
      </c>
      <c r="S89" s="151">
        <f>'Parameters SH, country spec'!F44</f>
        <v>7.5984876674379837E-2</v>
      </c>
      <c r="T89" s="264">
        <f>'Parameters D24m, country spec'!F22</f>
        <v>7.5984876674379837E-2</v>
      </c>
    </row>
    <row r="90" spans="1:20" x14ac:dyDescent="0.3">
      <c r="B90" s="15" t="s">
        <v>122</v>
      </c>
      <c r="C90" s="15" t="s">
        <v>242</v>
      </c>
      <c r="D90" s="21" t="s">
        <v>96</v>
      </c>
      <c r="E90" s="21" t="s">
        <v>48</v>
      </c>
      <c r="F90" s="120"/>
      <c r="G90" s="93"/>
      <c r="H90" s="93"/>
      <c r="I90" s="93"/>
      <c r="J90" s="93"/>
      <c r="K90" s="93"/>
      <c r="L90" s="93"/>
      <c r="M90" s="93"/>
      <c r="N90" s="93"/>
      <c r="O90" s="93"/>
      <c r="P90" s="93"/>
      <c r="Q90" s="93"/>
      <c r="R90" s="151">
        <f>'Parameters SH, country spec'!F27</f>
        <v>9.4871367549450719E-2</v>
      </c>
      <c r="S90" s="151">
        <f>'Parameters SH, country spec'!F45</f>
        <v>9.4871367549450719E-2</v>
      </c>
      <c r="T90" s="264">
        <f>'Parameters D24m, country spec'!F23</f>
        <v>9.4871367549450719E-2</v>
      </c>
    </row>
    <row r="91" spans="1:20" x14ac:dyDescent="0.3">
      <c r="A91" s="75"/>
      <c r="B91" s="15" t="s">
        <v>243</v>
      </c>
      <c r="C91" s="76" t="s">
        <v>244</v>
      </c>
      <c r="D91" s="21" t="s">
        <v>96</v>
      </c>
      <c r="E91" s="21" t="s">
        <v>48</v>
      </c>
      <c r="F91" s="120">
        <f t="shared" si="24"/>
        <v>6.5955858076115317E-5</v>
      </c>
      <c r="G91" s="74">
        <f>SUMPRODUCT(G81:G89,$R81:$R89)</f>
        <v>2.1850521833907905E-5</v>
      </c>
      <c r="H91" s="74">
        <f t="shared" ref="H91:P91" si="25">SUMPRODUCT(H81:H89,$R81:$R89)</f>
        <v>1.869463734635196E-7</v>
      </c>
      <c r="I91" s="74">
        <f t="shared" si="25"/>
        <v>3.7957513599547348E-5</v>
      </c>
      <c r="J91" s="74">
        <f t="shared" si="25"/>
        <v>3.7957513599547353E-6</v>
      </c>
      <c r="K91" s="74">
        <f t="shared" si="25"/>
        <v>1.8701160975104534E-7</v>
      </c>
      <c r="L91" s="74">
        <f t="shared" si="25"/>
        <v>0</v>
      </c>
      <c r="M91" s="74">
        <f t="shared" si="25"/>
        <v>1.9107787010405815E-9</v>
      </c>
      <c r="N91" s="74">
        <f t="shared" si="25"/>
        <v>2.6388675745669291E-7</v>
      </c>
      <c r="O91" s="74">
        <f t="shared" si="25"/>
        <v>0</v>
      </c>
      <c r="P91" s="74">
        <f t="shared" si="25"/>
        <v>1.0215903957266279E-6</v>
      </c>
      <c r="Q91" s="74">
        <f>SUMPRODUCT(Q81:Q89,$R81:$R89)</f>
        <v>6.907253676064069E-7</v>
      </c>
      <c r="R91" s="151">
        <f>'Parameters SH, country spec'!F28</f>
        <v>6.7982986801529061E-2</v>
      </c>
      <c r="S91" s="151">
        <f>'Parameters SH, country spec'!F46</f>
        <v>6.7982986801529061E-2</v>
      </c>
      <c r="T91" s="264">
        <f>'Parameters D24m, country spec'!F24</f>
        <v>6.7982986801529061E-2</v>
      </c>
    </row>
    <row r="92" spans="1:20" x14ac:dyDescent="0.3">
      <c r="A92" s="328"/>
      <c r="B92" s="329" t="s">
        <v>616</v>
      </c>
      <c r="C92" s="330"/>
      <c r="D92" s="331"/>
      <c r="E92" s="331"/>
      <c r="F92" s="334">
        <f>SUMPRODUCT(F78:F80,R78:R80)+SUMPRODUCT(F81:F91,R81:R91)/0.87</f>
        <v>3.2597645391176853E-4</v>
      </c>
      <c r="G92" s="334">
        <f>SUMPRODUCT(G78:G80,R78:R80)+SUMPRODUCT(G81:G91,R81:R91)/0.87</f>
        <v>7.060299719757839E-5</v>
      </c>
      <c r="H92" s="334">
        <f>SUMPRODUCT(H78:H80,R78:R80)+SUMPRODUCT(H81:H91,R81:R91)/0.87</f>
        <v>9.3380001767662444E-7</v>
      </c>
      <c r="I92" s="334">
        <f>SUMPRODUCT(I78:I80,R78:R80)+SUMPRODUCT(I81:I91,R81:R91)/0.87</f>
        <v>1.9361691063555145E-4</v>
      </c>
      <c r="J92" s="334">
        <f>SUMPRODUCT(J78:J80,R78:R80)+SUMPRODUCT(J81:J91,R81:R91)/0.87</f>
        <v>1.9361691063555145E-5</v>
      </c>
      <c r="K92" s="334">
        <f>SUMPRODUCT(K78:K80,R78:R80)+SUMPRODUCT(K81:K91,R81:R91)/0.87</f>
        <v>7.0292228297166084E-7</v>
      </c>
      <c r="L92" s="334">
        <f>SUMPRODUCT(L78:L80,R78:R80)+SUMPRODUCT(L81:L91,R81:R91)/0.87</f>
        <v>0</v>
      </c>
      <c r="M92" s="334">
        <f>SUMPRODUCT(M78:M80,R78:R80)+SUMPRODUCT(M81:M91,R81:R91)/0.87</f>
        <v>2.5715600825368952E-9</v>
      </c>
      <c r="N92" s="334">
        <f>SUMPRODUCT(N78:N80,R78:R80)+SUMPRODUCT(N81:N91,R81:R91)/0.87</f>
        <v>3.2393858322525239E-7</v>
      </c>
      <c r="O92" s="334">
        <f>SUMPRODUCT(O78:O80,R78:R80)+SUMPRODUCT(O81:O91,R81:R91)/0.87</f>
        <v>0</v>
      </c>
      <c r="P92" s="334">
        <f>SUMPRODUCT(P78:P80,R78:R80)+SUMPRODUCT(P81:P91,R81:R91)/0.87</f>
        <v>3.9583711144511568E-5</v>
      </c>
      <c r="Q92" s="334">
        <f>SUMPRODUCT(Q78:Q80,R78:R80)+SUMPRODUCT(Q81:Q91,R81:R91)/0.87</f>
        <v>8.4791142661594787E-7</v>
      </c>
      <c r="R92" s="335"/>
      <c r="S92" s="336"/>
      <c r="T92" s="336"/>
    </row>
    <row r="93" spans="1:20" x14ac:dyDescent="0.3">
      <c r="A93" s="150"/>
      <c r="B93" s="23" t="s">
        <v>457</v>
      </c>
      <c r="C93" s="24"/>
      <c r="D93" s="94"/>
      <c r="E93" s="94"/>
      <c r="F93" s="28">
        <f>SUMPRODUCT(F78:F80,S78:S80)+SUMPRODUCT(F81:F91,S81:S91)/0.87</f>
        <v>3.2597645391176853E-4</v>
      </c>
      <c r="G93" s="28">
        <f>SUMPRODUCT(G78:G80,S78:S80)+SUMPRODUCT(G81:G91,S81:S91)/0.87</f>
        <v>7.060299719757839E-5</v>
      </c>
      <c r="H93" s="28">
        <f>SUMPRODUCT(H78:H80,S78:S80)+SUMPRODUCT(H81:H91,S81:S91)/0.87</f>
        <v>9.3380001767662444E-7</v>
      </c>
      <c r="I93" s="28">
        <f>SUMPRODUCT(I78:I80,S78:S80)+SUMPRODUCT(I81:I91,S81:S91)/0.87</f>
        <v>1.9361691063555145E-4</v>
      </c>
      <c r="J93" s="28">
        <f>SUMPRODUCT(J78:J80,S78:S80)+SUMPRODUCT(J81:J91,S81:S91)/0.87</f>
        <v>1.9361691063555145E-5</v>
      </c>
      <c r="K93" s="28">
        <f>SUMPRODUCT(K78:K80,S78:S80)+SUMPRODUCT(K81:K91,S81:S91)/0.87</f>
        <v>7.0292228297166084E-7</v>
      </c>
      <c r="L93" s="28">
        <f>SUMPRODUCT(L78:L80,S78:S80)+SUMPRODUCT(L81:L91,S81:S91)/0.87</f>
        <v>0</v>
      </c>
      <c r="M93" s="28">
        <f>SUMPRODUCT(M78:M80,S78:S80)+SUMPRODUCT(M81:M91,S81:S91)/0.87</f>
        <v>2.5715600825368952E-9</v>
      </c>
      <c r="N93" s="28">
        <f>SUMPRODUCT(N78:N80,S78:S80)+SUMPRODUCT(N81:N91,S81:S91)/0.87</f>
        <v>3.2393858322525239E-7</v>
      </c>
      <c r="O93" s="28">
        <f>SUMPRODUCT(O78:O80,S78:S80)+SUMPRODUCT(O81:O91,S81:S91)/0.87</f>
        <v>0</v>
      </c>
      <c r="P93" s="28">
        <f>SUMPRODUCT(P78:P80,S78:S80)+SUMPRODUCT(P81:P91,S81:S91)/0.87</f>
        <v>3.9583711144511568E-5</v>
      </c>
      <c r="Q93" s="28">
        <f>SUMPRODUCT(Q78:Q80,S78:S80)+SUMPRODUCT(Q81:Q91,S81:S91)/0.87</f>
        <v>8.4791142661594787E-7</v>
      </c>
      <c r="R93" s="152"/>
      <c r="S93" s="152"/>
      <c r="T93" s="152"/>
    </row>
    <row r="94" spans="1:20" x14ac:dyDescent="0.3">
      <c r="A94" s="328"/>
      <c r="B94" s="329" t="s">
        <v>641</v>
      </c>
      <c r="C94" s="330"/>
      <c r="D94" s="331"/>
      <c r="E94" s="331"/>
      <c r="F94" s="332">
        <f>SUMPRODUCT(F78:F80,$T78:$T80)+SUMPRODUCT(F81:F91,$T81:$T91)/0.87</f>
        <v>3.2597645391176853E-4</v>
      </c>
      <c r="G94" s="332">
        <f t="shared" ref="G94:O94" si="26">SUMPRODUCT(G78:G80,$T78:$T80)+SUMPRODUCT(G81:G91,$T81:$T91)/0.87</f>
        <v>7.060299719757839E-5</v>
      </c>
      <c r="H94" s="332">
        <f t="shared" si="26"/>
        <v>9.3380001767662444E-7</v>
      </c>
      <c r="I94" s="332">
        <f t="shared" si="26"/>
        <v>1.9361691063555145E-4</v>
      </c>
      <c r="J94" s="332">
        <f t="shared" si="26"/>
        <v>1.9361691063555145E-5</v>
      </c>
      <c r="K94" s="332">
        <f t="shared" si="26"/>
        <v>7.0292228297166084E-7</v>
      </c>
      <c r="L94" s="332">
        <f t="shared" si="26"/>
        <v>0</v>
      </c>
      <c r="M94" s="332">
        <f t="shared" si="26"/>
        <v>2.5715600825368952E-9</v>
      </c>
      <c r="N94" s="332">
        <f t="shared" si="26"/>
        <v>3.2393858322525239E-7</v>
      </c>
      <c r="O94" s="332">
        <f t="shared" si="26"/>
        <v>0</v>
      </c>
      <c r="P94" s="332">
        <f>SUMPRODUCT(P78:P80,$T78:$T80)+SUMPRODUCT(P81:P91,$T81:$T91)/0.87</f>
        <v>3.9583711144511568E-5</v>
      </c>
      <c r="Q94" s="332">
        <f t="shared" ref="Q94" si="27">SUMPRODUCT(Q78:Q80,$T78:$T80)+SUMPRODUCT(Q81:Q91,$T81:$T91)/0.87</f>
        <v>8.4791142661594787E-7</v>
      </c>
      <c r="R94" s="335"/>
      <c r="S94" s="335"/>
      <c r="T94" s="335"/>
    </row>
    <row r="95" spans="1:20" x14ac:dyDescent="0.3">
      <c r="A95" s="150"/>
      <c r="B95" s="23" t="s">
        <v>642</v>
      </c>
      <c r="C95" s="24"/>
      <c r="D95" s="94"/>
      <c r="E95" s="94"/>
      <c r="F95" s="327">
        <f>SUMPRODUCT(F78:F80,$U78:$U80)+SUMPRODUCT(F81:F91,$U81:$U91)/0.87</f>
        <v>0</v>
      </c>
      <c r="G95" s="327">
        <f t="shared" ref="G95:K95" si="28">SUMPRODUCT(G78:G80,$U78:$U80)+SUMPRODUCT(G81:G91,$U81:$U91)/0.87</f>
        <v>0</v>
      </c>
      <c r="H95" s="327">
        <f t="shared" si="28"/>
        <v>0</v>
      </c>
      <c r="I95" s="327">
        <f t="shared" si="28"/>
        <v>0</v>
      </c>
      <c r="J95" s="327">
        <f t="shared" si="28"/>
        <v>0</v>
      </c>
      <c r="K95" s="327">
        <f t="shared" si="28"/>
        <v>0</v>
      </c>
      <c r="L95" s="327">
        <f>SUMPRODUCT(L78:L80,$U78:$U80)+SUMPRODUCT(L81:L91,$U81:$U91)/0.87</f>
        <v>0</v>
      </c>
      <c r="M95" s="327">
        <f t="shared" ref="M95:Q95" si="29">SUMPRODUCT(M78:M80,$U78:$U80)+SUMPRODUCT(M81:M91,$U81:$U91)/0.87</f>
        <v>0</v>
      </c>
      <c r="N95" s="327">
        <f t="shared" si="29"/>
        <v>0</v>
      </c>
      <c r="O95" s="327">
        <f t="shared" si="29"/>
        <v>0</v>
      </c>
      <c r="P95" s="327">
        <f t="shared" si="29"/>
        <v>0</v>
      </c>
      <c r="Q95" s="327">
        <f t="shared" si="29"/>
        <v>0</v>
      </c>
      <c r="R95" s="152"/>
      <c r="S95" s="152"/>
      <c r="T95" s="152"/>
    </row>
    <row r="96" spans="1:20" x14ac:dyDescent="0.3">
      <c r="B96" s="16" t="s">
        <v>299</v>
      </c>
      <c r="C96" s="15" t="s">
        <v>302</v>
      </c>
      <c r="D96" s="21" t="s">
        <v>49</v>
      </c>
      <c r="E96" s="21" t="s">
        <v>50</v>
      </c>
      <c r="F96" s="120">
        <f>SUM(G96:Q96)</f>
        <v>2.4076715964597344E-4</v>
      </c>
      <c r="G96" s="27">
        <f>'Forage crops, CF'!F36</f>
        <v>4.7791180802654258E-5</v>
      </c>
      <c r="H96" s="27">
        <f>'Forage crops, CF'!G36</f>
        <v>1.1000000000000001E-6</v>
      </c>
      <c r="I96" s="27">
        <f>'Forage crops, CF'!H36</f>
        <v>1.7407334076117385E-4</v>
      </c>
      <c r="J96" s="27">
        <f>'Forage crops, CF'!I36</f>
        <v>1.7407334076117384E-5</v>
      </c>
      <c r="K96" s="27">
        <f>'Forage crops, CF'!J36</f>
        <v>3.9530400602795185E-7</v>
      </c>
      <c r="L96" s="27">
        <f>'Forage crops, CF'!K36</f>
        <v>0</v>
      </c>
      <c r="M96" s="27">
        <f>'Forage crops, CF'!L36</f>
        <v>0</v>
      </c>
      <c r="N96" s="27">
        <f>'Forage crops, CF'!M36</f>
        <v>0</v>
      </c>
      <c r="O96" s="27">
        <f>'Forage crops, CF'!N36</f>
        <v>0</v>
      </c>
      <c r="P96" s="27">
        <f>'Forage crops, CF'!O36</f>
        <v>0</v>
      </c>
      <c r="Q96" s="27">
        <f>'Forage crops, CF'!P36</f>
        <v>0</v>
      </c>
      <c r="R96" s="151">
        <f>'Parameters SH, country spec'!G15</f>
        <v>0.75114991922794239</v>
      </c>
      <c r="S96" s="151">
        <f>'Parameters SH, country spec'!G33</f>
        <v>0.75114991922794239</v>
      </c>
      <c r="T96" s="264">
        <f>'Parameters D24m, country spec'!G11</f>
        <v>0.75114991922794239</v>
      </c>
    </row>
    <row r="97" spans="1:20" x14ac:dyDescent="0.3">
      <c r="B97" s="16" t="s">
        <v>300</v>
      </c>
      <c r="C97" s="15" t="s">
        <v>302</v>
      </c>
      <c r="D97" s="21" t="s">
        <v>49</v>
      </c>
      <c r="E97" s="21" t="s">
        <v>50</v>
      </c>
      <c r="F97" s="120">
        <f>SUM(G97:Q97)</f>
        <v>3.9985223188303428E-4</v>
      </c>
      <c r="G97" s="27">
        <f>'Forage crops, CF'!F101</f>
        <v>7.1738829245087782E-5</v>
      </c>
      <c r="H97" s="27">
        <f>'Forage crops, CF'!G101</f>
        <v>1.1000000000000001E-6</v>
      </c>
      <c r="I97" s="27">
        <f>'Forage crops, CF'!H101</f>
        <v>2.3505839106167088E-4</v>
      </c>
      <c r="J97" s="27">
        <f>'Forage crops, CF'!I101</f>
        <v>2.350583910616709E-5</v>
      </c>
      <c r="K97" s="27">
        <f>'Forage crops, CF'!J101</f>
        <v>3.4917247010855983E-7</v>
      </c>
      <c r="L97" s="27"/>
      <c r="M97" s="27">
        <f>'Forage crops, CF'!L101</f>
        <v>0</v>
      </c>
      <c r="N97" s="27">
        <f>'Forage crops, CF'!M101</f>
        <v>0</v>
      </c>
      <c r="O97" s="27">
        <f>'Forage crops, CF'!N101</f>
        <v>0</v>
      </c>
      <c r="P97" s="27">
        <f>'Forage crops, CF'!O101</f>
        <v>6.8099999999999988E-5</v>
      </c>
      <c r="Q97" s="27"/>
      <c r="R97" s="151">
        <f>'Parameters SH, country spec'!G16</f>
        <v>1.9608947623101922E-2</v>
      </c>
      <c r="S97" s="151">
        <f>'Parameters SH, country spec'!G34</f>
        <v>1.9608947623101922E-2</v>
      </c>
      <c r="T97" s="264">
        <f>'Parameters D24m, country spec'!G12</f>
        <v>1.9608947623101922E-2</v>
      </c>
    </row>
    <row r="98" spans="1:20" x14ac:dyDescent="0.3">
      <c r="B98" s="16" t="s">
        <v>301</v>
      </c>
      <c r="C98" s="15" t="s">
        <v>302</v>
      </c>
      <c r="D98" s="21" t="s">
        <v>49</v>
      </c>
      <c r="E98" s="21" t="s">
        <v>50</v>
      </c>
      <c r="F98" s="120">
        <f>SUM(G98:Q98)</f>
        <v>3.088495045615278E-4</v>
      </c>
      <c r="G98" s="27">
        <f>'Forage crops, CF'!F166*'Forage, input data per ha'!$D$83+'Forage crops, CF'!F231*'Forage, input data per ha'!$E$83</f>
        <v>4.7787115803330238E-5</v>
      </c>
      <c r="H98" s="27">
        <f>'Forage crops, CF'!G166*'Forage, input data per ha'!$D$83+'Forage crops, CF'!G231*'Forage, input data per ha'!$E$83</f>
        <v>1.1000000000000001E-6</v>
      </c>
      <c r="I98" s="27">
        <f>'Forage crops, CF'!H166*'Forage, input data per ha'!$D$83+'Forage crops, CF'!H231*'Forage, input data per ha'!$E$83</f>
        <v>1.7406098565835658E-4</v>
      </c>
      <c r="J98" s="27">
        <f>'Forage crops, CF'!I166*'Forage, input data per ha'!$D$83+'Forage crops, CF'!I231*'Forage, input data per ha'!$E$83</f>
        <v>1.7406098565835658E-5</v>
      </c>
      <c r="K98" s="27">
        <f>'Forage crops, CF'!J166*'Forage, input data per ha'!$D$83+'Forage crops, CF'!J231*'Forage, input data per ha'!$E$83</f>
        <v>3.9530453400534217E-7</v>
      </c>
      <c r="L98" s="27"/>
      <c r="M98" s="27">
        <f>'Forage crops, CF'!L166*'Forage, input data per ha'!$D$83+'Forage crops, CF'!L231*'Forage, input data per ha'!$E$83</f>
        <v>0</v>
      </c>
      <c r="N98" s="27">
        <f>'Forage crops, CF'!M166*'Forage, input data per ha'!$D$83+'Forage crops, CF'!M231*'Forage, input data per ha'!$E$83</f>
        <v>0</v>
      </c>
      <c r="O98" s="27">
        <f>'Forage crops, CF'!N166*'Forage, input data per ha'!$D$83+'Forage crops, CF'!N231*'Forage, input data per ha'!$E$83</f>
        <v>0</v>
      </c>
      <c r="P98" s="27">
        <f>'Forage crops, CF'!O166*'Forage, input data per ha'!$D$83+'Forage crops, CF'!O231*'Forage, input data per ha'!$E$83</f>
        <v>6.8099999999999988E-5</v>
      </c>
      <c r="Q98" s="27"/>
      <c r="R98" s="151">
        <f>'Parameters SH, country spec'!G17</f>
        <v>4.011237421254237E-4</v>
      </c>
      <c r="S98" s="151">
        <f>'Parameters SH, country spec'!G35</f>
        <v>4.011237421254237E-4</v>
      </c>
      <c r="T98" s="264">
        <f>'Parameters D24m, country spec'!G13</f>
        <v>4.011237421254237E-4</v>
      </c>
    </row>
    <row r="99" spans="1:20" x14ac:dyDescent="0.3">
      <c r="A99" s="20" t="s">
        <v>231</v>
      </c>
      <c r="B99" s="15" t="s">
        <v>113</v>
      </c>
      <c r="C99" s="15" t="s">
        <v>232</v>
      </c>
      <c r="D99" s="21" t="s">
        <v>49</v>
      </c>
      <c r="E99" s="21" t="s">
        <v>50</v>
      </c>
      <c r="F99" s="120">
        <f>SUM(G99:Q99)</f>
        <v>8.2882825999999992E-4</v>
      </c>
      <c r="G99" s="93">
        <v>1.8000000000000001E-4</v>
      </c>
      <c r="H99" s="93">
        <v>9.9999999999999995E-7</v>
      </c>
      <c r="I99" s="93">
        <v>5.8699999999999996E-4</v>
      </c>
      <c r="J99" s="93">
        <v>5.8699999999999997E-5</v>
      </c>
      <c r="K99" s="93">
        <v>6.5899999999999996E-7</v>
      </c>
      <c r="L99" s="93"/>
      <c r="M99" s="93">
        <v>9.2599999999999999E-9</v>
      </c>
      <c r="N99" s="93">
        <v>1.46E-6</v>
      </c>
      <c r="O99" s="93"/>
      <c r="P99" s="93"/>
      <c r="Q99" s="93"/>
      <c r="R99" s="151">
        <f>'Parameters SH, country spec'!G18</f>
        <v>9.7140944486754449E-2</v>
      </c>
      <c r="S99" s="151">
        <f>'Parameters SH, country spec'!G36</f>
        <v>9.7140944486754449E-2</v>
      </c>
      <c r="T99" s="264">
        <f>'Parameters D24m, country spec'!G14</f>
        <v>9.7140944486754449E-2</v>
      </c>
    </row>
    <row r="100" spans="1:20" x14ac:dyDescent="0.3">
      <c r="A100" s="20" t="s">
        <v>233</v>
      </c>
      <c r="B100" s="15" t="s">
        <v>114</v>
      </c>
      <c r="C100" s="15" t="s">
        <v>232</v>
      </c>
      <c r="D100" s="21" t="s">
        <v>49</v>
      </c>
      <c r="E100" s="21" t="s">
        <v>50</v>
      </c>
      <c r="F100" s="120"/>
      <c r="G100" s="93"/>
      <c r="H100" s="93"/>
      <c r="I100" s="93"/>
      <c r="J100" s="93"/>
      <c r="K100" s="93"/>
      <c r="L100" s="93"/>
      <c r="M100" s="93"/>
      <c r="N100" s="93"/>
      <c r="O100" s="93"/>
      <c r="P100" s="93"/>
      <c r="Q100" s="93"/>
      <c r="R100" s="151">
        <f>'Parameters SH, country spec'!G19</f>
        <v>2.6773939262145888E-2</v>
      </c>
      <c r="S100" s="151">
        <f>'Parameters SH, country spec'!G37</f>
        <v>2.6773939262145888E-2</v>
      </c>
      <c r="T100" s="264">
        <f>'Parameters D24m, country spec'!G15</f>
        <v>2.6773939262145888E-2</v>
      </c>
    </row>
    <row r="101" spans="1:20" x14ac:dyDescent="0.3">
      <c r="A101" s="20" t="s">
        <v>234</v>
      </c>
      <c r="B101" s="15" t="s">
        <v>115</v>
      </c>
      <c r="C101" s="15" t="s">
        <v>232</v>
      </c>
      <c r="D101" s="21" t="s">
        <v>49</v>
      </c>
      <c r="E101" s="21" t="s">
        <v>50</v>
      </c>
      <c r="F101" s="120">
        <f t="shared" ref="F101:F109" si="30">SUM(G101:Q101)</f>
        <v>7.7130299999999998E-4</v>
      </c>
      <c r="G101" s="93">
        <v>1.4999999999999999E-4</v>
      </c>
      <c r="H101" s="93">
        <v>9.9999999999999995E-7</v>
      </c>
      <c r="I101" s="93">
        <v>5.62E-4</v>
      </c>
      <c r="J101" s="93">
        <v>5.6199999999999997E-5</v>
      </c>
      <c r="K101" s="93">
        <v>6.4300000000000003E-7</v>
      </c>
      <c r="L101" s="93"/>
      <c r="M101" s="93">
        <v>0</v>
      </c>
      <c r="N101" s="93">
        <v>1.46E-6</v>
      </c>
      <c r="O101" s="93"/>
      <c r="P101" s="93"/>
      <c r="Q101" s="93"/>
      <c r="R101" s="151">
        <f>'Parameters SH, country spec'!G20</f>
        <v>5.5992035288690246E-3</v>
      </c>
      <c r="S101" s="151">
        <f>'Parameters SH, country spec'!G38</f>
        <v>5.5992035288690246E-3</v>
      </c>
      <c r="T101" s="264">
        <f>'Parameters D24m, country spec'!G16</f>
        <v>5.5992035288690246E-3</v>
      </c>
    </row>
    <row r="102" spans="1:20" x14ac:dyDescent="0.3">
      <c r="A102" s="20" t="s">
        <v>235</v>
      </c>
      <c r="B102" s="15" t="s">
        <v>116</v>
      </c>
      <c r="C102" s="15" t="s">
        <v>232</v>
      </c>
      <c r="D102" s="21" t="s">
        <v>49</v>
      </c>
      <c r="E102" s="21" t="s">
        <v>50</v>
      </c>
      <c r="F102" s="120">
        <f t="shared" si="30"/>
        <v>6.9834925999999996E-4</v>
      </c>
      <c r="G102" s="93">
        <v>1.3999999999999999E-4</v>
      </c>
      <c r="H102" s="93">
        <v>9.9999999999999995E-7</v>
      </c>
      <c r="I102" s="93">
        <v>5.04E-4</v>
      </c>
      <c r="J102" s="93">
        <v>5.0399999999999999E-5</v>
      </c>
      <c r="K102" s="93">
        <v>1.48E-6</v>
      </c>
      <c r="L102" s="93"/>
      <c r="M102" s="93">
        <v>9.2599999999999999E-9</v>
      </c>
      <c r="N102" s="93">
        <v>1.46E-6</v>
      </c>
      <c r="O102" s="93"/>
      <c r="P102" s="93"/>
      <c r="Q102" s="93"/>
      <c r="R102" s="151">
        <f>'Parameters SH, country spec'!G21</f>
        <v>0</v>
      </c>
      <c r="S102" s="151">
        <f>'Parameters SH, country spec'!G39</f>
        <v>0</v>
      </c>
      <c r="T102" s="264">
        <f>'Parameters D24m, country spec'!G17</f>
        <v>0</v>
      </c>
    </row>
    <row r="103" spans="1:20" x14ac:dyDescent="0.3">
      <c r="A103" s="20" t="s">
        <v>236</v>
      </c>
      <c r="B103" s="15" t="s">
        <v>117</v>
      </c>
      <c r="C103" s="15" t="s">
        <v>232</v>
      </c>
      <c r="D103" s="21" t="s">
        <v>49</v>
      </c>
      <c r="E103" s="21" t="s">
        <v>50</v>
      </c>
      <c r="F103" s="120">
        <f t="shared" si="30"/>
        <v>9.6202008999999992E-4</v>
      </c>
      <c r="G103" s="93">
        <v>2.0000000000000001E-4</v>
      </c>
      <c r="H103" s="93">
        <v>9.9999999999999995E-7</v>
      </c>
      <c r="I103" s="93">
        <v>6.8999999999999997E-4</v>
      </c>
      <c r="J103" s="93">
        <v>6.8999999999999997E-5</v>
      </c>
      <c r="K103" s="93">
        <v>5.5700000000000002E-7</v>
      </c>
      <c r="L103" s="93"/>
      <c r="M103" s="93">
        <v>3.0899999999999999E-9</v>
      </c>
      <c r="N103" s="93">
        <v>1.46E-6</v>
      </c>
      <c r="O103" s="93"/>
      <c r="P103" s="93"/>
      <c r="Q103" s="93"/>
      <c r="R103" s="151">
        <f>'Parameters SH, country spec'!G22</f>
        <v>4.1722075562431273E-2</v>
      </c>
      <c r="S103" s="151">
        <f>'Parameters SH, country spec'!G40</f>
        <v>4.1722075562431273E-2</v>
      </c>
      <c r="T103" s="264">
        <f>'Parameters D24m, country spec'!G18</f>
        <v>4.1722075562431273E-2</v>
      </c>
    </row>
    <row r="104" spans="1:20" x14ac:dyDescent="0.3">
      <c r="A104" s="20" t="s">
        <v>237</v>
      </c>
      <c r="B104" s="15" t="s">
        <v>118</v>
      </c>
      <c r="C104" s="15" t="s">
        <v>238</v>
      </c>
      <c r="D104" s="21" t="s">
        <v>49</v>
      </c>
      <c r="E104" s="21" t="s">
        <v>50</v>
      </c>
      <c r="F104" s="120">
        <f t="shared" si="30"/>
        <v>2.0718159999999998E-4</v>
      </c>
      <c r="G104" s="93">
        <v>0</v>
      </c>
      <c r="H104" s="93">
        <v>9.9999999999999995E-7</v>
      </c>
      <c r="I104" s="93">
        <v>1.85E-4</v>
      </c>
      <c r="J104" s="93">
        <v>1.8499999999999999E-5</v>
      </c>
      <c r="K104" s="93">
        <v>1.1999999999999999E-6</v>
      </c>
      <c r="L104" s="93"/>
      <c r="M104" s="93">
        <v>2.1600000000000002E-8</v>
      </c>
      <c r="N104" s="93">
        <v>1.46E-6</v>
      </c>
      <c r="O104" s="93"/>
      <c r="P104" s="93"/>
      <c r="Q104" s="93"/>
      <c r="R104" s="151">
        <f>'Parameters SH, country spec'!G23</f>
        <v>8.7938670638632881E-5</v>
      </c>
      <c r="S104" s="151">
        <f>'Parameters SH, country spec'!G41</f>
        <v>8.7938670638632881E-5</v>
      </c>
      <c r="T104" s="264">
        <f>'Parameters D24m, country spec'!G19</f>
        <v>8.7938670638632881E-5</v>
      </c>
    </row>
    <row r="105" spans="1:20" x14ac:dyDescent="0.3">
      <c r="A105" s="20" t="s">
        <v>239</v>
      </c>
      <c r="B105" s="15" t="s">
        <v>119</v>
      </c>
      <c r="C105" s="15" t="s">
        <v>238</v>
      </c>
      <c r="D105" s="21" t="s">
        <v>49</v>
      </c>
      <c r="E105" s="21" t="s">
        <v>50</v>
      </c>
      <c r="F105" s="120">
        <f t="shared" si="30"/>
        <v>2.3970699999999997E-4</v>
      </c>
      <c r="G105" s="93">
        <v>8.6000000000000007E-6</v>
      </c>
      <c r="H105" s="93">
        <v>9.9999999999999995E-7</v>
      </c>
      <c r="I105" s="93">
        <v>2.0699999999999999E-4</v>
      </c>
      <c r="J105" s="93">
        <v>2.0699999999999998E-5</v>
      </c>
      <c r="K105" s="93">
        <v>9.47E-7</v>
      </c>
      <c r="L105" s="93"/>
      <c r="M105" s="93">
        <v>0</v>
      </c>
      <c r="N105" s="93">
        <v>1.46E-6</v>
      </c>
      <c r="O105" s="93"/>
      <c r="P105" s="93"/>
      <c r="Q105" s="93"/>
      <c r="R105" s="151">
        <f>'Parameters SH, country spec'!G24</f>
        <v>8.6384753409677397E-5</v>
      </c>
      <c r="S105" s="151">
        <f>'Parameters SH, country spec'!G42</f>
        <v>8.6384753409677397E-5</v>
      </c>
      <c r="T105" s="264">
        <f>'Parameters D24m, country spec'!G20</f>
        <v>8.6384753409677397E-5</v>
      </c>
    </row>
    <row r="106" spans="1:20" x14ac:dyDescent="0.3">
      <c r="B106" s="16" t="s">
        <v>120</v>
      </c>
      <c r="C106" s="15" t="s">
        <v>240</v>
      </c>
      <c r="D106" s="21" t="s">
        <v>49</v>
      </c>
      <c r="E106" s="21" t="s">
        <v>50</v>
      </c>
      <c r="F106" s="120">
        <f t="shared" si="30"/>
        <v>1.5426052012212825E-3</v>
      </c>
      <c r="G106" s="27">
        <f>'Off-farm feed'!$F$77</f>
        <v>3.5160526410462907E-4</v>
      </c>
      <c r="H106" s="27">
        <f>'Off-farm feed'!$G$77</f>
        <v>5.3103448275862083E-7</v>
      </c>
      <c r="I106" s="27">
        <f>'Off-farm feed'!$H$77</f>
        <v>1.0756102664162708E-3</v>
      </c>
      <c r="J106" s="27">
        <f>'Off-farm feed'!$I$77</f>
        <v>1.0756102664162706E-4</v>
      </c>
      <c r="K106" s="27">
        <f>'Off-farm feed'!$J$77</f>
        <v>6.6339607025480414E-7</v>
      </c>
      <c r="L106" s="27"/>
      <c r="M106" s="27">
        <f>'Off-farm feed'!$L$77</f>
        <v>7.9511067188965511E-9</v>
      </c>
      <c r="N106" s="27">
        <f>'Off-farm feed'!$M$77</f>
        <v>1.2789681892721844E-6</v>
      </c>
      <c r="O106" s="27"/>
      <c r="P106" s="27">
        <f>'Off-farm feed'!$O$77</f>
        <v>4.8776996151562902E-6</v>
      </c>
      <c r="Q106" s="27">
        <f>'Off-farm feed'!$P$77</f>
        <v>4.6959459459459463E-7</v>
      </c>
      <c r="R106" s="151">
        <f>'Parameters SH, country spec'!G25</f>
        <v>4.7080431031984718E-3</v>
      </c>
      <c r="S106" s="151">
        <f>'Parameters SH, country spec'!G43</f>
        <v>4.7080431031984718E-3</v>
      </c>
      <c r="T106" s="264">
        <f>'Parameters D24m, country spec'!G21</f>
        <v>4.7080431031984718E-3</v>
      </c>
    </row>
    <row r="107" spans="1:20" x14ac:dyDescent="0.3">
      <c r="B107" s="16" t="s">
        <v>241</v>
      </c>
      <c r="C107" s="15" t="s">
        <v>240</v>
      </c>
      <c r="D107" s="21" t="s">
        <v>49</v>
      </c>
      <c r="E107" s="21" t="s">
        <v>50</v>
      </c>
      <c r="F107" s="120">
        <f t="shared" si="30"/>
        <v>1.8866346644602505E-4</v>
      </c>
      <c r="G107" s="27">
        <f>'Off-farm feed'!$F$26</f>
        <v>1.6332109719061441E-5</v>
      </c>
      <c r="H107" s="27">
        <f>'Off-farm feed'!$G$26</f>
        <v>8.7195121951219526E-7</v>
      </c>
      <c r="I107" s="27">
        <f>'Off-farm feed'!$H$26</f>
        <v>1.3333449845358202E-4</v>
      </c>
      <c r="J107" s="27">
        <f>'Off-farm feed'!$I$26</f>
        <v>1.3333449845358203E-5</v>
      </c>
      <c r="K107" s="27">
        <f>'Off-farm feed'!$J$26</f>
        <v>1.1576736579983931E-6</v>
      </c>
      <c r="L107" s="27"/>
      <c r="M107" s="27">
        <f>'Off-farm feed'!$L$26</f>
        <v>7.3437786087804866E-9</v>
      </c>
      <c r="N107" s="27">
        <f>'Off-farm feed'!$M$26</f>
        <v>1.1195281639512197E-6</v>
      </c>
      <c r="O107" s="27"/>
      <c r="P107" s="27">
        <f>'Off-farm feed'!$O$26</f>
        <v>1.3419073770114991E-5</v>
      </c>
      <c r="Q107" s="27">
        <f>'Off-farm feed'!$P$26</f>
        <v>9.087837837837838E-6</v>
      </c>
      <c r="R107" s="151">
        <f>'Parameters SH, country spec'!G26</f>
        <v>8.9589881795904755E-3</v>
      </c>
      <c r="S107" s="151">
        <f>'Parameters SH, country spec'!G44</f>
        <v>8.9589881795904755E-3</v>
      </c>
      <c r="T107" s="264">
        <f>'Parameters D24m, country spec'!G22</f>
        <v>8.9589881795904755E-3</v>
      </c>
    </row>
    <row r="108" spans="1:20" x14ac:dyDescent="0.3">
      <c r="B108" s="15" t="s">
        <v>122</v>
      </c>
      <c r="C108" s="15" t="s">
        <v>242</v>
      </c>
      <c r="D108" s="21" t="s">
        <v>49</v>
      </c>
      <c r="E108" s="21" t="s">
        <v>50</v>
      </c>
      <c r="F108" s="120"/>
      <c r="G108" s="93"/>
      <c r="H108" s="93"/>
      <c r="I108" s="93"/>
      <c r="J108" s="93"/>
      <c r="K108" s="93"/>
      <c r="L108" s="93"/>
      <c r="M108" s="93"/>
      <c r="N108" s="93"/>
      <c r="O108" s="93"/>
      <c r="P108" s="93"/>
      <c r="Q108" s="93"/>
      <c r="R108" s="151">
        <f>'Parameters SH, country spec'!G27</f>
        <v>1.7413738591251369E-2</v>
      </c>
      <c r="S108" s="151">
        <f>'Parameters SH, country spec'!G45</f>
        <v>1.7413738591251369E-2</v>
      </c>
      <c r="T108" s="264">
        <f>'Parameters D24m, country spec'!G23</f>
        <v>1.7413738591251369E-2</v>
      </c>
    </row>
    <row r="109" spans="1:20" x14ac:dyDescent="0.3">
      <c r="A109" s="75"/>
      <c r="B109" s="15" t="s">
        <v>243</v>
      </c>
      <c r="C109" s="76" t="s">
        <v>244</v>
      </c>
      <c r="D109" s="21" t="s">
        <v>49</v>
      </c>
      <c r="E109" s="21" t="s">
        <v>50</v>
      </c>
      <c r="F109" s="120">
        <f t="shared" si="30"/>
        <v>1.3396112920964631E-4</v>
      </c>
      <c r="G109" s="74">
        <f>SUMPRODUCT(G99:G107,$R99:$R107)</f>
        <v>2.8472100474948658E-5</v>
      </c>
      <c r="H109" s="74">
        <f t="shared" ref="H109:P109" si="31">SUMPRODUCT(H99:H107,$R99:$R107)</f>
        <v>1.5494848090500464E-7</v>
      </c>
      <c r="I109" s="74">
        <f t="shared" si="31"/>
        <v>9.5249430925158643E-5</v>
      </c>
      <c r="J109" s="74">
        <f t="shared" si="31"/>
        <v>9.5249430925158643E-6</v>
      </c>
      <c r="K109" s="74">
        <f t="shared" si="31"/>
        <v>1.0453758105143647E-7</v>
      </c>
      <c r="L109" s="74">
        <f t="shared" si="31"/>
        <v>0</v>
      </c>
      <c r="M109" s="74">
        <f t="shared" si="31"/>
        <v>1.1335728136213431E-9</v>
      </c>
      <c r="N109" s="74">
        <f t="shared" si="31"/>
        <v>2.2722063557334119E-7</v>
      </c>
      <c r="O109" s="74">
        <f t="shared" si="31"/>
        <v>0</v>
      </c>
      <c r="P109" s="74">
        <f t="shared" si="31"/>
        <v>1.431857433201232E-7</v>
      </c>
      <c r="Q109" s="74">
        <f>SUMPRODUCT(Q99:Q107,$R99:$R107)</f>
        <v>8.3628703359604617E-8</v>
      </c>
      <c r="R109" s="151">
        <f>'Parameters SH, country spec'!G28</f>
        <v>2.6348753268541039E-2</v>
      </c>
      <c r="S109" s="151">
        <f>'Parameters SH, country spec'!G46</f>
        <v>2.6348753268541039E-2</v>
      </c>
      <c r="T109" s="264">
        <f>'Parameters D24m, country spec'!G24</f>
        <v>2.6348753268541039E-2</v>
      </c>
    </row>
    <row r="110" spans="1:20" x14ac:dyDescent="0.3">
      <c r="A110" s="328"/>
      <c r="B110" s="329" t="s">
        <v>616</v>
      </c>
      <c r="C110" s="330"/>
      <c r="D110" s="331"/>
      <c r="E110" s="331"/>
      <c r="F110" s="334">
        <f>SUMPRODUCT(F96:F98,R96:R98)+SUMPRODUCT(F99:F109,R99:R109)/0.87</f>
        <v>3.468522467822333E-4</v>
      </c>
      <c r="G110" s="334">
        <f>SUMPRODUCT(G96:G98,R96:R98)+SUMPRODUCT(G99:G109,R99:R109)/0.87</f>
        <v>7.0913089212797364E-5</v>
      </c>
      <c r="H110" s="334">
        <f>SUMPRODUCT(H96:H98,R96:R98)+SUMPRODUCT(H99:H109,R99:R109)/0.87</f>
        <v>1.0310704496498496E-6</v>
      </c>
      <c r="I110" s="334">
        <f>SUMPRODUCT(I96:I98,R96:R98)+SUMPRODUCT(I99:I109,R99:R109)/0.87</f>
        <v>2.4780106499589345E-4</v>
      </c>
      <c r="J110" s="334">
        <f>SUMPRODUCT(J96:J98,R96:R98)+SUMPRODUCT(J99:J109,R99:R109)/0.87</f>
        <v>2.4780106499589346E-5</v>
      </c>
      <c r="K110" s="334">
        <f>SUMPRODUCT(K96:K98,R96:R98)+SUMPRODUCT(K99:K109,R99:R109)/0.87</f>
        <v>4.2726219921110333E-7</v>
      </c>
      <c r="L110" s="334">
        <f>SUMPRODUCT(L96:L98,R96:R98)+SUMPRODUCT(L99:L109,R99:R109)/0.87</f>
        <v>0</v>
      </c>
      <c r="M110" s="334">
        <f>SUMPRODUCT(M96:M98,R96:R98)+SUMPRODUCT(M99:M109,R99:R109)/0.87</f>
        <v>1.3372885563211238E-9</v>
      </c>
      <c r="N110" s="334">
        <f>SUMPRODUCT(N96:N98,R96:R98)+SUMPRODUCT(N99:N109,R99:R109)/0.87</f>
        <v>2.6805473107768306E-7</v>
      </c>
      <c r="O110" s="334">
        <f>SUMPRODUCT(O96:O98,R96:R98)+SUMPRODUCT(O99:O109,R99:R109)/0.87</f>
        <v>0</v>
      </c>
      <c r="P110" s="334">
        <f>SUMPRODUCT(P96:P98,R96:R98)+SUMPRODUCT(P99:P109,R99:R109)/0.87</f>
        <v>1.5316036865724851E-6</v>
      </c>
      <c r="Q110" s="334">
        <f>SUMPRODUCT(Q96:Q98,R96:R98)+SUMPRODUCT(Q99:Q109,R99:R109)/0.87</f>
        <v>9.8657718885741207E-8</v>
      </c>
      <c r="R110" s="335"/>
      <c r="S110" s="336"/>
      <c r="T110" s="336"/>
    </row>
    <row r="111" spans="1:20" x14ac:dyDescent="0.3">
      <c r="A111" s="150"/>
      <c r="B111" s="23" t="s">
        <v>457</v>
      </c>
      <c r="C111" s="24"/>
      <c r="D111" s="94"/>
      <c r="E111" s="94"/>
      <c r="F111" s="28">
        <f>SUMPRODUCT(F96:F98,S96:S98)+SUMPRODUCT(F99:F109,S99:S109)/0.87</f>
        <v>3.468522467822333E-4</v>
      </c>
      <c r="G111" s="28">
        <f>SUMPRODUCT(G96:G98,S96:S98)+SUMPRODUCT(G99:G109,S99:S109)/0.87</f>
        <v>7.0913089212797364E-5</v>
      </c>
      <c r="H111" s="28">
        <f>SUMPRODUCT(H96:H98,S96:S98)+SUMPRODUCT(H99:H109,S99:S109)/0.87</f>
        <v>1.0310704496498496E-6</v>
      </c>
      <c r="I111" s="28">
        <f>SUMPRODUCT(I96:I98,S96:S98)+SUMPRODUCT(I99:I109,S99:S109)/0.87</f>
        <v>2.4780106499589345E-4</v>
      </c>
      <c r="J111" s="28">
        <f>SUMPRODUCT(J96:J98,S96:S98)+SUMPRODUCT(J99:J109,S99:S109)/0.87</f>
        <v>2.4780106499589346E-5</v>
      </c>
      <c r="K111" s="28">
        <f>SUMPRODUCT(K96:K98,S96:S98)+SUMPRODUCT(K99:K109,S99:S109)/0.87</f>
        <v>4.2726219921110333E-7</v>
      </c>
      <c r="L111" s="28">
        <f>SUMPRODUCT(L96:L98,S96:S98)+SUMPRODUCT(L99:L109,S99:S109)/0.87</f>
        <v>0</v>
      </c>
      <c r="M111" s="28">
        <f>SUMPRODUCT(M96:M98,S96:S98)+SUMPRODUCT(M99:M109,S99:S109)/0.87</f>
        <v>1.3372885563211238E-9</v>
      </c>
      <c r="N111" s="28">
        <f>SUMPRODUCT(N96:N98,S96:S98)+SUMPRODUCT(N99:N109,S99:S109)/0.87</f>
        <v>2.6805473107768306E-7</v>
      </c>
      <c r="O111" s="28">
        <f>SUMPRODUCT(O96:O98,S96:S98)+SUMPRODUCT(O99:O109,S99:S109)/0.87</f>
        <v>0</v>
      </c>
      <c r="P111" s="28">
        <f>SUMPRODUCT(P96:P98,S96:S98)+SUMPRODUCT(P99:P109,S99:S109)/0.87</f>
        <v>1.5316036865724851E-6</v>
      </c>
      <c r="Q111" s="28">
        <f>SUMPRODUCT(Q96:Q98,S96:S98)+SUMPRODUCT(Q99:Q109,S99:S109)/0.87</f>
        <v>9.8657718885741207E-8</v>
      </c>
      <c r="R111" s="152"/>
      <c r="S111" s="152"/>
      <c r="T111" s="152"/>
    </row>
    <row r="112" spans="1:20" x14ac:dyDescent="0.3">
      <c r="A112" s="328"/>
      <c r="B112" s="329" t="s">
        <v>641</v>
      </c>
      <c r="C112" s="330"/>
      <c r="D112" s="331"/>
      <c r="E112" s="331"/>
      <c r="F112" s="332">
        <f>SUMPRODUCT(F96:F98,$T96:$T98)+SUMPRODUCT(F99:F109,$T99:$T109)/0.87</f>
        <v>3.468522467822333E-4</v>
      </c>
      <c r="G112" s="332">
        <f t="shared" ref="G112:O112" si="32">SUMPRODUCT(G96:G98,$T96:$T98)+SUMPRODUCT(G99:G109,$T99:$T109)/0.87</f>
        <v>7.0913089212797364E-5</v>
      </c>
      <c r="H112" s="332">
        <f t="shared" si="32"/>
        <v>1.0310704496498496E-6</v>
      </c>
      <c r="I112" s="332">
        <f t="shared" si="32"/>
        <v>2.4780106499589345E-4</v>
      </c>
      <c r="J112" s="332">
        <f t="shared" si="32"/>
        <v>2.4780106499589346E-5</v>
      </c>
      <c r="K112" s="332">
        <f t="shared" si="32"/>
        <v>4.2726219921110333E-7</v>
      </c>
      <c r="L112" s="332">
        <f t="shared" si="32"/>
        <v>0</v>
      </c>
      <c r="M112" s="332">
        <f t="shared" si="32"/>
        <v>1.3372885563211238E-9</v>
      </c>
      <c r="N112" s="332">
        <f t="shared" si="32"/>
        <v>2.6805473107768306E-7</v>
      </c>
      <c r="O112" s="332">
        <f t="shared" si="32"/>
        <v>0</v>
      </c>
      <c r="P112" s="332">
        <f>SUMPRODUCT(P96:P98,$T96:$T98)+SUMPRODUCT(P99:P109,$T99:$T109)/0.87</f>
        <v>1.5316036865724851E-6</v>
      </c>
      <c r="Q112" s="332">
        <f t="shared" ref="Q112" si="33">SUMPRODUCT(Q96:Q98,$T96:$T98)+SUMPRODUCT(Q99:Q109,$T99:$T109)/0.87</f>
        <v>9.8657718885741207E-8</v>
      </c>
      <c r="R112" s="335"/>
      <c r="S112" s="335"/>
      <c r="T112" s="335"/>
    </row>
    <row r="113" spans="1:20" x14ac:dyDescent="0.3">
      <c r="A113" s="150"/>
      <c r="B113" s="23" t="s">
        <v>642</v>
      </c>
      <c r="C113" s="24"/>
      <c r="D113" s="94"/>
      <c r="E113" s="94"/>
      <c r="F113" s="327">
        <f>SUMPRODUCT(F96:F98,$U96:$U98)+SUMPRODUCT(F99:F109,$U99:$U109)/0.87</f>
        <v>0</v>
      </c>
      <c r="G113" s="327">
        <f t="shared" ref="G113:K113" si="34">SUMPRODUCT(G96:G98,$U96:$U98)+SUMPRODUCT(G99:G109,$U99:$U109)/0.87</f>
        <v>0</v>
      </c>
      <c r="H113" s="327">
        <f t="shared" si="34"/>
        <v>0</v>
      </c>
      <c r="I113" s="327">
        <f t="shared" si="34"/>
        <v>0</v>
      </c>
      <c r="J113" s="327">
        <f t="shared" si="34"/>
        <v>0</v>
      </c>
      <c r="K113" s="327">
        <f t="shared" si="34"/>
        <v>0</v>
      </c>
      <c r="L113" s="327">
        <f>SUMPRODUCT(L96:L98,$U96:$U98)+SUMPRODUCT(L99:L109,$U99:$U109)/0.87</f>
        <v>0</v>
      </c>
      <c r="M113" s="327">
        <f t="shared" ref="M113:Q113" si="35">SUMPRODUCT(M96:M98,$U96:$U98)+SUMPRODUCT(M99:M109,$U99:$U109)/0.87</f>
        <v>0</v>
      </c>
      <c r="N113" s="327">
        <f t="shared" si="35"/>
        <v>0</v>
      </c>
      <c r="O113" s="327">
        <f t="shared" si="35"/>
        <v>0</v>
      </c>
      <c r="P113" s="327">
        <f t="shared" si="35"/>
        <v>0</v>
      </c>
      <c r="Q113" s="327">
        <f t="shared" si="35"/>
        <v>0</v>
      </c>
      <c r="R113" s="152"/>
      <c r="S113" s="152"/>
      <c r="T113" s="152"/>
    </row>
    <row r="114" spans="1:20" x14ac:dyDescent="0.3">
      <c r="B114" s="16" t="s">
        <v>299</v>
      </c>
      <c r="C114" s="15" t="s">
        <v>302</v>
      </c>
      <c r="D114" s="21" t="s">
        <v>51</v>
      </c>
      <c r="E114" s="21" t="s">
        <v>52</v>
      </c>
      <c r="F114" s="120">
        <f>SUM(G114:Q114)</f>
        <v>2.4071481350592891E-4</v>
      </c>
      <c r="G114" s="27">
        <f>'Forage crops, CF'!F41</f>
        <v>4.7791180802654258E-5</v>
      </c>
      <c r="H114" s="27">
        <f>'Forage crops, CF'!G41</f>
        <v>1.1000000000000001E-6</v>
      </c>
      <c r="I114" s="27">
        <f>'Forage crops, CF'!H41</f>
        <v>1.7407334076117382E-4</v>
      </c>
      <c r="J114" s="27">
        <f>'Forage crops, CF'!I41</f>
        <v>1.7407334076117384E-5</v>
      </c>
      <c r="K114" s="27">
        <f>'Forage crops, CF'!J41</f>
        <v>3.2581967028863559E-7</v>
      </c>
      <c r="L114" s="27">
        <f>'Forage crops, CF'!K41</f>
        <v>0</v>
      </c>
      <c r="M114" s="27">
        <f>'Forage crops, CF'!L41</f>
        <v>1.7138195694812812E-8</v>
      </c>
      <c r="N114" s="27">
        <f>'Forage crops, CF'!M41</f>
        <v>0</v>
      </c>
      <c r="O114" s="27">
        <f>'Forage crops, CF'!N41</f>
        <v>0</v>
      </c>
      <c r="P114" s="27">
        <f>'Forage crops, CF'!O41</f>
        <v>0</v>
      </c>
      <c r="Q114" s="27">
        <f>'Forage crops, CF'!P41</f>
        <v>0</v>
      </c>
      <c r="R114" s="151">
        <f>'Parameters SH, country spec'!H15</f>
        <v>0.40067105954621879</v>
      </c>
      <c r="S114" s="151">
        <f>'Parameters SH, country spec'!H33</f>
        <v>0.40067105954621879</v>
      </c>
      <c r="T114" s="264">
        <f>'Parameters D24m, country spec'!H11</f>
        <v>0.40067105954621879</v>
      </c>
    </row>
    <row r="115" spans="1:20" x14ac:dyDescent="0.3">
      <c r="B115" s="16" t="s">
        <v>300</v>
      </c>
      <c r="C115" s="15" t="s">
        <v>302</v>
      </c>
      <c r="D115" s="21" t="s">
        <v>51</v>
      </c>
      <c r="E115" s="21" t="s">
        <v>52</v>
      </c>
      <c r="F115" s="120">
        <f>SUM(G115:Q115)</f>
        <v>3.6387266834236323E-4</v>
      </c>
      <c r="G115" s="27">
        <f>'Forage crops, CF'!F106</f>
        <v>6.346463293397086E-5</v>
      </c>
      <c r="H115" s="27">
        <f>'Forage crops, CF'!G106</f>
        <v>1.1000000000000001E-6</v>
      </c>
      <c r="I115" s="27">
        <f>'Forage crops, CF'!H106</f>
        <v>2.0990991304100756E-4</v>
      </c>
      <c r="J115" s="27">
        <f>'Forage crops, CF'!I106</f>
        <v>2.0990991304100757E-5</v>
      </c>
      <c r="K115" s="27">
        <f>'Forage crops, CF'!J106</f>
        <v>2.8999286758927875E-7</v>
      </c>
      <c r="L115" s="27"/>
      <c r="M115" s="27">
        <f>'Forage crops, CF'!L106</f>
        <v>1.7138195694812812E-8</v>
      </c>
      <c r="N115" s="27">
        <f>'Forage crops, CF'!M106</f>
        <v>0</v>
      </c>
      <c r="O115" s="27">
        <f>'Forage crops, CF'!N106</f>
        <v>0</v>
      </c>
      <c r="P115" s="27">
        <f>'Forage crops, CF'!O106</f>
        <v>6.8099999999999988E-5</v>
      </c>
      <c r="Q115" s="27"/>
      <c r="R115" s="151">
        <f>'Parameters SH, country spec'!H16</f>
        <v>0.27744597499526535</v>
      </c>
      <c r="S115" s="151">
        <f>'Parameters SH, country spec'!H34</f>
        <v>0.27744597499526535</v>
      </c>
      <c r="T115" s="264">
        <f>'Parameters D24m, country spec'!H12</f>
        <v>0.27744597499526535</v>
      </c>
    </row>
    <row r="116" spans="1:20" x14ac:dyDescent="0.3">
      <c r="B116" s="16" t="s">
        <v>301</v>
      </c>
      <c r="C116" s="15" t="s">
        <v>302</v>
      </c>
      <c r="D116" s="21" t="s">
        <v>51</v>
      </c>
      <c r="E116" s="21" t="s">
        <v>52</v>
      </c>
      <c r="F116" s="120">
        <f>SUM(G116:Q116)</f>
        <v>2.1385169906395959E-4</v>
      </c>
      <c r="G116" s="27">
        <f>'Forage crops, CF'!F171*'Forage, input data per ha'!$D$84+'Forage crops, CF'!F236*'Forage, input data per ha'!$E$84</f>
        <v>2.5916582771406657E-5</v>
      </c>
      <c r="H116" s="27">
        <f>'Forage crops, CF'!G171*'Forage, input data per ha'!$D$84+'Forage crops, CF'!G236*'Forage, input data per ha'!$E$84</f>
        <v>1.1000000000000001E-6</v>
      </c>
      <c r="I116" s="27">
        <f>'Forage crops, CF'!H171*'Forage, input data per ha'!$D$84+'Forage crops, CF'!H236*'Forage, input data per ha'!$E$84</f>
        <v>1.0758798954216029E-4</v>
      </c>
      <c r="J116" s="27">
        <f>'Forage crops, CF'!I171*'Forage, input data per ha'!$D$84+'Forage crops, CF'!I236*'Forage, input data per ha'!$E$84</f>
        <v>1.0758798954216029E-5</v>
      </c>
      <c r="K116" s="27">
        <f>'Forage crops, CF'!J171*'Forage, input data per ha'!$D$84+'Forage crops, CF'!J236*'Forage, input data per ha'!$E$84</f>
        <v>3.7118960048178393E-7</v>
      </c>
      <c r="L116" s="27"/>
      <c r="M116" s="27">
        <f>'Forage crops, CF'!L171*'Forage, input data per ha'!$D$84+'Forage crops, CF'!L236*'Forage, input data per ha'!$E$84</f>
        <v>1.7138195694812812E-8</v>
      </c>
      <c r="N116" s="27">
        <f>'Forage crops, CF'!M171*'Forage, input data per ha'!$D$84+'Forage crops, CF'!M236*'Forage, input data per ha'!$E$84</f>
        <v>0</v>
      </c>
      <c r="O116" s="27">
        <f>'Forage crops, CF'!N171*'Forage, input data per ha'!$D$84+'Forage crops, CF'!N236*'Forage, input data per ha'!$E$84</f>
        <v>0</v>
      </c>
      <c r="P116" s="27">
        <f>'Forage crops, CF'!O171*'Forage, input data per ha'!$D$84+'Forage crops, CF'!O236*'Forage, input data per ha'!$E$84</f>
        <v>6.8099999999999988E-5</v>
      </c>
      <c r="Q116" s="27"/>
      <c r="R116" s="151">
        <f>'Parameters SH, country spec'!H17</f>
        <v>7.1895313213819118E-2</v>
      </c>
      <c r="S116" s="151">
        <f>'Parameters SH, country spec'!H35</f>
        <v>7.1895313213819118E-2</v>
      </c>
      <c r="T116" s="264">
        <f>'Parameters D24m, country spec'!H13</f>
        <v>7.1895313213819118E-2</v>
      </c>
    </row>
    <row r="117" spans="1:20" x14ac:dyDescent="0.3">
      <c r="A117" s="20" t="s">
        <v>231</v>
      </c>
      <c r="B117" s="15" t="s">
        <v>113</v>
      </c>
      <c r="C117" s="15" t="s">
        <v>232</v>
      </c>
      <c r="D117" s="21" t="s">
        <v>51</v>
      </c>
      <c r="E117" s="21" t="s">
        <v>52</v>
      </c>
      <c r="F117" s="120">
        <f>SUM(G117:Q117)</f>
        <v>4.8181926000000002E-4</v>
      </c>
      <c r="G117" s="93">
        <v>1.8000000000000001E-4</v>
      </c>
      <c r="H117" s="93">
        <v>9.9999999999999995E-7</v>
      </c>
      <c r="I117" s="93">
        <v>2.7099999999999997E-4</v>
      </c>
      <c r="J117" s="93">
        <v>2.7100000000000001E-5</v>
      </c>
      <c r="K117" s="93">
        <v>1.2100000000000001E-6</v>
      </c>
      <c r="L117" s="93"/>
      <c r="M117" s="93">
        <v>9.2599999999999999E-9</v>
      </c>
      <c r="N117" s="93">
        <v>1.5E-6</v>
      </c>
      <c r="O117" s="93"/>
      <c r="P117" s="93"/>
      <c r="Q117" s="93"/>
      <c r="R117" s="151">
        <f>'Parameters SH, country spec'!H18</f>
        <v>3.0038264722936558E-3</v>
      </c>
      <c r="S117" s="151">
        <f>'Parameters SH, country spec'!H36</f>
        <v>3.0038264722936558E-3</v>
      </c>
      <c r="T117" s="264">
        <f>'Parameters D24m, country spec'!H14</f>
        <v>3.0038264722936558E-3</v>
      </c>
    </row>
    <row r="118" spans="1:20" x14ac:dyDescent="0.3">
      <c r="A118" s="20" t="s">
        <v>233</v>
      </c>
      <c r="B118" s="15" t="s">
        <v>114</v>
      </c>
      <c r="C118" s="15" t="s">
        <v>232</v>
      </c>
      <c r="D118" s="21" t="s">
        <v>51</v>
      </c>
      <c r="E118" s="21" t="s">
        <v>52</v>
      </c>
      <c r="F118" s="120">
        <f t="shared" ref="F118:F127" si="36">SUM(G118:Q118)</f>
        <v>4.1529099999999998E-4</v>
      </c>
      <c r="G118" s="93">
        <v>1.7000000000000001E-4</v>
      </c>
      <c r="H118" s="93">
        <v>9.9999999999999995E-7</v>
      </c>
      <c r="I118" s="93">
        <v>2.2000000000000001E-4</v>
      </c>
      <c r="J118" s="93">
        <v>2.1999999999999999E-5</v>
      </c>
      <c r="K118" s="93">
        <v>4.82E-7</v>
      </c>
      <c r="L118" s="93"/>
      <c r="M118" s="93">
        <v>3.0899999999999997E-7</v>
      </c>
      <c r="N118" s="93">
        <v>1.5E-6</v>
      </c>
      <c r="O118" s="93"/>
      <c r="P118" s="93"/>
      <c r="Q118" s="93"/>
      <c r="R118" s="151">
        <f>'Parameters SH, country spec'!H19</f>
        <v>1.964163410545296E-2</v>
      </c>
      <c r="S118" s="151">
        <f>'Parameters SH, country spec'!H37</f>
        <v>1.964163410545296E-2</v>
      </c>
      <c r="T118" s="264">
        <f>'Parameters D24m, country spec'!H15</f>
        <v>1.964163410545296E-2</v>
      </c>
    </row>
    <row r="119" spans="1:20" x14ac:dyDescent="0.3">
      <c r="A119" s="20" t="s">
        <v>234</v>
      </c>
      <c r="B119" s="15" t="s">
        <v>115</v>
      </c>
      <c r="C119" s="15" t="s">
        <v>232</v>
      </c>
      <c r="D119" s="21" t="s">
        <v>51</v>
      </c>
      <c r="E119" s="21" t="s">
        <v>52</v>
      </c>
      <c r="F119" s="120">
        <f t="shared" si="36"/>
        <v>4.0906299999999993E-4</v>
      </c>
      <c r="G119" s="93">
        <v>1.4999999999999999E-4</v>
      </c>
      <c r="H119" s="93">
        <v>9.9999999999999995E-7</v>
      </c>
      <c r="I119" s="93">
        <v>2.31E-4</v>
      </c>
      <c r="J119" s="93">
        <v>2.3099999999999999E-5</v>
      </c>
      <c r="K119" s="93">
        <v>2.12E-6</v>
      </c>
      <c r="L119" s="93"/>
      <c r="M119" s="93">
        <v>3.4299999999999999E-7</v>
      </c>
      <c r="N119" s="93">
        <v>1.5E-6</v>
      </c>
      <c r="O119" s="93"/>
      <c r="P119" s="93"/>
      <c r="Q119" s="93"/>
      <c r="R119" s="151">
        <f>'Parameters SH, country spec'!H20</f>
        <v>6.238152652520509E-4</v>
      </c>
      <c r="S119" s="151">
        <f>'Parameters SH, country spec'!H38</f>
        <v>6.238152652520509E-4</v>
      </c>
      <c r="T119" s="264">
        <f>'Parameters D24m, country spec'!H16</f>
        <v>6.238152652520509E-4</v>
      </c>
    </row>
    <row r="120" spans="1:20" x14ac:dyDescent="0.3">
      <c r="A120" s="20" t="s">
        <v>235</v>
      </c>
      <c r="B120" s="15" t="s">
        <v>116</v>
      </c>
      <c r="C120" s="15" t="s">
        <v>232</v>
      </c>
      <c r="D120" s="21" t="s">
        <v>51</v>
      </c>
      <c r="E120" s="21" t="s">
        <v>52</v>
      </c>
      <c r="F120" s="120">
        <f t="shared" si="36"/>
        <v>3.7724239999999999E-4</v>
      </c>
      <c r="G120" s="93">
        <v>1.3999999999999999E-4</v>
      </c>
      <c r="H120" s="93">
        <v>9.9999999999999995E-7</v>
      </c>
      <c r="I120" s="93">
        <v>2.12E-4</v>
      </c>
      <c r="J120" s="93">
        <v>2.12E-5</v>
      </c>
      <c r="K120" s="93">
        <v>1.53E-6</v>
      </c>
      <c r="L120" s="93"/>
      <c r="M120" s="93">
        <v>1.24E-8</v>
      </c>
      <c r="N120" s="93">
        <v>1.5E-6</v>
      </c>
      <c r="O120" s="93"/>
      <c r="P120" s="93"/>
      <c r="Q120" s="93"/>
      <c r="R120" s="151">
        <f>'Parameters SH, country spec'!H21</f>
        <v>4.9703321891174883E-5</v>
      </c>
      <c r="S120" s="151">
        <f>'Parameters SH, country spec'!H39</f>
        <v>4.9703321891174883E-5</v>
      </c>
      <c r="T120" s="264">
        <f>'Parameters D24m, country spec'!H17</f>
        <v>4.9703321891174883E-5</v>
      </c>
    </row>
    <row r="121" spans="1:20" x14ac:dyDescent="0.3">
      <c r="A121" s="20" t="s">
        <v>236</v>
      </c>
      <c r="B121" s="15" t="s">
        <v>117</v>
      </c>
      <c r="C121" s="15" t="s">
        <v>232</v>
      </c>
      <c r="D121" s="21" t="s">
        <v>51</v>
      </c>
      <c r="E121" s="21" t="s">
        <v>52</v>
      </c>
      <c r="F121" s="120">
        <f t="shared" si="36"/>
        <v>4.9865180000000008E-4</v>
      </c>
      <c r="G121" s="93">
        <v>2.0000000000000001E-4</v>
      </c>
      <c r="H121" s="93">
        <v>9.9999999999999995E-7</v>
      </c>
      <c r="I121" s="93">
        <v>2.6800000000000001E-4</v>
      </c>
      <c r="J121" s="93">
        <v>2.6800000000000001E-5</v>
      </c>
      <c r="K121" s="93">
        <v>1.2899999999999999E-6</v>
      </c>
      <c r="L121" s="93"/>
      <c r="M121" s="93">
        <v>6.1799999999999998E-8</v>
      </c>
      <c r="N121" s="93">
        <v>1.5E-6</v>
      </c>
      <c r="O121" s="93"/>
      <c r="P121" s="93"/>
      <c r="Q121" s="93"/>
      <c r="R121" s="151">
        <f>'Parameters SH, country spec'!H22</f>
        <v>2.8451429826063719E-3</v>
      </c>
      <c r="S121" s="151">
        <f>'Parameters SH, country spec'!H40</f>
        <v>2.8451429826063719E-3</v>
      </c>
      <c r="T121" s="264">
        <f>'Parameters D24m, country spec'!H18</f>
        <v>2.8451429826063719E-3</v>
      </c>
    </row>
    <row r="122" spans="1:20" x14ac:dyDescent="0.3">
      <c r="A122" s="20" t="s">
        <v>237</v>
      </c>
      <c r="B122" s="15" t="s">
        <v>118</v>
      </c>
      <c r="C122" s="15" t="s">
        <v>238</v>
      </c>
      <c r="D122" s="21" t="s">
        <v>51</v>
      </c>
      <c r="E122" s="21" t="s">
        <v>52</v>
      </c>
      <c r="F122" s="120">
        <f t="shared" si="36"/>
        <v>1.7349010000000003E-4</v>
      </c>
      <c r="G122" s="93">
        <v>0</v>
      </c>
      <c r="H122" s="93">
        <v>9.9999999999999995E-7</v>
      </c>
      <c r="I122" s="93">
        <v>1.54E-4</v>
      </c>
      <c r="J122" s="93">
        <v>1.5400000000000002E-5</v>
      </c>
      <c r="K122" s="93">
        <v>1.55E-6</v>
      </c>
      <c r="L122" s="93"/>
      <c r="M122" s="93">
        <v>4.0100000000000002E-8</v>
      </c>
      <c r="N122" s="93">
        <v>1.5E-6</v>
      </c>
      <c r="O122" s="93"/>
      <c r="P122" s="93"/>
      <c r="Q122" s="93"/>
      <c r="R122" s="151">
        <f>'Parameters SH, country spec'!H23</f>
        <v>7.8267619629308958E-4</v>
      </c>
      <c r="S122" s="151">
        <f>'Parameters SH, country spec'!H41</f>
        <v>7.8267619629308958E-4</v>
      </c>
      <c r="T122" s="264">
        <f>'Parameters D24m, country spec'!H19</f>
        <v>7.8267619629308958E-4</v>
      </c>
    </row>
    <row r="123" spans="1:20" x14ac:dyDescent="0.3">
      <c r="A123" s="20" t="s">
        <v>239</v>
      </c>
      <c r="B123" s="15" t="s">
        <v>119</v>
      </c>
      <c r="C123" s="15" t="s">
        <v>238</v>
      </c>
      <c r="D123" s="21" t="s">
        <v>51</v>
      </c>
      <c r="E123" s="21" t="s">
        <v>52</v>
      </c>
      <c r="F123" s="120">
        <f t="shared" si="36"/>
        <v>1.8834240000000001E-4</v>
      </c>
      <c r="G123" s="93">
        <v>8.6000000000000007E-6</v>
      </c>
      <c r="H123" s="93">
        <v>9.9999999999999995E-7</v>
      </c>
      <c r="I123" s="93">
        <v>1.5899999999999999E-4</v>
      </c>
      <c r="J123" s="93">
        <v>1.59E-5</v>
      </c>
      <c r="K123" s="93">
        <v>2.3300000000000001E-6</v>
      </c>
      <c r="L123" s="93"/>
      <c r="M123" s="93">
        <v>1.24E-8</v>
      </c>
      <c r="N123" s="93">
        <v>1.5E-6</v>
      </c>
      <c r="O123" s="93"/>
      <c r="P123" s="93"/>
      <c r="Q123" s="93"/>
      <c r="R123" s="151">
        <f>'Parameters SH, country spec'!H24</f>
        <v>7.6884594730627475E-4</v>
      </c>
      <c r="S123" s="151">
        <f>'Parameters SH, country spec'!H42</f>
        <v>7.6884594730627475E-4</v>
      </c>
      <c r="T123" s="264">
        <f>'Parameters D24m, country spec'!H20</f>
        <v>7.6884594730627475E-4</v>
      </c>
    </row>
    <row r="124" spans="1:20" x14ac:dyDescent="0.3">
      <c r="B124" s="16" t="s">
        <v>120</v>
      </c>
      <c r="C124" s="15" t="s">
        <v>240</v>
      </c>
      <c r="D124" s="21" t="s">
        <v>51</v>
      </c>
      <c r="E124" s="21" t="s">
        <v>52</v>
      </c>
      <c r="F124" s="120">
        <f t="shared" si="36"/>
        <v>1.5426052012212825E-3</v>
      </c>
      <c r="G124" s="27">
        <f>'Off-farm feed'!$F$77</f>
        <v>3.5160526410462907E-4</v>
      </c>
      <c r="H124" s="27">
        <f>'Off-farm feed'!$G$77</f>
        <v>5.3103448275862083E-7</v>
      </c>
      <c r="I124" s="27">
        <f>'Off-farm feed'!$H$77</f>
        <v>1.0756102664162708E-3</v>
      </c>
      <c r="J124" s="27">
        <f>'Off-farm feed'!$I$77</f>
        <v>1.0756102664162706E-4</v>
      </c>
      <c r="K124" s="27">
        <f>'Off-farm feed'!$J$77</f>
        <v>6.6339607025480414E-7</v>
      </c>
      <c r="L124" s="27"/>
      <c r="M124" s="27">
        <f>'Off-farm feed'!$L$77</f>
        <v>7.9511067188965511E-9</v>
      </c>
      <c r="N124" s="27">
        <f>'Off-farm feed'!$M$77</f>
        <v>1.2789681892721844E-6</v>
      </c>
      <c r="O124" s="27"/>
      <c r="P124" s="27">
        <f>'Off-farm feed'!$O$77</f>
        <v>4.8776996151562902E-6</v>
      </c>
      <c r="Q124" s="27">
        <f>'Off-farm feed'!$P$77</f>
        <v>4.6959459459459463E-7</v>
      </c>
      <c r="R124" s="151">
        <f>'Parameters SH, country spec'!H25</f>
        <v>1.3183641649379223E-3</v>
      </c>
      <c r="S124" s="151">
        <f>'Parameters SH, country spec'!H43</f>
        <v>1.3183641649379223E-3</v>
      </c>
      <c r="T124" s="264">
        <f>'Parameters D24m, country spec'!H21</f>
        <v>1.3183641649379223E-3</v>
      </c>
    </row>
    <row r="125" spans="1:20" x14ac:dyDescent="0.3">
      <c r="B125" s="16" t="s">
        <v>241</v>
      </c>
      <c r="C125" s="15" t="s">
        <v>240</v>
      </c>
      <c r="D125" s="21" t="s">
        <v>51</v>
      </c>
      <c r="E125" s="21" t="s">
        <v>52</v>
      </c>
      <c r="F125" s="120">
        <f t="shared" si="36"/>
        <v>1.8866346644602505E-4</v>
      </c>
      <c r="G125" s="27">
        <f>'Off-farm feed'!$F$26</f>
        <v>1.6332109719061441E-5</v>
      </c>
      <c r="H125" s="27">
        <f>'Off-farm feed'!$G$26</f>
        <v>8.7195121951219526E-7</v>
      </c>
      <c r="I125" s="27">
        <f>'Off-farm feed'!$H$26</f>
        <v>1.3333449845358202E-4</v>
      </c>
      <c r="J125" s="27">
        <f>'Off-farm feed'!$I$26</f>
        <v>1.3333449845358203E-5</v>
      </c>
      <c r="K125" s="27">
        <f>'Off-farm feed'!$J$26</f>
        <v>1.1576736579983931E-6</v>
      </c>
      <c r="L125" s="27"/>
      <c r="M125" s="27">
        <f>'Off-farm feed'!$L$26</f>
        <v>7.3437786087804866E-9</v>
      </c>
      <c r="N125" s="27">
        <f>'Off-farm feed'!$M$26</f>
        <v>1.1195281639512197E-6</v>
      </c>
      <c r="O125" s="27"/>
      <c r="P125" s="27">
        <f>'Off-farm feed'!$O$26</f>
        <v>1.3419073770114991E-5</v>
      </c>
      <c r="Q125" s="27">
        <f>'Off-farm feed'!$P$26</f>
        <v>9.087837837837838E-6</v>
      </c>
      <c r="R125" s="151">
        <f>'Parameters SH, country spec'!H26</f>
        <v>3.2548889626891842E-2</v>
      </c>
      <c r="S125" s="151">
        <f>'Parameters SH, country spec'!H44</f>
        <v>3.2548889626891842E-2</v>
      </c>
      <c r="T125" s="264">
        <f>'Parameters D24m, country spec'!H22</f>
        <v>3.2548889626891842E-2</v>
      </c>
    </row>
    <row r="126" spans="1:20" x14ac:dyDescent="0.3">
      <c r="B126" s="15" t="s">
        <v>122</v>
      </c>
      <c r="C126" s="15" t="s">
        <v>242</v>
      </c>
      <c r="D126" s="21" t="s">
        <v>51</v>
      </c>
      <c r="E126" s="21" t="s">
        <v>52</v>
      </c>
      <c r="F126" s="120"/>
      <c r="G126" s="93"/>
      <c r="H126" s="93"/>
      <c r="I126" s="93"/>
      <c r="J126" s="93"/>
      <c r="K126" s="93"/>
      <c r="L126" s="93"/>
      <c r="M126" s="93"/>
      <c r="N126" s="93"/>
      <c r="O126" s="93"/>
      <c r="P126" s="93"/>
      <c r="Q126" s="93"/>
      <c r="R126" s="151">
        <f>'Parameters SH, country spec'!H27</f>
        <v>7.1183592363716075E-2</v>
      </c>
      <c r="S126" s="151">
        <f>'Parameters SH, country spec'!H45</f>
        <v>7.1183592363716075E-2</v>
      </c>
      <c r="T126" s="264">
        <f>'Parameters D24m, country spec'!H23</f>
        <v>7.1183592363716075E-2</v>
      </c>
    </row>
    <row r="127" spans="1:20" x14ac:dyDescent="0.3">
      <c r="A127" s="75"/>
      <c r="B127" s="15" t="s">
        <v>243</v>
      </c>
      <c r="C127" s="76" t="s">
        <v>244</v>
      </c>
      <c r="D127" s="21" t="s">
        <v>51</v>
      </c>
      <c r="E127" s="21" t="s">
        <v>52</v>
      </c>
      <c r="F127" s="120">
        <f t="shared" si="36"/>
        <v>1.9752055557582559E-5</v>
      </c>
      <c r="G127" s="74">
        <f>SUMPRODUCT(G117:G125,$R117:$R125)</f>
        <v>5.5510738064796376E-6</v>
      </c>
      <c r="H127" s="74">
        <f t="shared" ref="H127:P127" si="37">SUMPRODUCT(H117:H125,$R117:$R125)</f>
        <v>5.6796785127447069E-8</v>
      </c>
      <c r="I127" s="74">
        <f t="shared" si="37"/>
        <v>1.205304777119989E-5</v>
      </c>
      <c r="J127" s="74">
        <f t="shared" si="37"/>
        <v>1.205304777119989E-6</v>
      </c>
      <c r="K127" s="74">
        <f t="shared" si="37"/>
        <v>5.9730815448506021E-8</v>
      </c>
      <c r="L127" s="74">
        <f t="shared" si="37"/>
        <v>0</v>
      </c>
      <c r="M127" s="74">
        <f t="shared" si="37"/>
        <v>6.7779284639856479E-9</v>
      </c>
      <c r="N127" s="74">
        <f t="shared" si="37"/>
        <v>7.9699010908120488E-8</v>
      </c>
      <c r="O127" s="74">
        <f t="shared" si="37"/>
        <v>0</v>
      </c>
      <c r="P127" s="74">
        <f t="shared" si="37"/>
        <v>4.4320653541854581E-7</v>
      </c>
      <c r="Q127" s="74">
        <f>SUMPRODUCT(Q117:Q125,$R117:$R125)</f>
        <v>2.9641812741643728E-7</v>
      </c>
      <c r="R127" s="151">
        <f>'Parameters SH, country spec'!H28</f>
        <v>0.11722116179805527</v>
      </c>
      <c r="S127" s="151">
        <f>'Parameters SH, country spec'!H46</f>
        <v>0.11722116179805527</v>
      </c>
      <c r="T127" s="264">
        <f>'Parameters D24m, country spec'!H24</f>
        <v>0.11722116179805527</v>
      </c>
    </row>
    <row r="128" spans="1:20" x14ac:dyDescent="0.3">
      <c r="A128" s="328"/>
      <c r="B128" s="329" t="s">
        <v>616</v>
      </c>
      <c r="C128" s="330"/>
      <c r="D128" s="331"/>
      <c r="E128" s="331"/>
      <c r="F128" s="334">
        <f>SUMPRODUCT(F114:F116,R114:R116)+SUMPRODUCT(F117:F127,R117:R127)/0.87</f>
        <v>2.3814224570830873E-4</v>
      </c>
      <c r="G128" s="334">
        <f>SUMPRODUCT(G114:G116,R114:R116)+SUMPRODUCT(G117:G127,R117:R127)/0.87</f>
        <v>4.574831030369761E-5</v>
      </c>
      <c r="H128" s="334">
        <f>SUMPRODUCT(H114:H116,R114:R116)+SUMPRODUCT(H117:H127,R117:R127)/0.87</f>
        <v>8.9794987019345552E-7</v>
      </c>
      <c r="I128" s="334">
        <f>SUMPRODUCT(I114:I116,R114:R116)+SUMPRODUCT(I117:I127,R117:R127)/0.87</f>
        <v>1.5119795157730905E-4</v>
      </c>
      <c r="J128" s="334">
        <f>SUMPRODUCT(J114:J116,R114:R116)+SUMPRODUCT(J117:J127,R117:R127)/0.87</f>
        <v>1.5119795157730908E-5</v>
      </c>
      <c r="K128" s="334">
        <f>SUMPRODUCT(K114:K116,R114:R116)+SUMPRODUCT(K117:K127,R117:R127)/0.87</f>
        <v>3.1439471764965385E-7</v>
      </c>
      <c r="L128" s="334">
        <f>SUMPRODUCT(L114:L116,R114:R116)+SUMPRODUCT(L117:L127,R117:R127)/0.87</f>
        <v>0</v>
      </c>
      <c r="M128" s="334">
        <f>SUMPRODUCT(M114:M116,R114:R116)+SUMPRODUCT(M117:M127,R117:R127)/0.87</f>
        <v>2.1557818289492199E-8</v>
      </c>
      <c r="N128" s="334">
        <f>SUMPRODUCT(N114:N116,R114:R116)+SUMPRODUCT(N117:N127,R117:R127)/0.87</f>
        <v>1.0234646156428304E-7</v>
      </c>
      <c r="O128" s="334">
        <f>SUMPRODUCT(O114:O116,R114:R116)+SUMPRODUCT(O117:O127,R117:R127)/0.87</f>
        <v>0</v>
      </c>
      <c r="P128" s="334">
        <f>SUMPRODUCT(P114:P116,R114:R116)+SUMPRODUCT(P117:P127,R117:R127)/0.87</f>
        <v>2.4359290830966004E-5</v>
      </c>
      <c r="Q128" s="334">
        <f>SUMPRODUCT(Q114:Q116,R114:R116)+SUMPRODUCT(Q117:Q127,R117:R127)/0.87</f>
        <v>3.8064897090827129E-7</v>
      </c>
      <c r="R128" s="335"/>
      <c r="S128" s="336"/>
      <c r="T128" s="336"/>
    </row>
    <row r="129" spans="1:20" x14ac:dyDescent="0.3">
      <c r="A129" s="150"/>
      <c r="B129" s="23" t="s">
        <v>457</v>
      </c>
      <c r="C129" s="24"/>
      <c r="D129" s="94"/>
      <c r="E129" s="94"/>
      <c r="F129" s="28">
        <f>SUMPRODUCT(F114:F116,S114:S116)+SUMPRODUCT(F117:F127,S117:S127)/0.87</f>
        <v>2.3814224570830873E-4</v>
      </c>
      <c r="G129" s="28">
        <f>SUMPRODUCT(G114:G116,S114:S116)+SUMPRODUCT(G117:G127,S117:S127)/0.87</f>
        <v>4.574831030369761E-5</v>
      </c>
      <c r="H129" s="28">
        <f>SUMPRODUCT(H114:H116,S114:S116)+SUMPRODUCT(H117:H127,S117:S127)/0.87</f>
        <v>8.9794987019345552E-7</v>
      </c>
      <c r="I129" s="28">
        <f>SUMPRODUCT(I114:I116,S114:S116)+SUMPRODUCT(I117:I127,S117:S127)/0.87</f>
        <v>1.5119795157730905E-4</v>
      </c>
      <c r="J129" s="28">
        <f>SUMPRODUCT(J114:J116,S114:S116)+SUMPRODUCT(J117:J127,S117:S127)/0.87</f>
        <v>1.5119795157730908E-5</v>
      </c>
      <c r="K129" s="28">
        <f>SUMPRODUCT(K114:K116,S114:S116)+SUMPRODUCT(K117:K127,S117:S127)/0.87</f>
        <v>3.1439471764965385E-7</v>
      </c>
      <c r="L129" s="28">
        <f>SUMPRODUCT(L114:L116,S114:S116)+SUMPRODUCT(L117:L127,S117:S127)/0.87</f>
        <v>0</v>
      </c>
      <c r="M129" s="28">
        <f>SUMPRODUCT(M114:M116,S114:S116)+SUMPRODUCT(M117:M127,S117:S127)/0.87</f>
        <v>2.1557818289492199E-8</v>
      </c>
      <c r="N129" s="28">
        <f>SUMPRODUCT(N114:N116,S114:S116)+SUMPRODUCT(N117:N127,S117:S127)/0.87</f>
        <v>1.0234646156428304E-7</v>
      </c>
      <c r="O129" s="28">
        <f>SUMPRODUCT(O114:O116,S114:S116)+SUMPRODUCT(O117:O127,S117:S127)/0.87</f>
        <v>0</v>
      </c>
      <c r="P129" s="28">
        <f>SUMPRODUCT(P114:P116,S114:S116)+SUMPRODUCT(P117:P127,S117:S127)/0.87</f>
        <v>2.4359290830966004E-5</v>
      </c>
      <c r="Q129" s="28">
        <f>SUMPRODUCT(Q114:Q116,S114:S116)+SUMPRODUCT(Q117:Q127,S117:S127)/0.87</f>
        <v>3.8064897090827129E-7</v>
      </c>
      <c r="R129" s="152"/>
      <c r="S129" s="152"/>
      <c r="T129" s="152"/>
    </row>
    <row r="130" spans="1:20" x14ac:dyDescent="0.3">
      <c r="A130" s="328"/>
      <c r="B130" s="329" t="s">
        <v>641</v>
      </c>
      <c r="C130" s="330"/>
      <c r="D130" s="331"/>
      <c r="E130" s="331"/>
      <c r="F130" s="332">
        <f>SUMPRODUCT(F114:F116,$T114:$T116)+SUMPRODUCT(F117:F127,$T117:$T127)/0.87</f>
        <v>2.3814224570830873E-4</v>
      </c>
      <c r="G130" s="332">
        <f t="shared" ref="G130:O130" si="38">SUMPRODUCT(G114:G116,$T114:$T116)+SUMPRODUCT(G117:G127,$T117:$T127)/0.87</f>
        <v>4.574831030369761E-5</v>
      </c>
      <c r="H130" s="332">
        <f t="shared" si="38"/>
        <v>8.9794987019345552E-7</v>
      </c>
      <c r="I130" s="332">
        <f t="shared" si="38"/>
        <v>1.5119795157730905E-4</v>
      </c>
      <c r="J130" s="332">
        <f t="shared" si="38"/>
        <v>1.5119795157730908E-5</v>
      </c>
      <c r="K130" s="332">
        <f t="shared" si="38"/>
        <v>3.1439471764965385E-7</v>
      </c>
      <c r="L130" s="332">
        <f t="shared" si="38"/>
        <v>0</v>
      </c>
      <c r="M130" s="332">
        <f t="shared" si="38"/>
        <v>2.1557818289492199E-8</v>
      </c>
      <c r="N130" s="332">
        <f t="shared" si="38"/>
        <v>1.0234646156428304E-7</v>
      </c>
      <c r="O130" s="332">
        <f t="shared" si="38"/>
        <v>0</v>
      </c>
      <c r="P130" s="332">
        <f>SUMPRODUCT(P114:P116,$T114:$T116)+SUMPRODUCT(P117:P127,$T117:$T127)/0.87</f>
        <v>2.4359290830966004E-5</v>
      </c>
      <c r="Q130" s="332">
        <f t="shared" ref="Q130" si="39">SUMPRODUCT(Q114:Q116,$T114:$T116)+SUMPRODUCT(Q117:Q127,$T117:$T127)/0.87</f>
        <v>3.8064897090827129E-7</v>
      </c>
      <c r="R130" s="335"/>
      <c r="S130" s="335"/>
      <c r="T130" s="335"/>
    </row>
    <row r="131" spans="1:20" x14ac:dyDescent="0.3">
      <c r="A131" s="150"/>
      <c r="B131" s="23" t="s">
        <v>642</v>
      </c>
      <c r="C131" s="24"/>
      <c r="D131" s="94"/>
      <c r="E131" s="94"/>
      <c r="F131" s="327">
        <f>SUMPRODUCT(F114:F116,$U114:$U116)+SUMPRODUCT(F117:F127,$U117:$U127)/0.87</f>
        <v>0</v>
      </c>
      <c r="G131" s="327">
        <f t="shared" ref="G131:K131" si="40">SUMPRODUCT(G114:G116,$U114:$U116)+SUMPRODUCT(G117:G127,$U117:$U127)/0.87</f>
        <v>0</v>
      </c>
      <c r="H131" s="327">
        <f t="shared" si="40"/>
        <v>0</v>
      </c>
      <c r="I131" s="327">
        <f t="shared" si="40"/>
        <v>0</v>
      </c>
      <c r="J131" s="327">
        <f t="shared" si="40"/>
        <v>0</v>
      </c>
      <c r="K131" s="327">
        <f t="shared" si="40"/>
        <v>0</v>
      </c>
      <c r="L131" s="327">
        <f>SUMPRODUCT(L114:L116,$U114:$U116)+SUMPRODUCT(L117:L127,$U117:$U127)/0.87</f>
        <v>0</v>
      </c>
      <c r="M131" s="327">
        <f t="shared" ref="M131:Q131" si="41">SUMPRODUCT(M114:M116,$U114:$U116)+SUMPRODUCT(M117:M127,$U117:$U127)/0.87</f>
        <v>0</v>
      </c>
      <c r="N131" s="327">
        <f t="shared" si="41"/>
        <v>0</v>
      </c>
      <c r="O131" s="327">
        <f t="shared" si="41"/>
        <v>0</v>
      </c>
      <c r="P131" s="327">
        <f t="shared" si="41"/>
        <v>0</v>
      </c>
      <c r="Q131" s="327">
        <f t="shared" si="41"/>
        <v>0</v>
      </c>
      <c r="R131" s="152"/>
      <c r="S131" s="152"/>
      <c r="T131" s="152"/>
    </row>
    <row r="132" spans="1:20" x14ac:dyDescent="0.3">
      <c r="B132" s="16" t="s">
        <v>299</v>
      </c>
      <c r="C132" s="15" t="s">
        <v>302</v>
      </c>
      <c r="D132" s="21" t="s">
        <v>53</v>
      </c>
      <c r="E132" s="21" t="s">
        <v>54</v>
      </c>
      <c r="F132" s="120">
        <f>SUM(G132:Q132)</f>
        <v>9.6094583821907287E-4</v>
      </c>
      <c r="G132" s="27">
        <f>'Forage crops, CF'!F46</f>
        <v>2.1356678801743158E-4</v>
      </c>
      <c r="H132" s="27">
        <f>'Forage crops, CF'!G46</f>
        <v>1.1000000000000001E-6</v>
      </c>
      <c r="I132" s="27">
        <f>'Forage crops, CF'!H46</f>
        <v>6.7792943235542443E-4</v>
      </c>
      <c r="J132" s="27">
        <f>'Forage crops, CF'!I46</f>
        <v>6.7792943235542451E-5</v>
      </c>
      <c r="K132" s="27">
        <f>'Forage crops, CF'!J46</f>
        <v>5.5358430516045113E-7</v>
      </c>
      <c r="L132" s="27">
        <f>'Forage crops, CF'!K46</f>
        <v>0</v>
      </c>
      <c r="M132" s="27">
        <f>'Forage crops, CF'!L46</f>
        <v>3.0903055139313702E-9</v>
      </c>
      <c r="N132" s="27">
        <f>'Forage crops, CF'!M46</f>
        <v>0</v>
      </c>
      <c r="O132" s="27">
        <f>'Forage crops, CF'!N46</f>
        <v>0</v>
      </c>
      <c r="P132" s="27">
        <f>'Forage crops, CF'!O46</f>
        <v>0</v>
      </c>
      <c r="Q132" s="27">
        <f>'Forage crops, CF'!P46</f>
        <v>0</v>
      </c>
      <c r="R132" s="151">
        <f>'Parameters SH, country spec'!I15</f>
        <v>0.47949543012015922</v>
      </c>
      <c r="S132" s="151">
        <f>'Parameters SH, country spec'!I33</f>
        <v>0.47949543012015922</v>
      </c>
      <c r="T132" s="264">
        <f>'Parameters D24m, country spec'!I11</f>
        <v>0.47949543012015922</v>
      </c>
    </row>
    <row r="133" spans="1:20" x14ac:dyDescent="0.3">
      <c r="B133" s="16" t="s">
        <v>300</v>
      </c>
      <c r="C133" s="15" t="s">
        <v>302</v>
      </c>
      <c r="D133" s="21" t="s">
        <v>53</v>
      </c>
      <c r="E133" s="21" t="s">
        <v>54</v>
      </c>
      <c r="F133" s="120">
        <f>SUM(G133:Q133)</f>
        <v>9.9537255002662641E-5</v>
      </c>
      <c r="G133" s="27">
        <f>'Forage crops, CF'!F111</f>
        <v>2.5946633376167656E-6</v>
      </c>
      <c r="H133" s="27">
        <f>'Forage crops, CF'!G111</f>
        <v>1.1000000000000001E-6</v>
      </c>
      <c r="I133" s="27">
        <f>'Forage crops, CF'!H111</f>
        <v>2.4902567922105637E-5</v>
      </c>
      <c r="J133" s="27">
        <f>'Forage crops, CF'!I111</f>
        <v>2.490256792210564E-6</v>
      </c>
      <c r="K133" s="27">
        <f>'Forage crops, CF'!J111</f>
        <v>3.466766452157641E-7</v>
      </c>
      <c r="L133" s="27"/>
      <c r="M133" s="27">
        <f>'Forage crops, CF'!L111</f>
        <v>3.0903055139313702E-9</v>
      </c>
      <c r="N133" s="27">
        <f>'Forage crops, CF'!M111</f>
        <v>0</v>
      </c>
      <c r="O133" s="27">
        <f>'Forage crops, CF'!N111</f>
        <v>0</v>
      </c>
      <c r="P133" s="27">
        <f>'Forage crops, CF'!O111</f>
        <v>6.8099999999999988E-5</v>
      </c>
      <c r="Q133" s="27"/>
      <c r="R133" s="151">
        <f>'Parameters SH, country spec'!I16</f>
        <v>0.16379583021525312</v>
      </c>
      <c r="S133" s="151">
        <f>'Parameters SH, country spec'!I34</f>
        <v>0.16379583021525312</v>
      </c>
      <c r="T133" s="264">
        <f>'Parameters D24m, country spec'!I12</f>
        <v>0.16379583021525312</v>
      </c>
    </row>
    <row r="134" spans="1:20" x14ac:dyDescent="0.3">
      <c r="B134" s="16" t="s">
        <v>301</v>
      </c>
      <c r="C134" s="15" t="s">
        <v>302</v>
      </c>
      <c r="D134" s="21" t="s">
        <v>53</v>
      </c>
      <c r="E134" s="21" t="s">
        <v>54</v>
      </c>
      <c r="F134" s="120">
        <f>SUM(G134:Q134)</f>
        <v>9.0323515526509978E-4</v>
      </c>
      <c r="G134" s="27">
        <f>'Forage crops, CF'!F176*'Forage, input data per ha'!$D$85+'Forage crops, CF'!F241*'Forage, input data per ha'!$E$85</f>
        <v>1.846039161452204E-4</v>
      </c>
      <c r="H134" s="27">
        <f>'Forage crops, CF'!G176*'Forage, input data per ha'!$D$85+'Forage crops, CF'!G241*'Forage, input data per ha'!$E$85</f>
        <v>1.1000000000000001E-6</v>
      </c>
      <c r="I134" s="27">
        <f>'Forage crops, CF'!H176*'Forage, input data per ha'!$D$85+'Forage crops, CF'!H241*'Forage, input data per ha'!$E$85</f>
        <v>5.8990007949670932E-4</v>
      </c>
      <c r="J134" s="27">
        <f>'Forage crops, CF'!I176*'Forage, input data per ha'!$D$85+'Forage crops, CF'!I241*'Forage, input data per ha'!$E$85</f>
        <v>5.8990007949670947E-5</v>
      </c>
      <c r="K134" s="27">
        <f>'Forage crops, CF'!J176*'Forage, input data per ha'!$D$85+'Forage crops, CF'!J241*'Forage, input data per ha'!$E$85</f>
        <v>5.3806136798514423E-7</v>
      </c>
      <c r="L134" s="27"/>
      <c r="M134" s="27">
        <f>'Forage crops, CF'!L176*'Forage, input data per ha'!$D$85+'Forage crops, CF'!L241*'Forage, input data per ha'!$E$85</f>
        <v>3.0903055139313697E-9</v>
      </c>
      <c r="N134" s="27">
        <f>'Forage crops, CF'!M176*'Forage, input data per ha'!$D$85+'Forage crops, CF'!M241*'Forage, input data per ha'!$E$85</f>
        <v>0</v>
      </c>
      <c r="O134" s="27">
        <f>'Forage crops, CF'!N176*'Forage, input data per ha'!$D$85+'Forage crops, CF'!N241*'Forage, input data per ha'!$E$85</f>
        <v>0</v>
      </c>
      <c r="P134" s="27">
        <f>'Forage crops, CF'!O176*'Forage, input data per ha'!$D$85+'Forage crops, CF'!O241*'Forage, input data per ha'!$E$85</f>
        <v>6.8099999999999975E-5</v>
      </c>
      <c r="Q134" s="27"/>
      <c r="R134" s="151">
        <f>'Parameters SH, country spec'!I17</f>
        <v>0.1711074910334601</v>
      </c>
      <c r="S134" s="151">
        <f>'Parameters SH, country spec'!I35</f>
        <v>0.1711074910334601</v>
      </c>
      <c r="T134" s="264">
        <f>'Parameters D24m, country spec'!I13</f>
        <v>0.1711074910334601</v>
      </c>
    </row>
    <row r="135" spans="1:20" x14ac:dyDescent="0.3">
      <c r="A135" s="20" t="s">
        <v>231</v>
      </c>
      <c r="B135" s="15" t="s">
        <v>113</v>
      </c>
      <c r="C135" s="15" t="s">
        <v>232</v>
      </c>
      <c r="D135" s="21" t="s">
        <v>53</v>
      </c>
      <c r="E135" s="21" t="s">
        <v>54</v>
      </c>
      <c r="F135" s="120">
        <f>SUM(G135:Q135)</f>
        <v>8.3892959999999996E-4</v>
      </c>
      <c r="G135" s="93">
        <v>1.8000000000000001E-4</v>
      </c>
      <c r="H135" s="93">
        <v>9.9999999999999995E-7</v>
      </c>
      <c r="I135" s="93">
        <v>5.9599999999999996E-4</v>
      </c>
      <c r="J135" s="93">
        <v>5.9599999999999999E-5</v>
      </c>
      <c r="K135" s="93">
        <v>7.3799999999999996E-7</v>
      </c>
      <c r="L135" s="93"/>
      <c r="M135" s="93">
        <v>2.1600000000000002E-8</v>
      </c>
      <c r="N135" s="93">
        <v>1.57E-6</v>
      </c>
      <c r="O135" s="93"/>
      <c r="P135" s="93"/>
      <c r="Q135" s="93"/>
      <c r="R135" s="151">
        <f>'Parameters SH, country spec'!I18</f>
        <v>3.7649623151768418E-3</v>
      </c>
      <c r="S135" s="151">
        <f>'Parameters SH, country spec'!I36</f>
        <v>3.7649623151768418E-3</v>
      </c>
      <c r="T135" s="264">
        <f>'Parameters D24m, country spec'!I14</f>
        <v>3.7649623151768418E-3</v>
      </c>
    </row>
    <row r="136" spans="1:20" x14ac:dyDescent="0.3">
      <c r="A136" s="20" t="s">
        <v>233</v>
      </c>
      <c r="B136" s="15" t="s">
        <v>114</v>
      </c>
      <c r="C136" s="15" t="s">
        <v>232</v>
      </c>
      <c r="D136" s="21" t="s">
        <v>53</v>
      </c>
      <c r="E136" s="21" t="s">
        <v>54</v>
      </c>
      <c r="F136" s="120">
        <f t="shared" ref="F136:F145" si="42">SUM(G136:Q136)</f>
        <v>8.0910399999999994E-4</v>
      </c>
      <c r="G136" s="93">
        <v>1.7000000000000001E-4</v>
      </c>
      <c r="H136" s="93">
        <v>9.9999999999999995E-7</v>
      </c>
      <c r="I136" s="93">
        <v>5.7799999999999995E-4</v>
      </c>
      <c r="J136" s="93">
        <v>5.7800000000000002E-5</v>
      </c>
      <c r="K136" s="93">
        <v>5.3600000000000004E-7</v>
      </c>
      <c r="L136" s="93"/>
      <c r="M136" s="93">
        <v>1.98E-7</v>
      </c>
      <c r="N136" s="93">
        <v>1.57E-6</v>
      </c>
      <c r="O136" s="93"/>
      <c r="P136" s="93"/>
      <c r="Q136" s="93"/>
      <c r="R136" s="151">
        <f>'Parameters SH, country spec'!I19</f>
        <v>1.1306927408010266E-2</v>
      </c>
      <c r="S136" s="151">
        <f>'Parameters SH, country spec'!I37</f>
        <v>1.1306927408010266E-2</v>
      </c>
      <c r="T136" s="264">
        <f>'Parameters D24m, country spec'!I15</f>
        <v>1.1306927408010266E-2</v>
      </c>
    </row>
    <row r="137" spans="1:20" x14ac:dyDescent="0.3">
      <c r="A137" s="20" t="s">
        <v>234</v>
      </c>
      <c r="B137" s="15" t="s">
        <v>115</v>
      </c>
      <c r="C137" s="15" t="s">
        <v>232</v>
      </c>
      <c r="D137" s="21" t="s">
        <v>53</v>
      </c>
      <c r="E137" s="21" t="s">
        <v>54</v>
      </c>
      <c r="F137" s="120">
        <f t="shared" si="42"/>
        <v>7.7184899999999991E-4</v>
      </c>
      <c r="G137" s="93">
        <v>1.4999999999999999E-4</v>
      </c>
      <c r="H137" s="93">
        <v>9.9999999999999995E-7</v>
      </c>
      <c r="I137" s="93">
        <v>5.62E-4</v>
      </c>
      <c r="J137" s="93">
        <v>5.6199999999999997E-5</v>
      </c>
      <c r="K137" s="93">
        <v>9.6800000000000009E-7</v>
      </c>
      <c r="L137" s="93"/>
      <c r="M137" s="93">
        <v>1.11E-7</v>
      </c>
      <c r="N137" s="93">
        <v>1.57E-6</v>
      </c>
      <c r="O137" s="93"/>
      <c r="P137" s="93"/>
      <c r="Q137" s="93"/>
      <c r="R137" s="151">
        <f>'Parameters SH, country spec'!I20</f>
        <v>1.2367044164683077E-4</v>
      </c>
      <c r="S137" s="151">
        <f>'Parameters SH, country spec'!I38</f>
        <v>1.2367044164683077E-4</v>
      </c>
      <c r="T137" s="264">
        <f>'Parameters D24m, country spec'!I16</f>
        <v>1.2367044164683077E-4</v>
      </c>
    </row>
    <row r="138" spans="1:20" x14ac:dyDescent="0.3">
      <c r="A138" s="20" t="s">
        <v>235</v>
      </c>
      <c r="B138" s="15" t="s">
        <v>116</v>
      </c>
      <c r="C138" s="15" t="s">
        <v>232</v>
      </c>
      <c r="D138" s="21" t="s">
        <v>53</v>
      </c>
      <c r="E138" s="21" t="s">
        <v>54</v>
      </c>
      <c r="F138" s="120">
        <f t="shared" si="42"/>
        <v>6.9837999999999996E-4</v>
      </c>
      <c r="G138" s="93">
        <v>1.3999999999999999E-4</v>
      </c>
      <c r="H138" s="93">
        <v>9.9999999999999995E-7</v>
      </c>
      <c r="I138" s="93">
        <v>5.04E-4</v>
      </c>
      <c r="J138" s="93">
        <v>5.0399999999999999E-5</v>
      </c>
      <c r="K138" s="93">
        <v>1.4100000000000001E-6</v>
      </c>
      <c r="L138" s="93"/>
      <c r="M138" s="93">
        <v>0</v>
      </c>
      <c r="N138" s="93">
        <v>1.57E-6</v>
      </c>
      <c r="O138" s="93"/>
      <c r="P138" s="93"/>
      <c r="Q138" s="93"/>
      <c r="R138" s="151">
        <f>'Parameters SH, country spec'!I21</f>
        <v>4.6537012747958835E-4</v>
      </c>
      <c r="S138" s="151">
        <f>'Parameters SH, country spec'!I39</f>
        <v>4.6537012747958835E-4</v>
      </c>
      <c r="T138" s="264">
        <f>'Parameters D24m, country spec'!I17</f>
        <v>4.6537012747958835E-4</v>
      </c>
    </row>
    <row r="139" spans="1:20" x14ac:dyDescent="0.3">
      <c r="A139" s="20" t="s">
        <v>236</v>
      </c>
      <c r="B139" s="15" t="s">
        <v>117</v>
      </c>
      <c r="C139" s="15" t="s">
        <v>232</v>
      </c>
      <c r="D139" s="21" t="s">
        <v>53</v>
      </c>
      <c r="E139" s="21" t="s">
        <v>54</v>
      </c>
      <c r="F139" s="120">
        <f t="shared" si="42"/>
        <v>9.6220029999999985E-4</v>
      </c>
      <c r="G139" s="93">
        <v>2.0000000000000001E-4</v>
      </c>
      <c r="H139" s="93">
        <v>9.9999999999999995E-7</v>
      </c>
      <c r="I139" s="93">
        <v>6.8999999999999997E-4</v>
      </c>
      <c r="J139" s="93">
        <v>6.8999999999999997E-5</v>
      </c>
      <c r="K139" s="93">
        <v>5.8400000000000004E-7</v>
      </c>
      <c r="L139" s="93"/>
      <c r="M139" s="93">
        <v>4.6299999999999998E-8</v>
      </c>
      <c r="N139" s="93">
        <v>1.57E-6</v>
      </c>
      <c r="O139" s="93"/>
      <c r="P139" s="93"/>
      <c r="Q139" s="93"/>
      <c r="R139" s="151">
        <f>'Parameters SH, country spec'!I22</f>
        <v>1.2739490248206042E-2</v>
      </c>
      <c r="S139" s="151">
        <f>'Parameters SH, country spec'!I40</f>
        <v>1.2739490248206042E-2</v>
      </c>
      <c r="T139" s="264">
        <f>'Parameters D24m, country spec'!I18</f>
        <v>1.2739490248206042E-2</v>
      </c>
    </row>
    <row r="140" spans="1:20" x14ac:dyDescent="0.3">
      <c r="A140" s="20" t="s">
        <v>237</v>
      </c>
      <c r="B140" s="15" t="s">
        <v>118</v>
      </c>
      <c r="C140" s="15" t="s">
        <v>238</v>
      </c>
      <c r="D140" s="21" t="s">
        <v>53</v>
      </c>
      <c r="E140" s="21" t="s">
        <v>54</v>
      </c>
      <c r="F140" s="120">
        <f t="shared" si="42"/>
        <v>2.0703569999999999E-4</v>
      </c>
      <c r="G140" s="93">
        <v>0</v>
      </c>
      <c r="H140" s="93">
        <v>9.9999999999999995E-7</v>
      </c>
      <c r="I140" s="93">
        <v>1.85E-4</v>
      </c>
      <c r="J140" s="93">
        <v>1.8499999999999999E-5</v>
      </c>
      <c r="K140" s="93">
        <v>9.0699999999999996E-7</v>
      </c>
      <c r="L140" s="93"/>
      <c r="M140" s="93">
        <v>5.8700000000000003E-8</v>
      </c>
      <c r="N140" s="93">
        <v>1.57E-6</v>
      </c>
      <c r="O140" s="93"/>
      <c r="P140" s="93"/>
      <c r="Q140" s="93"/>
      <c r="R140" s="151">
        <f>'Parameters SH, country spec'!I23</f>
        <v>0</v>
      </c>
      <c r="S140" s="151">
        <f>'Parameters SH, country spec'!I41</f>
        <v>0</v>
      </c>
      <c r="T140" s="264">
        <f>'Parameters D24m, country spec'!I19</f>
        <v>0</v>
      </c>
    </row>
    <row r="141" spans="1:20" x14ac:dyDescent="0.3">
      <c r="A141" s="20" t="s">
        <v>239</v>
      </c>
      <c r="B141" s="15" t="s">
        <v>119</v>
      </c>
      <c r="C141" s="15" t="s">
        <v>238</v>
      </c>
      <c r="D141" s="21" t="s">
        <v>53</v>
      </c>
      <c r="E141" s="21" t="s">
        <v>54</v>
      </c>
      <c r="F141" s="120">
        <f t="shared" si="42"/>
        <v>2.3980779999999995E-4</v>
      </c>
      <c r="G141" s="93">
        <v>8.6000000000000007E-6</v>
      </c>
      <c r="H141" s="93">
        <v>9.9999999999999995E-7</v>
      </c>
      <c r="I141" s="93">
        <v>2.0699999999999999E-4</v>
      </c>
      <c r="J141" s="93">
        <v>2.0699999999999998E-5</v>
      </c>
      <c r="K141" s="93">
        <v>9.0999999999999997E-7</v>
      </c>
      <c r="L141" s="93"/>
      <c r="M141" s="93">
        <v>2.7800000000000001E-8</v>
      </c>
      <c r="N141" s="93">
        <v>1.57E-6</v>
      </c>
      <c r="O141" s="93"/>
      <c r="P141" s="93"/>
      <c r="Q141" s="93"/>
      <c r="R141" s="151">
        <f>'Parameters SH, country spec'!I24</f>
        <v>0</v>
      </c>
      <c r="S141" s="151">
        <f>'Parameters SH, country spec'!I42</f>
        <v>0</v>
      </c>
      <c r="T141" s="264">
        <f>'Parameters D24m, country spec'!I20</f>
        <v>0</v>
      </c>
    </row>
    <row r="142" spans="1:20" x14ac:dyDescent="0.3">
      <c r="B142" s="16" t="s">
        <v>120</v>
      </c>
      <c r="C142" s="15" t="s">
        <v>240</v>
      </c>
      <c r="D142" s="21" t="s">
        <v>53</v>
      </c>
      <c r="E142" s="21" t="s">
        <v>54</v>
      </c>
      <c r="F142" s="120">
        <f t="shared" si="42"/>
        <v>1.5426052012212825E-3</v>
      </c>
      <c r="G142" s="27">
        <f>'Off-farm feed'!$F$77</f>
        <v>3.5160526410462907E-4</v>
      </c>
      <c r="H142" s="27">
        <f>'Off-farm feed'!$G$77</f>
        <v>5.3103448275862083E-7</v>
      </c>
      <c r="I142" s="27">
        <f>'Off-farm feed'!$H$77</f>
        <v>1.0756102664162708E-3</v>
      </c>
      <c r="J142" s="27">
        <f>'Off-farm feed'!$I$77</f>
        <v>1.0756102664162706E-4</v>
      </c>
      <c r="K142" s="27">
        <f>'Off-farm feed'!$J$77</f>
        <v>6.6339607025480414E-7</v>
      </c>
      <c r="L142" s="27"/>
      <c r="M142" s="27">
        <f>'Off-farm feed'!$L$77</f>
        <v>7.9511067188965511E-9</v>
      </c>
      <c r="N142" s="27">
        <f>'Off-farm feed'!$M$77</f>
        <v>1.2789681892721844E-6</v>
      </c>
      <c r="O142" s="27"/>
      <c r="P142" s="27">
        <f>'Off-farm feed'!$O$77</f>
        <v>4.8776996151562902E-6</v>
      </c>
      <c r="Q142" s="27">
        <f>'Off-farm feed'!$P$77</f>
        <v>4.6959459459459463E-7</v>
      </c>
      <c r="R142" s="151">
        <f>'Parameters SH, country spec'!I25</f>
        <v>4.3197597637154396E-2</v>
      </c>
      <c r="S142" s="151">
        <f>'Parameters SH, country spec'!I43</f>
        <v>4.3197597637154396E-2</v>
      </c>
      <c r="T142" s="264">
        <f>'Parameters D24m, country spec'!I21</f>
        <v>4.3197597637154396E-2</v>
      </c>
    </row>
    <row r="143" spans="1:20" x14ac:dyDescent="0.3">
      <c r="B143" s="16" t="s">
        <v>241</v>
      </c>
      <c r="C143" s="15" t="s">
        <v>240</v>
      </c>
      <c r="D143" s="21" t="s">
        <v>53</v>
      </c>
      <c r="E143" s="21" t="s">
        <v>54</v>
      </c>
      <c r="F143" s="120">
        <f t="shared" si="42"/>
        <v>1.8866346644602505E-4</v>
      </c>
      <c r="G143" s="27">
        <f>'Off-farm feed'!$F$26</f>
        <v>1.6332109719061441E-5</v>
      </c>
      <c r="H143" s="27">
        <f>'Off-farm feed'!$G$26</f>
        <v>8.7195121951219526E-7</v>
      </c>
      <c r="I143" s="27">
        <f>'Off-farm feed'!$H$26</f>
        <v>1.3333449845358202E-4</v>
      </c>
      <c r="J143" s="27">
        <f>'Off-farm feed'!$I$26</f>
        <v>1.3333449845358203E-5</v>
      </c>
      <c r="K143" s="27">
        <f>'Off-farm feed'!$J$26</f>
        <v>1.1576736579983931E-6</v>
      </c>
      <c r="L143" s="27"/>
      <c r="M143" s="27">
        <f>'Off-farm feed'!$L$26</f>
        <v>7.3437786087804866E-9</v>
      </c>
      <c r="N143" s="27">
        <f>'Off-farm feed'!$M$26</f>
        <v>1.1195281639512197E-6</v>
      </c>
      <c r="O143" s="27"/>
      <c r="P143" s="27">
        <f>'Off-farm feed'!$O$26</f>
        <v>1.3419073770114991E-5</v>
      </c>
      <c r="Q143" s="27">
        <f>'Off-farm feed'!$P$26</f>
        <v>9.087837837837838E-6</v>
      </c>
      <c r="R143" s="151">
        <f>'Parameters SH, country spec'!I26</f>
        <v>5.5787586237705654E-2</v>
      </c>
      <c r="S143" s="151">
        <f>'Parameters SH, country spec'!I44</f>
        <v>5.5787586237705654E-2</v>
      </c>
      <c r="T143" s="264">
        <f>'Parameters D24m, country spec'!I22</f>
        <v>5.5787586237705654E-2</v>
      </c>
    </row>
    <row r="144" spans="1:20" x14ac:dyDescent="0.3">
      <c r="B144" s="15" t="s">
        <v>122</v>
      </c>
      <c r="C144" s="15" t="s">
        <v>242</v>
      </c>
      <c r="D144" s="21" t="s">
        <v>53</v>
      </c>
      <c r="E144" s="21" t="s">
        <v>54</v>
      </c>
      <c r="F144" s="120"/>
      <c r="G144" s="93"/>
      <c r="H144" s="93"/>
      <c r="I144" s="93"/>
      <c r="J144" s="93"/>
      <c r="K144" s="93"/>
      <c r="L144" s="93"/>
      <c r="M144" s="93"/>
      <c r="N144" s="93"/>
      <c r="O144" s="93"/>
      <c r="P144" s="93"/>
      <c r="Q144" s="93"/>
      <c r="R144" s="151">
        <f>'Parameters SH, country spec'!I27</f>
        <v>3.963187482955613E-2</v>
      </c>
      <c r="S144" s="151">
        <f>'Parameters SH, country spec'!I45</f>
        <v>3.963187482955613E-2</v>
      </c>
      <c r="T144" s="264">
        <f>'Parameters D24m, country spec'!I23</f>
        <v>3.963187482955613E-2</v>
      </c>
    </row>
    <row r="145" spans="1:20" x14ac:dyDescent="0.3">
      <c r="A145" s="75"/>
      <c r="B145" s="15" t="s">
        <v>243</v>
      </c>
      <c r="C145" s="76" t="s">
        <v>244</v>
      </c>
      <c r="D145" s="21" t="s">
        <v>53</v>
      </c>
      <c r="E145" s="21" t="s">
        <v>54</v>
      </c>
      <c r="F145" s="120">
        <f t="shared" si="42"/>
        <v>1.0214733815723259E-4</v>
      </c>
      <c r="G145" s="74">
        <f>SUMPRODUCT(G135:G143,$R135:$R143)</f>
        <v>2.1331103015121935E-5</v>
      </c>
      <c r="H145" s="74">
        <f t="shared" ref="H145:P145" si="43">SUMPRODUCT(H135:H143,$R135:$R143)</f>
        <v>9.9983888311790083E-8</v>
      </c>
      <c r="I145" s="74">
        <f t="shared" si="43"/>
        <v>7.1775808519375687E-5</v>
      </c>
      <c r="J145" s="74">
        <f t="shared" si="43"/>
        <v>7.177580851937567E-6</v>
      </c>
      <c r="K145" s="74">
        <f t="shared" si="43"/>
        <v>1.1029573799914864E-7</v>
      </c>
      <c r="L145" s="74">
        <f t="shared" si="43"/>
        <v>0</v>
      </c>
      <c r="M145" s="74">
        <f t="shared" si="43"/>
        <v>3.6768210215695183E-9</v>
      </c>
      <c r="N145" s="74">
        <f t="shared" si="43"/>
        <v>1.6229278747148443E-7</v>
      </c>
      <c r="O145" s="74">
        <f t="shared" si="43"/>
        <v>0</v>
      </c>
      <c r="P145" s="74">
        <f t="shared" si="43"/>
        <v>9.5932264055084822E-7</v>
      </c>
      <c r="Q145" s="74">
        <f>SUMPRODUCT(Q135:Q143,$R135:$R143)</f>
        <v>5.2727389544254282E-7</v>
      </c>
      <c r="R145" s="151">
        <f>'Parameters SH, country spec'!I28</f>
        <v>1.8583769386191842E-2</v>
      </c>
      <c r="S145" s="151">
        <f>'Parameters SH, country spec'!I46</f>
        <v>1.8583769386191842E-2</v>
      </c>
      <c r="T145" s="264">
        <f>'Parameters D24m, country spec'!I24</f>
        <v>1.8583769386191842E-2</v>
      </c>
    </row>
    <row r="146" spans="1:20" x14ac:dyDescent="0.3">
      <c r="A146" s="328"/>
      <c r="B146" s="329" t="s">
        <v>616</v>
      </c>
      <c r="C146" s="330"/>
      <c r="D146" s="331"/>
      <c r="E146" s="331"/>
      <c r="F146" s="334">
        <f>SUMPRODUCT(F132:F134,R132:R134)+SUMPRODUCT(F135:F145,R135:R145)/0.87</f>
        <v>7.5121589407931813E-4</v>
      </c>
      <c r="G146" s="334">
        <f>SUMPRODUCT(G132:G134,R132:R134)+SUMPRODUCT(G135:G145,R135:R145)/0.87</f>
        <v>1.5939056237556059E-4</v>
      </c>
      <c r="H146" s="334">
        <f>SUMPRODUCT(H132:H134,R132:R134)+SUMPRODUCT(H135:H145,R135:R145)/0.87</f>
        <v>1.0128983573500255E-6</v>
      </c>
      <c r="I146" s="334">
        <f>SUMPRODUCT(I132:I134,R132:R134)+SUMPRODUCT(I135:I145,R135:R145)/0.87</f>
        <v>5.1411343168627274E-4</v>
      </c>
      <c r="J146" s="334">
        <f>SUMPRODUCT(J132:J134,R132:R134)+SUMPRODUCT(J135:J145,R135:R145)/0.87</f>
        <v>5.141134316862729E-5</v>
      </c>
      <c r="K146" s="334">
        <f>SUMPRODUCT(K132:K134,R132:R134)+SUMPRODUCT(K135:K145,R135:R145)/0.87</f>
        <v>5.4342436362042339E-7</v>
      </c>
      <c r="L146" s="334">
        <f>SUMPRODUCT(L132:L134,R132:R134)+SUMPRODUCT(L135:L145,R135:R145)/0.87</f>
        <v>0</v>
      </c>
      <c r="M146" s="334">
        <f>SUMPRODUCT(M132:M134,R132:R134)+SUMPRODUCT(M135:M145,R135:R145)/0.87</f>
        <v>6.8215113145476911E-9</v>
      </c>
      <c r="N146" s="334">
        <f>SUMPRODUCT(N132:N134,R132:R134)+SUMPRODUCT(N135:N145,R135:R145)/0.87</f>
        <v>1.9001011403091581E-7</v>
      </c>
      <c r="O146" s="334">
        <f>SUMPRODUCT(O132:O134,R132:R134)+SUMPRODUCT(O135:O145,R135:R145)/0.87</f>
        <v>0</v>
      </c>
      <c r="P146" s="334">
        <f>SUMPRODUCT(P132:P134,R132:R134)+SUMPRODUCT(P135:P145,R135:R145)/0.87</f>
        <v>2.3930077638267017E-5</v>
      </c>
      <c r="Q146" s="334">
        <f>SUMPRODUCT(Q132:Q134,R132:R134)+SUMPRODUCT(Q135:Q145,R135:R145)/0.87</f>
        <v>6.173248642744898E-7</v>
      </c>
      <c r="R146" s="335"/>
      <c r="S146" s="336"/>
      <c r="T146" s="336"/>
    </row>
    <row r="147" spans="1:20" x14ac:dyDescent="0.3">
      <c r="A147" s="150"/>
      <c r="B147" s="23" t="s">
        <v>457</v>
      </c>
      <c r="C147" s="24"/>
      <c r="D147" s="94"/>
      <c r="E147" s="94"/>
      <c r="F147" s="28">
        <f>SUMPRODUCT(F132:F134,S132:S134)+SUMPRODUCT(F135:F145,S135:S145)/0.87</f>
        <v>7.5121589407931813E-4</v>
      </c>
      <c r="G147" s="28">
        <f>SUMPRODUCT(G132:G134,S132:S134)+SUMPRODUCT(G135:G145,S135:S145)/0.87</f>
        <v>1.5939056237556059E-4</v>
      </c>
      <c r="H147" s="28">
        <f>SUMPRODUCT(H132:H134,S132:S134)+SUMPRODUCT(H135:H145,S135:S145)/0.87</f>
        <v>1.0128983573500255E-6</v>
      </c>
      <c r="I147" s="28">
        <f>SUMPRODUCT(I132:I134,S132:S134)+SUMPRODUCT(I135:I145,S135:S145)/0.87</f>
        <v>5.1411343168627274E-4</v>
      </c>
      <c r="J147" s="28">
        <f>SUMPRODUCT(J132:J134,S132:S134)+SUMPRODUCT(J135:J145,S135:S145)/0.87</f>
        <v>5.141134316862729E-5</v>
      </c>
      <c r="K147" s="28">
        <f>SUMPRODUCT(K132:K134,S132:S134)+SUMPRODUCT(K135:K145,S135:S145)/0.87</f>
        <v>5.4342436362042339E-7</v>
      </c>
      <c r="L147" s="28">
        <f>SUMPRODUCT(L132:L134,S132:S134)+SUMPRODUCT(L135:L145,S135:S145)/0.87</f>
        <v>0</v>
      </c>
      <c r="M147" s="28">
        <f>SUMPRODUCT(M132:M134,S132:S134)+SUMPRODUCT(M135:M145,S135:S145)/0.87</f>
        <v>6.8215113145476911E-9</v>
      </c>
      <c r="N147" s="28">
        <f>SUMPRODUCT(N132:N134,S132:S134)+SUMPRODUCT(N135:N145,S135:S145)/0.87</f>
        <v>1.9001011403091581E-7</v>
      </c>
      <c r="O147" s="28">
        <f>SUMPRODUCT(O132:O134,S132:S134)+SUMPRODUCT(O135:O145,S135:S145)/0.87</f>
        <v>0</v>
      </c>
      <c r="P147" s="28">
        <f>SUMPRODUCT(P132:P134,S132:S134)+SUMPRODUCT(P135:P145,S135:S145)/0.87</f>
        <v>2.3930077638267017E-5</v>
      </c>
      <c r="Q147" s="28">
        <f>SUMPRODUCT(Q132:Q134,S132:S134)+SUMPRODUCT(Q135:Q145,S135:S145)/0.87</f>
        <v>6.173248642744898E-7</v>
      </c>
      <c r="R147" s="152"/>
      <c r="S147" s="152"/>
      <c r="T147" s="152"/>
    </row>
    <row r="148" spans="1:20" x14ac:dyDescent="0.3">
      <c r="A148" s="328"/>
      <c r="B148" s="329" t="s">
        <v>641</v>
      </c>
      <c r="C148" s="330"/>
      <c r="D148" s="331"/>
      <c r="E148" s="331"/>
      <c r="F148" s="332">
        <f>SUMPRODUCT(F132:F134,$T132:$T134)+SUMPRODUCT(F135:F145,$T135:$T145)/0.87</f>
        <v>7.5121589407931813E-4</v>
      </c>
      <c r="G148" s="332">
        <f t="shared" ref="G148:O148" si="44">SUMPRODUCT(G132:G134,$T132:$T134)+SUMPRODUCT(G135:G145,$T135:$T145)/0.87</f>
        <v>1.5939056237556059E-4</v>
      </c>
      <c r="H148" s="332">
        <f t="shared" si="44"/>
        <v>1.0128983573500255E-6</v>
      </c>
      <c r="I148" s="332">
        <f t="shared" si="44"/>
        <v>5.1411343168627274E-4</v>
      </c>
      <c r="J148" s="332">
        <f t="shared" si="44"/>
        <v>5.141134316862729E-5</v>
      </c>
      <c r="K148" s="332">
        <f t="shared" si="44"/>
        <v>5.4342436362042339E-7</v>
      </c>
      <c r="L148" s="332">
        <f t="shared" si="44"/>
        <v>0</v>
      </c>
      <c r="M148" s="332">
        <f t="shared" si="44"/>
        <v>6.8215113145476911E-9</v>
      </c>
      <c r="N148" s="332">
        <f t="shared" si="44"/>
        <v>1.9001011403091581E-7</v>
      </c>
      <c r="O148" s="332">
        <f t="shared" si="44"/>
        <v>0</v>
      </c>
      <c r="P148" s="332">
        <f>SUMPRODUCT(P132:P134,$T132:$T134)+SUMPRODUCT(P135:P145,$T135:$T145)/0.87</f>
        <v>2.3930077638267017E-5</v>
      </c>
      <c r="Q148" s="332">
        <f t="shared" ref="Q148" si="45">SUMPRODUCT(Q132:Q134,$T132:$T134)+SUMPRODUCT(Q135:Q145,$T135:$T145)/0.87</f>
        <v>6.173248642744898E-7</v>
      </c>
      <c r="R148" s="335"/>
      <c r="S148" s="335"/>
      <c r="T148" s="335"/>
    </row>
    <row r="149" spans="1:20" x14ac:dyDescent="0.3">
      <c r="A149" s="150"/>
      <c r="B149" s="23" t="s">
        <v>642</v>
      </c>
      <c r="C149" s="24"/>
      <c r="D149" s="94"/>
      <c r="E149" s="94"/>
      <c r="F149" s="327">
        <f>SUMPRODUCT(F132:F134,$U132:$U134)+SUMPRODUCT(F135:F145,$U135:$U145)/0.87</f>
        <v>0</v>
      </c>
      <c r="G149" s="327">
        <f t="shared" ref="G149:K149" si="46">SUMPRODUCT(G132:G134,$U132:$U134)+SUMPRODUCT(G135:G145,$U135:$U145)/0.87</f>
        <v>0</v>
      </c>
      <c r="H149" s="327">
        <f t="shared" si="46"/>
        <v>0</v>
      </c>
      <c r="I149" s="327">
        <f t="shared" si="46"/>
        <v>0</v>
      </c>
      <c r="J149" s="327">
        <f t="shared" si="46"/>
        <v>0</v>
      </c>
      <c r="K149" s="327">
        <f t="shared" si="46"/>
        <v>0</v>
      </c>
      <c r="L149" s="327">
        <f>SUMPRODUCT(L132:L134,$U132:$U134)+SUMPRODUCT(L135:L145,$U135:$U145)/0.87</f>
        <v>0</v>
      </c>
      <c r="M149" s="327">
        <f t="shared" ref="M149:Q149" si="47">SUMPRODUCT(M132:M134,$U132:$U134)+SUMPRODUCT(M135:M145,$U135:$U145)/0.87</f>
        <v>0</v>
      </c>
      <c r="N149" s="327">
        <f t="shared" si="47"/>
        <v>0</v>
      </c>
      <c r="O149" s="327">
        <f t="shared" si="47"/>
        <v>0</v>
      </c>
      <c r="P149" s="327">
        <f t="shared" si="47"/>
        <v>0</v>
      </c>
      <c r="Q149" s="327">
        <f t="shared" si="47"/>
        <v>0</v>
      </c>
      <c r="R149" s="152"/>
      <c r="S149" s="152"/>
      <c r="T149" s="152"/>
    </row>
    <row r="150" spans="1:20" x14ac:dyDescent="0.3">
      <c r="B150" s="16" t="s">
        <v>299</v>
      </c>
      <c r="C150" s="15" t="s">
        <v>302</v>
      </c>
      <c r="D150" s="21" t="s">
        <v>55</v>
      </c>
      <c r="E150" s="21" t="s">
        <v>56</v>
      </c>
      <c r="F150" s="120">
        <f>SUM(G150:Q150)</f>
        <v>2.4078163056136687E-4</v>
      </c>
      <c r="G150" s="27">
        <f>'Forage crops, CF'!F51</f>
        <v>4.7791180802654265E-5</v>
      </c>
      <c r="H150" s="27">
        <f>'Forage crops, CF'!G51</f>
        <v>1.1000000000000001E-6</v>
      </c>
      <c r="I150" s="27">
        <f>'Forage crops, CF'!H51</f>
        <v>1.7407334076117385E-4</v>
      </c>
      <c r="J150" s="27">
        <f>'Forage crops, CF'!I51</f>
        <v>1.7407334076117384E-5</v>
      </c>
      <c r="K150" s="27">
        <f>'Forage crops, CF'!J51</f>
        <v>4.0904304240996531E-7</v>
      </c>
      <c r="L150" s="27">
        <f>'Forage crops, CF'!K51</f>
        <v>0</v>
      </c>
      <c r="M150" s="27">
        <f>'Forage crops, CF'!L51</f>
        <v>7.3187901141189401E-10</v>
      </c>
      <c r="N150" s="27">
        <f>'Forage crops, CF'!M51</f>
        <v>0</v>
      </c>
      <c r="O150" s="27">
        <f>'Forage crops, CF'!N51</f>
        <v>0</v>
      </c>
      <c r="P150" s="27">
        <f>'Forage crops, CF'!O51</f>
        <v>0</v>
      </c>
      <c r="Q150" s="27">
        <f>'Forage crops, CF'!P51</f>
        <v>0</v>
      </c>
      <c r="R150" s="151">
        <f>'Parameters SH, country spec'!J15</f>
        <v>0.26557017524746096</v>
      </c>
      <c r="S150" s="151">
        <f>'Parameters SH, country spec'!J33</f>
        <v>0.26557017524746096</v>
      </c>
      <c r="T150" s="264">
        <f>'Parameters D24m, country spec'!J11</f>
        <v>0.26557017524746096</v>
      </c>
    </row>
    <row r="151" spans="1:20" x14ac:dyDescent="0.3">
      <c r="B151" s="16" t="s">
        <v>300</v>
      </c>
      <c r="C151" s="15" t="s">
        <v>302</v>
      </c>
      <c r="D151" s="21" t="s">
        <v>55</v>
      </c>
      <c r="E151" s="21" t="s">
        <v>56</v>
      </c>
      <c r="F151" s="120">
        <f>SUM(G151:Q151)</f>
        <v>3.7512223427927261E-4</v>
      </c>
      <c r="G151" s="27">
        <f>'Forage crops, CF'!F116</f>
        <v>6.6043026114641107E-5</v>
      </c>
      <c r="H151" s="27">
        <f>'Forage crops, CF'!G116</f>
        <v>1.1000000000000001E-6</v>
      </c>
      <c r="I151" s="27">
        <f>'Forage crops, CF'!H116</f>
        <v>2.1774664567274286E-4</v>
      </c>
      <c r="J151" s="27">
        <f>'Forage crops, CF'!I116</f>
        <v>2.1774664567274287E-5</v>
      </c>
      <c r="K151" s="27">
        <f>'Forage crops, CF'!J116</f>
        <v>3.571660456030339E-7</v>
      </c>
      <c r="L151" s="27"/>
      <c r="M151" s="27">
        <f>'Forage crops, CF'!L116</f>
        <v>7.3187901141189411E-10</v>
      </c>
      <c r="N151" s="27">
        <f>'Forage crops, CF'!M116</f>
        <v>0</v>
      </c>
      <c r="O151" s="27">
        <f>'Forage crops, CF'!N116</f>
        <v>0</v>
      </c>
      <c r="P151" s="27">
        <f>'Forage crops, CF'!O116</f>
        <v>6.8099999999999988E-5</v>
      </c>
      <c r="Q151" s="27"/>
      <c r="R151" s="151">
        <f>'Parameters SH, country spec'!J16</f>
        <v>0.3089723847114122</v>
      </c>
      <c r="S151" s="151">
        <f>'Parameters SH, country spec'!J34</f>
        <v>0.3089723847114122</v>
      </c>
      <c r="T151" s="264">
        <f>'Parameters D24m, country spec'!J12</f>
        <v>0.3089723847114122</v>
      </c>
    </row>
    <row r="152" spans="1:20" x14ac:dyDescent="0.3">
      <c r="B152" s="16" t="s">
        <v>301</v>
      </c>
      <c r="C152" s="15" t="s">
        <v>302</v>
      </c>
      <c r="D152" s="21" t="s">
        <v>55</v>
      </c>
      <c r="E152" s="21" t="s">
        <v>56</v>
      </c>
      <c r="F152" s="120">
        <f>SUM(G152:Q152)</f>
        <v>2.6483181512772398E-4</v>
      </c>
      <c r="G152" s="27">
        <f>'Forage crops, CF'!F181*'Forage, input data per ha'!$D$86+'Forage crops, CF'!F246*'Forage, input data per ha'!$E$86</f>
        <v>3.7649877777651236E-5</v>
      </c>
      <c r="H152" s="27">
        <f>'Forage crops, CF'!G181*'Forage, input data per ha'!$D$86+'Forage crops, CF'!G246*'Forage, input data per ha'!$E$86</f>
        <v>1.1000000000000001E-6</v>
      </c>
      <c r="I152" s="27">
        <f>'Forage crops, CF'!H181*'Forage, input data per ha'!$D$86+'Forage crops, CF'!H246*'Forage, input data per ha'!$E$86</f>
        <v>1.4325000437471246E-4</v>
      </c>
      <c r="J152" s="27">
        <f>'Forage crops, CF'!I181*'Forage, input data per ha'!$D$86+'Forage crops, CF'!I246*'Forage, input data per ha'!$E$86</f>
        <v>1.4325000437471247E-5</v>
      </c>
      <c r="K152" s="27">
        <f>'Forage crops, CF'!J181*'Forage, input data per ha'!$D$86+'Forage crops, CF'!J246*'Forage, input data per ha'!$E$86</f>
        <v>4.0620065887760901E-7</v>
      </c>
      <c r="L152" s="27"/>
      <c r="M152" s="27">
        <f>'Forage crops, CF'!L181*'Forage, input data per ha'!$D$86+'Forage crops, CF'!L246*'Forage, input data per ha'!$E$86</f>
        <v>7.3187901141189411E-10</v>
      </c>
      <c r="N152" s="27">
        <f>'Forage crops, CF'!M181*'Forage, input data per ha'!$D$86+'Forage crops, CF'!M246*'Forage, input data per ha'!$E$86</f>
        <v>0</v>
      </c>
      <c r="O152" s="27">
        <f>'Forage crops, CF'!N181*'Forage, input data per ha'!$D$86+'Forage crops, CF'!N246*'Forage, input data per ha'!$E$86</f>
        <v>0</v>
      </c>
      <c r="P152" s="27">
        <f>'Forage crops, CF'!O181*'Forage, input data per ha'!$D$86+'Forage crops, CF'!O246*'Forage, input data per ha'!$E$86</f>
        <v>6.8099999999999988E-5</v>
      </c>
      <c r="Q152" s="27"/>
      <c r="R152" s="151">
        <f>'Parameters SH, country spec'!J17</f>
        <v>0.15280804679497859</v>
      </c>
      <c r="S152" s="151">
        <f>'Parameters SH, country spec'!J35</f>
        <v>0.15280804679497859</v>
      </c>
      <c r="T152" s="264">
        <f>'Parameters D24m, country spec'!J13</f>
        <v>0.15280804679497859</v>
      </c>
    </row>
    <row r="153" spans="1:20" x14ac:dyDescent="0.3">
      <c r="A153" s="20" t="s">
        <v>231</v>
      </c>
      <c r="B153" s="15" t="s">
        <v>113</v>
      </c>
      <c r="C153" s="15" t="s">
        <v>232</v>
      </c>
      <c r="D153" s="21" t="s">
        <v>55</v>
      </c>
      <c r="E153" s="21" t="s">
        <v>56</v>
      </c>
      <c r="F153" s="120">
        <f>SUM(G153:Q153)</f>
        <v>8.031530900000001E-4</v>
      </c>
      <c r="G153" s="93">
        <v>1.8000000000000001E-4</v>
      </c>
      <c r="H153" s="93">
        <v>9.9999999999999995E-7</v>
      </c>
      <c r="I153" s="93">
        <v>5.6300000000000002E-4</v>
      </c>
      <c r="J153" s="93">
        <v>5.63E-5</v>
      </c>
      <c r="K153" s="93">
        <v>1.33E-6</v>
      </c>
      <c r="L153" s="93"/>
      <c r="M153" s="93">
        <v>3.0899999999999999E-9</v>
      </c>
      <c r="N153" s="93">
        <v>1.5200000000000001E-6</v>
      </c>
      <c r="O153" s="93"/>
      <c r="P153" s="93"/>
      <c r="Q153" s="93"/>
      <c r="R153" s="151">
        <f>'Parameters SH, country spec'!J18</f>
        <v>1.4852072857038275E-2</v>
      </c>
      <c r="S153" s="151">
        <f>'Parameters SH, country spec'!J36</f>
        <v>1.4852072857038275E-2</v>
      </c>
      <c r="T153" s="264">
        <f>'Parameters D24m, country spec'!J14</f>
        <v>1.4852072857038275E-2</v>
      </c>
    </row>
    <row r="154" spans="1:20" x14ac:dyDescent="0.3">
      <c r="A154" s="20" t="s">
        <v>233</v>
      </c>
      <c r="B154" s="15" t="s">
        <v>114</v>
      </c>
      <c r="C154" s="15" t="s">
        <v>232</v>
      </c>
      <c r="D154" s="21" t="s">
        <v>55</v>
      </c>
      <c r="E154" s="21" t="s">
        <v>56</v>
      </c>
      <c r="F154" s="120">
        <f t="shared" ref="F154:F163" si="48">SUM(G154:Q154)</f>
        <v>6.5730909999999994E-4</v>
      </c>
      <c r="G154" s="93">
        <v>1.7000000000000001E-4</v>
      </c>
      <c r="H154" s="93">
        <v>9.9999999999999995E-7</v>
      </c>
      <c r="I154" s="93">
        <v>4.4000000000000002E-4</v>
      </c>
      <c r="J154" s="93">
        <v>4.3999999999999999E-5</v>
      </c>
      <c r="K154" s="93">
        <v>7.5199999999999996E-7</v>
      </c>
      <c r="L154" s="93"/>
      <c r="M154" s="93">
        <v>3.7100000000000001E-8</v>
      </c>
      <c r="N154" s="93">
        <v>1.5200000000000001E-6</v>
      </c>
      <c r="O154" s="93"/>
      <c r="P154" s="93"/>
      <c r="Q154" s="93"/>
      <c r="R154" s="151">
        <f>'Parameters SH, country spec'!J19</f>
        <v>2.0345709016517825E-2</v>
      </c>
      <c r="S154" s="151">
        <f>'Parameters SH, country spec'!J37</f>
        <v>2.0345709016517825E-2</v>
      </c>
      <c r="T154" s="264">
        <f>'Parameters D24m, country spec'!J15</f>
        <v>2.0345709016517825E-2</v>
      </c>
    </row>
    <row r="155" spans="1:20" x14ac:dyDescent="0.3">
      <c r="A155" s="20" t="s">
        <v>234</v>
      </c>
      <c r="B155" s="15" t="s">
        <v>115</v>
      </c>
      <c r="C155" s="15" t="s">
        <v>232</v>
      </c>
      <c r="D155" s="21" t="s">
        <v>55</v>
      </c>
      <c r="E155" s="21" t="s">
        <v>56</v>
      </c>
      <c r="F155" s="120">
        <f t="shared" si="48"/>
        <v>6.6357308999999995E-4</v>
      </c>
      <c r="G155" s="93">
        <v>1.4999999999999999E-4</v>
      </c>
      <c r="H155" s="93">
        <v>9.9999999999999995E-7</v>
      </c>
      <c r="I155" s="93">
        <v>4.6299999999999998E-4</v>
      </c>
      <c r="J155" s="93">
        <v>4.6300000000000001E-5</v>
      </c>
      <c r="K155" s="93">
        <v>1.75E-6</v>
      </c>
      <c r="L155" s="93"/>
      <c r="M155" s="93">
        <v>3.0899999999999999E-9</v>
      </c>
      <c r="N155" s="93">
        <v>1.5200000000000001E-6</v>
      </c>
      <c r="O155" s="93"/>
      <c r="P155" s="93"/>
      <c r="Q155" s="93"/>
      <c r="R155" s="151">
        <f>'Parameters SH, country spec'!J20</f>
        <v>4.4481071240192398E-4</v>
      </c>
      <c r="S155" s="151">
        <f>'Parameters SH, country spec'!J38</f>
        <v>4.4481071240192398E-4</v>
      </c>
      <c r="T155" s="264">
        <f>'Parameters D24m, country spec'!J16</f>
        <v>4.4481071240192398E-4</v>
      </c>
    </row>
    <row r="156" spans="1:20" x14ac:dyDescent="0.3">
      <c r="A156" s="20" t="s">
        <v>235</v>
      </c>
      <c r="B156" s="15" t="s">
        <v>116</v>
      </c>
      <c r="C156" s="15" t="s">
        <v>232</v>
      </c>
      <c r="D156" s="21" t="s">
        <v>55</v>
      </c>
      <c r="E156" s="21" t="s">
        <v>56</v>
      </c>
      <c r="F156" s="120">
        <f t="shared" si="48"/>
        <v>6.1058999999999983E-4</v>
      </c>
      <c r="G156" s="93">
        <v>1.3999999999999999E-4</v>
      </c>
      <c r="H156" s="93">
        <v>9.9999999999999995E-7</v>
      </c>
      <c r="I156" s="93">
        <v>4.2400000000000001E-4</v>
      </c>
      <c r="J156" s="93">
        <v>4.2400000000000001E-5</v>
      </c>
      <c r="K156" s="93">
        <v>1.6700000000000001E-6</v>
      </c>
      <c r="L156" s="93"/>
      <c r="M156" s="93">
        <v>0</v>
      </c>
      <c r="N156" s="93">
        <v>1.5200000000000001E-6</v>
      </c>
      <c r="O156" s="93"/>
      <c r="P156" s="93"/>
      <c r="Q156" s="93"/>
      <c r="R156" s="151">
        <f>'Parameters SH, country spec'!J21</f>
        <v>5.8075964903519491E-3</v>
      </c>
      <c r="S156" s="151">
        <f>'Parameters SH, country spec'!J39</f>
        <v>5.8075964903519491E-3</v>
      </c>
      <c r="T156" s="264">
        <f>'Parameters D24m, country spec'!J17</f>
        <v>5.8075964903519491E-3</v>
      </c>
    </row>
    <row r="157" spans="1:20" x14ac:dyDescent="0.3">
      <c r="A157" s="20" t="s">
        <v>236</v>
      </c>
      <c r="B157" s="15" t="s">
        <v>117</v>
      </c>
      <c r="C157" s="15" t="s">
        <v>232</v>
      </c>
      <c r="D157" s="21" t="s">
        <v>55</v>
      </c>
      <c r="E157" s="21" t="s">
        <v>56</v>
      </c>
      <c r="F157" s="120">
        <f t="shared" si="48"/>
        <v>7.9211309000000007E-4</v>
      </c>
      <c r="G157" s="93">
        <v>2.0000000000000001E-4</v>
      </c>
      <c r="H157" s="93">
        <v>9.9999999999999995E-7</v>
      </c>
      <c r="I157" s="93">
        <v>5.3499999999999999E-4</v>
      </c>
      <c r="J157" s="93">
        <v>5.3499999999999999E-5</v>
      </c>
      <c r="K157" s="93">
        <v>1.0899999999999999E-6</v>
      </c>
      <c r="L157" s="93"/>
      <c r="M157" s="93">
        <v>3.0899999999999999E-9</v>
      </c>
      <c r="N157" s="93">
        <v>1.5200000000000001E-6</v>
      </c>
      <c r="O157" s="93"/>
      <c r="P157" s="93"/>
      <c r="Q157" s="93"/>
      <c r="R157" s="151">
        <f>'Parameters SH, country spec'!J22</f>
        <v>2.3351211772125756E-2</v>
      </c>
      <c r="S157" s="151">
        <f>'Parameters SH, country spec'!J40</f>
        <v>2.3351211772125756E-2</v>
      </c>
      <c r="T157" s="264">
        <f>'Parameters D24m, country spec'!J18</f>
        <v>2.3351211772125756E-2</v>
      </c>
    </row>
    <row r="158" spans="1:20" x14ac:dyDescent="0.3">
      <c r="A158" s="20" t="s">
        <v>237</v>
      </c>
      <c r="B158" s="15" t="s">
        <v>118</v>
      </c>
      <c r="C158" s="15" t="s">
        <v>238</v>
      </c>
      <c r="D158" s="21" t="s">
        <v>55</v>
      </c>
      <c r="E158" s="21" t="s">
        <v>56</v>
      </c>
      <c r="F158" s="120">
        <f t="shared" si="48"/>
        <v>3.4353000000000004E-4</v>
      </c>
      <c r="G158" s="93">
        <v>0</v>
      </c>
      <c r="H158" s="93">
        <v>9.9999999999999995E-7</v>
      </c>
      <c r="I158" s="93">
        <v>3.0800000000000001E-4</v>
      </c>
      <c r="J158" s="93">
        <v>3.0800000000000003E-5</v>
      </c>
      <c r="K158" s="93">
        <v>2.21E-6</v>
      </c>
      <c r="L158" s="93"/>
      <c r="M158" s="93">
        <v>0</v>
      </c>
      <c r="N158" s="93">
        <v>1.5200000000000001E-6</v>
      </c>
      <c r="O158" s="93"/>
      <c r="P158" s="93"/>
      <c r="Q158" s="93"/>
      <c r="R158" s="151">
        <f>'Parameters SH, country spec'!J23</f>
        <v>2.6962503550840627E-3</v>
      </c>
      <c r="S158" s="151">
        <f>'Parameters SH, country spec'!J41</f>
        <v>2.6962503550840627E-3</v>
      </c>
      <c r="T158" s="264">
        <f>'Parameters D24m, country spec'!J19</f>
        <v>2.6962503550840627E-3</v>
      </c>
    </row>
    <row r="159" spans="1:20" x14ac:dyDescent="0.3">
      <c r="A159" s="20" t="s">
        <v>239</v>
      </c>
      <c r="B159" s="15" t="s">
        <v>119</v>
      </c>
      <c r="C159" s="15" t="s">
        <v>238</v>
      </c>
      <c r="D159" s="21" t="s">
        <v>55</v>
      </c>
      <c r="E159" s="21" t="s">
        <v>56</v>
      </c>
      <c r="F159" s="120">
        <f t="shared" si="48"/>
        <v>3.6270000000000003E-4</v>
      </c>
      <c r="G159" s="93">
        <v>8.6000000000000007E-6</v>
      </c>
      <c r="H159" s="93">
        <v>9.9999999999999995E-7</v>
      </c>
      <c r="I159" s="93">
        <v>3.1799999999999998E-4</v>
      </c>
      <c r="J159" s="93">
        <v>3.18E-5</v>
      </c>
      <c r="K159" s="93">
        <v>1.7799999999999999E-6</v>
      </c>
      <c r="L159" s="93"/>
      <c r="M159" s="93">
        <v>0</v>
      </c>
      <c r="N159" s="93">
        <v>1.5200000000000001E-6</v>
      </c>
      <c r="O159" s="93"/>
      <c r="P159" s="93"/>
      <c r="Q159" s="93"/>
      <c r="R159" s="151">
        <f>'Parameters SH, country spec'!J24</f>
        <v>2.6486063692714159E-3</v>
      </c>
      <c r="S159" s="151">
        <f>'Parameters SH, country spec'!J42</f>
        <v>2.6486063692714159E-3</v>
      </c>
      <c r="T159" s="264">
        <f>'Parameters D24m, country spec'!J20</f>
        <v>2.6486063692714159E-3</v>
      </c>
    </row>
    <row r="160" spans="1:20" x14ac:dyDescent="0.3">
      <c r="B160" s="16" t="s">
        <v>120</v>
      </c>
      <c r="C160" s="15" t="s">
        <v>240</v>
      </c>
      <c r="D160" s="21" t="s">
        <v>55</v>
      </c>
      <c r="E160" s="21" t="s">
        <v>56</v>
      </c>
      <c r="F160" s="120">
        <f t="shared" si="48"/>
        <v>1.5426052012212825E-3</v>
      </c>
      <c r="G160" s="27">
        <f>'Off-farm feed'!$F$77</f>
        <v>3.5160526410462907E-4</v>
      </c>
      <c r="H160" s="27">
        <f>'Off-farm feed'!$G$77</f>
        <v>5.3103448275862083E-7</v>
      </c>
      <c r="I160" s="27">
        <f>'Off-farm feed'!$H$77</f>
        <v>1.0756102664162708E-3</v>
      </c>
      <c r="J160" s="27">
        <f>'Off-farm feed'!$I$77</f>
        <v>1.0756102664162706E-4</v>
      </c>
      <c r="K160" s="27">
        <f>'Off-farm feed'!$J$77</f>
        <v>6.6339607025480414E-7</v>
      </c>
      <c r="L160" s="27"/>
      <c r="M160" s="27">
        <f>'Off-farm feed'!$L$77</f>
        <v>7.9511067188965511E-9</v>
      </c>
      <c r="N160" s="27">
        <f>'Off-farm feed'!$M$77</f>
        <v>1.2789681892721844E-6</v>
      </c>
      <c r="O160" s="27"/>
      <c r="P160" s="27">
        <f>'Off-farm feed'!$O$77</f>
        <v>4.8776996151562902E-6</v>
      </c>
      <c r="Q160" s="27">
        <f>'Off-farm feed'!$P$77</f>
        <v>4.6959459459459463E-7</v>
      </c>
      <c r="R160" s="151">
        <f>'Parameters SH, country spec'!J25</f>
        <v>1.9433337380001321E-2</v>
      </c>
      <c r="S160" s="151">
        <f>'Parameters SH, country spec'!J43</f>
        <v>1.9433337380001321E-2</v>
      </c>
      <c r="T160" s="264">
        <f>'Parameters D24m, country spec'!J21</f>
        <v>1.9433337380001321E-2</v>
      </c>
    </row>
    <row r="161" spans="1:20" x14ac:dyDescent="0.3">
      <c r="B161" s="16" t="s">
        <v>241</v>
      </c>
      <c r="C161" s="15" t="s">
        <v>240</v>
      </c>
      <c r="D161" s="21" t="s">
        <v>55</v>
      </c>
      <c r="E161" s="21" t="s">
        <v>56</v>
      </c>
      <c r="F161" s="120">
        <f t="shared" si="48"/>
        <v>1.8866346644602505E-4</v>
      </c>
      <c r="G161" s="27">
        <f>'Off-farm feed'!$F$26</f>
        <v>1.6332109719061441E-5</v>
      </c>
      <c r="H161" s="27">
        <f>'Off-farm feed'!$G$26</f>
        <v>8.7195121951219526E-7</v>
      </c>
      <c r="I161" s="27">
        <f>'Off-farm feed'!$H$26</f>
        <v>1.3333449845358202E-4</v>
      </c>
      <c r="J161" s="27">
        <f>'Off-farm feed'!$I$26</f>
        <v>1.3333449845358203E-5</v>
      </c>
      <c r="K161" s="27">
        <f>'Off-farm feed'!$J$26</f>
        <v>1.1576736579983931E-6</v>
      </c>
      <c r="L161" s="27"/>
      <c r="M161" s="27">
        <f>'Off-farm feed'!$L$26</f>
        <v>7.3437786087804866E-9</v>
      </c>
      <c r="N161" s="27">
        <f>'Off-farm feed'!$M$26</f>
        <v>1.1195281639512197E-6</v>
      </c>
      <c r="O161" s="27"/>
      <c r="P161" s="27">
        <f>'Off-farm feed'!$O$26</f>
        <v>1.3419073770114991E-5</v>
      </c>
      <c r="Q161" s="27">
        <f>'Off-farm feed'!$P$26</f>
        <v>9.087837837837838E-6</v>
      </c>
      <c r="R161" s="151">
        <f>'Parameters SH, country spec'!J26</f>
        <v>6.7782810502236002E-2</v>
      </c>
      <c r="S161" s="151">
        <f>'Parameters SH, country spec'!J44</f>
        <v>6.7782810502236002E-2</v>
      </c>
      <c r="T161" s="264">
        <f>'Parameters D24m, country spec'!J22</f>
        <v>6.7782810502236002E-2</v>
      </c>
    </row>
    <row r="162" spans="1:20" x14ac:dyDescent="0.3">
      <c r="B162" s="15" t="s">
        <v>122</v>
      </c>
      <c r="C162" s="15" t="s">
        <v>242</v>
      </c>
      <c r="D162" s="21" t="s">
        <v>55</v>
      </c>
      <c r="E162" s="21" t="s">
        <v>56</v>
      </c>
      <c r="F162" s="120"/>
      <c r="G162" s="93"/>
      <c r="H162" s="93"/>
      <c r="I162" s="93"/>
      <c r="J162" s="93"/>
      <c r="K162" s="93"/>
      <c r="L162" s="93"/>
      <c r="M162" s="93"/>
      <c r="N162" s="93"/>
      <c r="O162" s="93"/>
      <c r="P162" s="93"/>
      <c r="Q162" s="93"/>
      <c r="R162" s="151">
        <f>'Parameters SH, country spec'!J27</f>
        <v>4.7732591070968847E-2</v>
      </c>
      <c r="S162" s="151">
        <f>'Parameters SH, country spec'!J45</f>
        <v>4.7732591070968847E-2</v>
      </c>
      <c r="T162" s="264">
        <f>'Parameters D24m, country spec'!J23</f>
        <v>4.7732591070968847E-2</v>
      </c>
    </row>
    <row r="163" spans="1:20" x14ac:dyDescent="0.3">
      <c r="A163" s="75"/>
      <c r="B163" s="15" t="s">
        <v>243</v>
      </c>
      <c r="C163" s="76" t="s">
        <v>244</v>
      </c>
      <c r="D163" s="21" t="s">
        <v>55</v>
      </c>
      <c r="E163" s="21" t="s">
        <v>56</v>
      </c>
      <c r="F163" s="120">
        <f t="shared" si="48"/>
        <v>9.2292932891445845E-5</v>
      </c>
      <c r="G163" s="74">
        <f>SUMPRODUCT(G153:G161,$R153:$R161)</f>
        <v>1.9644849151903961E-5</v>
      </c>
      <c r="H163" s="74">
        <f t="shared" ref="H163:P163" si="49">SUMPRODUCT(H153:H161,$R153:$R161)</f>
        <v>1.3956933411604271E-7</v>
      </c>
      <c r="I163" s="74">
        <f t="shared" si="49"/>
        <v>6.4088281729163517E-5</v>
      </c>
      <c r="J163" s="74">
        <f t="shared" si="49"/>
        <v>6.4088281729163512E-6</v>
      </c>
      <c r="K163" s="74">
        <f t="shared" si="49"/>
        <v>1.7301876225289352E-7</v>
      </c>
      <c r="L163" s="74">
        <f t="shared" si="49"/>
        <v>0</v>
      </c>
      <c r="M163" s="74">
        <f t="shared" si="49"/>
        <v>1.5265469123403044E-9</v>
      </c>
      <c r="N163" s="74">
        <f t="shared" si="49"/>
        <v>2.0736169722008011E-7</v>
      </c>
      <c r="O163" s="74">
        <f t="shared" si="49"/>
        <v>0</v>
      </c>
      <c r="P163" s="74">
        <f t="shared" si="49"/>
        <v>1.0043725167348649E-6</v>
      </c>
      <c r="Q163" s="74">
        <f>SUMPRODUCT(Q153:Q161,$R153:$R161)</f>
        <v>6.2512498022579404E-7</v>
      </c>
      <c r="R163" s="151">
        <f>'Parameters SH, country spec'!J28</f>
        <v>6.7554396720150997E-2</v>
      </c>
      <c r="S163" s="151">
        <f>'Parameters SH, country spec'!J46</f>
        <v>6.7554396720150997E-2</v>
      </c>
      <c r="T163" s="264">
        <f>'Parameters D24m, country spec'!J24</f>
        <v>6.7554396720150997E-2</v>
      </c>
    </row>
    <row r="164" spans="1:20" x14ac:dyDescent="0.3">
      <c r="A164" s="328"/>
      <c r="B164" s="329" t="s">
        <v>616</v>
      </c>
      <c r="C164" s="330"/>
      <c r="D164" s="331"/>
      <c r="E164" s="331"/>
      <c r="F164" s="334">
        <f>SUMPRODUCT(F150:F152,R150:R152)+SUMPRODUCT(F153:F163,R153:R163)/0.87</f>
        <v>3.3356552361550363E-4</v>
      </c>
      <c r="G164" s="334">
        <f>SUMPRODUCT(G150:G152,R150:R152)+SUMPRODUCT(G153:G163,R153:R163)/0.87</f>
        <v>6.2956271824284474E-5</v>
      </c>
      <c r="H164" s="334">
        <f>SUMPRODUCT(H150:H152,R150:R152)+SUMPRODUCT(H153:H163,R153:R163)/0.87</f>
        <v>9.7134757120266809E-7</v>
      </c>
      <c r="I164" s="334">
        <f>SUMPRODUCT(I150:I152,R150:R152)+SUMPRODUCT(I153:I163,R153:R163)/0.87</f>
        <v>2.1403720680636249E-4</v>
      </c>
      <c r="J164" s="334">
        <f>SUMPRODUCT(J150:J152,R150:R152)+SUMPRODUCT(J153:J163,R153:R163)/0.87</f>
        <v>2.140372068063625E-5</v>
      </c>
      <c r="K164" s="334">
        <f>SUMPRODUCT(K150:K152,R150:R152)+SUMPRODUCT(K153:K163,R153:R163)/0.87</f>
        <v>4.9336163459228352E-7</v>
      </c>
      <c r="L164" s="334">
        <f>SUMPRODUCT(L150:L152,R150:R152)+SUMPRODUCT(L153:L163,R153:R163)/0.87</f>
        <v>0</v>
      </c>
      <c r="M164" s="334">
        <f>SUMPRODUCT(M150:M152,R150:R152)+SUMPRODUCT(M153:M163,R153:R163)/0.87</f>
        <v>2.4055186982719566E-9</v>
      </c>
      <c r="N164" s="334">
        <f>SUMPRODUCT(N150:N152,R150:R152)+SUMPRODUCT(N153:N163,R153:R163)/0.87</f>
        <v>2.5444815123982671E-7</v>
      </c>
      <c r="O164" s="334">
        <f>SUMPRODUCT(O150:O152,R150:R152)+SUMPRODUCT(O153:O163,R153:R163)/0.87</f>
        <v>0</v>
      </c>
      <c r="P164" s="334">
        <f>SUMPRODUCT(P150:P152,R150:R152)+SUMPRODUCT(P153:P163,R153:R163)/0.87</f>
        <v>3.2679686806487723E-5</v>
      </c>
      <c r="Q164" s="334">
        <f>SUMPRODUCT(Q150:Q152,R150:R152)+SUMPRODUCT(Q153:Q163,R153:R163)/0.87</f>
        <v>7.6707462199959065E-7</v>
      </c>
      <c r="R164" s="335"/>
      <c r="S164" s="336"/>
      <c r="T164" s="336"/>
    </row>
    <row r="165" spans="1:20" x14ac:dyDescent="0.3">
      <c r="A165" s="150"/>
      <c r="B165" s="23" t="s">
        <v>457</v>
      </c>
      <c r="C165" s="24"/>
      <c r="D165" s="94"/>
      <c r="E165" s="94"/>
      <c r="F165" s="28">
        <f>SUMPRODUCT(F150:F152,S150:S152)+SUMPRODUCT(F153:F163,S153:S163)/0.87</f>
        <v>3.3356552361550363E-4</v>
      </c>
      <c r="G165" s="28">
        <f>SUMPRODUCT(G150:G152,S150:S152)+SUMPRODUCT(G153:G163,S153:S163)/0.87</f>
        <v>6.2956271824284474E-5</v>
      </c>
      <c r="H165" s="28">
        <f>SUMPRODUCT(H150:H152,S150:S152)+SUMPRODUCT(H153:H163,S153:S163)/0.87</f>
        <v>9.7134757120266809E-7</v>
      </c>
      <c r="I165" s="28">
        <f>SUMPRODUCT(I150:I152,S150:S152)+SUMPRODUCT(I153:I163,S153:S163)/0.87</f>
        <v>2.1403720680636249E-4</v>
      </c>
      <c r="J165" s="28">
        <f>SUMPRODUCT(J150:J152,S150:S152)+SUMPRODUCT(J153:J163,S153:S163)/0.87</f>
        <v>2.140372068063625E-5</v>
      </c>
      <c r="K165" s="28">
        <f>SUMPRODUCT(K150:K152,S150:S152)+SUMPRODUCT(K153:K163,S153:S163)/0.87</f>
        <v>4.9336163459228352E-7</v>
      </c>
      <c r="L165" s="28">
        <f>SUMPRODUCT(L150:L152,S150:S152)+SUMPRODUCT(L153:L163,S153:S163)/0.87</f>
        <v>0</v>
      </c>
      <c r="M165" s="28">
        <f>SUMPRODUCT(M150:M152,S150:S152)+SUMPRODUCT(M153:M163,S153:S163)/0.87</f>
        <v>2.4055186982719566E-9</v>
      </c>
      <c r="N165" s="28">
        <f>SUMPRODUCT(N150:N152,S150:S152)+SUMPRODUCT(N153:N163,S153:S163)/0.87</f>
        <v>2.5444815123982671E-7</v>
      </c>
      <c r="O165" s="28">
        <f>SUMPRODUCT(O150:O152,S150:S152)+SUMPRODUCT(O153:O163,S153:S163)/0.87</f>
        <v>0</v>
      </c>
      <c r="P165" s="28">
        <f>SUMPRODUCT(P150:P152,S150:S152)+SUMPRODUCT(P153:P163,S153:S163)/0.87</f>
        <v>3.2679686806487723E-5</v>
      </c>
      <c r="Q165" s="28">
        <f>SUMPRODUCT(Q150:Q152,S150:S152)+SUMPRODUCT(Q153:Q163,S153:S163)/0.87</f>
        <v>7.6707462199959065E-7</v>
      </c>
      <c r="R165" s="152"/>
      <c r="S165" s="152"/>
      <c r="T165" s="152"/>
    </row>
    <row r="166" spans="1:20" x14ac:dyDescent="0.3">
      <c r="A166" s="328"/>
      <c r="B166" s="329" t="s">
        <v>641</v>
      </c>
      <c r="C166" s="330"/>
      <c r="D166" s="331"/>
      <c r="E166" s="331"/>
      <c r="F166" s="332">
        <f>SUMPRODUCT(F150:F152,$T150:$T152)+SUMPRODUCT(F153:F163,$T153:$T163)/0.87</f>
        <v>3.3356552361550363E-4</v>
      </c>
      <c r="G166" s="332">
        <f t="shared" ref="G166:O166" si="50">SUMPRODUCT(G150:G152,$T150:$T152)+SUMPRODUCT(G153:G163,$T153:$T163)/0.87</f>
        <v>6.2956271824284474E-5</v>
      </c>
      <c r="H166" s="332">
        <f t="shared" si="50"/>
        <v>9.7134757120266809E-7</v>
      </c>
      <c r="I166" s="332">
        <f t="shared" si="50"/>
        <v>2.1403720680636249E-4</v>
      </c>
      <c r="J166" s="332">
        <f t="shared" si="50"/>
        <v>2.140372068063625E-5</v>
      </c>
      <c r="K166" s="332">
        <f t="shared" si="50"/>
        <v>4.9336163459228352E-7</v>
      </c>
      <c r="L166" s="332">
        <f t="shared" si="50"/>
        <v>0</v>
      </c>
      <c r="M166" s="332">
        <f t="shared" si="50"/>
        <v>2.4055186982719566E-9</v>
      </c>
      <c r="N166" s="332">
        <f t="shared" si="50"/>
        <v>2.5444815123982671E-7</v>
      </c>
      <c r="O166" s="332">
        <f t="shared" si="50"/>
        <v>0</v>
      </c>
      <c r="P166" s="332">
        <f>SUMPRODUCT(P150:P152,$T150:$T152)+SUMPRODUCT(P153:P163,$T153:$T163)/0.87</f>
        <v>3.2679686806487723E-5</v>
      </c>
      <c r="Q166" s="332">
        <f t="shared" ref="Q166" si="51">SUMPRODUCT(Q150:Q152,$T150:$T152)+SUMPRODUCT(Q153:Q163,$T153:$T163)/0.87</f>
        <v>7.6707462199959065E-7</v>
      </c>
      <c r="R166" s="335"/>
      <c r="S166" s="335"/>
      <c r="T166" s="335"/>
    </row>
    <row r="167" spans="1:20" x14ac:dyDescent="0.3">
      <c r="A167" s="150"/>
      <c r="B167" s="23" t="s">
        <v>642</v>
      </c>
      <c r="C167" s="24"/>
      <c r="D167" s="94"/>
      <c r="E167" s="94"/>
      <c r="F167" s="327">
        <f>SUMPRODUCT(F150:F152,$U150:$U152)+SUMPRODUCT(F153:F163,$U153:$U163)/0.87</f>
        <v>0</v>
      </c>
      <c r="G167" s="327">
        <f t="shared" ref="G167:K167" si="52">SUMPRODUCT(G150:G152,$U150:$U152)+SUMPRODUCT(G153:G163,$U153:$U163)/0.87</f>
        <v>0</v>
      </c>
      <c r="H167" s="327">
        <f t="shared" si="52"/>
        <v>0</v>
      </c>
      <c r="I167" s="327">
        <f t="shared" si="52"/>
        <v>0</v>
      </c>
      <c r="J167" s="327">
        <f t="shared" si="52"/>
        <v>0</v>
      </c>
      <c r="K167" s="327">
        <f t="shared" si="52"/>
        <v>0</v>
      </c>
      <c r="L167" s="327">
        <f>SUMPRODUCT(L150:L152,$U150:$U152)+SUMPRODUCT(L153:L163,$U153:$U163)/0.87</f>
        <v>0</v>
      </c>
      <c r="M167" s="327">
        <f t="shared" ref="M167:Q167" si="53">SUMPRODUCT(M150:M152,$U150:$U152)+SUMPRODUCT(M153:M163,$U153:$U163)/0.87</f>
        <v>0</v>
      </c>
      <c r="N167" s="327">
        <f t="shared" si="53"/>
        <v>0</v>
      </c>
      <c r="O167" s="327">
        <f t="shared" si="53"/>
        <v>0</v>
      </c>
      <c r="P167" s="327">
        <f t="shared" si="53"/>
        <v>0</v>
      </c>
      <c r="Q167" s="327">
        <f t="shared" si="53"/>
        <v>0</v>
      </c>
      <c r="R167" s="152"/>
      <c r="S167" s="152"/>
      <c r="T167" s="152"/>
    </row>
    <row r="168" spans="1:20" x14ac:dyDescent="0.3">
      <c r="B168" s="16" t="s">
        <v>299</v>
      </c>
      <c r="C168" s="15" t="s">
        <v>302</v>
      </c>
      <c r="D168" s="21" t="s">
        <v>57</v>
      </c>
      <c r="E168" s="21" t="s">
        <v>58</v>
      </c>
      <c r="F168" s="120">
        <f>SUM(G168:Q168)</f>
        <v>2.4108924144950811E-4</v>
      </c>
      <c r="G168" s="27">
        <f>'Forage crops, CF'!F56</f>
        <v>4.7791180802654265E-5</v>
      </c>
      <c r="H168" s="27">
        <f>'Forage crops, CF'!G56</f>
        <v>1.1000000000000001E-6</v>
      </c>
      <c r="I168" s="27">
        <f>'Forage crops, CF'!H56</f>
        <v>1.7407334076117385E-4</v>
      </c>
      <c r="J168" s="27">
        <f>'Forage crops, CF'!I56</f>
        <v>1.7407334076117384E-5</v>
      </c>
      <c r="K168" s="27">
        <f>'Forage crops, CF'!J56</f>
        <v>5.8897511791287795E-7</v>
      </c>
      <c r="L168" s="27">
        <f>'Forage crops, CF'!K56</f>
        <v>0</v>
      </c>
      <c r="M168" s="27">
        <f>'Forage crops, CF'!L56</f>
        <v>1.2841069164971674E-7</v>
      </c>
      <c r="N168" s="27">
        <f>'Forage crops, CF'!M56</f>
        <v>0</v>
      </c>
      <c r="O168" s="27">
        <f>'Forage crops, CF'!N56</f>
        <v>0</v>
      </c>
      <c r="P168" s="27">
        <f>'Forage crops, CF'!O56</f>
        <v>0</v>
      </c>
      <c r="Q168" s="27">
        <f>'Forage crops, CF'!P56</f>
        <v>0</v>
      </c>
      <c r="R168" s="151">
        <f>'Parameters SH, country spec'!K15</f>
        <v>0.42695226222969923</v>
      </c>
      <c r="S168" s="151">
        <f>'Parameters SH, country spec'!K33</f>
        <v>0.42695226222969923</v>
      </c>
      <c r="T168" s="264">
        <f>'Parameters D24m, country spec'!K11</f>
        <v>0.42695226222969923</v>
      </c>
    </row>
    <row r="169" spans="1:20" x14ac:dyDescent="0.3">
      <c r="B169" s="16" t="s">
        <v>300</v>
      </c>
      <c r="C169" s="15" t="s">
        <v>302</v>
      </c>
      <c r="D169" s="21" t="s">
        <v>57</v>
      </c>
      <c r="E169" s="21" t="s">
        <v>58</v>
      </c>
      <c r="F169" s="120">
        <f>SUM(G169:Q169)</f>
        <v>2.9117874840573556E-4</v>
      </c>
      <c r="G169" s="27">
        <f>'Forage crops, CF'!F121</f>
        <v>4.6635822372013562E-5</v>
      </c>
      <c r="H169" s="27">
        <f>'Forage crops, CF'!G121</f>
        <v>1.1000000000000001E-6</v>
      </c>
      <c r="I169" s="27">
        <f>'Forage crops, CF'!H121</f>
        <v>1.58760658585603E-4</v>
      </c>
      <c r="J169" s="27">
        <f>'Forage crops, CF'!I121</f>
        <v>1.58760658585603E-5</v>
      </c>
      <c r="K169" s="27">
        <f>'Forage crops, CF'!J121</f>
        <v>5.7779089790897923E-7</v>
      </c>
      <c r="L169" s="27"/>
      <c r="M169" s="27">
        <f>'Forage crops, CF'!L121</f>
        <v>1.2841069164971677E-7</v>
      </c>
      <c r="N169" s="27">
        <f>'Forage crops, CF'!M121</f>
        <v>0</v>
      </c>
      <c r="O169" s="27">
        <f>'Forage crops, CF'!N121</f>
        <v>0</v>
      </c>
      <c r="P169" s="27">
        <f>'Forage crops, CF'!O121</f>
        <v>6.8099999999999988E-5</v>
      </c>
      <c r="Q169" s="27"/>
      <c r="R169" s="151">
        <f>'Parameters SH, country spec'!K16</f>
        <v>8.4238508213965613E-2</v>
      </c>
      <c r="S169" s="151">
        <f>'Parameters SH, country spec'!K34</f>
        <v>8.4238508213965613E-2</v>
      </c>
      <c r="T169" s="264">
        <f>'Parameters D24m, country spec'!K12</f>
        <v>8.4238508213965613E-2</v>
      </c>
    </row>
    <row r="170" spans="1:20" x14ac:dyDescent="0.3">
      <c r="B170" s="16" t="s">
        <v>301</v>
      </c>
      <c r="C170" s="15" t="s">
        <v>302</v>
      </c>
      <c r="D170" s="21" t="s">
        <v>57</v>
      </c>
      <c r="E170" s="21" t="s">
        <v>58</v>
      </c>
      <c r="F170" s="120">
        <f>SUM(G170:Q170)</f>
        <v>2.0975846016857045E-4</v>
      </c>
      <c r="G170" s="27">
        <f>'Forage crops, CF'!F186*'Forage, input data per ha'!$D$87+'Forage crops, CF'!F251*'Forage, input data per ha'!$E$87</f>
        <v>2.4923477541255415E-5</v>
      </c>
      <c r="H170" s="27">
        <f>'Forage crops, CF'!G186*'Forage, input data per ha'!$D$87+'Forage crops, CF'!G251*'Forage, input data per ha'!$E$87</f>
        <v>1.1000000000000001E-6</v>
      </c>
      <c r="I170" s="27">
        <f>'Forage crops, CF'!H186*'Forage, input data per ha'!$D$87+'Forage crops, CF'!H251*'Forage, input data per ha'!$E$87</f>
        <v>1.0456955921810469E-4</v>
      </c>
      <c r="J170" s="27">
        <f>'Forage crops, CF'!I186*'Forage, input data per ha'!$D$87+'Forage crops, CF'!I251*'Forage, input data per ha'!$E$87</f>
        <v>1.045695592181047E-5</v>
      </c>
      <c r="K170" s="27">
        <f>'Forage crops, CF'!J186*'Forage, input data per ha'!$D$87+'Forage crops, CF'!J251*'Forage, input data per ha'!$E$87</f>
        <v>4.8005679575018282E-7</v>
      </c>
      <c r="L170" s="27"/>
      <c r="M170" s="27">
        <f>'Forage crops, CF'!L186*'Forage, input data per ha'!$D$87+'Forage crops, CF'!L251*'Forage, input data per ha'!$E$87</f>
        <v>1.2841069164971677E-7</v>
      </c>
      <c r="N170" s="27">
        <f>'Forage crops, CF'!M186*'Forage, input data per ha'!$D$87+'Forage crops, CF'!M251*'Forage, input data per ha'!$E$87</f>
        <v>0</v>
      </c>
      <c r="O170" s="27">
        <f>'Forage crops, CF'!N186*'Forage, input data per ha'!$D$87+'Forage crops, CF'!N251*'Forage, input data per ha'!$E$87</f>
        <v>0</v>
      </c>
      <c r="P170" s="27">
        <f>'Forage crops, CF'!O186*'Forage, input data per ha'!$D$87+'Forage crops, CF'!O251*'Forage, input data per ha'!$E$87</f>
        <v>6.8099999999999988E-5</v>
      </c>
      <c r="Q170" s="27"/>
      <c r="R170" s="151">
        <f>'Parameters SH, country spec'!K17</f>
        <v>6.2955748563960065E-2</v>
      </c>
      <c r="S170" s="151">
        <f>'Parameters SH, country spec'!K35</f>
        <v>6.2955748563960065E-2</v>
      </c>
      <c r="T170" s="264">
        <f>'Parameters D24m, country spec'!K13</f>
        <v>6.2955748563960065E-2</v>
      </c>
    </row>
    <row r="171" spans="1:20" x14ac:dyDescent="0.3">
      <c r="A171" s="20" t="s">
        <v>231</v>
      </c>
      <c r="B171" s="15" t="s">
        <v>113</v>
      </c>
      <c r="C171" s="15" t="s">
        <v>232</v>
      </c>
      <c r="D171" s="21" t="s">
        <v>57</v>
      </c>
      <c r="E171" s="21" t="s">
        <v>58</v>
      </c>
      <c r="F171" s="120">
        <f>SUM(G171:Q171)</f>
        <v>3.3195799999999998E-4</v>
      </c>
      <c r="G171" s="93">
        <v>0</v>
      </c>
      <c r="H171" s="93">
        <v>9.9999999999999995E-7</v>
      </c>
      <c r="I171" s="93">
        <v>2.9799999999999998E-4</v>
      </c>
      <c r="J171" s="93">
        <v>2.9799999999999999E-5</v>
      </c>
      <c r="K171" s="93">
        <v>1.5099999999999999E-6</v>
      </c>
      <c r="L171" s="93"/>
      <c r="M171" s="93">
        <v>2.3799999999999999E-7</v>
      </c>
      <c r="N171" s="93">
        <v>1.4100000000000001E-6</v>
      </c>
      <c r="O171" s="93"/>
      <c r="P171" s="93"/>
      <c r="Q171" s="93"/>
      <c r="R171" s="151">
        <f>'Parameters SH, country spec'!K18</f>
        <v>7.4482644340220033E-2</v>
      </c>
      <c r="S171" s="151">
        <f>'Parameters SH, country spec'!K36</f>
        <v>7.4482644340220033E-2</v>
      </c>
      <c r="T171" s="264">
        <f>'Parameters D24m, country spec'!K14</f>
        <v>7.4482644340220033E-2</v>
      </c>
    </row>
    <row r="172" spans="1:20" x14ac:dyDescent="0.3">
      <c r="A172" s="20" t="s">
        <v>233</v>
      </c>
      <c r="B172" s="15" t="s">
        <v>114</v>
      </c>
      <c r="C172" s="15" t="s">
        <v>232</v>
      </c>
      <c r="D172" s="21" t="s">
        <v>57</v>
      </c>
      <c r="E172" s="21" t="s">
        <v>58</v>
      </c>
      <c r="F172" s="120">
        <f t="shared" ref="F172:F181" si="54">SUM(G172:Q172)</f>
        <v>2.4554899999999996E-4</v>
      </c>
      <c r="G172" s="93">
        <v>0</v>
      </c>
      <c r="H172" s="93">
        <v>9.9999999999999995E-7</v>
      </c>
      <c r="I172" s="93">
        <v>2.2000000000000001E-4</v>
      </c>
      <c r="J172" s="93">
        <v>2.1999999999999999E-5</v>
      </c>
      <c r="K172" s="93">
        <v>4.1300000000000001E-7</v>
      </c>
      <c r="L172" s="93"/>
      <c r="M172" s="93">
        <v>7.2600000000000002E-7</v>
      </c>
      <c r="N172" s="93">
        <v>1.4100000000000001E-6</v>
      </c>
      <c r="O172" s="93"/>
      <c r="P172" s="93"/>
      <c r="Q172" s="93"/>
      <c r="R172" s="151">
        <f>'Parameters SH, country spec'!K19</f>
        <v>9.8235935846622865E-2</v>
      </c>
      <c r="S172" s="151">
        <f>'Parameters SH, country spec'!K37</f>
        <v>9.8235935846622865E-2</v>
      </c>
      <c r="T172" s="264">
        <f>'Parameters D24m, country spec'!K15</f>
        <v>9.8235935846622865E-2</v>
      </c>
    </row>
    <row r="173" spans="1:20" x14ac:dyDescent="0.3">
      <c r="A173" s="20" t="s">
        <v>234</v>
      </c>
      <c r="B173" s="15" t="s">
        <v>115</v>
      </c>
      <c r="C173" s="15" t="s">
        <v>232</v>
      </c>
      <c r="D173" s="21" t="s">
        <v>57</v>
      </c>
      <c r="E173" s="21" t="s">
        <v>58</v>
      </c>
      <c r="F173" s="120">
        <f t="shared" si="54"/>
        <v>2.6223000000000002E-4</v>
      </c>
      <c r="G173" s="93">
        <v>0</v>
      </c>
      <c r="H173" s="93">
        <v>9.9999999999999995E-7</v>
      </c>
      <c r="I173" s="93">
        <v>2.31E-4</v>
      </c>
      <c r="J173" s="93">
        <v>2.3099999999999999E-5</v>
      </c>
      <c r="K173" s="93">
        <v>2.1900000000000002E-6</v>
      </c>
      <c r="L173" s="93"/>
      <c r="M173" s="93">
        <v>3.5300000000000001E-6</v>
      </c>
      <c r="N173" s="93">
        <v>1.4100000000000001E-6</v>
      </c>
      <c r="O173" s="93"/>
      <c r="P173" s="93"/>
      <c r="Q173" s="93"/>
      <c r="R173" s="151">
        <f>'Parameters SH, country spec'!K20</f>
        <v>1.1613149284971752E-2</v>
      </c>
      <c r="S173" s="151">
        <f>'Parameters SH, country spec'!K38</f>
        <v>1.1613149284971752E-2</v>
      </c>
      <c r="T173" s="264">
        <f>'Parameters D24m, country spec'!K16</f>
        <v>1.1613149284971752E-2</v>
      </c>
    </row>
    <row r="174" spans="1:20" x14ac:dyDescent="0.3">
      <c r="A174" s="20" t="s">
        <v>235</v>
      </c>
      <c r="B174" s="15" t="s">
        <v>116</v>
      </c>
      <c r="C174" s="15" t="s">
        <v>232</v>
      </c>
      <c r="D174" s="21" t="s">
        <v>57</v>
      </c>
      <c r="E174" s="21" t="s">
        <v>58</v>
      </c>
      <c r="F174" s="120">
        <f t="shared" si="54"/>
        <v>2.3770926E-4</v>
      </c>
      <c r="G174" s="93">
        <v>0</v>
      </c>
      <c r="H174" s="93">
        <v>9.9999999999999995E-7</v>
      </c>
      <c r="I174" s="93">
        <v>2.12E-4</v>
      </c>
      <c r="J174" s="93">
        <v>2.12E-5</v>
      </c>
      <c r="K174" s="93">
        <v>2.0899999999999999E-6</v>
      </c>
      <c r="L174" s="93"/>
      <c r="M174" s="93">
        <v>9.2599999999999999E-9</v>
      </c>
      <c r="N174" s="93">
        <v>1.4100000000000001E-6</v>
      </c>
      <c r="O174" s="93"/>
      <c r="P174" s="93"/>
      <c r="Q174" s="93"/>
      <c r="R174" s="151">
        <f>'Parameters SH, country spec'!K21</f>
        <v>3.0653721191027461E-3</v>
      </c>
      <c r="S174" s="151">
        <f>'Parameters SH, country spec'!K39</f>
        <v>3.0653721191027461E-3</v>
      </c>
      <c r="T174" s="264">
        <f>'Parameters D24m, country spec'!K17</f>
        <v>3.0653721191027461E-3</v>
      </c>
    </row>
    <row r="175" spans="1:20" x14ac:dyDescent="0.3">
      <c r="A175" s="20" t="s">
        <v>236</v>
      </c>
      <c r="B175" s="15" t="s">
        <v>117</v>
      </c>
      <c r="C175" s="15" t="s">
        <v>232</v>
      </c>
      <c r="D175" s="21" t="s">
        <v>57</v>
      </c>
      <c r="E175" s="21" t="s">
        <v>58</v>
      </c>
      <c r="F175" s="120">
        <f t="shared" si="54"/>
        <v>2.9875100000000004E-4</v>
      </c>
      <c r="G175" s="93">
        <v>0</v>
      </c>
      <c r="H175" s="93">
        <v>9.9999999999999995E-7</v>
      </c>
      <c r="I175" s="93">
        <v>2.6800000000000001E-4</v>
      </c>
      <c r="J175" s="93">
        <v>2.6800000000000001E-5</v>
      </c>
      <c r="K175" s="93">
        <v>1.4300000000000001E-6</v>
      </c>
      <c r="L175" s="93"/>
      <c r="M175" s="93">
        <v>1.11E-7</v>
      </c>
      <c r="N175" s="93">
        <v>1.4100000000000001E-6</v>
      </c>
      <c r="O175" s="93"/>
      <c r="P175" s="93"/>
      <c r="Q175" s="93"/>
      <c r="R175" s="151">
        <f>'Parameters SH, country spec'!K22</f>
        <v>6.309442770624088E-2</v>
      </c>
      <c r="S175" s="151">
        <f>'Parameters SH, country spec'!K40</f>
        <v>6.309442770624088E-2</v>
      </c>
      <c r="T175" s="264">
        <f>'Parameters D24m, country spec'!K18</f>
        <v>6.309442770624088E-2</v>
      </c>
    </row>
    <row r="176" spans="1:20" x14ac:dyDescent="0.3">
      <c r="A176" s="20" t="s">
        <v>237</v>
      </c>
      <c r="B176" s="15" t="s">
        <v>118</v>
      </c>
      <c r="C176" s="15" t="s">
        <v>238</v>
      </c>
      <c r="D176" s="21" t="s">
        <v>57</v>
      </c>
      <c r="E176" s="21" t="s">
        <v>58</v>
      </c>
      <c r="F176" s="120">
        <f t="shared" si="54"/>
        <v>1.7489560000000001E-4</v>
      </c>
      <c r="G176" s="93">
        <v>0</v>
      </c>
      <c r="H176" s="93">
        <v>9.9999999999999995E-7</v>
      </c>
      <c r="I176" s="93">
        <v>1.54E-4</v>
      </c>
      <c r="J176" s="93">
        <v>1.5400000000000002E-5</v>
      </c>
      <c r="K176" s="93">
        <v>3.0299999999999998E-6</v>
      </c>
      <c r="L176" s="93"/>
      <c r="M176" s="93">
        <v>5.5600000000000002E-8</v>
      </c>
      <c r="N176" s="93">
        <v>1.4100000000000001E-6</v>
      </c>
      <c r="O176" s="93"/>
      <c r="P176" s="93"/>
      <c r="Q176" s="93"/>
      <c r="R176" s="151">
        <f>'Parameters SH, country spec'!K23</f>
        <v>2.7198099192756071E-3</v>
      </c>
      <c r="S176" s="151">
        <f>'Parameters SH, country spec'!K41</f>
        <v>2.7198099192756071E-3</v>
      </c>
      <c r="T176" s="264">
        <f>'Parameters D24m, country spec'!K19</f>
        <v>2.7198099192756071E-3</v>
      </c>
    </row>
    <row r="177" spans="1:20" x14ac:dyDescent="0.3">
      <c r="A177" s="20" t="s">
        <v>239</v>
      </c>
      <c r="B177" s="15" t="s">
        <v>119</v>
      </c>
      <c r="C177" s="15" t="s">
        <v>238</v>
      </c>
      <c r="D177" s="21" t="s">
        <v>57</v>
      </c>
      <c r="E177" s="21" t="s">
        <v>58</v>
      </c>
      <c r="F177" s="120">
        <f t="shared" si="54"/>
        <v>1.8147199999999999E-4</v>
      </c>
      <c r="G177" s="93">
        <v>0</v>
      </c>
      <c r="H177" s="93">
        <v>9.9999999999999995E-7</v>
      </c>
      <c r="I177" s="93">
        <v>1.5899999999999999E-4</v>
      </c>
      <c r="J177" s="93">
        <v>1.59E-5</v>
      </c>
      <c r="K177" s="93">
        <v>3.5099999999999999E-6</v>
      </c>
      <c r="L177" s="93"/>
      <c r="M177" s="93">
        <v>6.5199999999999996E-7</v>
      </c>
      <c r="N177" s="93">
        <v>1.4100000000000001E-6</v>
      </c>
      <c r="O177" s="93"/>
      <c r="P177" s="93"/>
      <c r="Q177" s="93"/>
      <c r="R177" s="151">
        <f>'Parameters SH, country spec'!K24</f>
        <v>2.67174962512282E-3</v>
      </c>
      <c r="S177" s="151">
        <f>'Parameters SH, country spec'!K42</f>
        <v>2.67174962512282E-3</v>
      </c>
      <c r="T177" s="264">
        <f>'Parameters D24m, country spec'!K20</f>
        <v>2.67174962512282E-3</v>
      </c>
    </row>
    <row r="178" spans="1:20" x14ac:dyDescent="0.3">
      <c r="B178" s="16" t="s">
        <v>120</v>
      </c>
      <c r="C178" s="15" t="s">
        <v>240</v>
      </c>
      <c r="D178" s="21" t="s">
        <v>57</v>
      </c>
      <c r="E178" s="21" t="s">
        <v>58</v>
      </c>
      <c r="F178" s="120">
        <f t="shared" si="54"/>
        <v>1.5426052012212825E-3</v>
      </c>
      <c r="G178" s="27">
        <f>'Off-farm feed'!$F$77</f>
        <v>3.5160526410462907E-4</v>
      </c>
      <c r="H178" s="27">
        <f>'Off-farm feed'!$G$77</f>
        <v>5.3103448275862083E-7</v>
      </c>
      <c r="I178" s="27">
        <f>'Off-farm feed'!$H$77</f>
        <v>1.0756102664162708E-3</v>
      </c>
      <c r="J178" s="27">
        <f>'Off-farm feed'!$I$77</f>
        <v>1.0756102664162706E-4</v>
      </c>
      <c r="K178" s="27">
        <f>'Off-farm feed'!$J$77</f>
        <v>6.6339607025480414E-7</v>
      </c>
      <c r="L178" s="27"/>
      <c r="M178" s="27">
        <f>'Off-farm feed'!$L$77</f>
        <v>7.9511067188965511E-9</v>
      </c>
      <c r="N178" s="27">
        <f>'Off-farm feed'!$M$77</f>
        <v>1.2789681892721844E-6</v>
      </c>
      <c r="O178" s="27"/>
      <c r="P178" s="27">
        <f>'Off-farm feed'!$O$77</f>
        <v>4.8776996151562902E-6</v>
      </c>
      <c r="Q178" s="27">
        <f>'Off-farm feed'!$P$77</f>
        <v>4.6959459459459463E-7</v>
      </c>
      <c r="R178" s="151">
        <f>'Parameters SH, country spec'!K25</f>
        <v>7.8768273776592904E-3</v>
      </c>
      <c r="S178" s="151">
        <f>'Parameters SH, country spec'!K43</f>
        <v>7.8768273776592904E-3</v>
      </c>
      <c r="T178" s="264">
        <f>'Parameters D24m, country spec'!K21</f>
        <v>7.8768273776592904E-3</v>
      </c>
    </row>
    <row r="179" spans="1:20" x14ac:dyDescent="0.3">
      <c r="B179" s="16" t="s">
        <v>241</v>
      </c>
      <c r="C179" s="15" t="s">
        <v>240</v>
      </c>
      <c r="D179" s="21" t="s">
        <v>57</v>
      </c>
      <c r="E179" s="21" t="s">
        <v>58</v>
      </c>
      <c r="F179" s="120">
        <f t="shared" si="54"/>
        <v>1.8866346644602505E-4</v>
      </c>
      <c r="G179" s="27">
        <f>'Off-farm feed'!$F$26</f>
        <v>1.6332109719061441E-5</v>
      </c>
      <c r="H179" s="27">
        <f>'Off-farm feed'!$G$26</f>
        <v>8.7195121951219526E-7</v>
      </c>
      <c r="I179" s="27">
        <f>'Off-farm feed'!$H$26</f>
        <v>1.3333449845358202E-4</v>
      </c>
      <c r="J179" s="27">
        <f>'Off-farm feed'!$I$26</f>
        <v>1.3333449845358203E-5</v>
      </c>
      <c r="K179" s="27">
        <f>'Off-farm feed'!$J$26</f>
        <v>1.1576736579983931E-6</v>
      </c>
      <c r="L179" s="27"/>
      <c r="M179" s="27">
        <f>'Off-farm feed'!$L$26</f>
        <v>7.3437786087804866E-9</v>
      </c>
      <c r="N179" s="27">
        <f>'Off-farm feed'!$M$26</f>
        <v>1.1195281639512197E-6</v>
      </c>
      <c r="O179" s="27"/>
      <c r="P179" s="27">
        <f>'Off-farm feed'!$O$26</f>
        <v>1.3419073770114991E-5</v>
      </c>
      <c r="Q179" s="27">
        <f>'Off-farm feed'!$P$26</f>
        <v>9.087837837837838E-6</v>
      </c>
      <c r="R179" s="151">
        <f>'Parameters SH, country spec'!K26</f>
        <v>6.7333865050956468E-2</v>
      </c>
      <c r="S179" s="151">
        <f>'Parameters SH, country spec'!K44</f>
        <v>6.7333865050956468E-2</v>
      </c>
      <c r="T179" s="264">
        <f>'Parameters D24m, country spec'!K22</f>
        <v>6.7333865050956468E-2</v>
      </c>
    </row>
    <row r="180" spans="1:20" x14ac:dyDescent="0.3">
      <c r="B180" s="15" t="s">
        <v>122</v>
      </c>
      <c r="C180" s="15" t="s">
        <v>242</v>
      </c>
      <c r="D180" s="21" t="s">
        <v>57</v>
      </c>
      <c r="E180" s="21" t="s">
        <v>58</v>
      </c>
      <c r="F180" s="120"/>
      <c r="G180" s="93"/>
      <c r="H180" s="93"/>
      <c r="I180" s="93"/>
      <c r="J180" s="93"/>
      <c r="K180" s="93"/>
      <c r="L180" s="93"/>
      <c r="M180" s="93"/>
      <c r="N180" s="93"/>
      <c r="O180" s="93"/>
      <c r="P180" s="93"/>
      <c r="Q180" s="93"/>
      <c r="R180" s="151">
        <f>'Parameters SH, country spec'!K27</f>
        <v>6.255642502619195E-2</v>
      </c>
      <c r="S180" s="151">
        <f>'Parameters SH, country spec'!K45</f>
        <v>6.255642502619195E-2</v>
      </c>
      <c r="T180" s="264">
        <f>'Parameters D24m, country spec'!K23</f>
        <v>6.255642502619195E-2</v>
      </c>
    </row>
    <row r="181" spans="1:20" x14ac:dyDescent="0.3">
      <c r="A181" s="75"/>
      <c r="B181" s="15" t="s">
        <v>243</v>
      </c>
      <c r="C181" s="76" t="s">
        <v>244</v>
      </c>
      <c r="D181" s="21" t="s">
        <v>57</v>
      </c>
      <c r="E181" s="21" t="s">
        <v>58</v>
      </c>
      <c r="F181" s="120">
        <f t="shared" si="54"/>
        <v>9.7285158115124686E-5</v>
      </c>
      <c r="G181" s="74">
        <f>SUMPRODUCT(G171:G179,$R171:$R179)</f>
        <v>3.8692380422491656E-6</v>
      </c>
      <c r="H181" s="74">
        <f t="shared" ref="H181:P181" si="55">SUMPRODUCT(H171:H179,$R171:$R179)</f>
        <v>3.1877780153948202E-7</v>
      </c>
      <c r="I181" s="74">
        <f t="shared" si="55"/>
        <v>8.2343519336665924E-5</v>
      </c>
      <c r="J181" s="74">
        <f t="shared" si="55"/>
        <v>8.2343519336665941E-6</v>
      </c>
      <c r="K181" s="74">
        <f t="shared" si="55"/>
        <v>3.7589965417003661E-7</v>
      </c>
      <c r="L181" s="74">
        <f t="shared" si="55"/>
        <v>0</v>
      </c>
      <c r="M181" s="74">
        <f t="shared" si="55"/>
        <v>1.3952275925477208E-7</v>
      </c>
      <c r="N181" s="74">
        <f t="shared" si="55"/>
        <v>4.4625152522724591E-7</v>
      </c>
      <c r="O181" s="74">
        <f t="shared" si="55"/>
        <v>0</v>
      </c>
      <c r="P181" s="74">
        <f t="shared" si="55"/>
        <v>9.4197890021441374E-7</v>
      </c>
      <c r="Q181" s="74">
        <f>SUMPRODUCT(Q171:Q179,$R171:$R179)</f>
        <v>6.1561816213705248E-7</v>
      </c>
      <c r="R181" s="151">
        <f>'Parameters SH, country spec'!K28</f>
        <v>3.220327469601051E-2</v>
      </c>
      <c r="S181" s="151">
        <f>'Parameters SH, country spec'!K46</f>
        <v>3.220327469601051E-2</v>
      </c>
      <c r="T181" s="264">
        <f>'Parameters D24m, country spec'!K24</f>
        <v>3.220327469601051E-2</v>
      </c>
    </row>
    <row r="182" spans="1:20" x14ac:dyDescent="0.3">
      <c r="A182" s="328"/>
      <c r="B182" s="329" t="s">
        <v>616</v>
      </c>
      <c r="C182" s="330"/>
      <c r="D182" s="331"/>
      <c r="E182" s="331"/>
      <c r="F182" s="334">
        <f>SUMPRODUCT(F168:F170,R168:R170)+SUMPRODUCT(F171:F181,R171:R181)/0.87</f>
        <v>2.5609061737853008E-4</v>
      </c>
      <c r="G182" s="334">
        <f>SUMPRODUCT(G168:G170,R168:R170)+SUMPRODUCT(G171:G181,R171:R181)/0.87</f>
        <v>3.0492781943707659E-5</v>
      </c>
      <c r="H182" s="334">
        <f>SUMPRODUCT(H168:H170,R168:R170)+SUMPRODUCT(H171:H181,R171:R181)/0.87</f>
        <v>1.0097720797008568E-6</v>
      </c>
      <c r="I182" s="334">
        <f>SUMPRODUCT(I168:I170,R168:R170)+SUMPRODUCT(I171:I181,R171:R181)/0.87</f>
        <v>1.9197371256245214E-4</v>
      </c>
      <c r="J182" s="334">
        <f>SUMPRODUCT(J168:J170,R168:R170)+SUMPRODUCT(J171:J181,R171:R181)/0.87</f>
        <v>1.9197371256245214E-5</v>
      </c>
      <c r="K182" s="334">
        <f>SUMPRODUCT(K168:K170,R168:R170)+SUMPRODUCT(K171:K181,R171:R181)/0.87</f>
        <v>7.7634142801375975E-7</v>
      </c>
      <c r="L182" s="334">
        <f>SUMPRODUCT(L168:L170,R168:R170)+SUMPRODUCT(L171:L181,R171:R181)/0.87</f>
        <v>0</v>
      </c>
      <c r="M182" s="334">
        <f>SUMPRODUCT(M168:M170,R168:R170)+SUMPRODUCT(M171:M181,R171:R181)/0.87</f>
        <v>2.3926201023174617E-7</v>
      </c>
      <c r="N182" s="334">
        <f>SUMPRODUCT(N168:N170,R168:R170)+SUMPRODUCT(N171:N181,R171:R181)/0.87</f>
        <v>5.294509030777615E-7</v>
      </c>
      <c r="O182" s="334">
        <f>SUMPRODUCT(O168:O170,R168:R170)+SUMPRODUCT(O171:O181,R171:R181)/0.87</f>
        <v>0</v>
      </c>
      <c r="P182" s="334">
        <f>SUMPRODUCT(P168:P170,R168:R170)+SUMPRODUCT(P171:P181,R171:R181)/0.87</f>
        <v>1.1141530846916811E-5</v>
      </c>
      <c r="Q182" s="334">
        <f>SUMPRODUCT(Q168:Q170,R168:R170)+SUMPRODUCT(Q171:Q181,R171:R181)/0.87</f>
        <v>7.3039434818414386E-7</v>
      </c>
      <c r="R182" s="335"/>
      <c r="S182" s="336"/>
      <c r="T182" s="336"/>
    </row>
    <row r="183" spans="1:20" x14ac:dyDescent="0.3">
      <c r="A183" s="150"/>
      <c r="B183" s="23" t="s">
        <v>457</v>
      </c>
      <c r="C183" s="24"/>
      <c r="D183" s="94"/>
      <c r="E183" s="94"/>
      <c r="F183" s="28">
        <f>SUMPRODUCT(F168:F170,S168:S170)+SUMPRODUCT(F171:F181,S171:S181)/0.87</f>
        <v>2.5609061737853008E-4</v>
      </c>
      <c r="G183" s="28">
        <f>SUMPRODUCT(G168:G170,S168:S170)+SUMPRODUCT(G171:G181,S171:S181)/0.87</f>
        <v>3.0492781943707659E-5</v>
      </c>
      <c r="H183" s="28">
        <f>SUMPRODUCT(H168:H170,S168:S170)+SUMPRODUCT(H171:H181,S171:S181)/0.87</f>
        <v>1.0097720797008568E-6</v>
      </c>
      <c r="I183" s="28">
        <f>SUMPRODUCT(I168:I170,S168:S170)+SUMPRODUCT(I171:I181,S171:S181)/0.87</f>
        <v>1.9197371256245214E-4</v>
      </c>
      <c r="J183" s="28">
        <f>SUMPRODUCT(J168:J170,S168:S170)+SUMPRODUCT(J171:J181,S171:S181)/0.87</f>
        <v>1.9197371256245214E-5</v>
      </c>
      <c r="K183" s="28">
        <f>SUMPRODUCT(K168:K170,S168:S170)+SUMPRODUCT(K171:K181,S171:S181)/0.87</f>
        <v>7.7634142801375975E-7</v>
      </c>
      <c r="L183" s="28">
        <f>SUMPRODUCT(L168:L170,S168:S170)+SUMPRODUCT(L171:L181,S171:S181)/0.87</f>
        <v>0</v>
      </c>
      <c r="M183" s="28">
        <f>SUMPRODUCT(M168:M170,S168:S170)+SUMPRODUCT(M171:M181,S171:S181)/0.87</f>
        <v>2.3926201023174617E-7</v>
      </c>
      <c r="N183" s="28">
        <f>SUMPRODUCT(N168:N170,S168:S170)+SUMPRODUCT(N171:N181,S171:S181)/0.87</f>
        <v>5.294509030777615E-7</v>
      </c>
      <c r="O183" s="28">
        <f>SUMPRODUCT(O168:O170,S168:S170)+SUMPRODUCT(O171:O181,S171:S181)/0.87</f>
        <v>0</v>
      </c>
      <c r="P183" s="28">
        <f>SUMPRODUCT(P168:P170,S168:S170)+SUMPRODUCT(P171:P181,S171:S181)/0.87</f>
        <v>1.1141530846916811E-5</v>
      </c>
      <c r="Q183" s="28">
        <f>SUMPRODUCT(Q168:Q170,S168:S170)+SUMPRODUCT(Q171:Q181,S171:S181)/0.87</f>
        <v>7.3039434818414386E-7</v>
      </c>
      <c r="R183" s="152"/>
      <c r="S183" s="152"/>
      <c r="T183" s="152"/>
    </row>
    <row r="184" spans="1:20" x14ac:dyDescent="0.3">
      <c r="A184" s="328"/>
      <c r="B184" s="329" t="s">
        <v>641</v>
      </c>
      <c r="C184" s="330"/>
      <c r="D184" s="331"/>
      <c r="E184" s="331"/>
      <c r="F184" s="332">
        <f>SUMPRODUCT(F168:F170,$T168:$T170)+SUMPRODUCT(F171:F181,$T171:$T181)/0.87</f>
        <v>2.5609061737853008E-4</v>
      </c>
      <c r="G184" s="332">
        <f t="shared" ref="G184:O184" si="56">SUMPRODUCT(G168:G170,$T168:$T170)+SUMPRODUCT(G171:G181,$T171:$T181)/0.87</f>
        <v>3.0492781943707659E-5</v>
      </c>
      <c r="H184" s="332">
        <f t="shared" si="56"/>
        <v>1.0097720797008568E-6</v>
      </c>
      <c r="I184" s="332">
        <f t="shared" si="56"/>
        <v>1.9197371256245214E-4</v>
      </c>
      <c r="J184" s="332">
        <f t="shared" si="56"/>
        <v>1.9197371256245214E-5</v>
      </c>
      <c r="K184" s="332">
        <f t="shared" si="56"/>
        <v>7.7634142801375975E-7</v>
      </c>
      <c r="L184" s="332">
        <f t="shared" si="56"/>
        <v>0</v>
      </c>
      <c r="M184" s="332">
        <f t="shared" si="56"/>
        <v>2.3926201023174617E-7</v>
      </c>
      <c r="N184" s="332">
        <f t="shared" si="56"/>
        <v>5.294509030777615E-7</v>
      </c>
      <c r="O184" s="332">
        <f t="shared" si="56"/>
        <v>0</v>
      </c>
      <c r="P184" s="332">
        <f>SUMPRODUCT(P168:P170,$T168:$T170)+SUMPRODUCT(P171:P181,$T171:$T181)/0.87</f>
        <v>1.1141530846916811E-5</v>
      </c>
      <c r="Q184" s="332">
        <f t="shared" ref="Q184" si="57">SUMPRODUCT(Q168:Q170,$T168:$T170)+SUMPRODUCT(Q171:Q181,$T171:$T181)/0.87</f>
        <v>7.3039434818414386E-7</v>
      </c>
      <c r="R184" s="335"/>
      <c r="S184" s="335"/>
      <c r="T184" s="335"/>
    </row>
    <row r="185" spans="1:20" x14ac:dyDescent="0.3">
      <c r="A185" s="150"/>
      <c r="B185" s="23" t="s">
        <v>642</v>
      </c>
      <c r="C185" s="24"/>
      <c r="D185" s="94"/>
      <c r="E185" s="94"/>
      <c r="F185" s="327">
        <f>SUMPRODUCT(F168:F170,$U168:$U170)+SUMPRODUCT(F171:F181,$U171:$U181)/0.87</f>
        <v>0</v>
      </c>
      <c r="G185" s="327">
        <f t="shared" ref="G185:K185" si="58">SUMPRODUCT(G168:G170,$U168:$U170)+SUMPRODUCT(G171:G181,$U171:$U181)/0.87</f>
        <v>0</v>
      </c>
      <c r="H185" s="327">
        <f t="shared" si="58"/>
        <v>0</v>
      </c>
      <c r="I185" s="327">
        <f t="shared" si="58"/>
        <v>0</v>
      </c>
      <c r="J185" s="327">
        <f t="shared" si="58"/>
        <v>0</v>
      </c>
      <c r="K185" s="327">
        <f t="shared" si="58"/>
        <v>0</v>
      </c>
      <c r="L185" s="327">
        <f>SUMPRODUCT(L168:L170,$U168:$U170)+SUMPRODUCT(L171:L181,$U171:$U181)/0.87</f>
        <v>0</v>
      </c>
      <c r="M185" s="327">
        <f t="shared" ref="M185:Q185" si="59">SUMPRODUCT(M168:M170,$U168:$U170)+SUMPRODUCT(M171:M181,$U171:$U181)/0.87</f>
        <v>0</v>
      </c>
      <c r="N185" s="327">
        <f t="shared" si="59"/>
        <v>0</v>
      </c>
      <c r="O185" s="327">
        <f t="shared" si="59"/>
        <v>0</v>
      </c>
      <c r="P185" s="327">
        <f t="shared" si="59"/>
        <v>0</v>
      </c>
      <c r="Q185" s="327">
        <f t="shared" si="59"/>
        <v>0</v>
      </c>
      <c r="R185" s="152"/>
      <c r="S185" s="152"/>
      <c r="T185" s="152"/>
    </row>
    <row r="186" spans="1:20" x14ac:dyDescent="0.3">
      <c r="B186" s="16" t="s">
        <v>299</v>
      </c>
      <c r="C186" s="15" t="s">
        <v>302</v>
      </c>
      <c r="D186" s="21" t="s">
        <v>59</v>
      </c>
      <c r="E186" s="21" t="s">
        <v>60</v>
      </c>
      <c r="F186" s="120">
        <f>SUM(G186:Q186)</f>
        <v>5.0799301372574892E-5</v>
      </c>
      <c r="G186" s="27">
        <f>'Forage crops, CF'!F61</f>
        <v>0</v>
      </c>
      <c r="H186" s="27">
        <f>'Forage crops, CF'!G61</f>
        <v>1.1000000000000001E-6</v>
      </c>
      <c r="I186" s="27">
        <f>'Forage crops, CF'!H61</f>
        <v>4.4374098534637324E-5</v>
      </c>
      <c r="J186" s="27">
        <f>'Forage crops, CF'!I61</f>
        <v>4.4374098534637329E-6</v>
      </c>
      <c r="K186" s="27">
        <f>'Forage crops, CF'!J61</f>
        <v>8.8779298447383559E-7</v>
      </c>
      <c r="L186" s="27">
        <f>'Forage crops, CF'!K61</f>
        <v>0</v>
      </c>
      <c r="M186" s="27">
        <f>'Forage crops, CF'!L61</f>
        <v>0</v>
      </c>
      <c r="N186" s="27">
        <f>'Forage crops, CF'!M61</f>
        <v>0</v>
      </c>
      <c r="O186" s="27">
        <f>'Forage crops, CF'!N61</f>
        <v>0</v>
      </c>
      <c r="P186" s="27">
        <f>'Forage crops, CF'!O61</f>
        <v>0</v>
      </c>
      <c r="Q186" s="27">
        <f>'Forage crops, CF'!P61</f>
        <v>0</v>
      </c>
      <c r="R186" s="151">
        <f>'Parameters SH, country spec'!L15</f>
        <v>0.51738911290322576</v>
      </c>
      <c r="S186" s="151">
        <f>'Parameters SH, country spec'!L33</f>
        <v>0.2708957255649333</v>
      </c>
      <c r="T186" s="264">
        <f>'Parameters D24m, country spec'!L11</f>
        <v>0.35361702127659567</v>
      </c>
    </row>
    <row r="187" spans="1:20" x14ac:dyDescent="0.3">
      <c r="B187" s="16" t="s">
        <v>300</v>
      </c>
      <c r="C187" s="15" t="s">
        <v>302</v>
      </c>
      <c r="D187" s="21" t="s">
        <v>59</v>
      </c>
      <c r="E187" s="21" t="s">
        <v>60</v>
      </c>
      <c r="F187" s="120">
        <f>SUM(G187:Q187)</f>
        <v>3.0764156365863278E-4</v>
      </c>
      <c r="G187" s="27">
        <f>'Forage crops, CF'!F126</f>
        <v>4.2215528572113299E-5</v>
      </c>
      <c r="H187" s="27">
        <f>'Forage crops, CF'!G126</f>
        <v>1.1000000000000001E-6</v>
      </c>
      <c r="I187" s="27">
        <f>'Forage crops, CF'!H126</f>
        <v>1.7791881525427124E-4</v>
      </c>
      <c r="J187" s="27">
        <f>'Forage crops, CF'!I126</f>
        <v>1.7791881525427124E-5</v>
      </c>
      <c r="K187" s="27">
        <f>'Forage crops, CF'!J126</f>
        <v>5.1533830682117992E-7</v>
      </c>
      <c r="L187" s="27"/>
      <c r="M187" s="27">
        <f>'Forage crops, CF'!L126</f>
        <v>0</v>
      </c>
      <c r="N187" s="27">
        <f>'Forage crops, CF'!M126</f>
        <v>0</v>
      </c>
      <c r="O187" s="27">
        <f>'Forage crops, CF'!N126</f>
        <v>0</v>
      </c>
      <c r="P187" s="27">
        <f>'Forage crops, CF'!O126</f>
        <v>6.8099999999999988E-5</v>
      </c>
      <c r="Q187" s="27"/>
      <c r="R187" s="151">
        <f>'Parameters SH, country spec'!L16</f>
        <v>0</v>
      </c>
      <c r="S187" s="151">
        <f>'Parameters SH, country spec'!L34</f>
        <v>0</v>
      </c>
      <c r="T187" s="264">
        <f>'Parameters D24m, country spec'!L12</f>
        <v>0</v>
      </c>
    </row>
    <row r="188" spans="1:20" x14ac:dyDescent="0.3">
      <c r="B188" s="16" t="s">
        <v>301</v>
      </c>
      <c r="C188" s="15" t="s">
        <v>302</v>
      </c>
      <c r="D188" s="21" t="s">
        <v>59</v>
      </c>
      <c r="E188" s="21" t="s">
        <v>60</v>
      </c>
      <c r="F188" s="120">
        <f>SUM(G188:Q188)</f>
        <v>3.3871358736648139E-4</v>
      </c>
      <c r="G188" s="27">
        <f>'Forage crops, CF'!F191*'Forage, input data per ha'!$D$88+'Forage crops, CF'!F256*'Forage, input data per ha'!$E$88</f>
        <v>4.5687682544244585E-5</v>
      </c>
      <c r="H188" s="27">
        <f>'Forage crops, CF'!G191*'Forage, input data per ha'!$D$88+'Forage crops, CF'!G256*'Forage, input data per ha'!$E$88</f>
        <v>1.1000000000000001E-6</v>
      </c>
      <c r="I188" s="27">
        <f>'Forage crops, CF'!H191*'Forage, input data per ha'!$D$88+'Forage crops, CF'!H256*'Forage, input data per ha'!$E$88</f>
        <v>2.0295386273926441E-4</v>
      </c>
      <c r="J188" s="27">
        <f>'Forage crops, CF'!I191*'Forage, input data per ha'!$D$88+'Forage crops, CF'!I256*'Forage, input data per ha'!$E$88</f>
        <v>2.0295386273926444E-5</v>
      </c>
      <c r="K188" s="27">
        <f>'Forage crops, CF'!J191*'Forage, input data per ha'!$D$88+'Forage crops, CF'!J256*'Forage, input data per ha'!$E$88</f>
        <v>5.7665580904598057E-7</v>
      </c>
      <c r="L188" s="27"/>
      <c r="M188" s="27">
        <f>'Forage crops, CF'!L191*'Forage, input data per ha'!$D$88+'Forage crops, CF'!L256*'Forage, input data per ha'!$E$88</f>
        <v>0</v>
      </c>
      <c r="N188" s="27">
        <f>'Forage crops, CF'!M191*'Forage, input data per ha'!$D$88+'Forage crops, CF'!M256*'Forage, input data per ha'!$E$88</f>
        <v>0</v>
      </c>
      <c r="O188" s="27">
        <f>'Forage crops, CF'!N191*'Forage, input data per ha'!$D$88+'Forage crops, CF'!N256*'Forage, input data per ha'!$E$88</f>
        <v>0</v>
      </c>
      <c r="P188" s="27">
        <f>'Forage crops, CF'!O191*'Forage, input data per ha'!$D$88+'Forage crops, CF'!O256*'Forage, input data per ha'!$E$88</f>
        <v>6.8099999999999988E-5</v>
      </c>
      <c r="Q188" s="27"/>
      <c r="R188" s="151">
        <f>'Parameters SH, country spec'!L17</f>
        <v>0.48261088709677419</v>
      </c>
      <c r="S188" s="151">
        <f>'Parameters SH, country spec'!L35</f>
        <v>0.72910427443506676</v>
      </c>
      <c r="T188" s="264">
        <f>'Parameters D24m, country spec'!L13</f>
        <v>0.60723404255319147</v>
      </c>
    </row>
    <row r="189" spans="1:20" x14ac:dyDescent="0.3">
      <c r="A189" s="20" t="s">
        <v>231</v>
      </c>
      <c r="B189" s="15" t="s">
        <v>113</v>
      </c>
      <c r="C189" s="15" t="s">
        <v>232</v>
      </c>
      <c r="D189" s="21" t="s">
        <v>59</v>
      </c>
      <c r="E189" s="21" t="s">
        <v>60</v>
      </c>
      <c r="F189" s="120">
        <f>SUM(G189:Q189)</f>
        <v>8.4192999999999996E-4</v>
      </c>
      <c r="G189" s="93">
        <v>1.3999999999999999E-4</v>
      </c>
      <c r="H189" s="93">
        <v>9.9999999999999995E-7</v>
      </c>
      <c r="I189" s="93">
        <v>6.3500000000000004E-4</v>
      </c>
      <c r="J189" s="93">
        <v>6.3499999999999999E-5</v>
      </c>
      <c r="K189" s="93">
        <v>1.1000000000000001E-6</v>
      </c>
      <c r="L189" s="93"/>
      <c r="M189" s="93">
        <v>0</v>
      </c>
      <c r="N189" s="93">
        <v>1.33E-6</v>
      </c>
      <c r="O189" s="93"/>
      <c r="P189" s="93"/>
      <c r="Q189" s="93"/>
      <c r="R189" s="151">
        <f>'Parameters SH, country spec'!L18</f>
        <v>0</v>
      </c>
      <c r="S189" s="151">
        <f>'Parameters SH, country spec'!L36</f>
        <v>0</v>
      </c>
      <c r="T189" s="264">
        <f>'Parameters D24m, country spec'!L14</f>
        <v>3.9148936170212763E-2</v>
      </c>
    </row>
    <row r="190" spans="1:20" x14ac:dyDescent="0.3">
      <c r="A190" s="20" t="s">
        <v>233</v>
      </c>
      <c r="B190" s="15" t="s">
        <v>114</v>
      </c>
      <c r="C190" s="15" t="s">
        <v>232</v>
      </c>
      <c r="D190" s="21" t="s">
        <v>59</v>
      </c>
      <c r="E190" s="21" t="s">
        <v>60</v>
      </c>
      <c r="F190" s="120">
        <f t="shared" ref="F190:F199" si="60">SUM(G190:Q190)</f>
        <v>7.6903400000000004E-4</v>
      </c>
      <c r="G190" s="93">
        <v>1.2999999999999999E-4</v>
      </c>
      <c r="H190" s="93">
        <v>9.9999999999999995E-7</v>
      </c>
      <c r="I190" s="93">
        <v>5.7799999999999995E-4</v>
      </c>
      <c r="J190" s="93">
        <v>5.7800000000000002E-5</v>
      </c>
      <c r="K190" s="93">
        <v>7.5000000000000002E-7</v>
      </c>
      <c r="L190" s="93"/>
      <c r="M190" s="93">
        <v>1.54E-7</v>
      </c>
      <c r="N190" s="93">
        <v>1.33E-6</v>
      </c>
      <c r="O190" s="93"/>
      <c r="P190" s="93"/>
      <c r="Q190" s="93"/>
      <c r="R190" s="151">
        <f>'Parameters SH, country spec'!L19</f>
        <v>3.1697869732220848E-4</v>
      </c>
      <c r="S190" s="151">
        <f>'Parameters SH, country spec'!L37</f>
        <v>0</v>
      </c>
      <c r="T190" s="264">
        <f>'Parameters D24m, country spec'!L15</f>
        <v>3.1697869732220848E-4</v>
      </c>
    </row>
    <row r="191" spans="1:20" x14ac:dyDescent="0.3">
      <c r="A191" s="20" t="s">
        <v>234</v>
      </c>
      <c r="B191" s="15" t="s">
        <v>115</v>
      </c>
      <c r="C191" s="15" t="s">
        <v>232</v>
      </c>
      <c r="D191" s="21" t="s">
        <v>59</v>
      </c>
      <c r="E191" s="21" t="s">
        <v>60</v>
      </c>
      <c r="F191" s="120">
        <f t="shared" si="60"/>
        <v>7.4177999999999994E-4</v>
      </c>
      <c r="G191" s="93">
        <v>1.2E-4</v>
      </c>
      <c r="H191" s="93">
        <v>9.9999999999999995E-7</v>
      </c>
      <c r="I191" s="93">
        <v>5.62E-4</v>
      </c>
      <c r="J191" s="93">
        <v>5.6199999999999997E-5</v>
      </c>
      <c r="K191" s="93">
        <v>1.2500000000000001E-6</v>
      </c>
      <c r="L191" s="93"/>
      <c r="M191" s="93">
        <v>0</v>
      </c>
      <c r="N191" s="93">
        <v>1.33E-6</v>
      </c>
      <c r="O191" s="93"/>
      <c r="P191" s="93"/>
      <c r="Q191" s="93"/>
      <c r="R191" s="151">
        <f>'Parameters SH, country spec'!L20</f>
        <v>0</v>
      </c>
      <c r="S191" s="151">
        <f>'Parameters SH, country spec'!L38</f>
        <v>0</v>
      </c>
      <c r="T191" s="264">
        <f>'Parameters D24m, country spec'!L16</f>
        <v>0</v>
      </c>
    </row>
    <row r="192" spans="1:20" x14ac:dyDescent="0.3">
      <c r="A192" s="20" t="s">
        <v>235</v>
      </c>
      <c r="B192" s="15" t="s">
        <v>116</v>
      </c>
      <c r="C192" s="15" t="s">
        <v>232</v>
      </c>
      <c r="D192" s="21" t="s">
        <v>59</v>
      </c>
      <c r="E192" s="21" t="s">
        <v>60</v>
      </c>
      <c r="F192" s="120">
        <f t="shared" si="60"/>
        <v>6.6755700000000005E-4</v>
      </c>
      <c r="G192" s="93">
        <v>1.1E-4</v>
      </c>
      <c r="H192" s="93">
        <v>9.9999999999999995E-7</v>
      </c>
      <c r="I192" s="93">
        <v>5.04E-4</v>
      </c>
      <c r="J192" s="93">
        <v>5.0399999999999999E-5</v>
      </c>
      <c r="K192" s="93">
        <v>8.2699999999999998E-7</v>
      </c>
      <c r="L192" s="93"/>
      <c r="M192" s="93">
        <v>0</v>
      </c>
      <c r="N192" s="93">
        <v>1.33E-6</v>
      </c>
      <c r="O192" s="93"/>
      <c r="P192" s="93"/>
      <c r="Q192" s="93"/>
      <c r="R192" s="151">
        <f>'Parameters SH, country spec'!L21</f>
        <v>4.9002790875207444E-6</v>
      </c>
      <c r="S192" s="151">
        <f>'Parameters SH, country spec'!L39</f>
        <v>0</v>
      </c>
      <c r="T192" s="264">
        <f>'Parameters D24m, country spec'!L17</f>
        <v>4.9002790875207444E-6</v>
      </c>
    </row>
    <row r="193" spans="1:20" x14ac:dyDescent="0.3">
      <c r="A193" s="20" t="s">
        <v>236</v>
      </c>
      <c r="B193" s="15" t="s">
        <v>117</v>
      </c>
      <c r="C193" s="15" t="s">
        <v>232</v>
      </c>
      <c r="D193" s="21" t="s">
        <v>59</v>
      </c>
      <c r="E193" s="21" t="s">
        <v>60</v>
      </c>
      <c r="F193" s="120">
        <f t="shared" si="60"/>
        <v>9.2211918000000004E-4</v>
      </c>
      <c r="G193" s="93">
        <v>1.6000000000000001E-4</v>
      </c>
      <c r="H193" s="93">
        <v>9.9999999999999995E-7</v>
      </c>
      <c r="I193" s="93">
        <v>6.8999999999999997E-4</v>
      </c>
      <c r="J193" s="93">
        <v>6.8999999999999997E-5</v>
      </c>
      <c r="K193" s="93">
        <v>7.8299999999999996E-7</v>
      </c>
      <c r="L193" s="93"/>
      <c r="M193" s="93">
        <v>6.1799999999999998E-9</v>
      </c>
      <c r="N193" s="93">
        <v>1.33E-6</v>
      </c>
      <c r="O193" s="93"/>
      <c r="P193" s="93"/>
      <c r="Q193" s="93"/>
      <c r="R193" s="151">
        <f>'Parameters SH, country spec'!L22</f>
        <v>0</v>
      </c>
      <c r="S193" s="151">
        <f>'Parameters SH, country spec'!L40</f>
        <v>0</v>
      </c>
      <c r="T193" s="264">
        <f>'Parameters D24m, country spec'!L18</f>
        <v>0</v>
      </c>
    </row>
    <row r="194" spans="1:20" x14ac:dyDescent="0.3">
      <c r="A194" s="20" t="s">
        <v>237</v>
      </c>
      <c r="B194" s="15" t="s">
        <v>118</v>
      </c>
      <c r="C194" s="15" t="s">
        <v>238</v>
      </c>
      <c r="D194" s="21" t="s">
        <v>59</v>
      </c>
      <c r="E194" s="21" t="s">
        <v>60</v>
      </c>
      <c r="F194" s="120">
        <f t="shared" si="60"/>
        <v>2.0736308999999998E-4</v>
      </c>
      <c r="G194" s="93">
        <v>0</v>
      </c>
      <c r="H194" s="93">
        <v>9.9999999999999995E-7</v>
      </c>
      <c r="I194" s="93">
        <v>1.85E-4</v>
      </c>
      <c r="J194" s="93">
        <v>1.8499999999999999E-5</v>
      </c>
      <c r="K194" s="93">
        <v>1.53E-6</v>
      </c>
      <c r="L194" s="93"/>
      <c r="M194" s="93">
        <v>3.0899999999999999E-9</v>
      </c>
      <c r="N194" s="93">
        <v>1.33E-6</v>
      </c>
      <c r="O194" s="93"/>
      <c r="P194" s="93"/>
      <c r="Q194" s="93"/>
      <c r="R194" s="151">
        <f>'Parameters SH, country spec'!L23</f>
        <v>1.4784950076098704E-3</v>
      </c>
      <c r="S194" s="151">
        <f>'Parameters SH, country spec'!L41</f>
        <v>0</v>
      </c>
      <c r="T194" s="264">
        <f>'Parameters D24m, country spec'!L19</f>
        <v>1.4784950076098704E-3</v>
      </c>
    </row>
    <row r="195" spans="1:20" x14ac:dyDescent="0.3">
      <c r="A195" s="20" t="s">
        <v>239</v>
      </c>
      <c r="B195" s="15" t="s">
        <v>119</v>
      </c>
      <c r="C195" s="15" t="s">
        <v>238</v>
      </c>
      <c r="D195" s="21" t="s">
        <v>59</v>
      </c>
      <c r="E195" s="21" t="s">
        <v>60</v>
      </c>
      <c r="F195" s="120">
        <f t="shared" si="60"/>
        <v>2.3902308999999998E-4</v>
      </c>
      <c r="G195" s="93">
        <v>6.7000000000000002E-6</v>
      </c>
      <c r="H195" s="93">
        <v>9.9999999999999995E-7</v>
      </c>
      <c r="I195" s="93">
        <v>2.0699999999999999E-4</v>
      </c>
      <c r="J195" s="93">
        <v>2.0699999999999998E-5</v>
      </c>
      <c r="K195" s="93">
        <v>2.2900000000000001E-6</v>
      </c>
      <c r="L195" s="93"/>
      <c r="M195" s="93">
        <v>3.0899999999999999E-9</v>
      </c>
      <c r="N195" s="93">
        <v>1.33E-6</v>
      </c>
      <c r="O195" s="93"/>
      <c r="P195" s="93"/>
      <c r="Q195" s="93"/>
      <c r="R195" s="151">
        <f>'Parameters SH, country spec'!L24</f>
        <v>1.4523693197724004E-3</v>
      </c>
      <c r="S195" s="151">
        <f>'Parameters SH, country spec'!L42</f>
        <v>0</v>
      </c>
      <c r="T195" s="264">
        <f>'Parameters D24m, country spec'!L20</f>
        <v>1.4523693197724004E-3</v>
      </c>
    </row>
    <row r="196" spans="1:20" x14ac:dyDescent="0.3">
      <c r="B196" s="16" t="s">
        <v>120</v>
      </c>
      <c r="C196" s="15" t="s">
        <v>240</v>
      </c>
      <c r="D196" s="21" t="s">
        <v>59</v>
      </c>
      <c r="E196" s="21" t="s">
        <v>60</v>
      </c>
      <c r="F196" s="120">
        <f t="shared" si="60"/>
        <v>1.5426052012212825E-3</v>
      </c>
      <c r="G196" s="27">
        <f>'Off-farm feed'!$F$77</f>
        <v>3.5160526410462907E-4</v>
      </c>
      <c r="H196" s="27">
        <f>'Off-farm feed'!$G$77</f>
        <v>5.3103448275862083E-7</v>
      </c>
      <c r="I196" s="27">
        <f>'Off-farm feed'!$H$77</f>
        <v>1.0756102664162708E-3</v>
      </c>
      <c r="J196" s="27">
        <f>'Off-farm feed'!$I$77</f>
        <v>1.0756102664162706E-4</v>
      </c>
      <c r="K196" s="27">
        <f>'Off-farm feed'!$J$77</f>
        <v>6.6339607025480414E-7</v>
      </c>
      <c r="L196" s="27"/>
      <c r="M196" s="27">
        <f>'Off-farm feed'!$L$77</f>
        <v>7.9511067188965511E-9</v>
      </c>
      <c r="N196" s="27">
        <f>'Off-farm feed'!$M$77</f>
        <v>1.2789681892721844E-6</v>
      </c>
      <c r="O196" s="27"/>
      <c r="P196" s="27">
        <f>'Off-farm feed'!$O$77</f>
        <v>4.8776996151562902E-6</v>
      </c>
      <c r="Q196" s="27">
        <f>'Off-farm feed'!$P$77</f>
        <v>4.6959459459459463E-7</v>
      </c>
      <c r="R196" s="151">
        <f>'Parameters SH, country spec'!L25</f>
        <v>0</v>
      </c>
      <c r="S196" s="151">
        <f>'Parameters SH, country spec'!L43</f>
        <v>0</v>
      </c>
      <c r="T196" s="264">
        <f>'Parameters D24m, country spec'!L21</f>
        <v>0</v>
      </c>
    </row>
    <row r="197" spans="1:20" x14ac:dyDescent="0.3">
      <c r="B197" s="16" t="s">
        <v>241</v>
      </c>
      <c r="C197" s="15" t="s">
        <v>240</v>
      </c>
      <c r="D197" s="21" t="s">
        <v>59</v>
      </c>
      <c r="E197" s="21" t="s">
        <v>60</v>
      </c>
      <c r="F197" s="120">
        <f t="shared" si="60"/>
        <v>1.8866346644602505E-4</v>
      </c>
      <c r="G197" s="27">
        <f>'Off-farm feed'!$F$26</f>
        <v>1.6332109719061441E-5</v>
      </c>
      <c r="H197" s="27">
        <f>'Off-farm feed'!$G$26</f>
        <v>8.7195121951219526E-7</v>
      </c>
      <c r="I197" s="27">
        <f>'Off-farm feed'!$H$26</f>
        <v>1.3333449845358202E-4</v>
      </c>
      <c r="J197" s="27">
        <f>'Off-farm feed'!$I$26</f>
        <v>1.3333449845358203E-5</v>
      </c>
      <c r="K197" s="27">
        <f>'Off-farm feed'!$J$26</f>
        <v>1.1576736579983931E-6</v>
      </c>
      <c r="L197" s="27"/>
      <c r="M197" s="27">
        <f>'Off-farm feed'!$L$26</f>
        <v>7.3437786087804866E-9</v>
      </c>
      <c r="N197" s="27">
        <f>'Off-farm feed'!$M$26</f>
        <v>1.1195281639512197E-6</v>
      </c>
      <c r="O197" s="27"/>
      <c r="P197" s="27">
        <f>'Off-farm feed'!$O$26</f>
        <v>1.3419073770114991E-5</v>
      </c>
      <c r="Q197" s="27">
        <f>'Off-farm feed'!$P$26</f>
        <v>9.087837837837838E-6</v>
      </c>
      <c r="R197" s="151">
        <f>'Parameters SH, country spec'!L26</f>
        <v>0</v>
      </c>
      <c r="S197" s="151">
        <f>'Parameters SH, country spec'!L44</f>
        <v>0</v>
      </c>
      <c r="T197" s="264">
        <f>'Parameters D24m, country spec'!L22</f>
        <v>0</v>
      </c>
    </row>
    <row r="198" spans="1:20" x14ac:dyDescent="0.3">
      <c r="B198" s="15" t="s">
        <v>122</v>
      </c>
      <c r="C198" s="15" t="s">
        <v>242</v>
      </c>
      <c r="D198" s="21" t="s">
        <v>59</v>
      </c>
      <c r="E198" s="21" t="s">
        <v>60</v>
      </c>
      <c r="F198" s="120"/>
      <c r="G198" s="93"/>
      <c r="H198" s="93"/>
      <c r="I198" s="93"/>
      <c r="J198" s="93"/>
      <c r="K198" s="93"/>
      <c r="L198" s="93"/>
      <c r="M198" s="93"/>
      <c r="N198" s="93"/>
      <c r="O198" s="93"/>
      <c r="P198" s="93"/>
      <c r="Q198" s="93"/>
      <c r="R198" s="151">
        <f>'Parameters SH, country spec'!L27</f>
        <v>0</v>
      </c>
      <c r="S198" s="151">
        <f>'Parameters SH, country spec'!L45</f>
        <v>0</v>
      </c>
      <c r="T198" s="264">
        <f>'Parameters D24m, country spec'!L23</f>
        <v>0</v>
      </c>
    </row>
    <row r="199" spans="1:20" x14ac:dyDescent="0.3">
      <c r="A199" s="75"/>
      <c r="B199" s="15" t="s">
        <v>243</v>
      </c>
      <c r="C199" s="76" t="s">
        <v>244</v>
      </c>
      <c r="D199" s="21" t="s">
        <v>59</v>
      </c>
      <c r="E199" s="21" t="s">
        <v>60</v>
      </c>
      <c r="F199" s="120">
        <f t="shared" si="60"/>
        <v>9.0077370708406869E-7</v>
      </c>
      <c r="G199" s="74">
        <f>SUMPRODUCT(G189:G197,$R189:$R197)</f>
        <v>5.1477135793989466E-8</v>
      </c>
      <c r="H199" s="74">
        <f t="shared" ref="H199:P199" si="61">SUMPRODUCT(H189:H197,$R189:$R197)</f>
        <v>3.2527433037919997E-9</v>
      </c>
      <c r="I199" s="74">
        <f t="shared" si="61"/>
        <v>7.5984545331305982E-7</v>
      </c>
      <c r="J199" s="74">
        <f t="shared" si="61"/>
        <v>7.5984545331305984E-8</v>
      </c>
      <c r="K199" s="74">
        <f t="shared" si="61"/>
        <v>5.8298096577189348E-9</v>
      </c>
      <c r="L199" s="74">
        <f t="shared" si="61"/>
        <v>0</v>
      </c>
      <c r="M199" s="74">
        <f t="shared" si="61"/>
        <v>5.7871090159231323E-11</v>
      </c>
      <c r="N199" s="74">
        <f t="shared" si="61"/>
        <v>4.3261485940433595E-9</v>
      </c>
      <c r="O199" s="74">
        <f t="shared" si="61"/>
        <v>0</v>
      </c>
      <c r="P199" s="74">
        <f t="shared" si="61"/>
        <v>0</v>
      </c>
      <c r="Q199" s="74">
        <f>SUMPRODUCT(Q189:Q197,$R189:$R197)</f>
        <v>0</v>
      </c>
      <c r="R199" s="151">
        <f>'Parameters SH, country spec'!L28</f>
        <v>0</v>
      </c>
      <c r="S199" s="151">
        <f>'Parameters SH, country spec'!L46</f>
        <v>0</v>
      </c>
      <c r="T199" s="264">
        <f>'Parameters D24m, country spec'!L24</f>
        <v>0</v>
      </c>
    </row>
    <row r="200" spans="1:20" x14ac:dyDescent="0.3">
      <c r="A200" s="328"/>
      <c r="B200" s="329" t="s">
        <v>616</v>
      </c>
      <c r="C200" s="330"/>
      <c r="D200" s="331"/>
      <c r="E200" s="331"/>
      <c r="F200" s="334">
        <f>SUMPRODUCT(F186:F188,R186:R188)+SUMPRODUCT(F189:F199,R189:R199)/0.87</f>
        <v>1.9078524242103657E-4</v>
      </c>
      <c r="G200" s="334">
        <f>SUMPRODUCT(G186:G188,R186:R188)+SUMPRODUCT(G189:G199,R189:R199)/0.87</f>
        <v>2.210854212367597E-5</v>
      </c>
      <c r="H200" s="334">
        <f>SUMPRODUCT(H186:H188,R186:R188)+SUMPRODUCT(H189:H199,R189:R199)/0.87</f>
        <v>1.1037387854066574E-6</v>
      </c>
      <c r="I200" s="334">
        <f>SUMPRODUCT(I186:I188,R186:R188)+SUMPRODUCT(I189:I199,R189:R199)/0.87</f>
        <v>1.2177980479155045E-4</v>
      </c>
      <c r="J200" s="334">
        <f>SUMPRODUCT(J186:J188,R186:R188)+SUMPRODUCT(J189:J199,R189:R199)/0.87</f>
        <v>1.2177980479155045E-5</v>
      </c>
      <c r="K200" s="334">
        <f>SUMPRODUCT(K186:K188,R186:R188)+SUMPRODUCT(K189:K199,R189:R199)/0.87</f>
        <v>7.4433572687287001E-7</v>
      </c>
      <c r="L200" s="334">
        <f>SUMPRODUCT(L186:L188,R186:R188)+SUMPRODUCT(L189:L199,R189:R199)/0.87</f>
        <v>0</v>
      </c>
      <c r="M200" s="334">
        <f>SUMPRODUCT(M186:M188,R186:R188)+SUMPRODUCT(M189:M199,R189:R199)/0.87</f>
        <v>6.6518494435898078E-11</v>
      </c>
      <c r="N200" s="334">
        <f>SUMPRODUCT(N186:N188,R186:R188)+SUMPRODUCT(N189:N199,R189:R199)/0.87</f>
        <v>4.9725845908544364E-9</v>
      </c>
      <c r="O200" s="334">
        <f>SUMPRODUCT(O186:O188,R186:R188)+SUMPRODUCT(O189:O199,R189:R199)/0.87</f>
        <v>0</v>
      </c>
      <c r="P200" s="334">
        <f>SUMPRODUCT(P186:P188,R186:R188)+SUMPRODUCT(P189:P199,R189:R199)/0.87</f>
        <v>3.2865801411290314E-5</v>
      </c>
      <c r="Q200" s="334">
        <f>SUMPRODUCT(Q186:Q188,R186:R188)+SUMPRODUCT(Q189:Q199,R189:R199)/0.87</f>
        <v>0</v>
      </c>
      <c r="R200" s="335"/>
      <c r="S200" s="335"/>
      <c r="T200" s="336"/>
    </row>
    <row r="201" spans="1:20" x14ac:dyDescent="0.3">
      <c r="A201" s="150"/>
      <c r="B201" s="23" t="s">
        <v>457</v>
      </c>
      <c r="C201" s="24"/>
      <c r="D201" s="94"/>
      <c r="E201" s="94"/>
      <c r="F201" s="28">
        <f>SUMPRODUCT(F186:F188,S186:S188)+SUMPRODUCT(F189:F199,S189:S199)/0.87</f>
        <v>2.6071883796165238E-4</v>
      </c>
      <c r="G201" s="28">
        <f>SUMPRODUCT(G186:G188,S186:S188)+SUMPRODUCT(G189:G199,S189:S199)/0.87</f>
        <v>3.3311084632041115E-5</v>
      </c>
      <c r="H201" s="28">
        <f>SUMPRODUCT(H186:H188,S186:S188)+SUMPRODUCT(H189:H199,S189:S199)/0.87</f>
        <v>1.1000000000000001E-6</v>
      </c>
      <c r="I201" s="28">
        <f>SUMPRODUCT(I186:I188,S186:S188)+SUMPRODUCT(I189:I199,S189:S199)/0.87</f>
        <v>1.5999528245513593E-4</v>
      </c>
      <c r="J201" s="28">
        <f>SUMPRODUCT(J186:J188,S186:S188)+SUMPRODUCT(J189:J199,S189:S199)/0.87</f>
        <v>1.5999528245513596E-5</v>
      </c>
      <c r="K201" s="28">
        <f>SUMPRODUCT(K186:K188,S186:S188)+SUMPRODUCT(K189:K199,S189:S199)/0.87</f>
        <v>6.6094153993373335E-7</v>
      </c>
      <c r="L201" s="28">
        <f>SUMPRODUCT(L186:L188,S186:S188)+SUMPRODUCT(L189:L199,S189:S199)/0.87</f>
        <v>0</v>
      </c>
      <c r="M201" s="28">
        <f>SUMPRODUCT(M186:M188,S186:S188)+SUMPRODUCT(M189:M199,S189:S199)/0.87</f>
        <v>0</v>
      </c>
      <c r="N201" s="28">
        <f>SUMPRODUCT(N186:N188,S186:S188)+SUMPRODUCT(N189:N199,S189:S199)/0.87</f>
        <v>0</v>
      </c>
      <c r="O201" s="28">
        <f>SUMPRODUCT(O186:O188,S186:S188)+SUMPRODUCT(O189:O199,S189:S199)/0.87</f>
        <v>0</v>
      </c>
      <c r="P201" s="28">
        <f>SUMPRODUCT(P186:P188,S186:S188)+SUMPRODUCT(P189:P199,S189:S199)/0.87</f>
        <v>4.9652001089028036E-5</v>
      </c>
      <c r="Q201" s="28">
        <f>SUMPRODUCT(Q186:Q188,S186:S188)+SUMPRODUCT(Q189:Q199,S189:S199)/0.87</f>
        <v>0</v>
      </c>
      <c r="R201" s="152"/>
      <c r="S201" s="152"/>
      <c r="T201" s="152"/>
    </row>
    <row r="202" spans="1:20" x14ac:dyDescent="0.3">
      <c r="A202" s="328"/>
      <c r="B202" s="329" t="s">
        <v>641</v>
      </c>
      <c r="C202" s="330"/>
      <c r="D202" s="331"/>
      <c r="E202" s="331"/>
      <c r="F202" s="332">
        <f>SUMPRODUCT(F186:F188,$T186:$T188)+SUMPRODUCT(F189:F199,$T189:$T199)/0.87</f>
        <v>2.6256311112966054E-4</v>
      </c>
      <c r="G202" s="332">
        <f t="shared" ref="G202:O202" si="62">SUMPRODUCT(G186:G188,$T186:$T188)+SUMPRODUCT(G189:G199,$T189:$T199)/0.87</f>
        <v>3.4102114096830555E-5</v>
      </c>
      <c r="H202" s="332">
        <f t="shared" si="62"/>
        <v>1.1056737328265645E-6</v>
      </c>
      <c r="I202" s="332">
        <f t="shared" si="62"/>
        <v>1.6837954017365702E-4</v>
      </c>
      <c r="J202" s="332">
        <f t="shared" si="62"/>
        <v>1.6837954017365705E-5</v>
      </c>
      <c r="K202" s="332">
        <f t="shared" si="62"/>
        <v>7.2030333433758015E-7</v>
      </c>
      <c r="L202" s="332">
        <f t="shared" si="62"/>
        <v>0</v>
      </c>
      <c r="M202" s="332">
        <f t="shared" si="62"/>
        <v>6.6518494435898078E-11</v>
      </c>
      <c r="N202" s="332">
        <f t="shared" si="62"/>
        <v>6.4820958276352111E-8</v>
      </c>
      <c r="O202" s="332">
        <f t="shared" si="62"/>
        <v>0</v>
      </c>
      <c r="P202" s="332">
        <f>SUMPRODUCT(P186:P188,$T186:$T188)+SUMPRODUCT(P189:P199,$T189:$T199)/0.87</f>
        <v>4.1352638297872334E-5</v>
      </c>
      <c r="Q202" s="332">
        <f t="shared" ref="Q202" si="63">SUMPRODUCT(Q186:Q188,$T186:$T188)+SUMPRODUCT(Q189:Q199,$T189:$T199)/0.87</f>
        <v>0</v>
      </c>
      <c r="R202" s="335"/>
      <c r="S202" s="335"/>
      <c r="T202" s="335"/>
    </row>
    <row r="203" spans="1:20" x14ac:dyDescent="0.3">
      <c r="A203" s="150"/>
      <c r="B203" s="23" t="s">
        <v>642</v>
      </c>
      <c r="C203" s="24"/>
      <c r="D203" s="94"/>
      <c r="E203" s="94"/>
      <c r="F203" s="327">
        <f>SUMPRODUCT(F186:F188,$U186:$U188)+SUMPRODUCT(F189:F199,$U189:$U199)/0.87</f>
        <v>0</v>
      </c>
      <c r="G203" s="327">
        <f t="shared" ref="G203:K203" si="64">SUMPRODUCT(G186:G188,$U186:$U188)+SUMPRODUCT(G189:G199,$U189:$U199)/0.87</f>
        <v>0</v>
      </c>
      <c r="H203" s="327">
        <f t="shared" si="64"/>
        <v>0</v>
      </c>
      <c r="I203" s="327">
        <f t="shared" si="64"/>
        <v>0</v>
      </c>
      <c r="J203" s="327">
        <f t="shared" si="64"/>
        <v>0</v>
      </c>
      <c r="K203" s="327">
        <f t="shared" si="64"/>
        <v>0</v>
      </c>
      <c r="L203" s="327">
        <f>SUMPRODUCT(L186:L188,$U186:$U188)+SUMPRODUCT(L189:L199,$U189:$U199)/0.87</f>
        <v>0</v>
      </c>
      <c r="M203" s="327">
        <f t="shared" ref="M203:Q203" si="65">SUMPRODUCT(M186:M188,$U186:$U188)+SUMPRODUCT(M189:M199,$U189:$U199)/0.87</f>
        <v>0</v>
      </c>
      <c r="N203" s="327">
        <f t="shared" si="65"/>
        <v>0</v>
      </c>
      <c r="O203" s="327">
        <f t="shared" si="65"/>
        <v>0</v>
      </c>
      <c r="P203" s="327">
        <f t="shared" si="65"/>
        <v>0</v>
      </c>
      <c r="Q203" s="327">
        <f t="shared" si="65"/>
        <v>0</v>
      </c>
      <c r="R203" s="152"/>
      <c r="S203" s="152"/>
      <c r="T203" s="152"/>
    </row>
    <row r="204" spans="1:20" x14ac:dyDescent="0.3">
      <c r="B204" s="16" t="s">
        <v>299</v>
      </c>
      <c r="C204" s="15" t="s">
        <v>302</v>
      </c>
      <c r="D204" s="21" t="s">
        <v>556</v>
      </c>
      <c r="E204" s="21" t="s">
        <v>560</v>
      </c>
      <c r="F204" s="120">
        <f>SUM(G204:Q204)</f>
        <v>2.4076715964597344E-4</v>
      </c>
      <c r="G204" s="27">
        <f>'Forage crops, CF'!F66</f>
        <v>4.7791180802654258E-5</v>
      </c>
      <c r="H204" s="27">
        <f>'Forage crops, CF'!G66</f>
        <v>1.1000000000000001E-6</v>
      </c>
      <c r="I204" s="27">
        <f>'Forage crops, CF'!H66</f>
        <v>1.7407334076117385E-4</v>
      </c>
      <c r="J204" s="27">
        <f>'Forage crops, CF'!I66</f>
        <v>1.7407334076117384E-5</v>
      </c>
      <c r="K204" s="27">
        <f>'Forage crops, CF'!J66</f>
        <v>3.9530400602795185E-7</v>
      </c>
      <c r="L204" s="27">
        <f>'Forage crops, CF'!K66</f>
        <v>0</v>
      </c>
      <c r="M204" s="27">
        <f>'Forage crops, CF'!L66</f>
        <v>0</v>
      </c>
      <c r="N204" s="27">
        <f>'Forage crops, CF'!M66</f>
        <v>0</v>
      </c>
      <c r="O204" s="27">
        <f>'Forage crops, CF'!N66</f>
        <v>0</v>
      </c>
      <c r="P204" s="27">
        <f>'Forage crops, CF'!O66</f>
        <v>0</v>
      </c>
      <c r="Q204" s="27">
        <f>'Forage crops, CF'!P66</f>
        <v>0</v>
      </c>
      <c r="R204" s="151">
        <f>'Parameters SH, country spec'!M15</f>
        <v>0.74946751429338065</v>
      </c>
      <c r="S204" s="151">
        <f>'Parameters SH, country spec'!L33</f>
        <v>0.2708957255649333</v>
      </c>
      <c r="T204" s="264">
        <f>'Parameters D24m, country spec'!M11</f>
        <v>0.74946751429338065</v>
      </c>
    </row>
    <row r="205" spans="1:20" x14ac:dyDescent="0.3">
      <c r="B205" s="16" t="s">
        <v>300</v>
      </c>
      <c r="C205" s="15" t="s">
        <v>302</v>
      </c>
      <c r="D205" s="21" t="s">
        <v>556</v>
      </c>
      <c r="E205" s="21" t="s">
        <v>560</v>
      </c>
      <c r="F205" s="120">
        <f>SUM(G205:Q205)</f>
        <v>3.317522318830343E-4</v>
      </c>
      <c r="G205" s="27">
        <f>'Forage crops, CF'!F131</f>
        <v>7.1738829245087782E-5</v>
      </c>
      <c r="H205" s="27">
        <f>'Forage crops, CF'!G131</f>
        <v>1.1000000000000001E-6</v>
      </c>
      <c r="I205" s="27">
        <f>'Forage crops, CF'!H131</f>
        <v>2.3505839106167088E-4</v>
      </c>
      <c r="J205" s="27">
        <f>'Forage crops, CF'!I131</f>
        <v>2.350583910616709E-5</v>
      </c>
      <c r="K205" s="27">
        <f>'Forage crops, CF'!J131</f>
        <v>3.4917247010855983E-7</v>
      </c>
      <c r="L205" s="27">
        <f>'Forage crops, CF'!K131</f>
        <v>0</v>
      </c>
      <c r="M205" s="27">
        <f>'Forage crops, CF'!L131</f>
        <v>0</v>
      </c>
      <c r="N205" s="27">
        <f>'Forage crops, CF'!M131</f>
        <v>0</v>
      </c>
      <c r="O205" s="27">
        <f>'Forage crops, CF'!N131</f>
        <v>0</v>
      </c>
      <c r="P205" s="27">
        <f>'Forage crops, CF'!O131</f>
        <v>0</v>
      </c>
      <c r="Q205" s="27">
        <f>'Forage crops, CF'!P131</f>
        <v>0</v>
      </c>
      <c r="R205" s="151">
        <f>'Parameters SH, country spec'!M16</f>
        <v>6.8994040926595557E-2</v>
      </c>
      <c r="S205" s="151">
        <f>'Parameters SH, country spec'!L34</f>
        <v>0</v>
      </c>
      <c r="T205" s="264">
        <f>'Parameters D24m, country spec'!M12</f>
        <v>6.8994040926595557E-2</v>
      </c>
    </row>
    <row r="206" spans="1:20" x14ac:dyDescent="0.3">
      <c r="B206" s="16" t="s">
        <v>301</v>
      </c>
      <c r="C206" s="15" t="s">
        <v>302</v>
      </c>
      <c r="D206" s="21" t="s">
        <v>556</v>
      </c>
      <c r="E206" s="21" t="s">
        <v>560</v>
      </c>
      <c r="F206" s="120">
        <f>SUM(G206:Q206)</f>
        <v>6.7094542210256232E-5</v>
      </c>
      <c r="G206" s="27">
        <f>'Forage crops, CF'!F196*'Forage, input data per ha'!$D$89+'Forage crops, CF'!F261*'Forage, input data per ha'!$E$89</f>
        <v>7.8038856610645942E-6</v>
      </c>
      <c r="H206" s="27">
        <f>'Forage crops, CF'!G196*'Forage, input data per ha'!$D$89+'Forage crops, CF'!G261*'Forage, input data per ha'!$E$89</f>
        <v>1.1000000000000001E-6</v>
      </c>
      <c r="I206" s="27">
        <f>'Forage crops, CF'!H196*'Forage, input data per ha'!$D$89+'Forage crops, CF'!H261*'Forage, input data per ha'!$E$89</f>
        <v>5.2536508039072698E-5</v>
      </c>
      <c r="J206" s="27">
        <f>'Forage crops, CF'!I196*'Forage, input data per ha'!$D$89+'Forage crops, CF'!I261*'Forage, input data per ha'!$E$89</f>
        <v>5.2536508039072694E-6</v>
      </c>
      <c r="K206" s="27">
        <f>'Forage crops, CF'!J196*'Forage, input data per ha'!$D$89+'Forage crops, CF'!J261*'Forage, input data per ha'!$E$89</f>
        <v>4.0049770621167794E-7</v>
      </c>
      <c r="L206" s="27">
        <f>'Forage crops, CF'!K196*'Forage, input data per ha'!$D$89+'Forage crops, CF'!K261*'Forage, input data per ha'!$E$89</f>
        <v>0</v>
      </c>
      <c r="M206" s="27">
        <f>'Forage crops, CF'!L196*'Forage, input data per ha'!$D$89+'Forage crops, CF'!L261*'Forage, input data per ha'!$E$89</f>
        <v>0</v>
      </c>
      <c r="N206" s="27">
        <f>'Forage crops, CF'!M196*'Forage, input data per ha'!$D$89+'Forage crops, CF'!M261*'Forage, input data per ha'!$E$89</f>
        <v>0</v>
      </c>
      <c r="O206" s="27">
        <f>'Forage crops, CF'!N196*'Forage, input data per ha'!$D$89+'Forage crops, CF'!N261*'Forage, input data per ha'!$E$89</f>
        <v>0</v>
      </c>
      <c r="P206" s="27">
        <f>'Forage crops, CF'!O196*'Forage, input data per ha'!$D$89+'Forage crops, CF'!O261*'Forage, input data per ha'!$E$89</f>
        <v>0</v>
      </c>
      <c r="Q206" s="27">
        <f>'Forage crops, CF'!P196*'Forage, input data per ha'!$D$89+'Forage crops, CF'!P261*'Forage, input data per ha'!$E$89</f>
        <v>0</v>
      </c>
      <c r="R206" s="151">
        <f>'Parameters SH, country spec'!M17</f>
        <v>3.2584598647782959E-3</v>
      </c>
      <c r="S206" s="151">
        <f>'Parameters SH, country spec'!L35</f>
        <v>0.72910427443506676</v>
      </c>
      <c r="T206" s="264">
        <f>'Parameters D24m, country spec'!M13</f>
        <v>3.2584598647782959E-3</v>
      </c>
    </row>
    <row r="207" spans="1:20" x14ac:dyDescent="0.3">
      <c r="A207" s="20" t="s">
        <v>231</v>
      </c>
      <c r="B207" s="15" t="s">
        <v>113</v>
      </c>
      <c r="C207" s="15" t="s">
        <v>232</v>
      </c>
      <c r="D207" s="21" t="s">
        <v>556</v>
      </c>
      <c r="E207" s="21" t="s">
        <v>560</v>
      </c>
      <c r="F207" s="120">
        <f>SUM(G207:Q207)</f>
        <v>8.4192999999999996E-4</v>
      </c>
      <c r="G207" s="105">
        <v>1.3999999999999999E-4</v>
      </c>
      <c r="H207" s="105">
        <v>9.9999999999999995E-7</v>
      </c>
      <c r="I207" s="105">
        <v>6.3500000000000004E-4</v>
      </c>
      <c r="J207" s="105">
        <v>6.3499999999999999E-5</v>
      </c>
      <c r="K207" s="105">
        <v>1.1000000000000001E-6</v>
      </c>
      <c r="L207" s="105"/>
      <c r="M207" s="105">
        <v>0</v>
      </c>
      <c r="N207" s="105">
        <v>1.33E-6</v>
      </c>
      <c r="O207" s="105"/>
      <c r="P207" s="93"/>
      <c r="Q207" s="93"/>
      <c r="R207" s="151">
        <f>'Parameters SH, country spec'!M18</f>
        <v>1.3909861729922528E-2</v>
      </c>
      <c r="S207" s="151">
        <f>'Parameters SH, country spec'!L36</f>
        <v>0</v>
      </c>
      <c r="T207" s="264">
        <f>'Parameters D24m, country spec'!M14</f>
        <v>1.3909861729922528E-2</v>
      </c>
    </row>
    <row r="208" spans="1:20" x14ac:dyDescent="0.3">
      <c r="A208" s="20" t="s">
        <v>233</v>
      </c>
      <c r="B208" s="15" t="s">
        <v>114</v>
      </c>
      <c r="C208" s="15" t="s">
        <v>232</v>
      </c>
      <c r="D208" s="21" t="s">
        <v>556</v>
      </c>
      <c r="E208" s="21" t="s">
        <v>560</v>
      </c>
      <c r="F208" s="120">
        <f t="shared" ref="F208:F215" si="66">SUM(G208:Q208)</f>
        <v>7.6903400000000004E-4</v>
      </c>
      <c r="G208" s="105">
        <v>1.2999999999999999E-4</v>
      </c>
      <c r="H208" s="105">
        <v>9.9999999999999995E-7</v>
      </c>
      <c r="I208" s="105">
        <v>5.7799999999999995E-4</v>
      </c>
      <c r="J208" s="105">
        <v>5.7800000000000002E-5</v>
      </c>
      <c r="K208" s="105">
        <v>7.5000000000000002E-7</v>
      </c>
      <c r="L208" s="105"/>
      <c r="M208" s="105">
        <v>1.54E-7</v>
      </c>
      <c r="N208" s="105">
        <v>1.33E-6</v>
      </c>
      <c r="O208" s="105"/>
      <c r="P208" s="93"/>
      <c r="Q208" s="93"/>
      <c r="R208" s="151">
        <f>'Parameters SH, country spec'!M19</f>
        <v>6.5309995773990038E-4</v>
      </c>
      <c r="S208" s="151">
        <f>'Parameters SH, country spec'!L37</f>
        <v>0</v>
      </c>
      <c r="T208" s="264">
        <f>'Parameters D24m, country spec'!M15</f>
        <v>6.5309995773990038E-4</v>
      </c>
    </row>
    <row r="209" spans="1:20" x14ac:dyDescent="0.3">
      <c r="A209" s="20" t="s">
        <v>234</v>
      </c>
      <c r="B209" s="15" t="s">
        <v>115</v>
      </c>
      <c r="C209" s="15" t="s">
        <v>232</v>
      </c>
      <c r="D209" s="21" t="s">
        <v>556</v>
      </c>
      <c r="E209" s="21" t="s">
        <v>560</v>
      </c>
      <c r="F209" s="120">
        <f t="shared" si="66"/>
        <v>7.4177999999999994E-4</v>
      </c>
      <c r="G209" s="105">
        <v>1.2E-4</v>
      </c>
      <c r="H209" s="105">
        <v>9.9999999999999995E-7</v>
      </c>
      <c r="I209" s="105">
        <v>5.62E-4</v>
      </c>
      <c r="J209" s="105">
        <v>5.6199999999999997E-5</v>
      </c>
      <c r="K209" s="105">
        <v>1.2500000000000001E-6</v>
      </c>
      <c r="L209" s="105"/>
      <c r="M209" s="105">
        <v>0</v>
      </c>
      <c r="N209" s="105">
        <v>1.33E-6</v>
      </c>
      <c r="O209" s="105"/>
      <c r="P209" s="93"/>
      <c r="Q209" s="93"/>
      <c r="R209" s="151">
        <f>'Parameters SH, country spec'!M20</f>
        <v>1.5338046639374065E-3</v>
      </c>
      <c r="S209" s="151">
        <f>'Parameters SH, country spec'!L38</f>
        <v>0</v>
      </c>
      <c r="T209" s="264">
        <f>'Parameters D24m, country spec'!M16</f>
        <v>1.5338046639374065E-3</v>
      </c>
    </row>
    <row r="210" spans="1:20" x14ac:dyDescent="0.3">
      <c r="A210" s="20" t="s">
        <v>235</v>
      </c>
      <c r="B210" s="15" t="s">
        <v>116</v>
      </c>
      <c r="C210" s="15" t="s">
        <v>232</v>
      </c>
      <c r="D210" s="21" t="s">
        <v>556</v>
      </c>
      <c r="E210" s="21" t="s">
        <v>560</v>
      </c>
      <c r="F210" s="120">
        <f t="shared" si="66"/>
        <v>6.6755700000000005E-4</v>
      </c>
      <c r="G210" s="105">
        <v>1.1E-4</v>
      </c>
      <c r="H210" s="105">
        <v>9.9999999999999995E-7</v>
      </c>
      <c r="I210" s="105">
        <v>5.04E-4</v>
      </c>
      <c r="J210" s="105">
        <v>5.0399999999999999E-5</v>
      </c>
      <c r="K210" s="105">
        <v>8.2699999999999998E-7</v>
      </c>
      <c r="L210" s="105"/>
      <c r="M210" s="105">
        <v>0</v>
      </c>
      <c r="N210" s="105">
        <v>1.33E-6</v>
      </c>
      <c r="O210" s="105"/>
      <c r="P210" s="93"/>
      <c r="Q210" s="93"/>
      <c r="R210" s="151">
        <f>'Parameters SH, country spec'!M21</f>
        <v>7.2745448066960375E-5</v>
      </c>
      <c r="S210" s="151">
        <f>'Parameters SH, country spec'!L39</f>
        <v>0</v>
      </c>
      <c r="T210" s="264">
        <f>'Parameters D24m, country spec'!M17</f>
        <v>7.2745448066960375E-5</v>
      </c>
    </row>
    <row r="211" spans="1:20" x14ac:dyDescent="0.3">
      <c r="A211" s="20" t="s">
        <v>236</v>
      </c>
      <c r="B211" s="15" t="s">
        <v>117</v>
      </c>
      <c r="C211" s="15" t="s">
        <v>232</v>
      </c>
      <c r="D211" s="21" t="s">
        <v>556</v>
      </c>
      <c r="E211" s="21" t="s">
        <v>560</v>
      </c>
      <c r="F211" s="120">
        <f t="shared" si="66"/>
        <v>9.2211918000000004E-4</v>
      </c>
      <c r="G211" s="105">
        <v>1.6000000000000001E-4</v>
      </c>
      <c r="H211" s="105">
        <v>9.9999999999999995E-7</v>
      </c>
      <c r="I211" s="105">
        <v>6.8999999999999997E-4</v>
      </c>
      <c r="J211" s="105">
        <v>6.8999999999999997E-5</v>
      </c>
      <c r="K211" s="105">
        <v>7.8299999999999996E-7</v>
      </c>
      <c r="L211" s="105"/>
      <c r="M211" s="105">
        <v>6.1799999999999998E-9</v>
      </c>
      <c r="N211" s="105">
        <v>1.33E-6</v>
      </c>
      <c r="O211" s="105"/>
      <c r="P211" s="93"/>
      <c r="Q211" s="93"/>
      <c r="R211" s="151">
        <f>'Parameters SH, country spec'!M22</f>
        <v>2.0790459475885831E-2</v>
      </c>
      <c r="S211" s="151">
        <f>'Parameters SH, country spec'!L40</f>
        <v>0</v>
      </c>
      <c r="T211" s="264">
        <f>'Parameters D24m, country spec'!M18</f>
        <v>2.0790459475885831E-2</v>
      </c>
    </row>
    <row r="212" spans="1:20" x14ac:dyDescent="0.3">
      <c r="A212" s="20" t="s">
        <v>237</v>
      </c>
      <c r="B212" s="15" t="s">
        <v>118</v>
      </c>
      <c r="C212" s="15" t="s">
        <v>238</v>
      </c>
      <c r="D212" s="21" t="s">
        <v>556</v>
      </c>
      <c r="E212" s="21" t="s">
        <v>560</v>
      </c>
      <c r="F212" s="120">
        <f t="shared" si="66"/>
        <v>2.0736308999999998E-4</v>
      </c>
      <c r="G212" s="105">
        <v>0</v>
      </c>
      <c r="H212" s="105">
        <v>9.9999999999999995E-7</v>
      </c>
      <c r="I212" s="105">
        <v>1.85E-4</v>
      </c>
      <c r="J212" s="105">
        <v>1.8499999999999999E-5</v>
      </c>
      <c r="K212" s="105">
        <v>1.53E-6</v>
      </c>
      <c r="L212" s="105"/>
      <c r="M212" s="105">
        <v>3.0899999999999999E-9</v>
      </c>
      <c r="N212" s="105">
        <v>1.33E-6</v>
      </c>
      <c r="O212" s="105"/>
      <c r="P212" s="93"/>
      <c r="Q212" s="93"/>
      <c r="R212" s="151">
        <f>'Parameters SH, country spec'!M23</f>
        <v>6.5340906393272433E-4</v>
      </c>
      <c r="S212" s="151">
        <f>'Parameters SH, country spec'!L41</f>
        <v>0</v>
      </c>
      <c r="T212" s="264">
        <f>'Parameters D24m, country spec'!M19</f>
        <v>6.5340906393272433E-4</v>
      </c>
    </row>
    <row r="213" spans="1:20" x14ac:dyDescent="0.3">
      <c r="A213" s="20" t="s">
        <v>239</v>
      </c>
      <c r="B213" s="15" t="s">
        <v>119</v>
      </c>
      <c r="C213" s="15" t="s">
        <v>238</v>
      </c>
      <c r="D213" s="21" t="s">
        <v>556</v>
      </c>
      <c r="E213" s="21" t="s">
        <v>560</v>
      </c>
      <c r="F213" s="120">
        <f t="shared" si="66"/>
        <v>2.3902308999999998E-4</v>
      </c>
      <c r="G213" s="105">
        <v>6.7000000000000002E-6</v>
      </c>
      <c r="H213" s="105">
        <v>9.9999999999999995E-7</v>
      </c>
      <c r="I213" s="105">
        <v>2.0699999999999999E-4</v>
      </c>
      <c r="J213" s="105">
        <v>2.0699999999999998E-5</v>
      </c>
      <c r="K213" s="105">
        <v>2.2900000000000001E-6</v>
      </c>
      <c r="L213" s="105"/>
      <c r="M213" s="105">
        <v>3.0899999999999999E-9</v>
      </c>
      <c r="N213" s="105">
        <v>1.33E-6</v>
      </c>
      <c r="O213" s="105"/>
      <c r="P213" s="93"/>
      <c r="Q213" s="93"/>
      <c r="R213" s="151">
        <f>'Parameters SH, country spec'!M24</f>
        <v>6.4186302502542813E-4</v>
      </c>
      <c r="S213" s="151">
        <f>'Parameters SH, country spec'!L42</f>
        <v>0</v>
      </c>
      <c r="T213" s="264">
        <f>'Parameters D24m, country spec'!M20</f>
        <v>6.4186302502542813E-4</v>
      </c>
    </row>
    <row r="214" spans="1:20" x14ac:dyDescent="0.3">
      <c r="B214" s="16" t="s">
        <v>120</v>
      </c>
      <c r="C214" s="15" t="s">
        <v>240</v>
      </c>
      <c r="D214" s="21" t="s">
        <v>556</v>
      </c>
      <c r="E214" s="21" t="s">
        <v>560</v>
      </c>
      <c r="F214" s="120">
        <f t="shared" si="66"/>
        <v>1.5426052012212825E-3</v>
      </c>
      <c r="G214" s="27">
        <f>'Off-farm feed'!$F$77</f>
        <v>3.5160526410462907E-4</v>
      </c>
      <c r="H214" s="27">
        <f>'Off-farm feed'!$G$77</f>
        <v>5.3103448275862083E-7</v>
      </c>
      <c r="I214" s="27">
        <f>'Off-farm feed'!$H$77</f>
        <v>1.0756102664162708E-3</v>
      </c>
      <c r="J214" s="27">
        <f>'Off-farm feed'!$I$77</f>
        <v>1.0756102664162706E-4</v>
      </c>
      <c r="K214" s="27">
        <f>'Off-farm feed'!$J$77</f>
        <v>6.6339607025480414E-7</v>
      </c>
      <c r="L214" s="27"/>
      <c r="M214" s="27">
        <f>'Off-farm feed'!$L$77</f>
        <v>7.9511067188965511E-9</v>
      </c>
      <c r="N214" s="27">
        <f>'Off-farm feed'!$M$77</f>
        <v>1.2789681892721844E-6</v>
      </c>
      <c r="O214" s="27"/>
      <c r="P214" s="27">
        <f>'Off-farm feed'!$O$77</f>
        <v>4.8776996151562902E-6</v>
      </c>
      <c r="Q214" s="27">
        <f>'Off-farm feed'!$P$77</f>
        <v>4.6959459459459463E-7</v>
      </c>
      <c r="R214" s="151">
        <f>'Parameters SH, country spec'!M25</f>
        <v>1.0151950508744787E-2</v>
      </c>
      <c r="S214" s="151">
        <f>'Parameters SH, country spec'!L43</f>
        <v>0</v>
      </c>
      <c r="T214" s="264">
        <f>'Parameters D24m, country spec'!M21</f>
        <v>1.0151950508744787E-2</v>
      </c>
    </row>
    <row r="215" spans="1:20" x14ac:dyDescent="0.3">
      <c r="B215" s="16" t="s">
        <v>241</v>
      </c>
      <c r="C215" s="15" t="s">
        <v>240</v>
      </c>
      <c r="D215" s="21" t="s">
        <v>556</v>
      </c>
      <c r="E215" s="21" t="s">
        <v>560</v>
      </c>
      <c r="F215" s="120">
        <f t="shared" si="66"/>
        <v>1.8866346644602505E-4</v>
      </c>
      <c r="G215" s="27">
        <f>'Off-farm feed'!$F$26</f>
        <v>1.6332109719061441E-5</v>
      </c>
      <c r="H215" s="27">
        <f>'Off-farm feed'!$G$26</f>
        <v>8.7195121951219526E-7</v>
      </c>
      <c r="I215" s="27">
        <f>'Off-farm feed'!$H$26</f>
        <v>1.3333449845358202E-4</v>
      </c>
      <c r="J215" s="27">
        <f>'Off-farm feed'!$I$26</f>
        <v>1.3333449845358203E-5</v>
      </c>
      <c r="K215" s="27">
        <f>'Off-farm feed'!$J$26</f>
        <v>1.1576736579983931E-6</v>
      </c>
      <c r="L215" s="27"/>
      <c r="M215" s="27">
        <f>'Off-farm feed'!$L$26</f>
        <v>7.3437786087804866E-9</v>
      </c>
      <c r="N215" s="27">
        <f>'Off-farm feed'!$M$26</f>
        <v>1.1195281639512197E-6</v>
      </c>
      <c r="O215" s="27"/>
      <c r="P215" s="27">
        <f>'Off-farm feed'!$O$26</f>
        <v>1.3419073770114991E-5</v>
      </c>
      <c r="Q215" s="27">
        <f>'Off-farm feed'!$P$26</f>
        <v>9.087837837837838E-6</v>
      </c>
      <c r="R215" s="151">
        <f>'Parameters SH, country spec'!M26</f>
        <v>1.9990823703774308E-2</v>
      </c>
      <c r="S215" s="151">
        <f>'Parameters SH, country spec'!L44</f>
        <v>0</v>
      </c>
      <c r="T215" s="264">
        <f>'Parameters D24m, country spec'!M22</f>
        <v>1.9990823703774308E-2</v>
      </c>
    </row>
    <row r="216" spans="1:20" x14ac:dyDescent="0.3">
      <c r="B216" s="15" t="s">
        <v>122</v>
      </c>
      <c r="C216" s="15" t="s">
        <v>242</v>
      </c>
      <c r="D216" s="21" t="s">
        <v>556</v>
      </c>
      <c r="E216" s="21" t="s">
        <v>560</v>
      </c>
      <c r="F216" s="120"/>
      <c r="G216" s="93"/>
      <c r="H216" s="93"/>
      <c r="I216" s="93"/>
      <c r="J216" s="93"/>
      <c r="K216" s="93"/>
      <c r="L216" s="93"/>
      <c r="M216" s="93"/>
      <c r="N216" s="93"/>
      <c r="O216" s="93"/>
      <c r="P216" s="93"/>
      <c r="Q216" s="93"/>
      <c r="R216" s="151">
        <f>'Parameters SH, country spec'!M27</f>
        <v>8.0060070909469844E-2</v>
      </c>
      <c r="S216" s="151">
        <f>'Parameters SH, country spec'!L45</f>
        <v>0</v>
      </c>
      <c r="T216" s="264">
        <f>'Parameters D24m, country spec'!M23</f>
        <v>8.0060070909469844E-2</v>
      </c>
    </row>
    <row r="217" spans="1:20" x14ac:dyDescent="0.3">
      <c r="A217" s="75"/>
      <c r="B217" s="15" t="s">
        <v>243</v>
      </c>
      <c r="C217" s="76" t="s">
        <v>244</v>
      </c>
      <c r="D217" s="21" t="s">
        <v>556</v>
      </c>
      <c r="E217" s="21" t="s">
        <v>560</v>
      </c>
      <c r="F217" s="120">
        <f t="shared" ref="F217" si="67">SUM(G217:Q217)</f>
        <v>5.2291877520117617E-5</v>
      </c>
      <c r="G217" s="74">
        <f>SUMPRODUCT(G207:G215,$R207:$R215)</f>
        <v>9.4510877599733893E-6</v>
      </c>
      <c r="H217" s="74">
        <f t="shared" ref="H217:P217" si="68">SUMPRODUCT(H207:H215,$R207:$R215)</f>
        <v>6.1077302259472485E-8</v>
      </c>
      <c r="I217" s="74">
        <f t="shared" si="68"/>
        <v>3.8293087905974581E-5</v>
      </c>
      <c r="J217" s="74">
        <f t="shared" si="68"/>
        <v>3.8293087905974579E-6</v>
      </c>
      <c r="K217" s="74">
        <f t="shared" si="68"/>
        <v>6.6394215227908685E-8</v>
      </c>
      <c r="L217" s="74">
        <f t="shared" si="68"/>
        <v>0</v>
      </c>
      <c r="M217" s="74">
        <f t="shared" si="68"/>
        <v>4.6059224919546532E-10</v>
      </c>
      <c r="N217" s="74">
        <f t="shared" si="68"/>
        <v>8.6243785591508467E-8</v>
      </c>
      <c r="O217" s="74">
        <f t="shared" si="68"/>
        <v>0</v>
      </c>
      <c r="P217" s="74">
        <f t="shared" si="68"/>
        <v>3.1777650309590096E-7</v>
      </c>
      <c r="Q217" s="74">
        <f>SUMPRODUCT(Q207:Q215,$R207:$R215)</f>
        <v>1.8644066514820411E-7</v>
      </c>
      <c r="R217" s="151">
        <f>'Parameters SH, country spec'!M28</f>
        <v>2.9821896428745772E-2</v>
      </c>
      <c r="S217" s="151">
        <f>'Parameters SH, country spec'!L46</f>
        <v>0</v>
      </c>
      <c r="T217" s="264">
        <f>'Parameters D24m, country spec'!M24</f>
        <v>2.9821896428745772E-2</v>
      </c>
    </row>
    <row r="218" spans="1:20" x14ac:dyDescent="0.3">
      <c r="A218" s="328"/>
      <c r="B218" s="329" t="s">
        <v>616</v>
      </c>
      <c r="C218" s="330"/>
      <c r="D218" s="331"/>
      <c r="E218" s="331"/>
      <c r="F218" s="334">
        <f>SUMPRODUCT(F204:F206,R204:R206)+SUMPRODUCT(F207:F217,R207:R217)/0.87</f>
        <v>2.6545278611247975E-4</v>
      </c>
      <c r="G218" s="334">
        <f>SUMPRODUCT(G204:G206,R204:R206)+SUMPRODUCT(G207:G217,R207:R217)/0.87</f>
        <v>5.1980201896799044E-5</v>
      </c>
      <c r="H218" s="334">
        <f>SUMPRODUCT(H204:H206,R204:R206)+SUMPRODUCT(H207:H217,R207:R217)/0.87</f>
        <v>9.7618942261805943E-7</v>
      </c>
      <c r="I218" s="334">
        <f>SUMPRODUCT(I204:I206,R204:R206)+SUMPRODUCT(I207:I217,R207:R217)/0.87</f>
        <v>1.9217878600169067E-4</v>
      </c>
      <c r="J218" s="334">
        <f>SUMPRODUCT(J204:J206,R204:R206)+SUMPRODUCT(J207:J217,R207:R217)/0.87</f>
        <v>1.9217878600169068E-5</v>
      </c>
      <c r="K218" s="334">
        <f>SUMPRODUCT(K204:K206,R204:R206)+SUMPRODUCT(K207:K217,R207:R217)/0.87</f>
        <v>4.002543897895069E-7</v>
      </c>
      <c r="L218" s="334">
        <f>SUMPRODUCT(L204:L206,R204:R206)+SUMPRODUCT(L207:L217,R207:R217)/0.87</f>
        <v>0</v>
      </c>
      <c r="M218" s="334">
        <f>SUMPRODUCT(M204:M206,R204:R206)+SUMPRODUCT(M207:M217,R207:R217)/0.87</f>
        <v>5.4520457878948918E-10</v>
      </c>
      <c r="N218" s="334">
        <f>SUMPRODUCT(N204:N206,R204:R206)+SUMPRODUCT(N207:N217,R207:R217)/0.87</f>
        <v>1.0208705612993263E-7</v>
      </c>
      <c r="O218" s="334">
        <f>SUMPRODUCT(O204:O206,R204:R206)+SUMPRODUCT(O207:O217,R207:R217)/0.87</f>
        <v>0</v>
      </c>
      <c r="P218" s="334">
        <f>SUMPRODUCT(P204:P206,R204:R206)+SUMPRODUCT(P207:P217,R207:R217)/0.87</f>
        <v>3.7615310466519072E-7</v>
      </c>
      <c r="Q218" s="334">
        <f>SUMPRODUCT(Q204:Q206,R204:R206)+SUMPRODUCT(Q207:Q217,R207:R217)/0.87</f>
        <v>2.206904360394946E-7</v>
      </c>
      <c r="R218" s="335"/>
      <c r="S218" s="335"/>
      <c r="T218" s="336"/>
    </row>
    <row r="219" spans="1:20" x14ac:dyDescent="0.3">
      <c r="A219" s="150"/>
      <c r="B219" s="23" t="s">
        <v>457</v>
      </c>
      <c r="C219" s="24"/>
      <c r="D219" s="94"/>
      <c r="E219" s="94"/>
      <c r="F219" s="28">
        <f>SUMPRODUCT(F204:F206,S204:S206)+SUMPRODUCT(F207:F217,S207:S217)/0.87</f>
        <v>1.1414171192126592E-4</v>
      </c>
      <c r="G219" s="28">
        <f>SUMPRODUCT(G204:G206,S204:S206)+SUMPRODUCT(G207:G217,S207:S217)/0.87</f>
        <v>1.8636272991824661E-5</v>
      </c>
      <c r="H219" s="28">
        <f>SUMPRODUCT(H204:H206,S204:S206)+SUMPRODUCT(H207:H217,S207:S217)/0.87</f>
        <v>1.1000000000000001E-6</v>
      </c>
      <c r="I219" s="28">
        <f>SUMPRODUCT(I204:I206,S204:S206)+SUMPRODUCT(I207:I217,S207:S217)/0.87</f>
        <v>8.5460316522190224E-5</v>
      </c>
      <c r="J219" s="28">
        <f>SUMPRODUCT(J204:J206,S204:S206)+SUMPRODUCT(J207:J217,S207:S217)/0.87</f>
        <v>8.5460316522190224E-6</v>
      </c>
      <c r="K219" s="28">
        <f>SUMPRODUCT(K204:K206,S204:S206)+SUMPRODUCT(K207:K217,S207:S217)/0.87</f>
        <v>3.9909075503204076E-7</v>
      </c>
      <c r="L219" s="28">
        <f>SUMPRODUCT(L204:L206,S204:S206)+SUMPRODUCT(L207:L217,S207:S217)/0.87</f>
        <v>0</v>
      </c>
      <c r="M219" s="28">
        <f>SUMPRODUCT(M204:M206,S204:S206)+SUMPRODUCT(M207:M217,S207:S217)/0.87</f>
        <v>0</v>
      </c>
      <c r="N219" s="28">
        <f>SUMPRODUCT(N204:N206,S204:S206)+SUMPRODUCT(N207:N217,S207:S217)/0.87</f>
        <v>0</v>
      </c>
      <c r="O219" s="28">
        <f>SUMPRODUCT(O204:O206,S204:S206)+SUMPRODUCT(O207:O217,S207:S217)/0.87</f>
        <v>0</v>
      </c>
      <c r="P219" s="28">
        <f>SUMPRODUCT(P204:P206,S204:S206)+SUMPRODUCT(P207:P217,S207:S217)/0.87</f>
        <v>0</v>
      </c>
      <c r="Q219" s="28">
        <f>SUMPRODUCT(Q204:Q206,S204:S206)+SUMPRODUCT(Q207:Q217,S207:S217)/0.87</f>
        <v>0</v>
      </c>
      <c r="R219" s="152"/>
      <c r="S219" s="152"/>
      <c r="T219" s="152"/>
    </row>
    <row r="220" spans="1:20" x14ac:dyDescent="0.3">
      <c r="A220" s="328"/>
      <c r="B220" s="329" t="s">
        <v>641</v>
      </c>
      <c r="C220" s="330"/>
      <c r="D220" s="331"/>
      <c r="E220" s="331"/>
      <c r="F220" s="332">
        <f>SUMPRODUCT(F204:F206,$T204:$T206)+SUMPRODUCT(F207:F217,$T207:$T217)/0.87</f>
        <v>2.6545278611247975E-4</v>
      </c>
      <c r="G220" s="332">
        <f t="shared" ref="G220:O220" si="69">SUMPRODUCT(G204:G206,$T204:$T206)+SUMPRODUCT(G207:G217,$T207:$T217)/0.87</f>
        <v>5.1980201896799044E-5</v>
      </c>
      <c r="H220" s="332">
        <f t="shared" si="69"/>
        <v>9.7618942261805943E-7</v>
      </c>
      <c r="I220" s="332">
        <f t="shared" si="69"/>
        <v>1.9217878600169067E-4</v>
      </c>
      <c r="J220" s="332">
        <f t="shared" si="69"/>
        <v>1.9217878600169068E-5</v>
      </c>
      <c r="K220" s="332">
        <f t="shared" si="69"/>
        <v>4.002543897895069E-7</v>
      </c>
      <c r="L220" s="332">
        <f t="shared" si="69"/>
        <v>0</v>
      </c>
      <c r="M220" s="332">
        <f t="shared" si="69"/>
        <v>5.4520457878948918E-10</v>
      </c>
      <c r="N220" s="332">
        <f t="shared" si="69"/>
        <v>1.0208705612993263E-7</v>
      </c>
      <c r="O220" s="332">
        <f t="shared" si="69"/>
        <v>0</v>
      </c>
      <c r="P220" s="332">
        <f>SUMPRODUCT(P204:P206,$T204:$T206)+SUMPRODUCT(P207:P217,$T207:$T217)/0.87</f>
        <v>3.7615310466519072E-7</v>
      </c>
      <c r="Q220" s="332">
        <f t="shared" ref="Q220" si="70">SUMPRODUCT(Q204:Q206,$T204:$T206)+SUMPRODUCT(Q207:Q217,$T207:$T217)/0.87</f>
        <v>2.206904360394946E-7</v>
      </c>
      <c r="R220" s="335"/>
      <c r="S220" s="335"/>
      <c r="T220" s="335"/>
    </row>
    <row r="221" spans="1:20" x14ac:dyDescent="0.3">
      <c r="A221" s="150"/>
      <c r="B221" s="23" t="s">
        <v>642</v>
      </c>
      <c r="C221" s="24"/>
      <c r="D221" s="94"/>
      <c r="E221" s="94"/>
      <c r="F221" s="327">
        <f>SUMPRODUCT(F204:F206,$U204:$U206)+SUMPRODUCT(F207:F217,$U207:$U217)/0.87</f>
        <v>0</v>
      </c>
      <c r="G221" s="327">
        <f t="shared" ref="G221:K221" si="71">SUMPRODUCT(G204:G206,$U204:$U206)+SUMPRODUCT(G207:G217,$U207:$U217)/0.87</f>
        <v>0</v>
      </c>
      <c r="H221" s="327">
        <f t="shared" si="71"/>
        <v>0</v>
      </c>
      <c r="I221" s="327">
        <f t="shared" si="71"/>
        <v>0</v>
      </c>
      <c r="J221" s="327">
        <f>SUMPRODUCT(J204:J206,$U204:$U206)+SUMPRODUCT(J207:J217,$U207:$U217)/0.87</f>
        <v>0</v>
      </c>
      <c r="K221" s="327">
        <f t="shared" si="71"/>
        <v>0</v>
      </c>
      <c r="L221" s="327">
        <f>SUMPRODUCT(L204:L206,$U204:$U206)+SUMPRODUCT(L207:L217,$U207:$U217)/0.87</f>
        <v>0</v>
      </c>
      <c r="M221" s="327">
        <f t="shared" ref="M221:Q221" si="72">SUMPRODUCT(M204:M206,$U204:$U206)+SUMPRODUCT(M207:M217,$U207:$U217)/0.87</f>
        <v>0</v>
      </c>
      <c r="N221" s="327">
        <f t="shared" si="72"/>
        <v>0</v>
      </c>
      <c r="O221" s="327">
        <f t="shared" si="72"/>
        <v>0</v>
      </c>
      <c r="P221" s="327">
        <f t="shared" si="72"/>
        <v>0</v>
      </c>
      <c r="Q221" s="327">
        <f t="shared" si="72"/>
        <v>0</v>
      </c>
      <c r="R221" s="152"/>
      <c r="S221" s="152"/>
      <c r="T221" s="152"/>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tabColor theme="4" tint="0.39997558519241921"/>
  </sheetPr>
  <dimension ref="A1:S221"/>
  <sheetViews>
    <sheetView zoomScale="61" zoomScaleNormal="80" workbookViewId="0">
      <selection activeCell="E1" sqref="E1:I1048576"/>
    </sheetView>
  </sheetViews>
  <sheetFormatPr defaultColWidth="8.6640625" defaultRowHeight="14.4" x14ac:dyDescent="0.3"/>
  <cols>
    <col min="1" max="1" width="8.6640625" customWidth="1"/>
    <col min="2" max="2" width="30.44140625" customWidth="1"/>
    <col min="3" max="3" width="19" customWidth="1"/>
    <col min="4" max="4" width="12.6640625" customWidth="1"/>
    <col min="5" max="5" width="8.6640625" customWidth="1"/>
    <col min="6" max="10" width="15.6640625" customWidth="1"/>
    <col min="11" max="11" width="15.6640625" style="42" customWidth="1"/>
    <col min="12" max="12" width="15.6640625" customWidth="1"/>
    <col min="14" max="14" width="8.6640625" style="3"/>
    <col min="15" max="15" width="8.6640625" style="264"/>
  </cols>
  <sheetData>
    <row r="1" spans="1:16" x14ac:dyDescent="0.3">
      <c r="D1" s="6"/>
    </row>
    <row r="2" spans="1:16" ht="21" x14ac:dyDescent="0.4">
      <c r="A2" s="2" t="s">
        <v>458</v>
      </c>
      <c r="F2" t="s">
        <v>456</v>
      </c>
      <c r="L2" t="s">
        <v>223</v>
      </c>
    </row>
    <row r="3" spans="1:16" x14ac:dyDescent="0.3">
      <c r="H3" s="7"/>
      <c r="I3" s="7"/>
      <c r="J3" s="7"/>
      <c r="K3" s="57"/>
    </row>
    <row r="4" spans="1:16" x14ac:dyDescent="0.3">
      <c r="A4" s="156" t="s">
        <v>224</v>
      </c>
      <c r="B4" s="157"/>
      <c r="C4" s="157"/>
      <c r="D4" s="157"/>
      <c r="E4" s="157"/>
      <c r="F4" s="158" t="s">
        <v>12</v>
      </c>
      <c r="G4" s="158" t="s">
        <v>247</v>
      </c>
      <c r="H4" s="158" t="s">
        <v>13</v>
      </c>
      <c r="I4" s="158" t="s">
        <v>14</v>
      </c>
      <c r="J4" s="159" t="s">
        <v>15</v>
      </c>
      <c r="K4" s="159" t="s">
        <v>16</v>
      </c>
      <c r="L4" s="159" t="s">
        <v>17</v>
      </c>
      <c r="M4" s="146" t="s">
        <v>225</v>
      </c>
      <c r="N4" s="354" t="s">
        <v>225</v>
      </c>
      <c r="O4" s="455" t="s">
        <v>225</v>
      </c>
      <c r="P4" s="354" t="s">
        <v>225</v>
      </c>
    </row>
    <row r="5" spans="1:16" ht="43.2" x14ac:dyDescent="0.3">
      <c r="A5" s="160" t="s">
        <v>19</v>
      </c>
      <c r="B5" s="160" t="s">
        <v>224</v>
      </c>
      <c r="C5" s="160" t="s">
        <v>226</v>
      </c>
      <c r="D5" s="160" t="s">
        <v>22</v>
      </c>
      <c r="E5" s="149" t="s">
        <v>23</v>
      </c>
      <c r="F5" s="165" t="s">
        <v>30</v>
      </c>
      <c r="G5" s="165" t="s">
        <v>248</v>
      </c>
      <c r="H5" s="165" t="s">
        <v>249</v>
      </c>
      <c r="I5" s="166" t="s">
        <v>33</v>
      </c>
      <c r="J5" s="167" t="s">
        <v>34</v>
      </c>
      <c r="K5" s="168" t="s">
        <v>35</v>
      </c>
      <c r="L5" s="168" t="s">
        <v>36</v>
      </c>
      <c r="M5" s="90" t="s">
        <v>585</v>
      </c>
      <c r="N5" s="90" t="s">
        <v>643</v>
      </c>
      <c r="O5" s="458" t="s">
        <v>645</v>
      </c>
      <c r="P5" s="90" t="s">
        <v>644</v>
      </c>
    </row>
    <row r="6" spans="1:16" x14ac:dyDescent="0.3">
      <c r="B6" s="16" t="s">
        <v>299</v>
      </c>
      <c r="C6" s="15" t="s">
        <v>302</v>
      </c>
      <c r="D6" s="21" t="s">
        <v>90</v>
      </c>
      <c r="E6" s="21" t="s">
        <v>40</v>
      </c>
      <c r="F6" s="110">
        <v>0</v>
      </c>
      <c r="G6" s="318">
        <f>'Forage crops, footprints'!G8</f>
        <v>1.0762098565245551E-2</v>
      </c>
      <c r="H6" s="319">
        <f>'Forage crops, footprints'!H8</f>
        <v>3.8463374244824279E-5</v>
      </c>
      <c r="I6" s="318">
        <f>'Forage crops, footprints'!I8</f>
        <v>0</v>
      </c>
      <c r="J6" s="120">
        <f>'Forage crops, footprints'!J8</f>
        <v>0</v>
      </c>
      <c r="K6" s="120">
        <f>'Forage crops, footprints'!K8</f>
        <v>6.7547362020899446E-11</v>
      </c>
      <c r="L6" s="120">
        <f>'Forage crops, footprints'!L8</f>
        <v>1.3924589728241983E-4</v>
      </c>
      <c r="M6" s="151">
        <f>'Parameters SH, country spec'!B15</f>
        <v>1.3213875800981024E-2</v>
      </c>
      <c r="N6" s="151">
        <f>'Parameters SH, country spec'!B33</f>
        <v>1.3213875800981E-2</v>
      </c>
      <c r="O6" s="151">
        <f>'Parameters D24m, country spec'!B11</f>
        <v>1.3213875800981024E-2</v>
      </c>
      <c r="P6" s="151"/>
    </row>
    <row r="7" spans="1:16" x14ac:dyDescent="0.3">
      <c r="B7" s="16" t="s">
        <v>300</v>
      </c>
      <c r="C7" s="15" t="s">
        <v>302</v>
      </c>
      <c r="D7" s="21" t="s">
        <v>90</v>
      </c>
      <c r="E7" s="21" t="s">
        <v>40</v>
      </c>
      <c r="F7" s="110">
        <f>'Forage crops, footprints'!F25</f>
        <v>0.75224590731520991</v>
      </c>
      <c r="G7" s="318">
        <f>'Forage crops, footprints'!G25</f>
        <v>3.0089836292608398E-3</v>
      </c>
      <c r="H7" s="319">
        <f>'Forage crops, footprints'!H25</f>
        <v>3.9413447538205363E-4</v>
      </c>
      <c r="I7" s="318">
        <f>'Forage crops, footprints'!I25</f>
        <v>0</v>
      </c>
      <c r="J7" s="120">
        <f>'Forage crops, footprints'!J25</f>
        <v>2.5056963704554087E-5</v>
      </c>
      <c r="K7" s="120">
        <f>'Forage crops, footprints'!K25</f>
        <v>3.3779715864976507E-11</v>
      </c>
      <c r="L7" s="120">
        <f>'Forage crops, footprints'!L25</f>
        <v>1.8292996426765674E-4</v>
      </c>
      <c r="M7" s="151">
        <f>'Parameters SH, country spec'!B16</f>
        <v>0.2760369962266197</v>
      </c>
      <c r="N7" s="151">
        <f>'Parameters SH, country spec'!B34</f>
        <v>0.2760369962266197</v>
      </c>
      <c r="O7" s="151">
        <f>'Parameters D24m, country spec'!B12</f>
        <v>0.2760369962266197</v>
      </c>
      <c r="P7" s="151"/>
    </row>
    <row r="8" spans="1:16" x14ac:dyDescent="0.3">
      <c r="B8" s="16" t="s">
        <v>450</v>
      </c>
      <c r="C8" s="15" t="s">
        <v>302</v>
      </c>
      <c r="D8" s="21" t="s">
        <v>90</v>
      </c>
      <c r="E8" s="21" t="s">
        <v>40</v>
      </c>
      <c r="F8" s="110">
        <f>'Forage, input data per ha'!$D$78*'Forage crops, footprints'!F42+'Forage, input data per ha'!$E$78*'Forage crops, footprints'!F59</f>
        <v>0.88092605063387597</v>
      </c>
      <c r="G8" s="318">
        <f>'Forage, input data per ha'!$D$78*'Forage crops, footprints'!G42+'Forage, input data per ha'!$E$78*'Forage crops, footprints'!G59</f>
        <v>1.0778042776791331E-2</v>
      </c>
      <c r="H8" s="319">
        <f>'Forage, input data per ha'!$D$78*'Forage crops, footprints'!H42+'Forage, input data per ha'!$E$78*'Forage crops, footprints'!H59</f>
        <v>4.0533767187275147E-5</v>
      </c>
      <c r="I8" s="318">
        <f>'Forage, input data per ha'!$D$78*'Forage crops, footprints'!I42+'Forage, input data per ha'!$E$78*'Forage crops, footprints'!I59</f>
        <v>0</v>
      </c>
      <c r="J8" s="120">
        <f>'Forage, input data per ha'!$D$78*'Forage crops, footprints'!J42+'Forage, input data per ha'!$E$78*'Forage crops, footprints'!J59</f>
        <v>4.4821524767284887E-5</v>
      </c>
      <c r="K8" s="120">
        <f>'Forage, input data per ha'!$D$78*'Forage crops, footprints'!K42+'Forage, input data per ha'!$E$78*'Forage crops, footprints'!K59</f>
        <v>3.0528961288656926E-11</v>
      </c>
      <c r="L8" s="120">
        <f>'Forage, input data per ha'!$D$78*'Forage crops, footprints'!L42+'Forage, input data per ha'!$E$78*'Forage crops, footprints'!L59</f>
        <v>1.391823026814869E-4</v>
      </c>
      <c r="M8" s="151">
        <f>'Parameters SH, country spec'!B17</f>
        <v>0.61590538837145792</v>
      </c>
      <c r="N8" s="151">
        <f>'Parameters SH, country spec'!B35</f>
        <v>0.61590538837145792</v>
      </c>
      <c r="O8" s="151">
        <f>'Parameters D24m, country spec'!B13</f>
        <v>0.61590538837145792</v>
      </c>
      <c r="P8" s="151"/>
    </row>
    <row r="9" spans="1:16" x14ac:dyDescent="0.3">
      <c r="A9" s="20" t="s">
        <v>231</v>
      </c>
      <c r="B9" s="15" t="s">
        <v>113</v>
      </c>
      <c r="C9" s="15" t="s">
        <v>232</v>
      </c>
      <c r="D9" s="21" t="s">
        <v>90</v>
      </c>
      <c r="E9" s="21" t="s">
        <v>40</v>
      </c>
      <c r="F9" s="22">
        <v>1.76</v>
      </c>
      <c r="G9" s="38">
        <v>2.1000000000000001E-2</v>
      </c>
      <c r="H9" s="323">
        <v>3.0999999999999999E-3</v>
      </c>
      <c r="I9" s="38">
        <v>1.7851047046833199E-4</v>
      </c>
      <c r="J9" s="26">
        <v>0.36</v>
      </c>
      <c r="K9" s="26">
        <v>7.8800000000000002E-11</v>
      </c>
      <c r="L9" s="26">
        <v>1.25E-3</v>
      </c>
      <c r="M9" s="151">
        <f>'Parameters SH, country spec'!B18</f>
        <v>5.1639112390513857E-3</v>
      </c>
      <c r="N9" s="151">
        <f>'Parameters SH, country spec'!B36</f>
        <v>5.1639112390513857E-3</v>
      </c>
      <c r="O9" s="151">
        <f>'Parameters D24m, country spec'!B14</f>
        <v>5.1639112390513857E-3</v>
      </c>
    </row>
    <row r="10" spans="1:16" x14ac:dyDescent="0.3">
      <c r="A10" s="20" t="s">
        <v>233</v>
      </c>
      <c r="B10" s="15" t="s">
        <v>114</v>
      </c>
      <c r="C10" s="15" t="s">
        <v>232</v>
      </c>
      <c r="D10" s="21" t="s">
        <v>90</v>
      </c>
      <c r="E10" s="21" t="s">
        <v>40</v>
      </c>
      <c r="F10" s="19">
        <v>1.46</v>
      </c>
      <c r="G10" s="38">
        <v>0.02</v>
      </c>
      <c r="H10" s="323">
        <v>5.5999999999999999E-3</v>
      </c>
      <c r="I10" s="38">
        <v>0</v>
      </c>
      <c r="J10" s="26">
        <v>0.02</v>
      </c>
      <c r="K10" s="26">
        <v>6.5799999999999995E-11</v>
      </c>
      <c r="L10" s="26">
        <v>1.2099999999999999E-3</v>
      </c>
      <c r="M10" s="151">
        <f>'Parameters SH, country spec'!B19</f>
        <v>3.1075970320211814E-4</v>
      </c>
      <c r="N10" s="151">
        <f>'Parameters SH, country spec'!B37</f>
        <v>3.1075970320211814E-4</v>
      </c>
      <c r="O10" s="151">
        <f>'Parameters D24m, country spec'!B15</f>
        <v>3.1075970320211814E-4</v>
      </c>
    </row>
    <row r="11" spans="1:16" x14ac:dyDescent="0.3">
      <c r="A11" s="20" t="s">
        <v>234</v>
      </c>
      <c r="B11" s="15" t="s">
        <v>115</v>
      </c>
      <c r="C11" s="15" t="s">
        <v>232</v>
      </c>
      <c r="D11" s="21" t="s">
        <v>90</v>
      </c>
      <c r="E11" s="21" t="s">
        <v>40</v>
      </c>
      <c r="F11" s="19">
        <v>2.0499999999999998</v>
      </c>
      <c r="G11" s="38">
        <v>1.7999999999999999E-2</v>
      </c>
      <c r="H11" s="323">
        <v>3.8E-3</v>
      </c>
      <c r="I11" s="38">
        <v>6.6160105698511999E-5</v>
      </c>
      <c r="J11" s="26">
        <v>0.11</v>
      </c>
      <c r="K11" s="26">
        <v>9.2000000000000005E-11</v>
      </c>
      <c r="L11" s="26">
        <v>1.1000000000000001E-3</v>
      </c>
      <c r="M11" s="151">
        <f>'Parameters SH, country spec'!B20</f>
        <v>8.6733359151412953E-5</v>
      </c>
      <c r="N11" s="151">
        <f>'Parameters SH, country spec'!B38</f>
        <v>8.6733359151412953E-5</v>
      </c>
      <c r="O11" s="151">
        <f>'Parameters D24m, country spec'!B16</f>
        <v>8.6733359151412953E-5</v>
      </c>
    </row>
    <row r="12" spans="1:16" x14ac:dyDescent="0.3">
      <c r="A12" s="20" t="s">
        <v>235</v>
      </c>
      <c r="B12" s="15" t="s">
        <v>116</v>
      </c>
      <c r="C12" s="15" t="s">
        <v>232</v>
      </c>
      <c r="D12" s="21" t="s">
        <v>90</v>
      </c>
      <c r="E12" s="21" t="s">
        <v>40</v>
      </c>
      <c r="F12" s="19">
        <v>1.67</v>
      </c>
      <c r="G12" s="38">
        <v>1.6E-2</v>
      </c>
      <c r="H12" s="323">
        <v>1.1999999999999999E-3</v>
      </c>
      <c r="I12" s="38">
        <v>1.1771521062653201E-5</v>
      </c>
      <c r="J12" s="26">
        <v>0.16</v>
      </c>
      <c r="K12" s="26">
        <v>7.5E-11</v>
      </c>
      <c r="L12" s="26">
        <v>9.68E-4</v>
      </c>
      <c r="M12" s="151">
        <f>'Parameters SH, country spec'!B21</f>
        <v>6.2924072151971947E-5</v>
      </c>
      <c r="N12" s="151">
        <f>'Parameters SH, country spec'!B39</f>
        <v>6.2924072151971947E-5</v>
      </c>
      <c r="O12" s="151">
        <f>'Parameters D24m, country spec'!B17</f>
        <v>6.2924072151971947E-5</v>
      </c>
    </row>
    <row r="13" spans="1:16" x14ac:dyDescent="0.3">
      <c r="A13" s="20" t="s">
        <v>236</v>
      </c>
      <c r="B13" s="15" t="s">
        <v>117</v>
      </c>
      <c r="C13" s="15" t="s">
        <v>232</v>
      </c>
      <c r="D13" s="21" t="s">
        <v>90</v>
      </c>
      <c r="E13" s="21" t="s">
        <v>40</v>
      </c>
      <c r="F13" s="19">
        <v>1.31</v>
      </c>
      <c r="G13" s="38">
        <v>2.4E-2</v>
      </c>
      <c r="H13" s="323">
        <v>2.2000000000000001E-3</v>
      </c>
      <c r="I13" s="38">
        <v>6.3497346233092004E-3</v>
      </c>
      <c r="J13" s="26">
        <v>0.12</v>
      </c>
      <c r="K13" s="26">
        <v>5.8899999999999998E-11</v>
      </c>
      <c r="L13" s="26">
        <v>1.4300000000000001E-3</v>
      </c>
      <c r="M13" s="151">
        <f>'Parameters SH, country spec'!B22</f>
        <v>5.3306026591199238E-3</v>
      </c>
      <c r="N13" s="151">
        <f>'Parameters SH, country spec'!B40</f>
        <v>5.3306026591199238E-3</v>
      </c>
      <c r="O13" s="151">
        <f>'Parameters D24m, country spec'!B18</f>
        <v>5.3306026591199238E-3</v>
      </c>
    </row>
    <row r="14" spans="1:16" x14ac:dyDescent="0.3">
      <c r="A14" s="20" t="s">
        <v>237</v>
      </c>
      <c r="B14" s="15" t="s">
        <v>118</v>
      </c>
      <c r="C14" s="15" t="s">
        <v>238</v>
      </c>
      <c r="D14" s="21" t="s">
        <v>90</v>
      </c>
      <c r="E14" s="21" t="s">
        <v>40</v>
      </c>
      <c r="F14" s="19">
        <v>2.64</v>
      </c>
      <c r="G14" s="38">
        <v>1.7000000000000001E-2</v>
      </c>
      <c r="H14" s="323">
        <v>1.6999999999999999E-3</v>
      </c>
      <c r="I14" s="38">
        <v>0</v>
      </c>
      <c r="J14" s="26">
        <v>0.2</v>
      </c>
      <c r="K14" s="26">
        <v>1.1800000000000001E-10</v>
      </c>
      <c r="L14" s="26">
        <v>0</v>
      </c>
      <c r="M14" s="151">
        <f>'Parameters SH, country spec'!B23</f>
        <v>2.439015630520557E-4</v>
      </c>
      <c r="N14" s="151">
        <f>'Parameters SH, country spec'!B41</f>
        <v>2.439015630520557E-4</v>
      </c>
      <c r="O14" s="151">
        <f>'Parameters D24m, country spec'!B19</f>
        <v>2.439015630520557E-4</v>
      </c>
    </row>
    <row r="15" spans="1:16" x14ac:dyDescent="0.3">
      <c r="A15" s="20" t="s">
        <v>239</v>
      </c>
      <c r="B15" s="15" t="s">
        <v>119</v>
      </c>
      <c r="C15" s="15" t="s">
        <v>238</v>
      </c>
      <c r="D15" s="21" t="s">
        <v>90</v>
      </c>
      <c r="E15" s="21" t="s">
        <v>40</v>
      </c>
      <c r="F15" s="298">
        <v>2.81</v>
      </c>
      <c r="G15" s="298">
        <v>8.0000000000000002E-3</v>
      </c>
      <c r="H15" s="324">
        <v>2E-3</v>
      </c>
      <c r="I15" s="322">
        <v>0</v>
      </c>
      <c r="J15" s="299">
        <v>0.31</v>
      </c>
      <c r="K15" s="299">
        <v>1.26E-10</v>
      </c>
      <c r="L15" s="299">
        <v>6.1400000000000002E-5</v>
      </c>
      <c r="M15" s="151">
        <f>'Parameters SH, country spec'!B24</f>
        <v>2.3959170998341588E-4</v>
      </c>
      <c r="N15" s="151">
        <f>'Parameters SH, country spec'!B42</f>
        <v>2.3959170998341588E-4</v>
      </c>
      <c r="O15" s="151">
        <f>'Parameters D24m, country spec'!B20</f>
        <v>2.3959170998341588E-4</v>
      </c>
    </row>
    <row r="16" spans="1:16" x14ac:dyDescent="0.3">
      <c r="B16" s="16" t="s">
        <v>120</v>
      </c>
      <c r="C16" s="15" t="s">
        <v>240</v>
      </c>
      <c r="D16" s="21" t="s">
        <v>90</v>
      </c>
      <c r="E16" s="21" t="s">
        <v>40</v>
      </c>
      <c r="F16" s="17">
        <f>'Off-farm feed'!$F$88</f>
        <v>1.5397450382845088</v>
      </c>
      <c r="G16" s="18">
        <f>'Off-farm feed'!$G$88</f>
        <v>4.1115595157230206E-2</v>
      </c>
      <c r="H16" s="294">
        <f>'Off-farm feed'!$H$88</f>
        <v>4.4751668198345796E-3</v>
      </c>
      <c r="I16" s="18">
        <f>'Off-farm feed'!$I$88</f>
        <v>2.5747126436781614E-3</v>
      </c>
      <c r="J16" s="27">
        <f>'Off-farm feed'!$J$88</f>
        <v>0.29368572248181501</v>
      </c>
      <c r="K16" s="27">
        <f>'Off-farm feed'!$K$88</f>
        <v>1.777473414827503E-10</v>
      </c>
      <c r="L16" s="27">
        <f>'Off-farm feed'!$L$88</f>
        <v>2.4996062723023757E-3</v>
      </c>
      <c r="M16" s="151">
        <f>'Parameters SH, country spec'!B25</f>
        <v>1.5312279516773717E-2</v>
      </c>
      <c r="N16" s="151">
        <f>'Parameters SH, country spec'!B43</f>
        <v>1.5312279516773717E-2</v>
      </c>
      <c r="O16" s="151">
        <f>'Parameters D24m, country spec'!B21</f>
        <v>1.5312279516773717E-2</v>
      </c>
    </row>
    <row r="17" spans="1:19" x14ac:dyDescent="0.3">
      <c r="B17" s="16" t="s">
        <v>241</v>
      </c>
      <c r="C17" s="15" t="s">
        <v>240</v>
      </c>
      <c r="D17" s="21" t="s">
        <v>90</v>
      </c>
      <c r="E17" s="21" t="s">
        <v>40</v>
      </c>
      <c r="F17" s="17">
        <f>'Off-farm feed'!$F$36</f>
        <v>2.5509164954964132</v>
      </c>
      <c r="G17" s="18">
        <f>'Off-farm feed'!$G$36</f>
        <v>4.2620923125915477E-2</v>
      </c>
      <c r="H17" s="294">
        <f>'Off-farm feed'!$H$36</f>
        <v>3.2959349471355036E-3</v>
      </c>
      <c r="I17" s="18">
        <f>'Off-farm feed'!$I$36</f>
        <v>2.3780487804878048E-3</v>
      </c>
      <c r="J17" s="27">
        <f>'Off-farm feed'!$J$36</f>
        <v>0.25920846302270939</v>
      </c>
      <c r="K17" s="27">
        <f>'Off-farm feed'!$K$36</f>
        <v>6.1197957373175144E-10</v>
      </c>
      <c r="L17" s="27">
        <f>'Off-farm feed'!$L$36</f>
        <v>1.0450321677831981E-4</v>
      </c>
      <c r="M17" s="151">
        <f>'Parameters SH, country spec'!B26</f>
        <v>3.7726798982461625E-2</v>
      </c>
      <c r="N17" s="151">
        <f>'Parameters SH, country spec'!B44</f>
        <v>3.7726798982461625E-2</v>
      </c>
      <c r="O17" s="151">
        <f>'Parameters D24m, country spec'!B22</f>
        <v>3.7726798982461625E-2</v>
      </c>
    </row>
    <row r="18" spans="1:19" x14ac:dyDescent="0.3">
      <c r="B18" s="15" t="s">
        <v>122</v>
      </c>
      <c r="C18" s="15" t="s">
        <v>242</v>
      </c>
      <c r="D18" s="21" t="s">
        <v>90</v>
      </c>
      <c r="E18" s="21" t="s">
        <v>40</v>
      </c>
      <c r="F18" s="97"/>
      <c r="G18" s="98"/>
      <c r="H18" s="325"/>
      <c r="I18" s="97"/>
      <c r="J18" s="105"/>
      <c r="K18" s="105"/>
      <c r="L18" s="105"/>
      <c r="M18" s="151">
        <f>'Parameters SH, country spec'!B27</f>
        <v>1.6611298610472246E-2</v>
      </c>
      <c r="N18" s="151">
        <f>'Parameters SH, country spec'!B45</f>
        <v>1.6611298610472246E-2</v>
      </c>
      <c r="O18" s="151">
        <f>'Parameters D24m, country spec'!B23</f>
        <v>1.6611298610472246E-2</v>
      </c>
    </row>
    <row r="19" spans="1:19" x14ac:dyDescent="0.3">
      <c r="A19" s="75"/>
      <c r="B19" s="15" t="s">
        <v>243</v>
      </c>
      <c r="C19" s="76" t="s">
        <v>244</v>
      </c>
      <c r="D19" s="21" t="s">
        <v>90</v>
      </c>
      <c r="E19" s="21" t="s">
        <v>40</v>
      </c>
      <c r="F19" s="73">
        <f>AVERAGE(F9:F17)</f>
        <v>1.9767401704201026</v>
      </c>
      <c r="G19" s="99">
        <f>AVERAGE(G9:G17)</f>
        <v>2.3081835364793964E-2</v>
      </c>
      <c r="H19" s="326">
        <f t="shared" ref="H19:L19" si="0">AVERAGE(H9:H17)</f>
        <v>3.0412335296633422E-3</v>
      </c>
      <c r="I19" s="99">
        <f t="shared" si="0"/>
        <v>1.2843264605227405E-3</v>
      </c>
      <c r="J19" s="74">
        <f t="shared" si="0"/>
        <v>0.20365490950050272</v>
      </c>
      <c r="K19" s="74">
        <f t="shared" si="0"/>
        <v>1.560252128016113E-10</v>
      </c>
      <c r="L19" s="74">
        <f t="shared" si="0"/>
        <v>9.5816772100896597E-4</v>
      </c>
      <c r="M19" s="151">
        <f>'Parameters SH, country spec'!B28</f>
        <v>1.3754938185521381E-2</v>
      </c>
      <c r="N19" s="151">
        <f>'Parameters SH, country spec'!B46</f>
        <v>1.3754938185521381E-2</v>
      </c>
      <c r="O19" s="151">
        <f>'Parameters D24m, country spec'!B24</f>
        <v>1.3754938185521381E-2</v>
      </c>
    </row>
    <row r="20" spans="1:19" x14ac:dyDescent="0.3">
      <c r="A20" s="328"/>
      <c r="B20" s="329" t="s">
        <v>616</v>
      </c>
      <c r="C20" s="330"/>
      <c r="D20" s="331"/>
      <c r="E20" s="331"/>
      <c r="F20" s="332">
        <f>SUMPRODUCT(F6:F8,M6:M8)+SUMPRODUCT(F9:F19,M9:M19)/0.87</f>
        <v>0.94001960772182502</v>
      </c>
      <c r="G20" s="333">
        <f>SUMPRODUCT(G6:G8,M6:M8)+SUMPRODUCT(G9:G19,M9:M19)/0.87</f>
        <v>1.0836613703884456E-2</v>
      </c>
      <c r="H20" s="333">
        <f>SUMPRODUCT(H6:H8,M6:M8)+SUMPRODUCT(H9:H19,M9:M19)/0.87</f>
        <v>4.394145176290277E-4</v>
      </c>
      <c r="I20" s="333">
        <f>SUMPRODUCT(I6:I8,M6:M8)+SUMPRODUCT(I9:I19,M9:M19)/0.87</f>
        <v>2.0871600293626434E-4</v>
      </c>
      <c r="J20" s="334">
        <f>SUMPRODUCT(J6:J8,M6:M8)+SUMPRODUCT(J9:J19,M9:M19)/0.87</f>
        <v>2.2706846566543867E-2</v>
      </c>
      <c r="K20" s="334">
        <f>SUMPRODUCT(K6:K8,M6:M8)+SUMPRODUCT(K9:K19,M9:M19)/0.87</f>
        <v>6.2087630912537513E-11</v>
      </c>
      <c r="L20" s="334">
        <f>SUMPRODUCT(L6:L8,M6:M8)+SUMPRODUCT(L9:L19,M9:M19)/0.87</f>
        <v>2.1854300324287342E-4</v>
      </c>
      <c r="M20" s="335"/>
      <c r="N20" s="335"/>
      <c r="O20" s="336"/>
      <c r="P20" s="335"/>
    </row>
    <row r="21" spans="1:19" x14ac:dyDescent="0.3">
      <c r="A21" s="150"/>
      <c r="B21" s="23" t="s">
        <v>457</v>
      </c>
      <c r="C21" s="24"/>
      <c r="D21" s="94"/>
      <c r="E21" s="94"/>
      <c r="F21" s="327">
        <f>SUMPRODUCT(F6:F9,N6:N9)+SUMPRODUCT(F10:F20,N10:N20)/0.87</f>
        <v>0.93866155842125609</v>
      </c>
      <c r="G21" s="25">
        <f>SUMPRODUCT(G6:G9,N6:N9)+SUMPRODUCT(G10:G20,N10:N20)/0.87</f>
        <v>1.0820409706548123E-2</v>
      </c>
      <c r="H21" s="25">
        <f>SUMPRODUCT(H6:H9,N6:N9)+SUMPRODUCT(H10:H20,N10:N20)/0.87</f>
        <v>4.3702249897461653E-4</v>
      </c>
      <c r="I21" s="25">
        <f>SUMPRODUCT(I6:I9,N6:N9)+SUMPRODUCT(I10:I20,N10:N20)/0.87</f>
        <v>2.0857826087969402E-4</v>
      </c>
      <c r="J21" s="28">
        <f>SUMPRODUCT(J6:J9,N6:N9)+SUMPRODUCT(J10:J20,N10:N20)/0.87</f>
        <v>2.2429063755063858E-2</v>
      </c>
      <c r="K21" s="28">
        <f>SUMPRODUCT(K6:K9,N6:N9)+SUMPRODUCT(K10:K20,N10:N20)/0.87</f>
        <v>6.2026827341580229E-11</v>
      </c>
      <c r="L21" s="28">
        <f>SUMPRODUCT(L6:L9,N6:N9)+SUMPRODUCT(L10:L20,N10:N20)/0.87</f>
        <v>2.1757847959190117E-4</v>
      </c>
      <c r="M21" s="152"/>
      <c r="N21" s="152"/>
      <c r="O21" s="454"/>
      <c r="P21" s="152"/>
    </row>
    <row r="22" spans="1:19" x14ac:dyDescent="0.3">
      <c r="A22" s="328"/>
      <c r="B22" s="329" t="s">
        <v>641</v>
      </c>
      <c r="C22" s="330"/>
      <c r="D22" s="331"/>
      <c r="E22" s="331"/>
      <c r="F22" s="332">
        <f>SUMPRODUCT(F6:F8,$O6:$O8)+SUMPRODUCT(F9:F19,$O9:$O19)/0.87</f>
        <v>0.94001960772182502</v>
      </c>
      <c r="G22" s="332">
        <f t="shared" ref="G22:L22" si="1">SUMPRODUCT(G6:G8,$O6:$O8)+SUMPRODUCT(G9:G19,$O9:$O19)/0.87</f>
        <v>1.0836613703884456E-2</v>
      </c>
      <c r="H22" s="332">
        <f t="shared" si="1"/>
        <v>4.394145176290277E-4</v>
      </c>
      <c r="I22" s="332">
        <f t="shared" si="1"/>
        <v>2.0871600293626434E-4</v>
      </c>
      <c r="J22" s="332">
        <f t="shared" si="1"/>
        <v>2.2706846566543867E-2</v>
      </c>
      <c r="K22" s="332">
        <f t="shared" si="1"/>
        <v>6.2087630912537513E-11</v>
      </c>
      <c r="L22" s="332">
        <f t="shared" si="1"/>
        <v>2.1854300324287342E-4</v>
      </c>
      <c r="M22" s="332"/>
      <c r="N22" s="332"/>
      <c r="O22" s="456"/>
      <c r="P22" s="332"/>
      <c r="Q22" s="17"/>
      <c r="R22" s="453"/>
      <c r="S22" s="453"/>
    </row>
    <row r="23" spans="1:19" x14ac:dyDescent="0.3">
      <c r="A23" s="150"/>
      <c r="B23" s="23" t="s">
        <v>642</v>
      </c>
      <c r="C23" s="24"/>
      <c r="D23" s="94"/>
      <c r="E23" s="94"/>
      <c r="F23" s="327">
        <f>SUMPRODUCT(F6:F8,$P6:$P8)+SUMPRODUCT(F9:F19,$P9:$P19)/0.87</f>
        <v>0</v>
      </c>
      <c r="G23" s="327">
        <f t="shared" ref="G23:L23" si="2">SUMPRODUCT(G6:G8,$P6:$P8)+SUMPRODUCT(G9:G19,$P9:$P19)/0.87</f>
        <v>0</v>
      </c>
      <c r="H23" s="327">
        <f t="shared" si="2"/>
        <v>0</v>
      </c>
      <c r="I23" s="327">
        <f t="shared" si="2"/>
        <v>0</v>
      </c>
      <c r="J23" s="327">
        <f t="shared" si="2"/>
        <v>0</v>
      </c>
      <c r="K23" s="327">
        <f t="shared" si="2"/>
        <v>0</v>
      </c>
      <c r="L23" s="327">
        <f t="shared" si="2"/>
        <v>0</v>
      </c>
      <c r="M23" s="327"/>
      <c r="N23" s="327"/>
      <c r="O23" s="457"/>
      <c r="P23" s="327"/>
      <c r="Q23" s="17"/>
      <c r="R23" s="453"/>
      <c r="S23" s="453"/>
    </row>
    <row r="24" spans="1:19" x14ac:dyDescent="0.3">
      <c r="B24" s="16" t="s">
        <v>299</v>
      </c>
      <c r="C24" s="15" t="s">
        <v>302</v>
      </c>
      <c r="D24" s="21" t="s">
        <v>41</v>
      </c>
      <c r="E24" s="21" t="s">
        <v>42</v>
      </c>
      <c r="F24" s="110">
        <v>0</v>
      </c>
      <c r="G24" s="318">
        <f>'Forage crops, footprints'!G9</f>
        <v>1.3261392141552593E-2</v>
      </c>
      <c r="H24" s="319">
        <f>'Forage crops, footprints'!H9</f>
        <v>2.9377625397606846E-4</v>
      </c>
      <c r="I24" s="318">
        <f>'Forage crops, footprints'!I9</f>
        <v>7.2251532547729629E-3</v>
      </c>
      <c r="J24" s="120">
        <f>'Forage crops, footprints'!J9</f>
        <v>0</v>
      </c>
      <c r="K24" s="120">
        <f>'Forage crops, footprints'!K9</f>
        <v>7.3644655086134701E-10</v>
      </c>
      <c r="L24" s="120">
        <f>'Forage crops, footprints'!L9</f>
        <v>2.9118945728129586E-4</v>
      </c>
      <c r="M24" s="151">
        <f>'Parameters SH, country spec'!C15</f>
        <v>0.18889688285610365</v>
      </c>
      <c r="N24" s="151">
        <f>'Parameters SH, country spec'!C33</f>
        <v>0.18889688285610365</v>
      </c>
      <c r="O24" s="151">
        <f>'Parameters D24m, country spec'!C11</f>
        <v>0.18889688285610365</v>
      </c>
      <c r="P24" s="151"/>
    </row>
    <row r="25" spans="1:19" x14ac:dyDescent="0.3">
      <c r="B25" s="16" t="s">
        <v>300</v>
      </c>
      <c r="C25" s="15" t="s">
        <v>302</v>
      </c>
      <c r="D25" s="21" t="s">
        <v>41</v>
      </c>
      <c r="E25" s="21" t="s">
        <v>42</v>
      </c>
      <c r="F25" s="110">
        <f>'Forage crops, footprints'!F26</f>
        <v>0.78354822784250244</v>
      </c>
      <c r="G25" s="318">
        <f>'Forage crops, footprints'!G26</f>
        <v>4.8579990126235142E-3</v>
      </c>
      <c r="H25" s="319">
        <f>'Forage crops, footprints'!H26</f>
        <v>6.5685620452374282E-4</v>
      </c>
      <c r="I25" s="318">
        <f>'Forage crops, footprints'!I26</f>
        <v>7.2251532547729629E-3</v>
      </c>
      <c r="J25" s="120">
        <f>'Forage crops, footprints'!J26</f>
        <v>6.7567011968587768E-5</v>
      </c>
      <c r="K25" s="120">
        <f>'Forage crops, footprints'!K26</f>
        <v>2.6033325296098955E-10</v>
      </c>
      <c r="L25" s="120">
        <f>'Forage crops, footprints'!L26</f>
        <v>2.9534011988288379E-4</v>
      </c>
      <c r="M25" s="151">
        <f>'Parameters SH, country spec'!C16</f>
        <v>0.36965765773619236</v>
      </c>
      <c r="N25" s="151">
        <f>'Parameters SH, country spec'!C34</f>
        <v>0.36965765773619236</v>
      </c>
      <c r="O25" s="151">
        <f>'Parameters D24m, country spec'!C12</f>
        <v>0.36965765773619236</v>
      </c>
      <c r="P25" s="151"/>
    </row>
    <row r="26" spans="1:19" x14ac:dyDescent="0.3">
      <c r="B26" s="16" t="s">
        <v>301</v>
      </c>
      <c r="C26" s="15" t="s">
        <v>302</v>
      </c>
      <c r="D26" s="21" t="s">
        <v>41</v>
      </c>
      <c r="E26" s="21" t="s">
        <v>42</v>
      </c>
      <c r="F26" s="110">
        <f>'Forage, input data per ha'!$D$79*'Forage crops, footprints'!F43+'Forage, input data per ha'!$E$79*'Forage crops, footprints'!F60</f>
        <v>1.1381496350272928</v>
      </c>
      <c r="G26" s="318">
        <f>'Forage, input data per ha'!$D$79*'Forage crops, footprints'!G43+'Forage, input data per ha'!$E$79*'Forage crops, footprints'!G60</f>
        <v>1.6303712476288538E-2</v>
      </c>
      <c r="H26" s="319">
        <f>'Forage, input data per ha'!$D$79*'Forage crops, footprints'!H43+'Forage, input data per ha'!$E$79*'Forage crops, footprints'!H60</f>
        <v>5.8176992086730157E-4</v>
      </c>
      <c r="I26" s="318">
        <f>'Forage, input data per ha'!$D$79*'Forage crops, footprints'!I43+'Forage, input data per ha'!$E$79*'Forage crops, footprints'!I60</f>
        <v>7.2251532547729629E-3</v>
      </c>
      <c r="J26" s="120">
        <f>'Forage, input data per ha'!$D$79*'Forage crops, footprints'!J43+'Forage, input data per ha'!$E$79*'Forage crops, footprints'!J60</f>
        <v>4.6476647873701722E-5</v>
      </c>
      <c r="K26" s="120">
        <f>'Forage, input data per ha'!$D$79*'Forage crops, footprints'!K43+'Forage, input data per ha'!$E$79*'Forage crops, footprints'!K60</f>
        <v>3.013215593841624E-10</v>
      </c>
      <c r="L26" s="120">
        <f>'Forage, input data per ha'!$D$79*'Forage crops, footprints'!L43+'Forage, input data per ha'!$E$79*'Forage crops, footprints'!L60</f>
        <v>2.6385719717673104E-4</v>
      </c>
      <c r="M26" s="151">
        <f>'Parameters SH, country spec'!C17</f>
        <v>0.23243726980023638</v>
      </c>
      <c r="N26" s="151">
        <f>'Parameters SH, country spec'!C35</f>
        <v>0.23243726980023638</v>
      </c>
      <c r="O26" s="151">
        <f>'Parameters D24m, country spec'!C13</f>
        <v>0.23243726980023638</v>
      </c>
      <c r="P26" s="151"/>
    </row>
    <row r="27" spans="1:19" x14ac:dyDescent="0.3">
      <c r="A27" s="20" t="s">
        <v>231</v>
      </c>
      <c r="B27" s="15" t="s">
        <v>113</v>
      </c>
      <c r="C27" s="15" t="s">
        <v>232</v>
      </c>
      <c r="D27" s="21" t="s">
        <v>41</v>
      </c>
      <c r="E27" s="21" t="s">
        <v>42</v>
      </c>
      <c r="F27" s="320">
        <v>1.6</v>
      </c>
      <c r="G27" s="321">
        <v>2.1000000000000001E-2</v>
      </c>
      <c r="H27" s="324">
        <v>3.0999999999999999E-3</v>
      </c>
      <c r="I27" s="322">
        <v>4.0917422935787297E-3</v>
      </c>
      <c r="J27" s="299">
        <v>0.32</v>
      </c>
      <c r="K27" s="299">
        <v>5.3000000000000003E-10</v>
      </c>
      <c r="L27" s="299">
        <v>1.25E-3</v>
      </c>
      <c r="M27" s="151">
        <f>'Parameters SH, country spec'!C18</f>
        <v>9.8050025013408561E-3</v>
      </c>
      <c r="N27" s="151">
        <f>'Parameters SH, country spec'!C36</f>
        <v>9.8050025013408561E-3</v>
      </c>
      <c r="O27" s="151">
        <f>'Parameters D24m, country spec'!C14</f>
        <v>9.8050025013408561E-3</v>
      </c>
    </row>
    <row r="28" spans="1:19" x14ac:dyDescent="0.3">
      <c r="A28" s="20" t="s">
        <v>233</v>
      </c>
      <c r="B28" s="15" t="s">
        <v>114</v>
      </c>
      <c r="C28" s="15" t="s">
        <v>232</v>
      </c>
      <c r="D28" s="21" t="s">
        <v>41</v>
      </c>
      <c r="E28" s="21" t="s">
        <v>42</v>
      </c>
      <c r="F28" s="19">
        <v>1.1000000000000001</v>
      </c>
      <c r="G28" s="38">
        <v>0.02</v>
      </c>
      <c r="H28" s="323">
        <v>5.5999999999999999E-3</v>
      </c>
      <c r="I28" s="38">
        <v>9.2210702520091198E-2</v>
      </c>
      <c r="J28" s="26">
        <v>0.05</v>
      </c>
      <c r="K28" s="26">
        <v>3.6700000000000003E-10</v>
      </c>
      <c r="L28" s="26">
        <v>1.2099999999999999E-3</v>
      </c>
      <c r="M28" s="151">
        <f>'Parameters SH, country spec'!C19</f>
        <v>1.6126916347682995E-2</v>
      </c>
      <c r="N28" s="151">
        <f>'Parameters SH, country spec'!C37</f>
        <v>1.6126916347682995E-2</v>
      </c>
      <c r="O28" s="151">
        <f>'Parameters D24m, country spec'!C15</f>
        <v>1.6126916347682995E-2</v>
      </c>
    </row>
    <row r="29" spans="1:19" x14ac:dyDescent="0.3">
      <c r="A29" s="20" t="s">
        <v>234</v>
      </c>
      <c r="B29" s="15" t="s">
        <v>115</v>
      </c>
      <c r="C29" s="15" t="s">
        <v>232</v>
      </c>
      <c r="D29" s="21" t="s">
        <v>41</v>
      </c>
      <c r="E29" s="21" t="s">
        <v>42</v>
      </c>
      <c r="F29" s="19">
        <v>2.2400000000000002</v>
      </c>
      <c r="G29" s="38">
        <v>1.7999999999999999E-2</v>
      </c>
      <c r="H29" s="323">
        <v>3.8E-3</v>
      </c>
      <c r="I29" s="38">
        <v>5.1662240094463699E-2</v>
      </c>
      <c r="J29" s="26">
        <v>0.09</v>
      </c>
      <c r="K29" s="26">
        <v>7.4300000000000002E-10</v>
      </c>
      <c r="L29" s="26">
        <v>1.1000000000000001E-3</v>
      </c>
      <c r="M29" s="151">
        <f>'Parameters SH, country spec'!C20</f>
        <v>1.1110741938309403E-3</v>
      </c>
      <c r="N29" s="151">
        <f>'Parameters SH, country spec'!C38</f>
        <v>1.1110741938309403E-3</v>
      </c>
      <c r="O29" s="151">
        <f>'Parameters D24m, country spec'!C16</f>
        <v>1.1110741938309403E-3</v>
      </c>
    </row>
    <row r="30" spans="1:19" x14ac:dyDescent="0.3">
      <c r="A30" s="20" t="s">
        <v>235</v>
      </c>
      <c r="B30" s="15" t="s">
        <v>116</v>
      </c>
      <c r="C30" s="15" t="s">
        <v>232</v>
      </c>
      <c r="D30" s="21" t="s">
        <v>41</v>
      </c>
      <c r="E30" s="21" t="s">
        <v>42</v>
      </c>
      <c r="F30" s="19">
        <v>2.2400000000000002</v>
      </c>
      <c r="G30" s="38">
        <v>1.6E-2</v>
      </c>
      <c r="H30" s="323">
        <v>1.1999999999999999E-3</v>
      </c>
      <c r="I30" s="38">
        <v>0</v>
      </c>
      <c r="J30" s="26">
        <v>0</v>
      </c>
      <c r="K30" s="26">
        <v>7.4400000000000002E-10</v>
      </c>
      <c r="L30" s="26">
        <v>9.68E-4</v>
      </c>
      <c r="M30" s="151">
        <f>'Parameters SH, country spec'!C21</f>
        <v>1.7062794715375247E-4</v>
      </c>
      <c r="N30" s="151">
        <f>'Parameters SH, country spec'!C39</f>
        <v>1.7062794715375247E-4</v>
      </c>
      <c r="O30" s="151">
        <f>'Parameters D24m, country spec'!C17</f>
        <v>1.7062794715375247E-4</v>
      </c>
    </row>
    <row r="31" spans="1:19" x14ac:dyDescent="0.3">
      <c r="A31" s="20" t="s">
        <v>236</v>
      </c>
      <c r="B31" s="15" t="s">
        <v>117</v>
      </c>
      <c r="C31" s="15" t="s">
        <v>232</v>
      </c>
      <c r="D31" s="21" t="s">
        <v>41</v>
      </c>
      <c r="E31" s="21" t="s">
        <v>42</v>
      </c>
      <c r="F31" s="19">
        <v>1.41</v>
      </c>
      <c r="G31" s="38">
        <v>2.4E-2</v>
      </c>
      <c r="H31" s="323">
        <v>2.2000000000000001E-3</v>
      </c>
      <c r="I31" s="38">
        <v>1.33006336197129E-3</v>
      </c>
      <c r="J31" s="26">
        <v>0.27</v>
      </c>
      <c r="K31" s="26">
        <v>4.7000000000000003E-10</v>
      </c>
      <c r="L31" s="26">
        <v>1.4300000000000001E-3</v>
      </c>
      <c r="M31" s="151">
        <f>'Parameters SH, country spec'!C22</f>
        <v>2.3886940717374589E-2</v>
      </c>
      <c r="N31" s="151">
        <f>'Parameters SH, country spec'!C40</f>
        <v>2.3886940717374589E-2</v>
      </c>
      <c r="O31" s="151">
        <f>'Parameters D24m, country spec'!C18</f>
        <v>2.3886940717374589E-2</v>
      </c>
    </row>
    <row r="32" spans="1:19" x14ac:dyDescent="0.3">
      <c r="A32" s="20" t="s">
        <v>237</v>
      </c>
      <c r="B32" s="15" t="s">
        <v>118</v>
      </c>
      <c r="C32" s="15" t="s">
        <v>238</v>
      </c>
      <c r="D32" s="21" t="s">
        <v>41</v>
      </c>
      <c r="E32" s="21" t="s">
        <v>42</v>
      </c>
      <c r="F32" s="19">
        <v>3.01</v>
      </c>
      <c r="G32" s="38">
        <v>1.9E-2</v>
      </c>
      <c r="H32" s="323">
        <v>1.6999999999999999E-3</v>
      </c>
      <c r="I32" s="38">
        <v>2.5706904840427799E-2</v>
      </c>
      <c r="J32" s="26">
        <v>1.01</v>
      </c>
      <c r="K32" s="26">
        <v>1.0000000000000001E-9</v>
      </c>
      <c r="L32" s="26">
        <v>0</v>
      </c>
      <c r="M32" s="151">
        <f>'Parameters SH, country spec'!C23</f>
        <v>0</v>
      </c>
      <c r="N32" s="151">
        <f>'Parameters SH, country spec'!C41</f>
        <v>0</v>
      </c>
      <c r="O32" s="151">
        <f>'Parameters D24m, country spec'!C19</f>
        <v>0</v>
      </c>
    </row>
    <row r="33" spans="1:19" x14ac:dyDescent="0.3">
      <c r="A33" s="20" t="s">
        <v>239</v>
      </c>
      <c r="B33" s="15" t="s">
        <v>119</v>
      </c>
      <c r="C33" s="15" t="s">
        <v>238</v>
      </c>
      <c r="D33" s="21" t="s">
        <v>41</v>
      </c>
      <c r="E33" s="21" t="s">
        <v>42</v>
      </c>
      <c r="F33" s="19">
        <v>4.1100000000000003</v>
      </c>
      <c r="G33" s="38">
        <v>1.0999999999999999E-2</v>
      </c>
      <c r="H33" s="323">
        <v>2E-3</v>
      </c>
      <c r="I33" s="38">
        <v>2.7905335876353701E-2</v>
      </c>
      <c r="J33" s="26">
        <v>1.05</v>
      </c>
      <c r="K33" s="26">
        <v>1.3600000000000001E-9</v>
      </c>
      <c r="L33" s="26">
        <v>6.1400000000000002E-5</v>
      </c>
      <c r="M33" s="151">
        <f>'Parameters SH, country spec'!C24</f>
        <v>0</v>
      </c>
      <c r="N33" s="151">
        <f>'Parameters SH, country spec'!C42</f>
        <v>0</v>
      </c>
      <c r="O33" s="151">
        <f>'Parameters D24m, country spec'!C20</f>
        <v>0</v>
      </c>
    </row>
    <row r="34" spans="1:19" x14ac:dyDescent="0.3">
      <c r="B34" s="16" t="s">
        <v>120</v>
      </c>
      <c r="C34" s="15" t="s">
        <v>240</v>
      </c>
      <c r="D34" s="21" t="s">
        <v>41</v>
      </c>
      <c r="E34" s="21" t="s">
        <v>42</v>
      </c>
      <c r="F34" s="17">
        <f>'Off-farm feed'!$F$88</f>
        <v>1.5397450382845088</v>
      </c>
      <c r="G34" s="18">
        <f>'Off-farm feed'!$G$88</f>
        <v>4.1115595157230206E-2</v>
      </c>
      <c r="H34" s="294">
        <f>'Off-farm feed'!$H$88</f>
        <v>4.4751668198345796E-3</v>
      </c>
      <c r="I34" s="18">
        <f>'Off-farm feed'!$I$88</f>
        <v>2.5747126436781614E-3</v>
      </c>
      <c r="J34" s="27">
        <f>'Off-farm feed'!$J$88</f>
        <v>0.29368572248181501</v>
      </c>
      <c r="K34" s="27">
        <f>'Off-farm feed'!$K$88</f>
        <v>1.777473414827503E-10</v>
      </c>
      <c r="L34" s="27">
        <f>'Off-farm feed'!$L$88</f>
        <v>2.4996062723023757E-3</v>
      </c>
      <c r="M34" s="151">
        <f>'Parameters SH, country spec'!C25</f>
        <v>3.0917251771110446E-2</v>
      </c>
      <c r="N34" s="151">
        <f>'Parameters SH, country spec'!C43</f>
        <v>3.0917251771110446E-2</v>
      </c>
      <c r="O34" s="151">
        <f>'Parameters D24m, country spec'!C21</f>
        <v>3.0917251771110446E-2</v>
      </c>
    </row>
    <row r="35" spans="1:19" x14ac:dyDescent="0.3">
      <c r="B35" s="16" t="s">
        <v>241</v>
      </c>
      <c r="C35" s="15" t="s">
        <v>240</v>
      </c>
      <c r="D35" s="21" t="s">
        <v>41</v>
      </c>
      <c r="E35" s="21" t="s">
        <v>42</v>
      </c>
      <c r="F35" s="17">
        <f>'Off-farm feed'!$F$36</f>
        <v>2.5509164954964132</v>
      </c>
      <c r="G35" s="18">
        <f>'Off-farm feed'!$G$36</f>
        <v>4.2620923125915477E-2</v>
      </c>
      <c r="H35" s="294">
        <f>'Off-farm feed'!$H$36</f>
        <v>3.2959349471355036E-3</v>
      </c>
      <c r="I35" s="18">
        <f>'Off-farm feed'!$I$36</f>
        <v>2.3780487804878048E-3</v>
      </c>
      <c r="J35" s="27">
        <f>'Off-farm feed'!$J$36</f>
        <v>0.25920846302270939</v>
      </c>
      <c r="K35" s="27">
        <f>'Off-farm feed'!$K$36</f>
        <v>6.1197957373175144E-10</v>
      </c>
      <c r="L35" s="27">
        <f>'Off-farm feed'!$L$36</f>
        <v>1.0450321677831981E-4</v>
      </c>
      <c r="M35" s="151">
        <f>'Parameters SH, country spec'!C26</f>
        <v>2.7855163642864746E-2</v>
      </c>
      <c r="N35" s="151">
        <f>'Parameters SH, country spec'!C44</f>
        <v>2.7855163642864746E-2</v>
      </c>
      <c r="O35" s="151">
        <f>'Parameters D24m, country spec'!C22</f>
        <v>2.7855163642864746E-2</v>
      </c>
    </row>
    <row r="36" spans="1:19" x14ac:dyDescent="0.3">
      <c r="B36" s="15" t="s">
        <v>122</v>
      </c>
      <c r="C36" s="15" t="s">
        <v>242</v>
      </c>
      <c r="D36" s="21" t="s">
        <v>41</v>
      </c>
      <c r="E36" s="21" t="s">
        <v>42</v>
      </c>
      <c r="F36" s="97"/>
      <c r="G36" s="98"/>
      <c r="H36" s="98"/>
      <c r="I36" s="97"/>
      <c r="J36" s="105"/>
      <c r="K36" s="105"/>
      <c r="L36" s="105"/>
      <c r="M36" s="151">
        <f>'Parameters SH, country spec'!C27</f>
        <v>5.6499694118849607E-2</v>
      </c>
      <c r="N36" s="151">
        <f>'Parameters SH, country spec'!C45</f>
        <v>5.6499694118849607E-2</v>
      </c>
      <c r="O36" s="151">
        <f>'Parameters D24m, country spec'!C23</f>
        <v>5.6499694118849607E-2</v>
      </c>
    </row>
    <row r="37" spans="1:19" x14ac:dyDescent="0.3">
      <c r="A37" s="75"/>
      <c r="B37" s="15" t="s">
        <v>243</v>
      </c>
      <c r="C37" s="76" t="s">
        <v>244</v>
      </c>
      <c r="D37" s="21" t="s">
        <v>41</v>
      </c>
      <c r="E37" s="21" t="s">
        <v>42</v>
      </c>
      <c r="F37" s="73">
        <f>AVERAGE(F27:F35)</f>
        <v>2.2000735037534356</v>
      </c>
      <c r="G37" s="99">
        <f t="shared" ref="G37:L37" si="3">AVERAGE(G27:G35)</f>
        <v>2.363739092034952E-2</v>
      </c>
      <c r="H37" s="99">
        <f t="shared" si="3"/>
        <v>3.0412335296633422E-3</v>
      </c>
      <c r="I37" s="99">
        <f t="shared" si="3"/>
        <v>2.3095527823450267E-2</v>
      </c>
      <c r="J37" s="164">
        <f t="shared" si="3"/>
        <v>0.37143268727828044</v>
      </c>
      <c r="K37" s="74">
        <f t="shared" si="3"/>
        <v>6.6708076835716683E-10</v>
      </c>
      <c r="L37" s="164">
        <f t="shared" si="3"/>
        <v>9.5816772100896597E-4</v>
      </c>
      <c r="M37" s="151">
        <f>'Parameters SH, country spec'!C28</f>
        <v>4.2635518367259616E-2</v>
      </c>
      <c r="N37" s="151">
        <f>'Parameters SH, country spec'!C46</f>
        <v>4.2635518367259616E-2</v>
      </c>
      <c r="O37" s="151">
        <f>'Parameters D24m, country spec'!C24</f>
        <v>4.2635518367259616E-2</v>
      </c>
    </row>
    <row r="38" spans="1:19" x14ac:dyDescent="0.3">
      <c r="A38" s="328"/>
      <c r="B38" s="329" t="s">
        <v>616</v>
      </c>
      <c r="C38" s="330"/>
      <c r="D38" s="331"/>
      <c r="E38" s="331"/>
      <c r="F38" s="332">
        <f>SUMPRODUCT(F24:F26,M24:M26)+SUMPRODUCT(F27:F37,M27:M37)/0.87</f>
        <v>0.8788382457321926</v>
      </c>
      <c r="G38" s="333">
        <f>SUMPRODUCT(G24:G26,M24:M26)+SUMPRODUCT(G27:G37,M27:M37)/0.87</f>
        <v>1.3367026899596603E-2</v>
      </c>
      <c r="H38" s="333">
        <f>SUMPRODUCT(H24:H26,M24:M26)+SUMPRODUCT(H27:H37,M27:M37)/0.87</f>
        <v>1.0513666543814294E-3</v>
      </c>
      <c r="I38" s="333">
        <f>SUMPRODUCT(I24:I26,M24:M26)+SUMPRODUCT(I27:I37,M27:M37)/0.87</f>
        <v>8.8723926090581128E-3</v>
      </c>
      <c r="J38" s="334">
        <f>SUMPRODUCT(J24:J26,M24:M26)+SUMPRODUCT(J27:J37,M27:M37)/0.87</f>
        <v>4.903565546308513E-2</v>
      </c>
      <c r="K38" s="334">
        <f>SUMPRODUCT(K24:K26,M24:M26)+SUMPRODUCT(K27:K37,M27:M37)/0.87</f>
        <v>3.9076218507099569E-10</v>
      </c>
      <c r="L38" s="334">
        <f>SUMPRODUCT(L24:L26,M24:M26)+SUMPRODUCT(L27:L37,M27:M37)/0.87</f>
        <v>4.4201480419082137E-4</v>
      </c>
      <c r="M38" s="335"/>
      <c r="N38" s="336"/>
      <c r="O38" s="336"/>
      <c r="P38" s="335"/>
    </row>
    <row r="39" spans="1:19" x14ac:dyDescent="0.3">
      <c r="A39" s="150"/>
      <c r="B39" s="23" t="s">
        <v>457</v>
      </c>
      <c r="C39" s="24"/>
      <c r="D39" s="94"/>
      <c r="E39" s="94"/>
      <c r="F39" s="327">
        <f>SUMPRODUCT(F24:F27,N24:N27)+SUMPRODUCT(F28:F38,N28:N38)/0.87</f>
        <v>0.87649406122612494</v>
      </c>
      <c r="G39" s="25">
        <f>SUMPRODUCT(G24:G27,N24:N27)+SUMPRODUCT(G28:G38,N28:N38)/0.87</f>
        <v>1.3336259477954464E-2</v>
      </c>
      <c r="H39" s="25">
        <f>SUMPRODUCT(H24:H27,N24:N27)+SUMPRODUCT(H28:H38,N28:N38)/0.87</f>
        <v>1.0468247969009233E-3</v>
      </c>
      <c r="I39" s="25">
        <f>SUMPRODUCT(I24:I27,N24:N27)+SUMPRODUCT(I28:I38,N28:N38)/0.87</f>
        <v>8.8663977347534697E-3</v>
      </c>
      <c r="J39" s="28">
        <f>SUMPRODUCT(J24:J27,N24:N27)+SUMPRODUCT(J28:J38,N28:N38)/0.87</f>
        <v>4.8566818561871589E-2</v>
      </c>
      <c r="K39" s="28">
        <f>SUMPRODUCT(K24:K27,N24:N27)+SUMPRODUCT(K28:K38,N28:N38)/0.87</f>
        <v>3.8998567395336075E-10</v>
      </c>
      <c r="L39" s="28">
        <f>SUMPRODUCT(L24:L27,N24:N27)+SUMPRODUCT(L28:L38,N28:N38)/0.87</f>
        <v>4.4018341004545595E-4</v>
      </c>
      <c r="M39" s="152"/>
      <c r="N39" s="152"/>
      <c r="O39" s="454"/>
      <c r="P39" s="152"/>
    </row>
    <row r="40" spans="1:19" x14ac:dyDescent="0.3">
      <c r="A40" s="328"/>
      <c r="B40" s="329" t="s">
        <v>641</v>
      </c>
      <c r="C40" s="330"/>
      <c r="D40" s="331"/>
      <c r="E40" s="331"/>
      <c r="F40" s="332">
        <f>SUMPRODUCT(F24:F26,$O24:$O26)+SUMPRODUCT(F27:F37,$O27:$O37)/0.87</f>
        <v>0.8788382457321926</v>
      </c>
      <c r="G40" s="332">
        <f t="shared" ref="G40:L40" si="4">SUMPRODUCT(G24:G26,$O24:$O26)+SUMPRODUCT(G27:G37,$O27:$O37)/0.87</f>
        <v>1.3367026899596603E-2</v>
      </c>
      <c r="H40" s="332">
        <f t="shared" si="4"/>
        <v>1.0513666543814294E-3</v>
      </c>
      <c r="I40" s="332">
        <f t="shared" si="4"/>
        <v>8.8723926090581128E-3</v>
      </c>
      <c r="J40" s="332">
        <f t="shared" si="4"/>
        <v>4.903565546308513E-2</v>
      </c>
      <c r="K40" s="332">
        <f t="shared" si="4"/>
        <v>3.9076218507099569E-10</v>
      </c>
      <c r="L40" s="332">
        <f t="shared" si="4"/>
        <v>4.4201480419082137E-4</v>
      </c>
      <c r="M40" s="332"/>
      <c r="N40" s="332"/>
      <c r="O40" s="456"/>
      <c r="P40" s="332"/>
      <c r="Q40" s="17"/>
      <c r="R40" s="453"/>
      <c r="S40" s="453"/>
    </row>
    <row r="41" spans="1:19" x14ac:dyDescent="0.3">
      <c r="A41" s="150"/>
      <c r="B41" s="23" t="s">
        <v>642</v>
      </c>
      <c r="C41" s="24"/>
      <c r="D41" s="94"/>
      <c r="E41" s="94"/>
      <c r="F41" s="327">
        <f>SUMPRODUCT(F24:F26,$P24:$P26)+SUMPRODUCT(F27:F37,$P27:$P37)/0.87</f>
        <v>0</v>
      </c>
      <c r="G41" s="327">
        <f t="shared" ref="G41:L41" si="5">SUMPRODUCT(G24:G26,$P24:$P26)+SUMPRODUCT(G27:G37,$P27:$P37)/0.87</f>
        <v>0</v>
      </c>
      <c r="H41" s="327">
        <f t="shared" si="5"/>
        <v>0</v>
      </c>
      <c r="I41" s="327">
        <f t="shared" si="5"/>
        <v>0</v>
      </c>
      <c r="J41" s="327">
        <f t="shared" si="5"/>
        <v>0</v>
      </c>
      <c r="K41" s="327">
        <f t="shared" si="5"/>
        <v>0</v>
      </c>
      <c r="L41" s="327">
        <f t="shared" si="5"/>
        <v>0</v>
      </c>
      <c r="M41" s="327"/>
      <c r="N41" s="327"/>
      <c r="O41" s="457"/>
      <c r="P41" s="327"/>
      <c r="Q41" s="17"/>
      <c r="R41" s="453"/>
      <c r="S41" s="453"/>
    </row>
    <row r="42" spans="1:19" x14ac:dyDescent="0.3">
      <c r="B42" s="16" t="s">
        <v>299</v>
      </c>
      <c r="C42" s="15" t="s">
        <v>302</v>
      </c>
      <c r="D42" s="21" t="s">
        <v>43</v>
      </c>
      <c r="E42" s="21" t="s">
        <v>44</v>
      </c>
      <c r="F42" s="110">
        <v>0</v>
      </c>
      <c r="G42" s="318">
        <f>'Forage crops, footprints'!G10</f>
        <v>1.4084562538983799E-2</v>
      </c>
      <c r="H42" s="319">
        <f>'Forage crops, footprints'!H10</f>
        <v>1.5004291926573534E-4</v>
      </c>
      <c r="I42" s="318">
        <f>'Forage crops, footprints'!I10</f>
        <v>1.3139329498191888E-4</v>
      </c>
      <c r="J42" s="120">
        <f>'Forage crops, footprints'!J10</f>
        <v>0</v>
      </c>
      <c r="K42" s="120">
        <f>'Forage crops, footprints'!K10</f>
        <v>6.6901157317801859E-11</v>
      </c>
      <c r="L42" s="120">
        <f>'Forage crops, footprints'!L10</f>
        <v>3.4123377454641629E-4</v>
      </c>
      <c r="M42" s="151">
        <f>'Parameters SH, country spec'!D15</f>
        <v>0.26457370102986028</v>
      </c>
      <c r="N42" s="151">
        <f>'Parameters SH, country spec'!D33</f>
        <v>0.26457370102986028</v>
      </c>
      <c r="O42" s="151">
        <f>'Parameters D24m, country spec'!D11</f>
        <v>0.26457370102986028</v>
      </c>
      <c r="P42" s="151"/>
    </row>
    <row r="43" spans="1:19" x14ac:dyDescent="0.3">
      <c r="B43" s="16" t="s">
        <v>300</v>
      </c>
      <c r="C43" s="15" t="s">
        <v>302</v>
      </c>
      <c r="D43" s="21" t="s">
        <v>43</v>
      </c>
      <c r="E43" s="21" t="s">
        <v>44</v>
      </c>
      <c r="F43" s="110">
        <f>'Forage crops, footprints'!F27</f>
        <v>0.63803221792873233</v>
      </c>
      <c r="G43" s="318">
        <f>'Forage crops, footprints'!G27</f>
        <v>3.2539643114365352E-3</v>
      </c>
      <c r="H43" s="319">
        <f>'Forage crops, footprints'!H27</f>
        <v>2.2286195781172623E-4</v>
      </c>
      <c r="I43" s="318">
        <f>'Forage crops, footprints'!I27</f>
        <v>1.3139329498191888E-4</v>
      </c>
      <c r="J43" s="120">
        <f>'Forage crops, footprints'!J27</f>
        <v>1.0479214179139297E-4</v>
      </c>
      <c r="K43" s="120">
        <f>'Forage crops, footprints'!K27</f>
        <v>2.1264268742411393E-11</v>
      </c>
      <c r="L43" s="120">
        <f>'Forage crops, footprints'!L27</f>
        <v>1.9782346750937254E-4</v>
      </c>
      <c r="M43" s="151">
        <f>'Parameters SH, country spec'!D16</f>
        <v>0.47771254487501524</v>
      </c>
      <c r="N43" s="151">
        <f>'Parameters SH, country spec'!D34</f>
        <v>0.47771254487501524</v>
      </c>
      <c r="O43" s="151">
        <f>'Parameters D24m, country spec'!D12</f>
        <v>0.47771254487501524</v>
      </c>
      <c r="P43" s="151"/>
    </row>
    <row r="44" spans="1:19" x14ac:dyDescent="0.3">
      <c r="B44" s="16" t="s">
        <v>301</v>
      </c>
      <c r="C44" s="15" t="s">
        <v>302</v>
      </c>
      <c r="D44" s="21" t="s">
        <v>43</v>
      </c>
      <c r="E44" s="21" t="s">
        <v>44</v>
      </c>
      <c r="F44" s="110">
        <f>'Forage, input data per ha'!$D$80*'Forage crops, footprints'!F44+'Forage, input data per ha'!$E$80*'Forage crops, footprints'!F61</f>
        <v>1.1895684479198323</v>
      </c>
      <c r="G44" s="318">
        <f>'Forage, input data per ha'!$D$80*'Forage crops, footprints'!G44+'Forage, input data per ha'!$E$80*'Forage crops, footprints'!G61</f>
        <v>1.8368475452646742E-2</v>
      </c>
      <c r="H44" s="319">
        <f>'Forage, input data per ha'!$D$80*'Forage crops, footprints'!H44+'Forage, input data per ha'!$E$80*'Forage crops, footprints'!H61</f>
        <v>5.8562883782723601E-4</v>
      </c>
      <c r="I44" s="318">
        <f>'Forage, input data per ha'!$D$80*'Forage crops, footprints'!I44+'Forage, input data per ha'!$E$80*'Forage crops, footprints'!I61</f>
        <v>1.3139329498191888E-4</v>
      </c>
      <c r="J44" s="120">
        <f>'Forage, input data per ha'!$D$80*'Forage crops, footprints'!J44+'Forage, input data per ha'!$E$80*'Forage crops, footprints'!J61</f>
        <v>4.7216447734087927E-5</v>
      </c>
      <c r="K44" s="120">
        <f>'Forage, input data per ha'!$D$80*'Forage crops, footprints'!K44+'Forage, input data per ha'!$E$80*'Forage crops, footprints'!K61</f>
        <v>3.1246507922118576E-11</v>
      </c>
      <c r="L44" s="120">
        <f>'Forage, input data per ha'!$D$80*'Forage crops, footprints'!L44+'Forage, input data per ha'!$E$80*'Forage crops, footprints'!L61</f>
        <v>2.9495733717333476E-4</v>
      </c>
      <c r="M44" s="151">
        <f>'Parameters SH, country spec'!D17</f>
        <v>0.13883749692306407</v>
      </c>
      <c r="N44" s="151">
        <f>'Parameters SH, country spec'!D35</f>
        <v>0.13883749692306407</v>
      </c>
      <c r="O44" s="151">
        <f>'Parameters D24m, country spec'!D13</f>
        <v>0.13883749692306407</v>
      </c>
      <c r="P44" s="151"/>
    </row>
    <row r="45" spans="1:19" x14ac:dyDescent="0.3">
      <c r="A45" s="20" t="s">
        <v>231</v>
      </c>
      <c r="B45" s="15" t="s">
        <v>113</v>
      </c>
      <c r="C45" s="15" t="s">
        <v>232</v>
      </c>
      <c r="D45" s="21" t="s">
        <v>43</v>
      </c>
      <c r="E45" s="21" t="s">
        <v>44</v>
      </c>
      <c r="F45" s="22">
        <v>1.53</v>
      </c>
      <c r="G45" s="38">
        <v>2.1000000000000001E-2</v>
      </c>
      <c r="H45" s="323">
        <v>3.0999999999999999E-3</v>
      </c>
      <c r="I45" s="38">
        <v>0</v>
      </c>
      <c r="J45" s="26">
        <v>0.31</v>
      </c>
      <c r="K45" s="26">
        <v>5.0999999999999998E-11</v>
      </c>
      <c r="L45" s="26">
        <v>1.25E-3</v>
      </c>
      <c r="M45" s="151">
        <f>'Parameters SH, country spec'!D18</f>
        <v>1.298916356294802E-3</v>
      </c>
      <c r="N45" s="151">
        <f>'Parameters SH, country spec'!D36</f>
        <v>1.298916356294802E-3</v>
      </c>
      <c r="O45" s="151">
        <f>'Parameters D24m, country spec'!D14</f>
        <v>1.298916356294802E-3</v>
      </c>
    </row>
    <row r="46" spans="1:19" x14ac:dyDescent="0.3">
      <c r="A46" s="20" t="s">
        <v>233</v>
      </c>
      <c r="B46" s="15" t="s">
        <v>114</v>
      </c>
      <c r="C46" s="15" t="s">
        <v>232</v>
      </c>
      <c r="D46" s="21" t="s">
        <v>43</v>
      </c>
      <c r="E46" s="21" t="s">
        <v>44</v>
      </c>
      <c r="F46" s="19">
        <v>1.05</v>
      </c>
      <c r="G46" s="38">
        <v>0.02</v>
      </c>
      <c r="H46" s="323">
        <v>5.5999999999999999E-3</v>
      </c>
      <c r="I46" s="38">
        <v>2.05935204037918E-3</v>
      </c>
      <c r="J46" s="26">
        <v>0.94</v>
      </c>
      <c r="K46" s="26">
        <v>3.51E-11</v>
      </c>
      <c r="L46" s="26">
        <v>1.2099999999999999E-3</v>
      </c>
      <c r="M46" s="151">
        <f>'Parameters SH, country spec'!D19</f>
        <v>1.9338522642940996E-3</v>
      </c>
      <c r="N46" s="151">
        <f>'Parameters SH, country spec'!D37</f>
        <v>1.9338522642940996E-3</v>
      </c>
      <c r="O46" s="151">
        <f>'Parameters D24m, country spec'!D15</f>
        <v>1.9338522642940996E-3</v>
      </c>
    </row>
    <row r="47" spans="1:19" x14ac:dyDescent="0.3">
      <c r="A47" s="20" t="s">
        <v>234</v>
      </c>
      <c r="B47" s="15" t="s">
        <v>115</v>
      </c>
      <c r="C47" s="15" t="s">
        <v>232</v>
      </c>
      <c r="D47" s="21" t="s">
        <v>43</v>
      </c>
      <c r="E47" s="21" t="s">
        <v>44</v>
      </c>
      <c r="F47" s="19">
        <v>2.31</v>
      </c>
      <c r="G47" s="38">
        <v>1.7999999999999999E-2</v>
      </c>
      <c r="H47" s="323">
        <v>3.8E-3</v>
      </c>
      <c r="I47" s="38">
        <v>2.6859932114199001E-3</v>
      </c>
      <c r="J47" s="26">
        <v>0</v>
      </c>
      <c r="K47" s="26">
        <v>7.7000000000000006E-11</v>
      </c>
      <c r="L47" s="26">
        <v>1.1000000000000001E-3</v>
      </c>
      <c r="M47" s="151">
        <f>'Parameters SH, country spec'!D20</f>
        <v>2.5855421185781316E-7</v>
      </c>
      <c r="N47" s="151">
        <f>'Parameters SH, country spec'!D38</f>
        <v>2.5855421185781316E-7</v>
      </c>
      <c r="O47" s="151">
        <f>'Parameters D24m, country spec'!D16</f>
        <v>2.5855421185781316E-7</v>
      </c>
    </row>
    <row r="48" spans="1:19" x14ac:dyDescent="0.3">
      <c r="A48" s="20" t="s">
        <v>235</v>
      </c>
      <c r="B48" s="15" t="s">
        <v>116</v>
      </c>
      <c r="C48" s="15" t="s">
        <v>232</v>
      </c>
      <c r="D48" s="21" t="s">
        <v>43</v>
      </c>
      <c r="E48" s="21" t="s">
        <v>44</v>
      </c>
      <c r="F48" s="19">
        <v>1.99</v>
      </c>
      <c r="G48" s="38">
        <v>1.6E-2</v>
      </c>
      <c r="H48" s="323">
        <v>1.1999999999999999E-3</v>
      </c>
      <c r="I48" s="38">
        <v>0</v>
      </c>
      <c r="J48" s="26">
        <v>0</v>
      </c>
      <c r="K48" s="26">
        <v>6.6200000000000001E-11</v>
      </c>
      <c r="L48" s="26">
        <v>9.68E-4</v>
      </c>
      <c r="M48" s="151">
        <f>'Parameters SH, country spec'!D21</f>
        <v>2.1217635552166355E-4</v>
      </c>
      <c r="N48" s="151">
        <f>'Parameters SH, country spec'!D39</f>
        <v>2.1217635552166355E-4</v>
      </c>
      <c r="O48" s="151">
        <f>'Parameters D24m, country spec'!D17</f>
        <v>2.1217635552166355E-4</v>
      </c>
    </row>
    <row r="49" spans="1:19" x14ac:dyDescent="0.3">
      <c r="A49" s="20" t="s">
        <v>236</v>
      </c>
      <c r="B49" s="15" t="s">
        <v>117</v>
      </c>
      <c r="C49" s="15" t="s">
        <v>232</v>
      </c>
      <c r="D49" s="21" t="s">
        <v>43</v>
      </c>
      <c r="E49" s="21" t="s">
        <v>44</v>
      </c>
      <c r="F49" s="19">
        <v>1.36</v>
      </c>
      <c r="G49" s="38">
        <v>2.4E-2</v>
      </c>
      <c r="H49" s="323">
        <v>2.2000000000000001E-3</v>
      </c>
      <c r="I49" s="38">
        <v>1.0074338835282899E-9</v>
      </c>
      <c r="J49" s="26">
        <v>0.26</v>
      </c>
      <c r="K49" s="26">
        <v>4.5200000000000003E-11</v>
      </c>
      <c r="L49" s="26">
        <v>1.4300000000000001E-3</v>
      </c>
      <c r="M49" s="151">
        <f>'Parameters SH, country spec'!D22</f>
        <v>4.3386015699034622E-3</v>
      </c>
      <c r="N49" s="151">
        <f>'Parameters SH, country spec'!D40</f>
        <v>4.3386015699034622E-3</v>
      </c>
      <c r="O49" s="151">
        <f>'Parameters D24m, country spec'!D18</f>
        <v>4.3386015699034622E-3</v>
      </c>
    </row>
    <row r="50" spans="1:19" x14ac:dyDescent="0.3">
      <c r="A50" s="20" t="s">
        <v>237</v>
      </c>
      <c r="B50" s="15" t="s">
        <v>118</v>
      </c>
      <c r="C50" s="15" t="s">
        <v>238</v>
      </c>
      <c r="D50" s="21" t="s">
        <v>43</v>
      </c>
      <c r="E50" s="21" t="s">
        <v>44</v>
      </c>
      <c r="F50" s="19">
        <v>3.13</v>
      </c>
      <c r="G50" s="38">
        <v>0.02</v>
      </c>
      <c r="H50" s="323">
        <v>1.6999999999999999E-3</v>
      </c>
      <c r="I50" s="38">
        <v>0</v>
      </c>
      <c r="J50" s="26">
        <v>1.01</v>
      </c>
      <c r="K50" s="26">
        <v>1.04E-10</v>
      </c>
      <c r="L50" s="26">
        <v>0</v>
      </c>
      <c r="M50" s="151">
        <f>'Parameters SH, country spec'!D23</f>
        <v>2.7051994141606358E-4</v>
      </c>
      <c r="N50" s="151">
        <f>'Parameters SH, country spec'!D41</f>
        <v>2.7051994141606358E-4</v>
      </c>
      <c r="O50" s="151">
        <f>'Parameters D24m, country spec'!D19</f>
        <v>2.7051994141606358E-4</v>
      </c>
    </row>
    <row r="51" spans="1:19" x14ac:dyDescent="0.3">
      <c r="A51" s="20" t="s">
        <v>239</v>
      </c>
      <c r="B51" s="15" t="s">
        <v>119</v>
      </c>
      <c r="C51" s="15" t="s">
        <v>238</v>
      </c>
      <c r="D51" s="21" t="s">
        <v>43</v>
      </c>
      <c r="E51" s="21" t="s">
        <v>44</v>
      </c>
      <c r="F51" s="19">
        <v>2.73</v>
      </c>
      <c r="G51" s="38">
        <v>8.0000000000000002E-3</v>
      </c>
      <c r="H51" s="323">
        <v>2E-3</v>
      </c>
      <c r="I51" s="38">
        <v>0</v>
      </c>
      <c r="J51" s="26">
        <v>1.05</v>
      </c>
      <c r="K51" s="26">
        <v>9.0900000000000004E-11</v>
      </c>
      <c r="L51" s="26">
        <v>6.1400000000000002E-5</v>
      </c>
      <c r="M51" s="151">
        <f>'Parameters SH, country spec'!D24</f>
        <v>2.6573972962751311E-4</v>
      </c>
      <c r="N51" s="151">
        <f>'Parameters SH, country spec'!D42</f>
        <v>2.6573972962751311E-4</v>
      </c>
      <c r="O51" s="151">
        <f>'Parameters D24m, country spec'!D20</f>
        <v>2.6573972962751311E-4</v>
      </c>
    </row>
    <row r="52" spans="1:19" x14ac:dyDescent="0.3">
      <c r="B52" s="16" t="s">
        <v>120</v>
      </c>
      <c r="C52" s="15" t="s">
        <v>240</v>
      </c>
      <c r="D52" s="21" t="s">
        <v>43</v>
      </c>
      <c r="E52" s="21" t="s">
        <v>44</v>
      </c>
      <c r="F52" s="17">
        <f>'Off-farm feed'!$F$88</f>
        <v>1.5397450382845088</v>
      </c>
      <c r="G52" s="18">
        <f>'Off-farm feed'!$G$88</f>
        <v>4.1115595157230206E-2</v>
      </c>
      <c r="H52" s="294">
        <f>'Off-farm feed'!$H$88</f>
        <v>4.4751668198345796E-3</v>
      </c>
      <c r="I52" s="18">
        <f>'Off-farm feed'!$I$88</f>
        <v>2.5747126436781614E-3</v>
      </c>
      <c r="J52" s="27">
        <f>'Off-farm feed'!$J$88</f>
        <v>0.29368572248181501</v>
      </c>
      <c r="K52" s="27">
        <f>'Off-farm feed'!$K$88</f>
        <v>1.777473414827503E-10</v>
      </c>
      <c r="L52" s="27">
        <f>'Off-farm feed'!$L$88</f>
        <v>2.4996062723023757E-3</v>
      </c>
      <c r="M52" s="151">
        <f>'Parameters SH, country spec'!D25</f>
        <v>2.7355781220453596E-2</v>
      </c>
      <c r="N52" s="151">
        <f>'Parameters SH, country spec'!D43</f>
        <v>2.7355781220453596E-2</v>
      </c>
      <c r="O52" s="151">
        <f>'Parameters D24m, country spec'!D21</f>
        <v>2.7355781220453596E-2</v>
      </c>
    </row>
    <row r="53" spans="1:19" x14ac:dyDescent="0.3">
      <c r="B53" s="16" t="s">
        <v>241</v>
      </c>
      <c r="C53" s="15" t="s">
        <v>240</v>
      </c>
      <c r="D53" s="21" t="s">
        <v>43</v>
      </c>
      <c r="E53" s="21" t="s">
        <v>44</v>
      </c>
      <c r="F53" s="17">
        <f>'Off-farm feed'!$F$36</f>
        <v>2.5509164954964132</v>
      </c>
      <c r="G53" s="18">
        <f>'Off-farm feed'!$G$36</f>
        <v>4.2620923125915477E-2</v>
      </c>
      <c r="H53" s="294">
        <f>'Off-farm feed'!$H$36</f>
        <v>3.2959349471355036E-3</v>
      </c>
      <c r="I53" s="18">
        <f>'Off-farm feed'!$I$36</f>
        <v>2.3780487804878048E-3</v>
      </c>
      <c r="J53" s="27">
        <f>'Off-farm feed'!$J$36</f>
        <v>0.25920846302270939</v>
      </c>
      <c r="K53" s="27">
        <f>'Off-farm feed'!$K$36</f>
        <v>6.1197957373175144E-10</v>
      </c>
      <c r="L53" s="27">
        <f>'Off-farm feed'!$L$36</f>
        <v>1.0450321677831981E-4</v>
      </c>
      <c r="M53" s="151">
        <f>'Parameters SH, country spec'!D26</f>
        <v>2.6285117627784533E-2</v>
      </c>
      <c r="N53" s="151">
        <f>'Parameters SH, country spec'!D44</f>
        <v>2.6285117627784533E-2</v>
      </c>
      <c r="O53" s="151">
        <f>'Parameters D24m, country spec'!D22</f>
        <v>2.6285117627784533E-2</v>
      </c>
    </row>
    <row r="54" spans="1:19" x14ac:dyDescent="0.3">
      <c r="B54" s="15" t="s">
        <v>122</v>
      </c>
      <c r="C54" s="15" t="s">
        <v>242</v>
      </c>
      <c r="D54" s="21" t="s">
        <v>43</v>
      </c>
      <c r="E54" s="21" t="s">
        <v>44</v>
      </c>
      <c r="F54" s="97"/>
      <c r="G54" s="98"/>
      <c r="H54" s="325"/>
      <c r="I54" s="97"/>
      <c r="J54" s="105"/>
      <c r="K54" s="105"/>
      <c r="L54" s="105"/>
      <c r="M54" s="151">
        <f>'Parameters SH, country spec'!D27</f>
        <v>4.2051693837096289E-2</v>
      </c>
      <c r="N54" s="151">
        <f>'Parameters SH, country spec'!D45</f>
        <v>4.2051693837096289E-2</v>
      </c>
      <c r="O54" s="151">
        <f>'Parameters D24m, country spec'!D23</f>
        <v>4.2051693837096289E-2</v>
      </c>
    </row>
    <row r="55" spans="1:19" x14ac:dyDescent="0.3">
      <c r="A55" s="75"/>
      <c r="B55" s="15" t="s">
        <v>243</v>
      </c>
      <c r="C55" s="76" t="s">
        <v>244</v>
      </c>
      <c r="D55" s="21" t="s">
        <v>43</v>
      </c>
      <c r="E55" s="21" t="s">
        <v>44</v>
      </c>
      <c r="F55" s="73">
        <f t="shared" ref="F55:L55" si="6">AVERAGE(F45:F53)</f>
        <v>2.0211846148645467</v>
      </c>
      <c r="G55" s="99">
        <f t="shared" si="6"/>
        <v>2.3415168698127299E-2</v>
      </c>
      <c r="H55" s="326">
        <f t="shared" si="6"/>
        <v>3.0412335296633422E-3</v>
      </c>
      <c r="I55" s="99">
        <f t="shared" si="6"/>
        <v>1.0775675203776589E-3</v>
      </c>
      <c r="J55" s="164">
        <f t="shared" si="6"/>
        <v>0.45809935394494716</v>
      </c>
      <c r="K55" s="74">
        <f t="shared" si="6"/>
        <v>1.3990299057938905E-10</v>
      </c>
      <c r="L55" s="164">
        <f t="shared" si="6"/>
        <v>9.5816772100896597E-4</v>
      </c>
      <c r="M55" s="151">
        <f>'Parameters SH, country spec'!D28</f>
        <v>1.4863599715456545E-2</v>
      </c>
      <c r="N55" s="151">
        <f>'Parameters SH, country spec'!D46</f>
        <v>1.4863599715456545E-2</v>
      </c>
      <c r="O55" s="151">
        <f>'Parameters D24m, country spec'!D24</f>
        <v>1.4863599715456545E-2</v>
      </c>
    </row>
    <row r="56" spans="1:19" x14ac:dyDescent="0.3">
      <c r="A56" s="328"/>
      <c r="B56" s="329" t="s">
        <v>616</v>
      </c>
      <c r="C56" s="330"/>
      <c r="D56" s="331"/>
      <c r="E56" s="331"/>
      <c r="F56" s="332">
        <f>SUMPRODUCT(F42:F44,M42:M44)+SUMPRODUCT(F45:F55,M45:M55)/0.87</f>
        <v>0.6436625367446408</v>
      </c>
      <c r="G56" s="333">
        <f>SUMPRODUCT(G42:G44,M42:M44)+SUMPRODUCT(G45:G55,M45:M55)/0.87</f>
        <v>1.1019712986696985E-2</v>
      </c>
      <c r="H56" s="333">
        <f>SUMPRODUCT(H42:H44,M42:M44)+SUMPRODUCT(H45:H55,M45:M55)/0.87</f>
        <v>5.4920135762116383E-4</v>
      </c>
      <c r="I56" s="333">
        <f>SUMPRODUCT(I42:I44,M42:M44)+SUMPRODUCT(I45:I55,M45:M55)/0.87</f>
        <v>2.9156717880751053E-4</v>
      </c>
      <c r="J56" s="334">
        <f>SUMPRODUCT(J42:J44,M42:M44)+SUMPRODUCT(J45:J55,M45:M55)/0.87</f>
        <v>2.9432600075995682E-2</v>
      </c>
      <c r="K56" s="334">
        <f>SUMPRODUCT(K42:K44,M42:M44)+SUMPRODUCT(K45:K55,M45:M55)/0.87</f>
        <v>5.9121300134152061E-11</v>
      </c>
      <c r="L56" s="334">
        <f>SUMPRODUCT(L42:L44,M42:M44)+SUMPRODUCT(L45:L55,M45:M55)/0.87</f>
        <v>3.3580109452479104E-4</v>
      </c>
      <c r="M56" s="335"/>
      <c r="N56" s="336"/>
      <c r="O56" s="336"/>
      <c r="P56" s="335"/>
    </row>
    <row r="57" spans="1:19" x14ac:dyDescent="0.3">
      <c r="A57" s="150"/>
      <c r="B57" s="23" t="s">
        <v>457</v>
      </c>
      <c r="C57" s="24"/>
      <c r="D57" s="94"/>
      <c r="E57" s="94"/>
      <c r="F57" s="327">
        <f>SUMPRODUCT(F42:F45,N42:N45)+SUMPRODUCT(F46:F56,N46:N56)/0.87</f>
        <v>0.64336557759146029</v>
      </c>
      <c r="G57" s="25">
        <f>SUMPRODUCT(G42:G45,N42:N45)+SUMPRODUCT(G46:G56,N46:N56)/0.87</f>
        <v>1.1015637076751369E-2</v>
      </c>
      <c r="H57" s="25">
        <f>SUMPRODUCT(H42:H45,N42:N45)+SUMPRODUCT(H46:H56,N46:N56)/0.87</f>
        <v>5.4859967567681125E-4</v>
      </c>
      <c r="I57" s="25">
        <f>SUMPRODUCT(I42:I45,N42:N45)+SUMPRODUCT(I46:I56,N46:N56)/0.87</f>
        <v>2.9156717880751053E-4</v>
      </c>
      <c r="J57" s="28">
        <f>SUMPRODUCT(J42:J45,N42:N45)+SUMPRODUCT(J46:J56,N46:N56)/0.87</f>
        <v>2.9372431881560416E-2</v>
      </c>
      <c r="K57" s="28">
        <f>SUMPRODUCT(K42:K45,N42:N45)+SUMPRODUCT(K46:K56,N46:N56)/0.87</f>
        <v>5.9111401495712711E-11</v>
      </c>
      <c r="L57" s="28">
        <f>SUMPRODUCT(L42:L45,N42:N45)+SUMPRODUCT(L46:L56,N46:N56)/0.87</f>
        <v>3.3555848083755208E-4</v>
      </c>
      <c r="M57" s="152"/>
      <c r="N57" s="152"/>
      <c r="O57" s="454"/>
      <c r="P57" s="152"/>
    </row>
    <row r="58" spans="1:19" x14ac:dyDescent="0.3">
      <c r="A58" s="328"/>
      <c r="B58" s="329" t="s">
        <v>641</v>
      </c>
      <c r="C58" s="330"/>
      <c r="D58" s="331"/>
      <c r="E58" s="331"/>
      <c r="F58" s="332">
        <f>SUMPRODUCT(F42:F44,$O42:$O44)+SUMPRODUCT(F45:F55,$O45:$O55)/0.87</f>
        <v>0.6436625367446408</v>
      </c>
      <c r="G58" s="332">
        <f t="shared" ref="G58:L58" si="7">SUMPRODUCT(G42:G44,$O42:$O44)+SUMPRODUCT(G45:G55,$O45:$O55)/0.87</f>
        <v>1.1019712986696985E-2</v>
      </c>
      <c r="H58" s="332">
        <f t="shared" si="7"/>
        <v>5.4920135762116383E-4</v>
      </c>
      <c r="I58" s="332">
        <f t="shared" si="7"/>
        <v>2.9156717880751053E-4</v>
      </c>
      <c r="J58" s="332">
        <f t="shared" si="7"/>
        <v>2.9432600075995682E-2</v>
      </c>
      <c r="K58" s="332">
        <f t="shared" si="7"/>
        <v>5.9121300134152061E-11</v>
      </c>
      <c r="L58" s="332">
        <f t="shared" si="7"/>
        <v>3.3580109452479104E-4</v>
      </c>
      <c r="M58" s="332"/>
      <c r="N58" s="332"/>
      <c r="O58" s="456"/>
      <c r="P58" s="332"/>
      <c r="Q58" s="17"/>
      <c r="R58" s="453"/>
      <c r="S58" s="453"/>
    </row>
    <row r="59" spans="1:19" x14ac:dyDescent="0.3">
      <c r="A59" s="150"/>
      <c r="B59" s="23" t="s">
        <v>642</v>
      </c>
      <c r="C59" s="24"/>
      <c r="D59" s="94"/>
      <c r="E59" s="94"/>
      <c r="F59" s="327">
        <f>SUMPRODUCT(F42:F44,$P42:$P44)+SUMPRODUCT(F45:F55,$P45:$P55)/0.87</f>
        <v>0</v>
      </c>
      <c r="G59" s="327">
        <f t="shared" ref="G59:L59" si="8">SUMPRODUCT(G42:G44,$P42:$P44)+SUMPRODUCT(G45:G55,$P45:$P55)/0.87</f>
        <v>0</v>
      </c>
      <c r="H59" s="327">
        <f t="shared" si="8"/>
        <v>0</v>
      </c>
      <c r="I59" s="327">
        <f t="shared" si="8"/>
        <v>0</v>
      </c>
      <c r="J59" s="327">
        <f t="shared" si="8"/>
        <v>0</v>
      </c>
      <c r="K59" s="327">
        <f t="shared" si="8"/>
        <v>0</v>
      </c>
      <c r="L59" s="327">
        <f t="shared" si="8"/>
        <v>0</v>
      </c>
      <c r="M59" s="327"/>
      <c r="N59" s="327"/>
      <c r="O59" s="457"/>
      <c r="P59" s="327"/>
      <c r="Q59" s="17"/>
      <c r="R59" s="453"/>
      <c r="S59" s="453"/>
    </row>
    <row r="60" spans="1:19" x14ac:dyDescent="0.3">
      <c r="B60" s="16" t="s">
        <v>299</v>
      </c>
      <c r="C60" s="15" t="s">
        <v>302</v>
      </c>
      <c r="D60" s="21" t="s">
        <v>45</v>
      </c>
      <c r="E60" s="21" t="s">
        <v>46</v>
      </c>
      <c r="F60" s="110">
        <v>0</v>
      </c>
      <c r="G60" s="318">
        <f>'Forage crops, footprints'!G11</f>
        <v>1.4248888174213355E-2</v>
      </c>
      <c r="H60" s="319">
        <f>'Forage crops, footprints'!H11</f>
        <v>2.3847872238080535E-4</v>
      </c>
      <c r="I60" s="318">
        <f>'Forage crops, footprints'!I11</f>
        <v>4.1667992608341718E-2</v>
      </c>
      <c r="J60" s="120">
        <f>'Forage crops, footprints'!J11</f>
        <v>0</v>
      </c>
      <c r="K60" s="120">
        <f>'Forage crops, footprints'!K11</f>
        <v>8.1248780444874649E-9</v>
      </c>
      <c r="L60" s="120">
        <f>'Forage crops, footprints'!L11</f>
        <v>3.5122388625340054E-4</v>
      </c>
      <c r="M60" s="151">
        <f>'Parameters SH, country spec'!E15</f>
        <v>0.3707697249953647</v>
      </c>
      <c r="N60" s="151">
        <f>'Parameters SH, country spec'!E33</f>
        <v>0.3707697249953647</v>
      </c>
      <c r="O60" s="151">
        <f>'Parameters D24m, country spec'!E11</f>
        <v>0.3707697249953647</v>
      </c>
      <c r="P60" s="151"/>
    </row>
    <row r="61" spans="1:19" x14ac:dyDescent="0.3">
      <c r="B61" s="16" t="s">
        <v>300</v>
      </c>
      <c r="C61" s="15" t="s">
        <v>302</v>
      </c>
      <c r="D61" s="21" t="s">
        <v>45</v>
      </c>
      <c r="E61" s="21" t="s">
        <v>46</v>
      </c>
      <c r="F61" s="110">
        <f>'Forage crops, footprints'!F28</f>
        <v>1.4743513961474723</v>
      </c>
      <c r="G61" s="318">
        <f>'Forage crops, footprints'!G28</f>
        <v>2.6538325130654503E-2</v>
      </c>
      <c r="H61" s="318">
        <f>'Forage crops, footprints'!H28</f>
        <v>1.4162079608064451E-3</v>
      </c>
      <c r="I61" s="318">
        <f>'Forage crops, footprints'!I28</f>
        <v>4.1667992608341725E-2</v>
      </c>
      <c r="J61" s="120">
        <f>'Forage crops, footprints'!J28</f>
        <v>6.7567011968587768E-5</v>
      </c>
      <c r="K61" s="120">
        <f>'Forage crops, footprints'!K28</f>
        <v>2.4318490145488241E-9</v>
      </c>
      <c r="L61" s="120">
        <f>'Forage crops, footprints'!L28</f>
        <v>1.6133869326057572E-3</v>
      </c>
      <c r="M61" s="151">
        <f>'Parameters SH, country spec'!E16</f>
        <v>0.13544388222799708</v>
      </c>
      <c r="N61" s="151">
        <f>'Parameters SH, country spec'!E34</f>
        <v>0.13544388222799708</v>
      </c>
      <c r="O61" s="151">
        <f>'Parameters D24m, country spec'!E12</f>
        <v>0.13544388222799708</v>
      </c>
      <c r="P61" s="151"/>
    </row>
    <row r="62" spans="1:19" x14ac:dyDescent="0.3">
      <c r="B62" s="16" t="s">
        <v>301</v>
      </c>
      <c r="C62" s="15" t="s">
        <v>302</v>
      </c>
      <c r="D62" s="21" t="s">
        <v>45</v>
      </c>
      <c r="E62" s="21" t="s">
        <v>46</v>
      </c>
      <c r="F62" s="110">
        <f>'Forage, input data per ha'!$D$81*'Forage crops, footprints'!F45+'Forage, input data per ha'!$E$81*'Forage crops, footprints'!F62</f>
        <v>2.5156577229246486</v>
      </c>
      <c r="G62" s="318">
        <f>'Forage, input data per ha'!$D$81*'Forage crops, footprints'!G45+'Forage, input data per ha'!$E$81*'Forage crops, footprints'!G62</f>
        <v>3.2463840306432144E-2</v>
      </c>
      <c r="H62" s="318">
        <f>'Forage, input data per ha'!$D$81*'Forage crops, footprints'!H45+'Forage, input data per ha'!$E$81*'Forage crops, footprints'!H62</f>
        <v>2.0489888895601788E-3</v>
      </c>
      <c r="I62" s="318">
        <f>'Forage, input data per ha'!$D$81*'Forage crops, footprints'!I45+'Forage, input data per ha'!$E$81*'Forage crops, footprints'!I62</f>
        <v>4.1667992608341718E-2</v>
      </c>
      <c r="J62" s="120">
        <f>'Forage, input data per ha'!$D$81*'Forage crops, footprints'!J45+'Forage, input data per ha'!$E$81*'Forage crops, footprints'!J62</f>
        <v>5.5084346079147575E-5</v>
      </c>
      <c r="K62" s="120">
        <f>'Forage, input data per ha'!$D$81*'Forage crops, footprints'!K45+'Forage, input data per ha'!$E$81*'Forage crops, footprints'!K62</f>
        <v>3.4166395150175754E-9</v>
      </c>
      <c r="L62" s="120">
        <f>'Forage, input data per ha'!$D$81*'Forage crops, footprints'!L45+'Forage, input data per ha'!$E$81*'Forage crops, footprints'!L62</f>
        <v>1.4763950335011593E-4</v>
      </c>
      <c r="M62" s="151">
        <f>'Parameters SH, country spec'!E17</f>
        <v>3.5518223853143398E-2</v>
      </c>
      <c r="N62" s="151">
        <f>'Parameters SH, country spec'!E35</f>
        <v>3.5518223853143398E-2</v>
      </c>
      <c r="O62" s="151">
        <f>'Parameters D24m, country spec'!E13</f>
        <v>3.5518223853143398E-2</v>
      </c>
      <c r="P62" s="151"/>
    </row>
    <row r="63" spans="1:19" x14ac:dyDescent="0.3">
      <c r="A63" s="20" t="s">
        <v>231</v>
      </c>
      <c r="B63" s="15" t="s">
        <v>113</v>
      </c>
      <c r="C63" s="15" t="s">
        <v>232</v>
      </c>
      <c r="D63" s="21" t="s">
        <v>45</v>
      </c>
      <c r="E63" s="21" t="s">
        <v>46</v>
      </c>
      <c r="F63" s="22">
        <v>3.52</v>
      </c>
      <c r="G63" s="38">
        <v>2.1000000000000001E-2</v>
      </c>
      <c r="H63" s="38">
        <v>3.0999999999999999E-3</v>
      </c>
      <c r="I63" s="38">
        <v>0</v>
      </c>
      <c r="J63" s="26">
        <v>0.16</v>
      </c>
      <c r="K63" s="26">
        <v>5.8100000000000004E-9</v>
      </c>
      <c r="L63" s="26">
        <v>1.25E-3</v>
      </c>
      <c r="M63" s="151">
        <f>'Parameters SH, country spec'!E18</f>
        <v>6.7240073264057107E-2</v>
      </c>
      <c r="N63" s="151">
        <f>'Parameters SH, country spec'!E36</f>
        <v>6.7240073264057107E-2</v>
      </c>
      <c r="O63" s="151">
        <f>'Parameters D24m, country spec'!E14</f>
        <v>6.7240073264057107E-2</v>
      </c>
    </row>
    <row r="64" spans="1:19" x14ac:dyDescent="0.3">
      <c r="A64" s="20" t="s">
        <v>233</v>
      </c>
      <c r="B64" s="15" t="s">
        <v>114</v>
      </c>
      <c r="C64" s="15" t="s">
        <v>232</v>
      </c>
      <c r="D64" s="21" t="s">
        <v>45</v>
      </c>
      <c r="E64" s="21" t="s">
        <v>46</v>
      </c>
      <c r="F64" s="19">
        <v>0.93</v>
      </c>
      <c r="G64" s="38">
        <v>0.02</v>
      </c>
      <c r="H64" s="38">
        <v>5.5999999999999999E-3</v>
      </c>
      <c r="I64" s="38">
        <v>0.28261914165931901</v>
      </c>
      <c r="J64" s="26">
        <v>0.05</v>
      </c>
      <c r="K64" s="26">
        <v>1.5300000000000001E-9</v>
      </c>
      <c r="L64" s="26">
        <v>1.2099999999999999E-3</v>
      </c>
      <c r="M64" s="151">
        <f>'Parameters SH, country spec'!E19</f>
        <v>0.20110909949687941</v>
      </c>
      <c r="N64" s="151">
        <f>'Parameters SH, country spec'!E37</f>
        <v>0.20110909949687941</v>
      </c>
      <c r="O64" s="151">
        <f>'Parameters D24m, country spec'!E15</f>
        <v>0.20110909949687941</v>
      </c>
    </row>
    <row r="65" spans="1:19" x14ac:dyDescent="0.3">
      <c r="A65" s="20" t="s">
        <v>234</v>
      </c>
      <c r="B65" s="15" t="s">
        <v>115</v>
      </c>
      <c r="C65" s="15" t="s">
        <v>232</v>
      </c>
      <c r="D65" s="21" t="s">
        <v>45</v>
      </c>
      <c r="E65" s="21" t="s">
        <v>46</v>
      </c>
      <c r="F65" s="19">
        <v>7.57</v>
      </c>
      <c r="G65" s="38">
        <v>1.7999999999999999E-2</v>
      </c>
      <c r="H65" s="38">
        <v>3.8E-3</v>
      </c>
      <c r="I65" s="38">
        <v>0.100478034399725</v>
      </c>
      <c r="J65" s="26">
        <v>0</v>
      </c>
      <c r="K65" s="26">
        <v>1.2499999999999999E-8</v>
      </c>
      <c r="L65" s="26">
        <v>1.1000000000000001E-3</v>
      </c>
      <c r="M65" s="151">
        <f>'Parameters SH, country spec'!E20</f>
        <v>1.8273719871874414E-2</v>
      </c>
      <c r="N65" s="151">
        <f>'Parameters SH, country spec'!E38</f>
        <v>1.8273719871874414E-2</v>
      </c>
      <c r="O65" s="151">
        <f>'Parameters D24m, country spec'!E16</f>
        <v>1.8273719871874414E-2</v>
      </c>
    </row>
    <row r="66" spans="1:19" x14ac:dyDescent="0.3">
      <c r="A66" s="20" t="s">
        <v>235</v>
      </c>
      <c r="B66" s="15" t="s">
        <v>116</v>
      </c>
      <c r="C66" s="15" t="s">
        <v>232</v>
      </c>
      <c r="D66" s="21" t="s">
        <v>45</v>
      </c>
      <c r="E66" s="21" t="s">
        <v>46</v>
      </c>
      <c r="F66" s="19">
        <v>4.92</v>
      </c>
      <c r="G66" s="38">
        <v>1.6E-2</v>
      </c>
      <c r="H66" s="38">
        <v>1.1999999999999999E-3</v>
      </c>
      <c r="I66" s="38">
        <v>0</v>
      </c>
      <c r="J66" s="26">
        <v>0</v>
      </c>
      <c r="K66" s="26">
        <v>8.1199999999999993E-9</v>
      </c>
      <c r="L66" s="26">
        <v>9.68E-4</v>
      </c>
      <c r="M66" s="151">
        <f>'Parameters SH, country spec'!E21</f>
        <v>4.0305382311056149E-3</v>
      </c>
      <c r="N66" s="151">
        <f>'Parameters SH, country spec'!E39</f>
        <v>4.0305382311056149E-3</v>
      </c>
      <c r="O66" s="151">
        <f>'Parameters D24m, country spec'!E17</f>
        <v>4.0305382311056149E-3</v>
      </c>
    </row>
    <row r="67" spans="1:19" x14ac:dyDescent="0.3">
      <c r="A67" s="20" t="s">
        <v>236</v>
      </c>
      <c r="B67" s="15" t="s">
        <v>117</v>
      </c>
      <c r="C67" s="15" t="s">
        <v>232</v>
      </c>
      <c r="D67" s="21" t="s">
        <v>45</v>
      </c>
      <c r="E67" s="21" t="s">
        <v>46</v>
      </c>
      <c r="F67" s="19">
        <v>3.48</v>
      </c>
      <c r="G67" s="38">
        <v>2.4E-2</v>
      </c>
      <c r="H67" s="38">
        <v>2.2000000000000001E-3</v>
      </c>
      <c r="I67" s="38">
        <v>2.88183040755794E-2</v>
      </c>
      <c r="J67" s="26">
        <v>0.1</v>
      </c>
      <c r="K67" s="26">
        <v>5.7399999999999996E-9</v>
      </c>
      <c r="L67" s="26">
        <v>1.4300000000000001E-3</v>
      </c>
      <c r="M67" s="151">
        <f>'Parameters SH, country spec'!E22</f>
        <v>2.8904067051552513E-3</v>
      </c>
      <c r="N67" s="151">
        <f>'Parameters SH, country spec'!E40</f>
        <v>2.8904067051552513E-3</v>
      </c>
      <c r="O67" s="151">
        <f>'Parameters D24m, country spec'!E18</f>
        <v>2.8904067051552513E-3</v>
      </c>
    </row>
    <row r="68" spans="1:19" x14ac:dyDescent="0.3">
      <c r="A68" s="20" t="s">
        <v>237</v>
      </c>
      <c r="B68" s="15" t="s">
        <v>118</v>
      </c>
      <c r="C68" s="15" t="s">
        <v>238</v>
      </c>
      <c r="D68" s="21" t="s">
        <v>45</v>
      </c>
      <c r="E68" s="21" t="s">
        <v>46</v>
      </c>
      <c r="F68" s="19">
        <v>6.17</v>
      </c>
      <c r="G68" s="38">
        <v>3.9E-2</v>
      </c>
      <c r="H68" s="38">
        <v>1.6999999999999999E-3</v>
      </c>
      <c r="I68" s="38">
        <v>0.17626378095829701</v>
      </c>
      <c r="J68" s="26">
        <v>0.49</v>
      </c>
      <c r="K68" s="26">
        <v>1.02E-8</v>
      </c>
      <c r="L68" s="26">
        <v>0</v>
      </c>
      <c r="M68" s="151">
        <f>'Parameters SH, country spec'!E23</f>
        <v>2.7727022810161413E-4</v>
      </c>
      <c r="N68" s="151">
        <f>'Parameters SH, country spec'!E41</f>
        <v>2.7727022810161413E-4</v>
      </c>
      <c r="O68" s="151">
        <f>'Parameters D24m, country spec'!E19</f>
        <v>2.7727022810161413E-4</v>
      </c>
    </row>
    <row r="69" spans="1:19" x14ac:dyDescent="0.3">
      <c r="A69" s="20" t="s">
        <v>239</v>
      </c>
      <c r="B69" s="15" t="s">
        <v>119</v>
      </c>
      <c r="C69" s="15" t="s">
        <v>238</v>
      </c>
      <c r="D69" s="21" t="s">
        <v>45</v>
      </c>
      <c r="E69" s="21" t="s">
        <v>46</v>
      </c>
      <c r="F69" s="19">
        <v>3.82</v>
      </c>
      <c r="G69" s="38">
        <v>0.01</v>
      </c>
      <c r="H69" s="38">
        <v>2E-3</v>
      </c>
      <c r="I69" s="38">
        <v>0.29659992963884502</v>
      </c>
      <c r="J69" s="26">
        <v>1.05</v>
      </c>
      <c r="K69" s="26">
        <v>6.3099999999999999E-9</v>
      </c>
      <c r="L69" s="26">
        <v>6.1400000000000002E-5</v>
      </c>
      <c r="M69" s="151">
        <f>'Parameters SH, country spec'!E24</f>
        <v>2.7237073543292042E-4</v>
      </c>
      <c r="N69" s="151">
        <f>'Parameters SH, country spec'!E42</f>
        <v>2.7237073543292042E-4</v>
      </c>
      <c r="O69" s="151">
        <f>'Parameters D24m, country spec'!E20</f>
        <v>2.7237073543292042E-4</v>
      </c>
    </row>
    <row r="70" spans="1:19" x14ac:dyDescent="0.3">
      <c r="B70" s="16" t="s">
        <v>120</v>
      </c>
      <c r="C70" s="15" t="s">
        <v>240</v>
      </c>
      <c r="D70" s="21" t="s">
        <v>45</v>
      </c>
      <c r="E70" s="21" t="s">
        <v>46</v>
      </c>
      <c r="F70" s="17">
        <f>'Off-farm feed'!$F$88</f>
        <v>1.5397450382845088</v>
      </c>
      <c r="G70" s="18">
        <f>'Off-farm feed'!$G$88</f>
        <v>4.1115595157230206E-2</v>
      </c>
      <c r="H70" s="18">
        <f>'Off-farm feed'!$H$88</f>
        <v>4.4751668198345796E-3</v>
      </c>
      <c r="I70" s="18">
        <f>'Off-farm feed'!$I$88</f>
        <v>2.5747126436781614E-3</v>
      </c>
      <c r="J70" s="27">
        <f>'Off-farm feed'!$J$88</f>
        <v>0.29368572248181501</v>
      </c>
      <c r="K70" s="27">
        <f>'Off-farm feed'!$K$88</f>
        <v>1.777473414827503E-10</v>
      </c>
      <c r="L70" s="27">
        <f>'Off-farm feed'!$L$88</f>
        <v>2.4996062723023757E-3</v>
      </c>
      <c r="M70" s="151">
        <f>'Parameters SH, country spec'!E25</f>
        <v>3.0258775338687637E-4</v>
      </c>
      <c r="N70" s="151">
        <f>'Parameters SH, country spec'!E43</f>
        <v>3.0258775338687637E-4</v>
      </c>
      <c r="O70" s="151">
        <f>'Parameters D24m, country spec'!E21</f>
        <v>3.0258775338687637E-4</v>
      </c>
    </row>
    <row r="71" spans="1:19" x14ac:dyDescent="0.3">
      <c r="B71" s="16" t="s">
        <v>241</v>
      </c>
      <c r="C71" s="15" t="s">
        <v>240</v>
      </c>
      <c r="D71" s="21" t="s">
        <v>45</v>
      </c>
      <c r="E71" s="21" t="s">
        <v>46</v>
      </c>
      <c r="F71" s="17">
        <f>'Off-farm feed'!$F$36</f>
        <v>2.5509164954964132</v>
      </c>
      <c r="G71" s="18">
        <f>'Off-farm feed'!$G$36</f>
        <v>4.2620923125915477E-2</v>
      </c>
      <c r="H71" s="18">
        <f>'Off-farm feed'!$H$36</f>
        <v>3.2959349471355036E-3</v>
      </c>
      <c r="I71" s="18">
        <f>'Off-farm feed'!$I$36</f>
        <v>2.3780487804878048E-3</v>
      </c>
      <c r="J71" s="27">
        <f>'Off-farm feed'!$J$36</f>
        <v>0.25920846302270939</v>
      </c>
      <c r="K71" s="27">
        <f>'Off-farm feed'!$K$36</f>
        <v>6.1197957373175144E-10</v>
      </c>
      <c r="L71" s="27">
        <f>'Off-farm feed'!$L$36</f>
        <v>1.0450321677831981E-4</v>
      </c>
      <c r="M71" s="151">
        <f>'Parameters SH, country spec'!E26</f>
        <v>5.3317910590755316E-2</v>
      </c>
      <c r="N71" s="151">
        <f>'Parameters SH, country spec'!E44</f>
        <v>5.3317910590755316E-2</v>
      </c>
      <c r="O71" s="151">
        <f>'Parameters D24m, country spec'!E22</f>
        <v>5.3317910590755316E-2</v>
      </c>
    </row>
    <row r="72" spans="1:19" x14ac:dyDescent="0.3">
      <c r="B72" s="15" t="s">
        <v>122</v>
      </c>
      <c r="C72" s="15" t="s">
        <v>242</v>
      </c>
      <c r="D72" s="21" t="s">
        <v>45</v>
      </c>
      <c r="E72" s="21" t="s">
        <v>46</v>
      </c>
      <c r="F72" s="97"/>
      <c r="G72" s="98"/>
      <c r="H72" s="98"/>
      <c r="I72" s="97"/>
      <c r="J72" s="105"/>
      <c r="K72" s="105"/>
      <c r="L72" s="105"/>
      <c r="M72" s="151">
        <f>'Parameters SH, country spec'!E27</f>
        <v>4.6947510766466367E-2</v>
      </c>
      <c r="N72" s="151">
        <f>'Parameters SH, country spec'!E45</f>
        <v>4.6947510766466367E-2</v>
      </c>
      <c r="O72" s="151">
        <f>'Parameters D24m, country spec'!E23</f>
        <v>4.6947510766466367E-2</v>
      </c>
    </row>
    <row r="73" spans="1:19" x14ac:dyDescent="0.3">
      <c r="A73" s="75"/>
      <c r="B73" s="15" t="s">
        <v>243</v>
      </c>
      <c r="C73" s="76" t="s">
        <v>244</v>
      </c>
      <c r="D73" s="21" t="s">
        <v>45</v>
      </c>
      <c r="E73" s="21" t="s">
        <v>46</v>
      </c>
      <c r="F73" s="73">
        <f t="shared" ref="F73:L73" si="9">AVERAGE(F63:F71)</f>
        <v>3.8334068370867689</v>
      </c>
      <c r="G73" s="99">
        <f t="shared" si="9"/>
        <v>2.5748502031460632E-2</v>
      </c>
      <c r="H73" s="99">
        <f t="shared" si="9"/>
        <v>3.0412335296633422E-3</v>
      </c>
      <c r="I73" s="99">
        <f t="shared" si="9"/>
        <v>9.8859105795103486E-2</v>
      </c>
      <c r="J73" s="74">
        <f t="shared" si="9"/>
        <v>0.26698824283383604</v>
      </c>
      <c r="K73" s="74">
        <f t="shared" si="9"/>
        <v>5.6666363239127222E-9</v>
      </c>
      <c r="L73" s="74">
        <f t="shared" si="9"/>
        <v>9.5816772100896597E-4</v>
      </c>
      <c r="M73" s="151">
        <f>'Parameters SH, country spec'!E28</f>
        <v>6.3606681280279728E-2</v>
      </c>
      <c r="N73" s="151">
        <f>'Parameters SH, country spec'!E46</f>
        <v>6.3606681280279728E-2</v>
      </c>
      <c r="O73" s="151">
        <f>'Parameters D24m, country spec'!E24</f>
        <v>6.3606681280279728E-2</v>
      </c>
    </row>
    <row r="74" spans="1:19" x14ac:dyDescent="0.3">
      <c r="A74" s="328"/>
      <c r="B74" s="329" t="s">
        <v>616</v>
      </c>
      <c r="C74" s="330"/>
      <c r="D74" s="331"/>
      <c r="E74" s="331"/>
      <c r="F74" s="332">
        <f>SUMPRODUCT(F60:F62,M60:M62)+SUMPRODUCT(F63:F73,M63:M73)/0.87</f>
        <v>1.4097267771260769</v>
      </c>
      <c r="G74" s="333">
        <f>SUMPRODUCT(G60:G62,M60:M62)+SUMPRODUCT(G63:G73,M63:M73)/0.87</f>
        <v>2.133312269119228E-2</v>
      </c>
      <c r="H74" s="333">
        <f>SUMPRODUCT(H60:H62,M60:M62)+SUMPRODUCT(H63:H73,M63:M73)/0.87</f>
        <v>2.4068485861605325E-3</v>
      </c>
      <c r="I74" s="333">
        <f>SUMPRODUCT(I60:I62,M60:M62)+SUMPRODUCT(I63:I73,M63:M73)/0.87</f>
        <v>9.7632664479399306E-2</v>
      </c>
      <c r="J74" s="334">
        <f>SUMPRODUCT(J60:J62,M60:M62)+SUMPRODUCT(J63:J73,M63:M73)/0.87</f>
        <v>6.0259745367438632E-2</v>
      </c>
      <c r="K74" s="334">
        <f>SUMPRODUCT(K60:K62,M60:M62)+SUMPRODUCT(K63:K73,M63:M73)/0.87</f>
        <v>5.0422346918008651E-9</v>
      </c>
      <c r="L74" s="334">
        <f>SUMPRODUCT(L60:L62,M60:M62)+SUMPRODUCT(L63:L73,M63:M73)/0.87</f>
        <v>8.3998917006866268E-4</v>
      </c>
      <c r="M74" s="335"/>
      <c r="N74" s="336"/>
      <c r="O74" s="336"/>
      <c r="P74" s="335"/>
    </row>
    <row r="75" spans="1:19" x14ac:dyDescent="0.3">
      <c r="A75" s="150"/>
      <c r="B75" s="23" t="s">
        <v>457</v>
      </c>
      <c r="C75" s="24"/>
      <c r="D75" s="94"/>
      <c r="E75" s="94"/>
      <c r="F75" s="327">
        <f>SUMPRODUCT(F60:F63,N60:N63)+SUMPRODUCT(F64:F74,N64:N74)/0.87</f>
        <v>1.3743600443379935</v>
      </c>
      <c r="G75" s="25">
        <f>SUMPRODUCT(G60:G63,N60:N63)+SUMPRODUCT(G64:G74,N64:N74)/0.87</f>
        <v>2.1122127978536097E-2</v>
      </c>
      <c r="H75" s="25">
        <f>SUMPRODUCT(H60:H63,N60:N63)+SUMPRODUCT(H64:H74,N64:N74)/0.87</f>
        <v>2.3757017476255726E-3</v>
      </c>
      <c r="I75" s="25">
        <f>SUMPRODUCT(I60:I63,N60:N63)+SUMPRODUCT(I64:I74,N64:N74)/0.87</f>
        <v>9.7632664479399306E-2</v>
      </c>
      <c r="J75" s="28">
        <f>SUMPRODUCT(J60:J63,N60:N63)+SUMPRODUCT(J64:J74,N64:N74)/0.87</f>
        <v>5.8652166604343935E-2</v>
      </c>
      <c r="K75" s="28">
        <f>SUMPRODUCT(K60:K63,N60:N63)+SUMPRODUCT(K64:K74,N64:N74)/0.87</f>
        <v>4.9838594879659895E-9</v>
      </c>
      <c r="L75" s="28">
        <f>SUMPRODUCT(L60:L63,N60:N63)+SUMPRODUCT(L64:L74,N64:N74)/0.87</f>
        <v>8.2742996098198536E-4</v>
      </c>
      <c r="M75" s="152"/>
      <c r="N75" s="152"/>
      <c r="O75" s="454"/>
      <c r="P75" s="152"/>
    </row>
    <row r="76" spans="1:19" x14ac:dyDescent="0.3">
      <c r="A76" s="328"/>
      <c r="B76" s="329" t="s">
        <v>641</v>
      </c>
      <c r="C76" s="330"/>
      <c r="D76" s="331"/>
      <c r="E76" s="331"/>
      <c r="F76" s="332">
        <f>SUMPRODUCT(F60:F62,$O60:$O62)+SUMPRODUCT(F63:F73,$O63:$O73)/0.87</f>
        <v>1.4097267771260769</v>
      </c>
      <c r="G76" s="332">
        <f t="shared" ref="G76:L76" si="10">SUMPRODUCT(G60:G62,$O60:$O62)+SUMPRODUCT(G63:G73,$O63:$O73)/0.87</f>
        <v>2.133312269119228E-2</v>
      </c>
      <c r="H76" s="332">
        <f t="shared" si="10"/>
        <v>2.4068485861605325E-3</v>
      </c>
      <c r="I76" s="332">
        <f t="shared" si="10"/>
        <v>9.7632664479399306E-2</v>
      </c>
      <c r="J76" s="332">
        <f t="shared" si="10"/>
        <v>6.0259745367438632E-2</v>
      </c>
      <c r="K76" s="332">
        <f t="shared" si="10"/>
        <v>5.0422346918008651E-9</v>
      </c>
      <c r="L76" s="332">
        <f t="shared" si="10"/>
        <v>8.3998917006866268E-4</v>
      </c>
      <c r="M76" s="332"/>
      <c r="N76" s="332"/>
      <c r="O76" s="456"/>
      <c r="P76" s="332"/>
      <c r="Q76" s="17"/>
      <c r="R76" s="453"/>
      <c r="S76" s="453"/>
    </row>
    <row r="77" spans="1:19" x14ac:dyDescent="0.3">
      <c r="A77" s="150"/>
      <c r="B77" s="23" t="s">
        <v>642</v>
      </c>
      <c r="C77" s="24"/>
      <c r="D77" s="94"/>
      <c r="E77" s="94"/>
      <c r="F77" s="327">
        <f>SUMPRODUCT(F60:F62,$P60:$P62)+SUMPRODUCT(F63:F73,$P63:$P73)/0.87</f>
        <v>0</v>
      </c>
      <c r="G77" s="327">
        <f t="shared" ref="G77:L77" si="11">SUMPRODUCT(G60:G62,$P60:$P62)+SUMPRODUCT(G63:G73,$P63:$P73)/0.87</f>
        <v>0</v>
      </c>
      <c r="H77" s="327">
        <f t="shared" si="11"/>
        <v>0</v>
      </c>
      <c r="I77" s="327">
        <f t="shared" si="11"/>
        <v>0</v>
      </c>
      <c r="J77" s="327">
        <f t="shared" si="11"/>
        <v>0</v>
      </c>
      <c r="K77" s="327">
        <f t="shared" si="11"/>
        <v>0</v>
      </c>
      <c r="L77" s="327">
        <f t="shared" si="11"/>
        <v>0</v>
      </c>
      <c r="M77" s="327"/>
      <c r="N77" s="327"/>
      <c r="O77" s="457"/>
      <c r="P77" s="327"/>
      <c r="Q77" s="17"/>
      <c r="R77" s="453"/>
      <c r="S77" s="453"/>
    </row>
    <row r="78" spans="1:19" x14ac:dyDescent="0.3">
      <c r="B78" s="16" t="s">
        <v>299</v>
      </c>
      <c r="C78" s="15" t="s">
        <v>302</v>
      </c>
      <c r="D78" s="21" t="s">
        <v>96</v>
      </c>
      <c r="E78" s="21" t="s">
        <v>48</v>
      </c>
      <c r="F78" s="110">
        <v>0</v>
      </c>
      <c r="G78" s="318">
        <f>'Forage crops, footprints'!G12</f>
        <v>1.4248888174213355E-2</v>
      </c>
      <c r="H78" s="319">
        <f>'Forage crops, footprints'!H12</f>
        <v>2.3847872238080535E-4</v>
      </c>
      <c r="I78" s="318">
        <f>'Forage crops, footprints'!I12</f>
        <v>1.1427346860111067E-4</v>
      </c>
      <c r="J78" s="120">
        <f>'Forage crops, footprints'!J12</f>
        <v>0</v>
      </c>
      <c r="K78" s="120">
        <f>'Forage crops, footprints'!K12</f>
        <v>2.820042632306057E-10</v>
      </c>
      <c r="L78" s="120">
        <f>'Forage crops, footprints'!L12</f>
        <v>3.5122388625340054E-4</v>
      </c>
      <c r="M78" s="151">
        <f>'Parameters SH, country spec'!F15</f>
        <v>7.7439143939213403E-2</v>
      </c>
      <c r="N78" s="151">
        <f>'Parameters SH, country spec'!F33</f>
        <v>7.7439143939213403E-2</v>
      </c>
      <c r="O78" s="151">
        <f>'Parameters D24m, country spec'!F11</f>
        <v>7.7439143939213403E-2</v>
      </c>
      <c r="P78" s="151"/>
    </row>
    <row r="79" spans="1:19" x14ac:dyDescent="0.3">
      <c r="B79" s="16" t="s">
        <v>300</v>
      </c>
      <c r="C79" s="15" t="s">
        <v>302</v>
      </c>
      <c r="D79" s="21" t="s">
        <v>96</v>
      </c>
      <c r="E79" s="21" t="s">
        <v>48</v>
      </c>
      <c r="F79" s="110">
        <f>'Forage crops, footprints'!F29</f>
        <v>1.0253586201655651</v>
      </c>
      <c r="G79" s="318">
        <f>'Forage crops, footprints'!G29</f>
        <v>1.2271227357465341E-2</v>
      </c>
      <c r="H79" s="318">
        <f>'Forage crops, footprints'!H29</f>
        <v>1.3430753757098248E-4</v>
      </c>
      <c r="I79" s="318">
        <f>'Forage crops, footprints'!I29</f>
        <v>1.1427346860111068E-4</v>
      </c>
      <c r="J79" s="120">
        <f>'Forage crops, footprints'!J29</f>
        <v>1.0479214179139297E-4</v>
      </c>
      <c r="K79" s="120">
        <f>'Forage crops, footprints'!K29</f>
        <v>3.9009083364158449E-11</v>
      </c>
      <c r="L79" s="120">
        <f>'Forage crops, footprints'!L29</f>
        <v>7.4602439182191841E-4</v>
      </c>
      <c r="M79" s="151">
        <f>'Parameters SH, country spec'!F16</f>
        <v>0.38082943222890436</v>
      </c>
      <c r="N79" s="151">
        <f>'Parameters SH, country spec'!F34</f>
        <v>0.38082943222890436</v>
      </c>
      <c r="O79" s="151">
        <f>'Parameters D24m, country spec'!F12</f>
        <v>0.38082943222890436</v>
      </c>
      <c r="P79" s="151"/>
    </row>
    <row r="80" spans="1:19" x14ac:dyDescent="0.3">
      <c r="B80" s="16" t="s">
        <v>301</v>
      </c>
      <c r="C80" s="15" t="s">
        <v>302</v>
      </c>
      <c r="D80" s="21" t="s">
        <v>96</v>
      </c>
      <c r="E80" s="21" t="s">
        <v>48</v>
      </c>
      <c r="F80" s="110">
        <f>'Forage, input data per ha'!$D$82*'Forage crops, footprints'!F46+'Forage, input data per ha'!$E$82*'Forage crops, footprints'!F63</f>
        <v>2.7028985341242899</v>
      </c>
      <c r="G80" s="318">
        <f>'Forage, input data per ha'!$D$82*'Forage crops, footprints'!G46+'Forage, input data per ha'!$E$82*'Forage crops, footprints'!G63</f>
        <v>4.054199376679668E-2</v>
      </c>
      <c r="H80" s="318">
        <f>'Forage, input data per ha'!$D$82*'Forage crops, footprints'!H46+'Forage, input data per ha'!$E$82*'Forage crops, footprints'!H63</f>
        <v>2.8519324749103334E-3</v>
      </c>
      <c r="I80" s="318">
        <f>'Forage, input data per ha'!$D$82*'Forage crops, footprints'!I46+'Forage, input data per ha'!$E$82*'Forage crops, footprints'!I63</f>
        <v>1.1427346860111068E-4</v>
      </c>
      <c r="J80" s="120">
        <f>'Forage, input data per ha'!$D$82*'Forage crops, footprints'!J46+'Forage, input data per ha'!$E$82*'Forage crops, footprints'!J63</f>
        <v>5.9639396123774349E-5</v>
      </c>
      <c r="K80" s="120">
        <f>'Forage, input data per ha'!$D$82*'Forage crops, footprints'!K46+'Forage, input data per ha'!$E$82*'Forage crops, footprints'!K63</f>
        <v>8.0664987798670165E-11</v>
      </c>
      <c r="L80" s="120">
        <f>'Forage, input data per ha'!$D$82*'Forage crops, footprints'!L46+'Forage, input data per ha'!$E$82*'Forage crops, footprints'!L63</f>
        <v>5.7351816877562223E-5</v>
      </c>
      <c r="M80" s="151">
        <f>'Parameters SH, country spec'!F17</f>
        <v>0.18201404564523588</v>
      </c>
      <c r="N80" s="151">
        <f>'Parameters SH, country spec'!F35</f>
        <v>0.18201404564523588</v>
      </c>
      <c r="O80" s="151">
        <f>'Parameters D24m, country spec'!F13</f>
        <v>0.18201404564523588</v>
      </c>
      <c r="P80" s="151"/>
    </row>
    <row r="81" spans="1:19" x14ac:dyDescent="0.3">
      <c r="A81" s="20" t="s">
        <v>231</v>
      </c>
      <c r="B81" s="15" t="s">
        <v>113</v>
      </c>
      <c r="C81" s="15" t="s">
        <v>232</v>
      </c>
      <c r="D81" s="21" t="s">
        <v>96</v>
      </c>
      <c r="E81" s="21" t="s">
        <v>48</v>
      </c>
      <c r="F81" s="22">
        <v>1.81</v>
      </c>
      <c r="G81" s="38">
        <v>2.1000000000000001E-2</v>
      </c>
      <c r="H81" s="38">
        <v>3.0999999999999999E-3</v>
      </c>
      <c r="I81" s="38">
        <v>1.0452328693124401E-3</v>
      </c>
      <c r="J81" s="26">
        <v>0.15</v>
      </c>
      <c r="K81" s="26">
        <v>6.8900000000000002E-11</v>
      </c>
      <c r="L81" s="26">
        <v>1.25E-3</v>
      </c>
      <c r="M81" s="151">
        <f>'Parameters SH, country spec'!F18</f>
        <v>1.3777713958130216E-2</v>
      </c>
      <c r="N81" s="151">
        <f>'Parameters SH, country spec'!F36</f>
        <v>1.3777713958130216E-2</v>
      </c>
      <c r="O81" s="151">
        <f>'Parameters D24m, country spec'!F14</f>
        <v>1.3777713958130216E-2</v>
      </c>
    </row>
    <row r="82" spans="1:19" x14ac:dyDescent="0.3">
      <c r="A82" s="20" t="s">
        <v>233</v>
      </c>
      <c r="B82" s="15" t="s">
        <v>114</v>
      </c>
      <c r="C82" s="15" t="s">
        <v>232</v>
      </c>
      <c r="D82" s="21" t="s">
        <v>96</v>
      </c>
      <c r="E82" s="21" t="s">
        <v>48</v>
      </c>
      <c r="F82" s="19">
        <v>1.32</v>
      </c>
      <c r="G82" s="38">
        <v>0.02</v>
      </c>
      <c r="H82" s="38">
        <v>5.5999999999999999E-3</v>
      </c>
      <c r="I82" s="38">
        <v>1.11447318385697E-3</v>
      </c>
      <c r="J82" s="26">
        <v>0.13</v>
      </c>
      <c r="K82" s="26">
        <v>5.0199999999999999E-11</v>
      </c>
      <c r="L82" s="26">
        <v>1.2099999999999999E-3</v>
      </c>
      <c r="M82" s="151">
        <f>'Parameters SH, country spec'!F19</f>
        <v>8.1721304315358359E-2</v>
      </c>
      <c r="N82" s="151">
        <f>'Parameters SH, country spec'!F37</f>
        <v>8.1721304315358359E-2</v>
      </c>
      <c r="O82" s="151">
        <f>'Parameters D24m, country spec'!F15</f>
        <v>8.1721304315358359E-2</v>
      </c>
    </row>
    <row r="83" spans="1:19" x14ac:dyDescent="0.3">
      <c r="A83" s="20" t="s">
        <v>234</v>
      </c>
      <c r="B83" s="15" t="s">
        <v>115</v>
      </c>
      <c r="C83" s="15" t="s">
        <v>232</v>
      </c>
      <c r="D83" s="21" t="s">
        <v>96</v>
      </c>
      <c r="E83" s="21" t="s">
        <v>48</v>
      </c>
      <c r="F83" s="19">
        <v>3.46</v>
      </c>
      <c r="G83" s="38">
        <v>1.7999999999999999E-2</v>
      </c>
      <c r="H83" s="38">
        <v>3.8E-3</v>
      </c>
      <c r="I83" s="38">
        <v>8.2864606852449292E-3</v>
      </c>
      <c r="J83" s="26">
        <v>0</v>
      </c>
      <c r="K83" s="26">
        <v>1.3200000000000001E-10</v>
      </c>
      <c r="L83" s="26">
        <v>1.1000000000000001E-3</v>
      </c>
      <c r="M83" s="151">
        <f>'Parameters SH, country spec'!F20</f>
        <v>7.3794391499110061E-3</v>
      </c>
      <c r="N83" s="151">
        <f>'Parameters SH, country spec'!F38</f>
        <v>7.3794391499110061E-3</v>
      </c>
      <c r="O83" s="151">
        <f>'Parameters D24m, country spec'!F16</f>
        <v>7.3794391499110061E-3</v>
      </c>
    </row>
    <row r="84" spans="1:19" x14ac:dyDescent="0.3">
      <c r="A84" s="20" t="s">
        <v>235</v>
      </c>
      <c r="B84" s="15" t="s">
        <v>116</v>
      </c>
      <c r="C84" s="15" t="s">
        <v>232</v>
      </c>
      <c r="D84" s="21" t="s">
        <v>96</v>
      </c>
      <c r="E84" s="21" t="s">
        <v>48</v>
      </c>
      <c r="F84" s="19">
        <v>3</v>
      </c>
      <c r="G84" s="38">
        <v>1.6E-2</v>
      </c>
      <c r="H84" s="38">
        <v>1.1999999999999999E-3</v>
      </c>
      <c r="I84" s="38">
        <v>1.5128620488640199E-5</v>
      </c>
      <c r="J84" s="26">
        <v>7.0000000000000007E-2</v>
      </c>
      <c r="K84" s="26">
        <v>1.1399999999999999E-10</v>
      </c>
      <c r="L84" s="26">
        <v>9.68E-4</v>
      </c>
      <c r="M84" s="151">
        <f>'Parameters SH, country spec'!F21</f>
        <v>2.8681330795635538E-3</v>
      </c>
      <c r="N84" s="151">
        <f>'Parameters SH, country spec'!F39</f>
        <v>2.8681330795635538E-3</v>
      </c>
      <c r="O84" s="151">
        <f>'Parameters D24m, country spec'!F17</f>
        <v>2.8681330795635538E-3</v>
      </c>
    </row>
    <row r="85" spans="1:19" x14ac:dyDescent="0.3">
      <c r="A85" s="20" t="s">
        <v>236</v>
      </c>
      <c r="B85" s="15" t="s">
        <v>117</v>
      </c>
      <c r="C85" s="15" t="s">
        <v>232</v>
      </c>
      <c r="D85" s="21" t="s">
        <v>96</v>
      </c>
      <c r="E85" s="21" t="s">
        <v>48</v>
      </c>
      <c r="F85" s="19">
        <v>1.84</v>
      </c>
      <c r="G85" s="38">
        <v>2.4E-2</v>
      </c>
      <c r="H85" s="38">
        <v>2.2000000000000001E-3</v>
      </c>
      <c r="I85" s="38">
        <v>1.8303202859960401E-3</v>
      </c>
      <c r="J85" s="26">
        <v>0.18</v>
      </c>
      <c r="K85" s="26">
        <v>6.9799999999999994E-11</v>
      </c>
      <c r="L85" s="26">
        <v>1.4300000000000001E-3</v>
      </c>
      <c r="M85" s="151">
        <f>'Parameters SH, country spec'!F22</f>
        <v>1.2902756316192223E-2</v>
      </c>
      <c r="N85" s="151">
        <f>'Parameters SH, country spec'!F40</f>
        <v>1.2902756316192223E-2</v>
      </c>
      <c r="O85" s="151">
        <f>'Parameters D24m, country spec'!F18</f>
        <v>1.2902756316192223E-2</v>
      </c>
    </row>
    <row r="86" spans="1:19" x14ac:dyDescent="0.3">
      <c r="A86" s="20" t="s">
        <v>237</v>
      </c>
      <c r="B86" s="15" t="s">
        <v>118</v>
      </c>
      <c r="C86" s="15" t="s">
        <v>238</v>
      </c>
      <c r="D86" s="21" t="s">
        <v>96</v>
      </c>
      <c r="E86" s="21" t="s">
        <v>48</v>
      </c>
      <c r="F86" s="19">
        <v>4.21</v>
      </c>
      <c r="G86" s="38">
        <v>2.7E-2</v>
      </c>
      <c r="H86" s="38">
        <v>1.6999999999999999E-3</v>
      </c>
      <c r="I86" s="38">
        <v>7.7181929809216496E-2</v>
      </c>
      <c r="J86" s="26">
        <v>1.01</v>
      </c>
      <c r="K86" s="26">
        <v>1.5999999999999999E-10</v>
      </c>
      <c r="L86" s="26">
        <v>0</v>
      </c>
      <c r="M86" s="151">
        <f>'Parameters SH, country spec'!F23</f>
        <v>9.2331122908701521E-4</v>
      </c>
      <c r="N86" s="151">
        <f>'Parameters SH, country spec'!F41</f>
        <v>9.2331122908701521E-4</v>
      </c>
      <c r="O86" s="151">
        <f>'Parameters D24m, country spec'!F19</f>
        <v>9.2331122908701521E-4</v>
      </c>
    </row>
    <row r="87" spans="1:19" x14ac:dyDescent="0.3">
      <c r="A87" s="20" t="s">
        <v>239</v>
      </c>
      <c r="B87" s="15" t="s">
        <v>119</v>
      </c>
      <c r="C87" s="15" t="s">
        <v>238</v>
      </c>
      <c r="D87" s="21" t="s">
        <v>96</v>
      </c>
      <c r="E87" s="21" t="s">
        <v>48</v>
      </c>
      <c r="F87" s="19">
        <v>5.26</v>
      </c>
      <c r="G87" s="38">
        <v>1.4E-2</v>
      </c>
      <c r="H87" s="38">
        <v>2E-3</v>
      </c>
      <c r="I87" s="38">
        <v>0.145412447441433</v>
      </c>
      <c r="J87" s="26">
        <v>1.01</v>
      </c>
      <c r="K87" s="26">
        <v>2.0000000000000001E-10</v>
      </c>
      <c r="L87" s="26">
        <v>6.1400000000000002E-5</v>
      </c>
      <c r="M87" s="151">
        <f>'Parameters SH, country spec'!F24</f>
        <v>9.0699589423403552E-4</v>
      </c>
      <c r="N87" s="151">
        <f>'Parameters SH, country spec'!F42</f>
        <v>9.0699589423403552E-4</v>
      </c>
      <c r="O87" s="151">
        <f>'Parameters D24m, country spec'!F20</f>
        <v>9.0699589423403552E-4</v>
      </c>
    </row>
    <row r="88" spans="1:19" x14ac:dyDescent="0.3">
      <c r="B88" s="16" t="s">
        <v>120</v>
      </c>
      <c r="C88" s="15" t="s">
        <v>240</v>
      </c>
      <c r="D88" s="21" t="s">
        <v>96</v>
      </c>
      <c r="E88" s="21" t="s">
        <v>48</v>
      </c>
      <c r="F88" s="17">
        <f>'Off-farm feed'!$F$88</f>
        <v>1.5397450382845088</v>
      </c>
      <c r="G88" s="18">
        <f>'Off-farm feed'!$G$88</f>
        <v>4.1115595157230206E-2</v>
      </c>
      <c r="H88" s="18">
        <f>'Off-farm feed'!$H$88</f>
        <v>4.4751668198345796E-3</v>
      </c>
      <c r="I88" s="18">
        <f>'Off-farm feed'!$I$88</f>
        <v>2.5747126436781614E-3</v>
      </c>
      <c r="J88" s="27">
        <f>'Off-farm feed'!$J$88</f>
        <v>0.29368572248181501</v>
      </c>
      <c r="K88" s="27">
        <f>'Off-farm feed'!$K$88</f>
        <v>1.777473414827503E-10</v>
      </c>
      <c r="L88" s="27">
        <f>'Off-farm feed'!$L$88</f>
        <v>2.4996062723023757E-3</v>
      </c>
      <c r="M88" s="151">
        <f>'Parameters SH, country spec'!F25</f>
        <v>3.9849321881062677E-4</v>
      </c>
      <c r="N88" s="151">
        <f>'Parameters SH, country spec'!F43</f>
        <v>3.9849321881062677E-4</v>
      </c>
      <c r="O88" s="151">
        <f>'Parameters D24m, country spec'!F21</f>
        <v>3.9849321881062677E-4</v>
      </c>
    </row>
    <row r="89" spans="1:19" x14ac:dyDescent="0.3">
      <c r="B89" s="16" t="s">
        <v>241</v>
      </c>
      <c r="C89" s="15" t="s">
        <v>240</v>
      </c>
      <c r="D89" s="21" t="s">
        <v>96</v>
      </c>
      <c r="E89" s="21" t="s">
        <v>48</v>
      </c>
      <c r="F89" s="17">
        <f>'Off-farm feed'!$F$36</f>
        <v>2.5509164954964132</v>
      </c>
      <c r="G89" s="18">
        <f>'Off-farm feed'!$G$36</f>
        <v>4.2620923125915477E-2</v>
      </c>
      <c r="H89" s="18">
        <f>'Off-farm feed'!$H$36</f>
        <v>3.2959349471355036E-3</v>
      </c>
      <c r="I89" s="18">
        <f>'Off-farm feed'!$I$36</f>
        <v>2.3780487804878048E-3</v>
      </c>
      <c r="J89" s="27">
        <f>'Off-farm feed'!$J$36</f>
        <v>0.25920846302270939</v>
      </c>
      <c r="K89" s="27">
        <f>'Off-farm feed'!$K$36</f>
        <v>6.1197957373175144E-10</v>
      </c>
      <c r="L89" s="27">
        <f>'Off-farm feed'!$L$36</f>
        <v>1.0450321677831981E-4</v>
      </c>
      <c r="M89" s="151">
        <f>'Parameters SH, country spec'!F26</f>
        <v>7.5984876674379837E-2</v>
      </c>
      <c r="N89" s="151">
        <f>'Parameters SH, country spec'!F44</f>
        <v>7.5984876674379837E-2</v>
      </c>
      <c r="O89" s="151">
        <f>'Parameters D24m, country spec'!F22</f>
        <v>7.5984876674379837E-2</v>
      </c>
    </row>
    <row r="90" spans="1:19" x14ac:dyDescent="0.3">
      <c r="B90" s="15" t="s">
        <v>122</v>
      </c>
      <c r="C90" s="15" t="s">
        <v>242</v>
      </c>
      <c r="D90" s="21" t="s">
        <v>96</v>
      </c>
      <c r="E90" s="21" t="s">
        <v>48</v>
      </c>
      <c r="F90" s="97"/>
      <c r="G90" s="98"/>
      <c r="H90" s="98"/>
      <c r="I90" s="97"/>
      <c r="J90" s="105"/>
      <c r="K90" s="105"/>
      <c r="L90" s="105"/>
      <c r="M90" s="151">
        <f>'Parameters SH, country spec'!F27</f>
        <v>9.4871367549450719E-2</v>
      </c>
      <c r="N90" s="151">
        <f>'Parameters SH, country spec'!F45</f>
        <v>9.4871367549450719E-2</v>
      </c>
      <c r="O90" s="151">
        <f>'Parameters D24m, country spec'!F23</f>
        <v>9.4871367549450719E-2</v>
      </c>
    </row>
    <row r="91" spans="1:19" x14ac:dyDescent="0.3">
      <c r="A91" s="75"/>
      <c r="B91" s="15" t="s">
        <v>243</v>
      </c>
      <c r="C91" s="76" t="s">
        <v>244</v>
      </c>
      <c r="D91" s="21" t="s">
        <v>96</v>
      </c>
      <c r="E91" s="21" t="s">
        <v>48</v>
      </c>
      <c r="F91" s="73">
        <f t="shared" ref="F91:L91" si="12">AVERAGE(F81:F89)</f>
        <v>2.7767401704201022</v>
      </c>
      <c r="G91" s="99">
        <f t="shared" si="12"/>
        <v>2.4859613142571745E-2</v>
      </c>
      <c r="H91" s="99">
        <f t="shared" si="12"/>
        <v>3.0412335296633422E-3</v>
      </c>
      <c r="I91" s="99">
        <f t="shared" si="12"/>
        <v>2.6648750479968276E-2</v>
      </c>
      <c r="J91" s="164">
        <f t="shared" si="12"/>
        <v>0.34476602061161377</v>
      </c>
      <c r="K91" s="74">
        <f t="shared" si="12"/>
        <v>1.7606965724605575E-10</v>
      </c>
      <c r="L91" s="164">
        <f t="shared" si="12"/>
        <v>9.5816772100896597E-4</v>
      </c>
      <c r="M91" s="151">
        <f>'Parameters SH, country spec'!F28</f>
        <v>6.7982986801529061E-2</v>
      </c>
      <c r="N91" s="151">
        <f>'Parameters SH, country spec'!F46</f>
        <v>6.7982986801529061E-2</v>
      </c>
      <c r="O91" s="151">
        <f>'Parameters D24m, country spec'!F24</f>
        <v>6.7982986801529061E-2</v>
      </c>
    </row>
    <row r="92" spans="1:19" x14ac:dyDescent="0.3">
      <c r="A92" s="328"/>
      <c r="B92" s="329" t="s">
        <v>616</v>
      </c>
      <c r="C92" s="330"/>
      <c r="D92" s="331"/>
      <c r="E92" s="331"/>
      <c r="F92" s="332">
        <f>SUMPRODUCT(F78:F80,M78:M80)+SUMPRODUCT(F81:F91,M81:M91)/0.87</f>
        <v>1.5520634987593285</v>
      </c>
      <c r="G92" s="333">
        <f>SUMPRODUCT(G78:G80,M78:M80)+SUMPRODUCT(G81:G91,M81:M91)/0.87</f>
        <v>2.1655570779108933E-2</v>
      </c>
      <c r="H92" s="333">
        <f>SUMPRODUCT(H78:H80,M78:M80)+SUMPRODUCT(H81:H91,M81:M91)/0.87</f>
        <v>1.7640871635320014E-3</v>
      </c>
      <c r="I92" s="333">
        <f>SUMPRODUCT(I78:I80,M78:M80)+SUMPRODUCT(I81:I91,M81:M91)/0.87</f>
        <v>2.8166396814785443E-3</v>
      </c>
      <c r="J92" s="334">
        <f>SUMPRODUCT(J78:J80,M78:M80)+SUMPRODUCT(J81:J91,M81:M91)/0.87</f>
        <v>6.9376603364015091E-2</v>
      </c>
      <c r="K92" s="334">
        <f>SUMPRODUCT(K78:K80,M78:M80)+SUMPRODUCT(K81:K91,M81:M91)/0.87</f>
        <v>1.2738102531455667E-10</v>
      </c>
      <c r="L92" s="334">
        <f>SUMPRODUCT(L78:L80,M78:M80)+SUMPRODUCT(L81:L91,M81:M91)/0.87</f>
        <v>5.7413746386898777E-4</v>
      </c>
      <c r="M92" s="335"/>
      <c r="N92" s="336"/>
      <c r="O92" s="336"/>
      <c r="P92" s="335"/>
    </row>
    <row r="93" spans="1:19" x14ac:dyDescent="0.3">
      <c r="A93" s="150"/>
      <c r="B93" s="23" t="s">
        <v>457</v>
      </c>
      <c r="C93" s="24"/>
      <c r="D93" s="94"/>
      <c r="E93" s="94"/>
      <c r="F93" s="327">
        <f>SUMPRODUCT(F78:F81,N78:N81)+SUMPRODUCT(F82:F92,N82:N92)/0.87</f>
        <v>1.548337181409503</v>
      </c>
      <c r="G93" s="25">
        <f>SUMPRODUCT(G78:G81,N78:N81)+SUMPRODUCT(G82:G92,N82:N92)/0.87</f>
        <v>2.1612337262895492E-2</v>
      </c>
      <c r="H93" s="25">
        <f>SUMPRODUCT(H78:H81,N78:N81)+SUMPRODUCT(H82:H92,N82:N92)/0.87</f>
        <v>1.75770507304335E-3</v>
      </c>
      <c r="I93" s="25">
        <f>SUMPRODUCT(I78:I81,N78:N81)+SUMPRODUCT(I82:I92,N82:N92)/0.87</f>
        <v>2.8144878199451049E-3</v>
      </c>
      <c r="J93" s="28">
        <f>SUMPRODUCT(J78:J81,N78:N81)+SUMPRODUCT(J82:J92,N82:N92)/0.87</f>
        <v>6.9067792533919065E-2</v>
      </c>
      <c r="K93" s="28">
        <f>SUMPRODUCT(K78:K81,N78:N81)+SUMPRODUCT(K82:K92,N82:N92)/0.87</f>
        <v>1.2723917820659921E-10</v>
      </c>
      <c r="L93" s="28">
        <f>SUMPRODUCT(L78:L81,N78:N81)+SUMPRODUCT(L82:L92,N82:N92)/0.87</f>
        <v>5.7156404028485422E-4</v>
      </c>
      <c r="M93" s="152"/>
      <c r="N93" s="152"/>
      <c r="O93" s="454"/>
      <c r="P93" s="152"/>
    </row>
    <row r="94" spans="1:19" x14ac:dyDescent="0.3">
      <c r="A94" s="328"/>
      <c r="B94" s="329" t="s">
        <v>641</v>
      </c>
      <c r="C94" s="330"/>
      <c r="D94" s="331"/>
      <c r="E94" s="331"/>
      <c r="F94" s="332">
        <f>SUMPRODUCT(F78:F80,$O78:$O80)+SUMPRODUCT(F81:F91,$O81:$O91)/0.87</f>
        <v>1.5520634987593285</v>
      </c>
      <c r="G94" s="332">
        <f t="shared" ref="G94:L94" si="13">SUMPRODUCT(G78:G80,$O78:$O80)+SUMPRODUCT(G81:G91,$O81:$O91)/0.87</f>
        <v>2.1655570779108933E-2</v>
      </c>
      <c r="H94" s="332">
        <f t="shared" si="13"/>
        <v>1.7640871635320014E-3</v>
      </c>
      <c r="I94" s="332">
        <f t="shared" si="13"/>
        <v>2.8166396814785443E-3</v>
      </c>
      <c r="J94" s="332">
        <f t="shared" si="13"/>
        <v>6.9376603364015091E-2</v>
      </c>
      <c r="K94" s="332">
        <f t="shared" si="13"/>
        <v>1.2738102531455667E-10</v>
      </c>
      <c r="L94" s="332">
        <f t="shared" si="13"/>
        <v>5.7413746386898777E-4</v>
      </c>
      <c r="M94" s="332"/>
      <c r="N94" s="332"/>
      <c r="O94" s="456"/>
      <c r="P94" s="332"/>
      <c r="Q94" s="17"/>
      <c r="R94" s="453"/>
      <c r="S94" s="453"/>
    </row>
    <row r="95" spans="1:19" x14ac:dyDescent="0.3">
      <c r="A95" s="150"/>
      <c r="B95" s="23" t="s">
        <v>642</v>
      </c>
      <c r="C95" s="24"/>
      <c r="D95" s="94"/>
      <c r="E95" s="94"/>
      <c r="F95" s="327">
        <f>SUMPRODUCT(F78:F80,$P78:$P80)+SUMPRODUCT(F81:F91,$P81:$P91)/0.87</f>
        <v>0</v>
      </c>
      <c r="G95" s="327">
        <f t="shared" ref="G95:L95" si="14">SUMPRODUCT(G78:G80,$P78:$P80)+SUMPRODUCT(G81:G91,$P81:$P91)/0.87</f>
        <v>0</v>
      </c>
      <c r="H95" s="327">
        <f t="shared" si="14"/>
        <v>0</v>
      </c>
      <c r="I95" s="327">
        <f t="shared" si="14"/>
        <v>0</v>
      </c>
      <c r="J95" s="327">
        <f t="shared" si="14"/>
        <v>0</v>
      </c>
      <c r="K95" s="327">
        <f t="shared" si="14"/>
        <v>0</v>
      </c>
      <c r="L95" s="327">
        <f t="shared" si="14"/>
        <v>0</v>
      </c>
      <c r="M95" s="327"/>
      <c r="N95" s="327"/>
      <c r="O95" s="457"/>
      <c r="P95" s="327"/>
      <c r="Q95" s="17"/>
      <c r="R95" s="453"/>
      <c r="S95" s="453"/>
    </row>
    <row r="96" spans="1:19" x14ac:dyDescent="0.3">
      <c r="B96" s="16" t="s">
        <v>299</v>
      </c>
      <c r="C96" s="15" t="s">
        <v>302</v>
      </c>
      <c r="D96" s="21" t="s">
        <v>49</v>
      </c>
      <c r="E96" s="21" t="s">
        <v>50</v>
      </c>
      <c r="F96" s="110">
        <v>0</v>
      </c>
      <c r="G96" s="318">
        <f>'Forage crops, footprints'!G13</f>
        <v>1.4248888174213353E-2</v>
      </c>
      <c r="H96" s="319">
        <f>'Forage crops, footprints'!H13</f>
        <v>2.3847872238080538E-4</v>
      </c>
      <c r="I96" s="318">
        <f>'Forage crops, footprints'!I13</f>
        <v>0</v>
      </c>
      <c r="J96" s="120">
        <f>'Forage crops, footprints'!J13</f>
        <v>0</v>
      </c>
      <c r="K96" s="120">
        <f>'Forage crops, footprints'!K13</f>
        <v>1.2490051424446902E-11</v>
      </c>
      <c r="L96" s="120">
        <f>'Forage crops, footprints'!L13</f>
        <v>3.5122388625340054E-4</v>
      </c>
      <c r="M96" s="151">
        <f>'Parameters SH, country spec'!G15</f>
        <v>0.75114991922794239</v>
      </c>
      <c r="N96" s="151">
        <f>'Parameters SH, country spec'!G33</f>
        <v>0.75114991922794239</v>
      </c>
      <c r="O96" s="151">
        <f>'Parameters D24m, country spec'!G11</f>
        <v>0.75114991922794239</v>
      </c>
      <c r="P96" s="151"/>
    </row>
    <row r="97" spans="1:19" x14ac:dyDescent="0.3">
      <c r="B97" s="16" t="s">
        <v>300</v>
      </c>
      <c r="C97" s="15" t="s">
        <v>302</v>
      </c>
      <c r="D97" s="21" t="s">
        <v>49</v>
      </c>
      <c r="E97" s="21" t="s">
        <v>50</v>
      </c>
      <c r="F97" s="110">
        <f>'Forage crops, footprints'!F30</f>
        <v>0.61943752006156494</v>
      </c>
      <c r="G97" s="318">
        <f>'Forage crops, footprints'!G30</f>
        <v>8.6721252808619094E-3</v>
      </c>
      <c r="H97" s="318">
        <f>'Forage crops, footprints'!H30</f>
        <v>2.2919188242277906E-3</v>
      </c>
      <c r="I97" s="318">
        <f>'Forage crops, footprints'!I30</f>
        <v>0</v>
      </c>
      <c r="J97" s="120">
        <f>'Forage crops, footprints'!J30</f>
        <v>1.3255962929317492E-4</v>
      </c>
      <c r="K97" s="120">
        <f>'Forage crops, footprints'!K30</f>
        <v>2.1969414141312867E-11</v>
      </c>
      <c r="L97" s="120">
        <f>'Forage crops, footprints'!L30</f>
        <v>5.2721841100292416E-4</v>
      </c>
      <c r="M97" s="151">
        <f>'Parameters SH, country spec'!G16</f>
        <v>1.9608947623101922E-2</v>
      </c>
      <c r="N97" s="151">
        <f>'Parameters SH, country spec'!G34</f>
        <v>1.9608947623101922E-2</v>
      </c>
      <c r="O97" s="151">
        <f>'Parameters D24m, country spec'!G12</f>
        <v>1.9608947623101922E-2</v>
      </c>
      <c r="P97" s="151"/>
    </row>
    <row r="98" spans="1:19" x14ac:dyDescent="0.3">
      <c r="B98" s="16" t="s">
        <v>301</v>
      </c>
      <c r="C98" s="15" t="s">
        <v>302</v>
      </c>
      <c r="D98" s="21" t="s">
        <v>49</v>
      </c>
      <c r="E98" s="21" t="s">
        <v>50</v>
      </c>
      <c r="F98" s="110">
        <f>'Forage, input data per ha'!$D$83*'Forage crops, footprints'!F47+'Forage, input data per ha'!$E$83*'Forage crops, footprints'!F64</f>
        <v>1.2802373966408553</v>
      </c>
      <c r="G98" s="318">
        <f>'Forage, input data per ha'!$D$83*'Forage crops, footprints'!G47+'Forage, input data per ha'!$E$83*'Forage crops, footprints'!G64</f>
        <v>1.4251561059590615E-2</v>
      </c>
      <c r="H98" s="318">
        <f>'Forage, input data per ha'!$D$83*'Forage crops, footprints'!H47+'Forage, input data per ha'!$E$83*'Forage crops, footprints'!H64</f>
        <v>2.387443989588227E-4</v>
      </c>
      <c r="I98" s="318">
        <f>'Forage, input data per ha'!$D$83*'Forage crops, footprints'!I47+'Forage, input data per ha'!$E$83*'Forage crops, footprints'!I64</f>
        <v>0</v>
      </c>
      <c r="J98" s="120">
        <f>'Forage, input data per ha'!$D$83*'Forage crops, footprints'!J47+'Forage, input data per ha'!$E$83*'Forage crops, footprints'!J64</f>
        <v>1.152646002394948E-5</v>
      </c>
      <c r="K98" s="120">
        <f>'Forage, input data per ha'!$D$83*'Forage crops, footprints'!K47+'Forage, input data per ha'!$E$83*'Forage crops, footprints'!K64</f>
        <v>3.5519116183796286E-11</v>
      </c>
      <c r="L98" s="120">
        <f>'Forage, input data per ha'!$D$83*'Forage crops, footprints'!L47+'Forage, input data per ha'!$E$83*'Forage crops, footprints'!L64</f>
        <v>3.5119401202061908E-4</v>
      </c>
      <c r="M98" s="151">
        <f>'Parameters SH, country spec'!G17</f>
        <v>4.011237421254237E-4</v>
      </c>
      <c r="N98" s="151">
        <f>'Parameters SH, country spec'!G35</f>
        <v>4.011237421254237E-4</v>
      </c>
      <c r="O98" s="151">
        <f>'Parameters D24m, country spec'!G13</f>
        <v>4.011237421254237E-4</v>
      </c>
      <c r="P98" s="151"/>
    </row>
    <row r="99" spans="1:19" x14ac:dyDescent="0.3">
      <c r="A99" s="20" t="s">
        <v>231</v>
      </c>
      <c r="B99" s="15" t="s">
        <v>113</v>
      </c>
      <c r="C99" s="15" t="s">
        <v>232</v>
      </c>
      <c r="D99" s="21" t="s">
        <v>49</v>
      </c>
      <c r="E99" s="21" t="s">
        <v>50</v>
      </c>
      <c r="F99" s="22">
        <v>1.31</v>
      </c>
      <c r="G99" s="38">
        <v>2.1000000000000001E-2</v>
      </c>
      <c r="H99" s="38">
        <v>3.0999999999999999E-3</v>
      </c>
      <c r="I99" s="38">
        <v>0</v>
      </c>
      <c r="J99" s="26">
        <v>0.42</v>
      </c>
      <c r="K99" s="26">
        <v>4.6500000000000001E-11</v>
      </c>
      <c r="L99" s="26">
        <v>1.25E-3</v>
      </c>
      <c r="M99" s="151">
        <f>'Parameters SH, country spec'!G18</f>
        <v>9.7140944486754449E-2</v>
      </c>
      <c r="N99" s="151">
        <f>'Parameters SH, country spec'!G36</f>
        <v>9.7140944486754449E-2</v>
      </c>
      <c r="O99" s="151">
        <f>'Parameters D24m, country spec'!G14</f>
        <v>9.7140944486754449E-2</v>
      </c>
    </row>
    <row r="100" spans="1:19" x14ac:dyDescent="0.3">
      <c r="A100" s="20" t="s">
        <v>233</v>
      </c>
      <c r="B100" s="15" t="s">
        <v>114</v>
      </c>
      <c r="C100" s="15" t="s">
        <v>232</v>
      </c>
      <c r="D100" s="21" t="s">
        <v>49</v>
      </c>
      <c r="E100" s="21" t="s">
        <v>50</v>
      </c>
      <c r="F100" s="339">
        <f>F28</f>
        <v>1.1000000000000001</v>
      </c>
      <c r="G100" s="339">
        <f t="shared" ref="G100:L100" si="15">G28</f>
        <v>0.02</v>
      </c>
      <c r="H100" s="339">
        <f t="shared" si="15"/>
        <v>5.5999999999999999E-3</v>
      </c>
      <c r="I100" s="19">
        <v>0</v>
      </c>
      <c r="J100" s="339">
        <f t="shared" si="15"/>
        <v>0.05</v>
      </c>
      <c r="K100" s="339">
        <f t="shared" si="15"/>
        <v>3.6700000000000003E-10</v>
      </c>
      <c r="L100" s="339">
        <f t="shared" si="15"/>
        <v>1.2099999999999999E-3</v>
      </c>
      <c r="M100" s="151">
        <f>'Parameters SH, country spec'!G19</f>
        <v>2.6773939262145888E-2</v>
      </c>
      <c r="N100" s="151">
        <f>'Parameters SH, country spec'!G37</f>
        <v>2.6773939262145888E-2</v>
      </c>
      <c r="O100" s="151">
        <f>'Parameters D24m, country spec'!G15</f>
        <v>2.6773939262145888E-2</v>
      </c>
      <c r="Q100" t="s">
        <v>558</v>
      </c>
    </row>
    <row r="101" spans="1:19" x14ac:dyDescent="0.3">
      <c r="A101" s="20" t="s">
        <v>234</v>
      </c>
      <c r="B101" s="15" t="s">
        <v>115</v>
      </c>
      <c r="C101" s="15" t="s">
        <v>232</v>
      </c>
      <c r="D101" s="21" t="s">
        <v>49</v>
      </c>
      <c r="E101" s="21" t="s">
        <v>50</v>
      </c>
      <c r="F101" s="19">
        <v>1.31</v>
      </c>
      <c r="G101" s="38">
        <v>1.7999999999999999E-2</v>
      </c>
      <c r="H101" s="38">
        <v>3.8E-3</v>
      </c>
      <c r="I101" s="38">
        <v>1.4889164731429301E-5</v>
      </c>
      <c r="J101" s="26">
        <v>0.39</v>
      </c>
      <c r="K101" s="26">
        <v>4.6299999999999998E-11</v>
      </c>
      <c r="L101" s="26">
        <v>1.1000000000000001E-3</v>
      </c>
      <c r="M101" s="151">
        <f>'Parameters SH, country spec'!G20</f>
        <v>5.5992035288690246E-3</v>
      </c>
      <c r="N101" s="151">
        <f>'Parameters SH, country spec'!G38</f>
        <v>5.5992035288690246E-3</v>
      </c>
      <c r="O101" s="151">
        <f>'Parameters D24m, country spec'!G16</f>
        <v>5.5992035288690246E-3</v>
      </c>
    </row>
    <row r="102" spans="1:19" x14ac:dyDescent="0.3">
      <c r="A102" s="20" t="s">
        <v>235</v>
      </c>
      <c r="B102" s="15" t="s">
        <v>116</v>
      </c>
      <c r="C102" s="15" t="s">
        <v>232</v>
      </c>
      <c r="D102" s="21" t="s">
        <v>49</v>
      </c>
      <c r="E102" s="21" t="s">
        <v>50</v>
      </c>
      <c r="F102" s="19">
        <v>3</v>
      </c>
      <c r="G102" s="38">
        <v>1.6E-2</v>
      </c>
      <c r="H102" s="38">
        <v>1.1999999999999999E-3</v>
      </c>
      <c r="I102" s="38">
        <v>0</v>
      </c>
      <c r="J102" s="26">
        <v>0</v>
      </c>
      <c r="K102" s="26">
        <v>1.06E-10</v>
      </c>
      <c r="L102" s="26">
        <v>9.68E-4</v>
      </c>
      <c r="M102" s="151">
        <f>'Parameters SH, country spec'!G21</f>
        <v>0</v>
      </c>
      <c r="N102" s="151">
        <f>'Parameters SH, country spec'!G39</f>
        <v>0</v>
      </c>
      <c r="O102" s="151">
        <f>'Parameters D24m, country spec'!G17</f>
        <v>0</v>
      </c>
    </row>
    <row r="103" spans="1:19" x14ac:dyDescent="0.3">
      <c r="A103" s="20" t="s">
        <v>236</v>
      </c>
      <c r="B103" s="15" t="s">
        <v>117</v>
      </c>
      <c r="C103" s="15" t="s">
        <v>232</v>
      </c>
      <c r="D103" s="21" t="s">
        <v>49</v>
      </c>
      <c r="E103" s="21" t="s">
        <v>50</v>
      </c>
      <c r="F103" s="19">
        <v>1.0900000000000001</v>
      </c>
      <c r="G103" s="38">
        <v>2.4E-2</v>
      </c>
      <c r="H103" s="38">
        <v>2.2000000000000001E-3</v>
      </c>
      <c r="I103" s="38">
        <v>0</v>
      </c>
      <c r="J103" s="26">
        <v>0.54</v>
      </c>
      <c r="K103" s="26">
        <v>3.8799999999999998E-11</v>
      </c>
      <c r="L103" s="26">
        <v>1.4300000000000001E-3</v>
      </c>
      <c r="M103" s="151">
        <f>'Parameters SH, country spec'!G22</f>
        <v>4.1722075562431273E-2</v>
      </c>
      <c r="N103" s="151">
        <f>'Parameters SH, country spec'!G40</f>
        <v>4.1722075562431273E-2</v>
      </c>
      <c r="O103" s="151">
        <f>'Parameters D24m, country spec'!G18</f>
        <v>4.1722075562431273E-2</v>
      </c>
    </row>
    <row r="104" spans="1:19" x14ac:dyDescent="0.3">
      <c r="A104" s="20" t="s">
        <v>237</v>
      </c>
      <c r="B104" s="15" t="s">
        <v>118</v>
      </c>
      <c r="C104" s="15" t="s">
        <v>238</v>
      </c>
      <c r="D104" s="21" t="s">
        <v>49</v>
      </c>
      <c r="E104" s="21" t="s">
        <v>50</v>
      </c>
      <c r="F104" s="19">
        <v>2.64</v>
      </c>
      <c r="G104" s="38">
        <v>1.7000000000000001E-2</v>
      </c>
      <c r="H104" s="38">
        <v>1.6999999999999999E-3</v>
      </c>
      <c r="I104" s="38">
        <v>0</v>
      </c>
      <c r="J104" s="26">
        <v>0.36</v>
      </c>
      <c r="K104" s="26">
        <v>9.3600000000000005E-11</v>
      </c>
      <c r="L104" s="26">
        <v>0</v>
      </c>
      <c r="M104" s="151">
        <f>'Parameters SH, country spec'!G23</f>
        <v>8.7938670638632881E-5</v>
      </c>
      <c r="N104" s="151">
        <f>'Parameters SH, country spec'!G41</f>
        <v>8.7938670638632881E-5</v>
      </c>
      <c r="O104" s="151">
        <f>'Parameters D24m, country spec'!G19</f>
        <v>8.7938670638632881E-5</v>
      </c>
    </row>
    <row r="105" spans="1:19" x14ac:dyDescent="0.3">
      <c r="A105" s="20" t="s">
        <v>239</v>
      </c>
      <c r="B105" s="15" t="s">
        <v>119</v>
      </c>
      <c r="C105" s="15" t="s">
        <v>238</v>
      </c>
      <c r="D105" s="21" t="s">
        <v>49</v>
      </c>
      <c r="E105" s="21" t="s">
        <v>50</v>
      </c>
      <c r="F105" s="189">
        <v>2.09</v>
      </c>
      <c r="G105" s="189">
        <v>6.0000000000000001E-3</v>
      </c>
      <c r="H105" s="189">
        <v>2E-3</v>
      </c>
      <c r="I105" s="337">
        <v>0</v>
      </c>
      <c r="J105" s="338">
        <v>0.52</v>
      </c>
      <c r="K105" s="338">
        <v>7.4000000000000003E-11</v>
      </c>
      <c r="L105" s="338">
        <v>6.1400000000000002E-5</v>
      </c>
      <c r="M105" s="151">
        <f>'Parameters SH, country spec'!G24</f>
        <v>8.6384753409677397E-5</v>
      </c>
      <c r="N105" s="151">
        <f>'Parameters SH, country spec'!G42</f>
        <v>8.6384753409677397E-5</v>
      </c>
      <c r="O105" s="151">
        <f>'Parameters D24m, country spec'!G20</f>
        <v>8.6384753409677397E-5</v>
      </c>
    </row>
    <row r="106" spans="1:19" x14ac:dyDescent="0.3">
      <c r="B106" s="16" t="s">
        <v>120</v>
      </c>
      <c r="C106" s="15" t="s">
        <v>240</v>
      </c>
      <c r="D106" s="21" t="s">
        <v>49</v>
      </c>
      <c r="E106" s="21" t="s">
        <v>50</v>
      </c>
      <c r="F106" s="17">
        <f>'Off-farm feed'!$F$88</f>
        <v>1.5397450382845088</v>
      </c>
      <c r="G106" s="18">
        <f>'Off-farm feed'!$G$88</f>
        <v>4.1115595157230206E-2</v>
      </c>
      <c r="H106" s="18">
        <f>'Off-farm feed'!$H$88</f>
        <v>4.4751668198345796E-3</v>
      </c>
      <c r="I106" s="18">
        <f>'Off-farm feed'!$I$88</f>
        <v>2.5747126436781614E-3</v>
      </c>
      <c r="J106" s="27">
        <f>'Off-farm feed'!$J$88</f>
        <v>0.29368572248181501</v>
      </c>
      <c r="K106" s="27">
        <f>'Off-farm feed'!$K$88</f>
        <v>1.777473414827503E-10</v>
      </c>
      <c r="L106" s="27">
        <f>'Off-farm feed'!$L$88</f>
        <v>2.4996062723023757E-3</v>
      </c>
      <c r="M106" s="151">
        <f>'Parameters SH, country spec'!G25</f>
        <v>4.7080431031984718E-3</v>
      </c>
      <c r="N106" s="151">
        <f>'Parameters SH, country spec'!G43</f>
        <v>4.7080431031984718E-3</v>
      </c>
      <c r="O106" s="151">
        <f>'Parameters D24m, country spec'!G21</f>
        <v>4.7080431031984718E-3</v>
      </c>
    </row>
    <row r="107" spans="1:19" x14ac:dyDescent="0.3">
      <c r="B107" s="16" t="s">
        <v>241</v>
      </c>
      <c r="C107" s="15" t="s">
        <v>240</v>
      </c>
      <c r="D107" s="21" t="s">
        <v>49</v>
      </c>
      <c r="E107" s="21" t="s">
        <v>50</v>
      </c>
      <c r="F107" s="17">
        <f>'Off-farm feed'!$F$36</f>
        <v>2.5509164954964132</v>
      </c>
      <c r="G107" s="18">
        <f>'Off-farm feed'!$G$36</f>
        <v>4.2620923125915477E-2</v>
      </c>
      <c r="H107" s="18">
        <f>'Off-farm feed'!$H$36</f>
        <v>3.2959349471355036E-3</v>
      </c>
      <c r="I107" s="18">
        <f>'Off-farm feed'!$I$36</f>
        <v>2.3780487804878048E-3</v>
      </c>
      <c r="J107" s="27">
        <f>'Off-farm feed'!$J$36</f>
        <v>0.25920846302270939</v>
      </c>
      <c r="K107" s="27">
        <f>'Off-farm feed'!$K$36</f>
        <v>6.1197957373175144E-10</v>
      </c>
      <c r="L107" s="27">
        <f>'Off-farm feed'!$L$36</f>
        <v>1.0450321677831981E-4</v>
      </c>
      <c r="M107" s="151">
        <f>'Parameters SH, country spec'!G26</f>
        <v>8.9589881795904755E-3</v>
      </c>
      <c r="N107" s="151">
        <f>'Parameters SH, country spec'!G44</f>
        <v>8.9589881795904755E-3</v>
      </c>
      <c r="O107" s="151">
        <f>'Parameters D24m, country spec'!G22</f>
        <v>8.9589881795904755E-3</v>
      </c>
    </row>
    <row r="108" spans="1:19" x14ac:dyDescent="0.3">
      <c r="B108" s="15" t="s">
        <v>122</v>
      </c>
      <c r="C108" s="15" t="s">
        <v>242</v>
      </c>
      <c r="D108" s="21" t="s">
        <v>49</v>
      </c>
      <c r="E108" s="21" t="s">
        <v>50</v>
      </c>
      <c r="F108" s="97"/>
      <c r="G108" s="98"/>
      <c r="H108" s="98"/>
      <c r="I108" s="98"/>
      <c r="J108" s="105"/>
      <c r="K108" s="105"/>
      <c r="L108" s="105"/>
      <c r="M108" s="151">
        <f>'Parameters SH, country spec'!G27</f>
        <v>1.7413738591251369E-2</v>
      </c>
      <c r="N108" s="151">
        <f>'Parameters SH, country spec'!G45</f>
        <v>1.7413738591251369E-2</v>
      </c>
      <c r="O108" s="151">
        <f>'Parameters D24m, country spec'!G23</f>
        <v>1.7413738591251369E-2</v>
      </c>
    </row>
    <row r="109" spans="1:19" x14ac:dyDescent="0.3">
      <c r="A109" s="75"/>
      <c r="B109" s="15" t="s">
        <v>243</v>
      </c>
      <c r="C109" s="76" t="s">
        <v>244</v>
      </c>
      <c r="D109" s="21" t="s">
        <v>49</v>
      </c>
      <c r="E109" s="21" t="s">
        <v>50</v>
      </c>
      <c r="F109" s="73">
        <f t="shared" ref="F109:L109" si="16">AVERAGE(F99:F107)</f>
        <v>1.8478512815312138</v>
      </c>
      <c r="G109" s="99">
        <f t="shared" si="16"/>
        <v>2.2859613142571747E-2</v>
      </c>
      <c r="H109" s="99">
        <f t="shared" si="16"/>
        <v>3.0412335296633422E-3</v>
      </c>
      <c r="I109" s="99">
        <f t="shared" si="16"/>
        <v>5.5196117654415496E-4</v>
      </c>
      <c r="J109" s="74">
        <f t="shared" si="16"/>
        <v>0.31476602061161379</v>
      </c>
      <c r="K109" s="74">
        <f t="shared" si="16"/>
        <v>1.7354743502383354E-10</v>
      </c>
      <c r="L109" s="74">
        <f t="shared" si="16"/>
        <v>9.5816772100896597E-4</v>
      </c>
      <c r="M109" s="151">
        <f>'Parameters SH, country spec'!G28</f>
        <v>2.6348753268541039E-2</v>
      </c>
      <c r="N109" s="151">
        <f>'Parameters SH, country spec'!G46</f>
        <v>2.6348753268541039E-2</v>
      </c>
      <c r="O109" s="151">
        <f>'Parameters D24m, country spec'!G24</f>
        <v>2.6348753268541039E-2</v>
      </c>
    </row>
    <row r="110" spans="1:19" x14ac:dyDescent="0.3">
      <c r="A110" s="328"/>
      <c r="B110" s="329" t="s">
        <v>616</v>
      </c>
      <c r="C110" s="330"/>
      <c r="D110" s="331"/>
      <c r="E110" s="331"/>
      <c r="F110" s="332">
        <f>SUMPRODUCT(F96:F98,M96:M98)+SUMPRODUCT(F99:F109,M99:M109)/0.87</f>
        <v>0.34452451806462664</v>
      </c>
      <c r="G110" s="333">
        <f>SUMPRODUCT(G96:G98,M96:M98)+SUMPRODUCT(G99:G109,M99:M109)/0.87</f>
        <v>1.6461927148092914E-2</v>
      </c>
      <c r="H110" s="333">
        <f>SUMPRODUCT(H96:H98,M96:M98)+SUMPRODUCT(H99:H109,M99:M109)/0.87</f>
        <v>1.0232390002122462E-3</v>
      </c>
      <c r="I110" s="333">
        <f>SUMPRODUCT(I96:I98,M96:M98)+SUMPRODUCT(I99:I109,M99:M109)/0.87</f>
        <v>5.5234052112584308E-5</v>
      </c>
      <c r="J110" s="334">
        <f>SUMPRODUCT(J96:J98,M96:M98)+SUMPRODUCT(J99:J109,M99:M109)/0.87</f>
        <v>9.0722954129678873E-2</v>
      </c>
      <c r="K110" s="334">
        <f>SUMPRODUCT(K96:K98,M96:M98)+SUMPRODUCT(K99:K109,M99:M109)/0.87</f>
        <v>4.1008659877069805E-11</v>
      </c>
      <c r="L110" s="334">
        <f>SUMPRODUCT(L96:L98,M96:M98)+SUMPRODUCT(L99:L109,M99:M109)/0.87</f>
        <v>5.7039358276083784E-4</v>
      </c>
      <c r="M110" s="335"/>
      <c r="N110" s="336"/>
      <c r="O110" s="336"/>
      <c r="P110" s="335"/>
    </row>
    <row r="111" spans="1:19" x14ac:dyDescent="0.3">
      <c r="A111" s="150"/>
      <c r="B111" s="23" t="s">
        <v>457</v>
      </c>
      <c r="C111" s="24"/>
      <c r="D111" s="94"/>
      <c r="E111" s="94"/>
      <c r="F111" s="327">
        <f>SUMPRODUCT(F96:F99,N96:N99)+SUMPRODUCT(F100:F110,N100:N110)/0.87</f>
        <v>0.32550945732198955</v>
      </c>
      <c r="G111" s="25">
        <f>SUMPRODUCT(G96:G99,N96:N99)+SUMPRODUCT(G100:G110,N100:N110)/0.87</f>
        <v>1.6157105563668957E-2</v>
      </c>
      <c r="H111" s="25">
        <f>SUMPRODUCT(H96:H99,N96:N99)+SUMPRODUCT(H100:H110,N100:N110)/0.87</f>
        <v>9.7824152822585317E-4</v>
      </c>
      <c r="I111" s="25">
        <f>SUMPRODUCT(I96:I99,N96:N99)+SUMPRODUCT(I100:I110,N100:N110)/0.87</f>
        <v>5.5234052112584308E-5</v>
      </c>
      <c r="J111" s="28">
        <f>SUMPRODUCT(J96:J99,N96:N99)+SUMPRODUCT(J100:J110,N100:N110)/0.87</f>
        <v>8.4626522441199781E-2</v>
      </c>
      <c r="K111" s="28">
        <f>SUMPRODUCT(K96:K99,N96:N99)+SUMPRODUCT(K100:K110,N100:N110)/0.87</f>
        <v>4.0333697797273897E-11</v>
      </c>
      <c r="L111" s="28">
        <f>SUMPRODUCT(L96:L99,N96:N99)+SUMPRODUCT(L100:L110,N100:N110)/0.87</f>
        <v>5.5224944083084046E-4</v>
      </c>
      <c r="M111" s="152"/>
      <c r="N111" s="152"/>
      <c r="O111" s="454"/>
      <c r="P111" s="152"/>
    </row>
    <row r="112" spans="1:19" x14ac:dyDescent="0.3">
      <c r="A112" s="328"/>
      <c r="B112" s="329" t="s">
        <v>641</v>
      </c>
      <c r="C112" s="330"/>
      <c r="D112" s="331"/>
      <c r="E112" s="331"/>
      <c r="F112" s="332">
        <f>SUMPRODUCT(F96:F98,$O96:$O98)+SUMPRODUCT(F99:F109,$O99:$O109)/0.87</f>
        <v>0.34452451806462664</v>
      </c>
      <c r="G112" s="332">
        <f t="shared" ref="G112:L112" si="17">SUMPRODUCT(G96:G98,$O96:$O98)+SUMPRODUCT(G99:G109,$O99:$O109)/0.87</f>
        <v>1.6461927148092914E-2</v>
      </c>
      <c r="H112" s="332">
        <f t="shared" si="17"/>
        <v>1.0232390002122462E-3</v>
      </c>
      <c r="I112" s="332">
        <f t="shared" si="17"/>
        <v>5.5234052112584308E-5</v>
      </c>
      <c r="J112" s="332">
        <f t="shared" si="17"/>
        <v>9.0722954129678873E-2</v>
      </c>
      <c r="K112" s="332">
        <f t="shared" si="17"/>
        <v>4.1008659877069805E-11</v>
      </c>
      <c r="L112" s="332">
        <f t="shared" si="17"/>
        <v>5.7039358276083784E-4</v>
      </c>
      <c r="M112" s="332"/>
      <c r="N112" s="332"/>
      <c r="O112" s="456"/>
      <c r="P112" s="332"/>
      <c r="Q112" s="17"/>
      <c r="R112" s="453"/>
      <c r="S112" s="453"/>
    </row>
    <row r="113" spans="1:19" x14ac:dyDescent="0.3">
      <c r="A113" s="150"/>
      <c r="B113" s="23" t="s">
        <v>642</v>
      </c>
      <c r="C113" s="24"/>
      <c r="D113" s="94"/>
      <c r="E113" s="94"/>
      <c r="F113" s="327">
        <f>SUMPRODUCT(F96:F98,$P96:$P98)+SUMPRODUCT(F99:F109,$P99:$P109)/0.87</f>
        <v>0</v>
      </c>
      <c r="G113" s="327">
        <f t="shared" ref="G113:L113" si="18">SUMPRODUCT(G96:G98,$P96:$P98)+SUMPRODUCT(G99:G109,$P99:$P109)/0.87</f>
        <v>0</v>
      </c>
      <c r="H113" s="327">
        <f t="shared" si="18"/>
        <v>0</v>
      </c>
      <c r="I113" s="327">
        <f t="shared" si="18"/>
        <v>0</v>
      </c>
      <c r="J113" s="327">
        <f t="shared" si="18"/>
        <v>0</v>
      </c>
      <c r="K113" s="327">
        <f t="shared" si="18"/>
        <v>0</v>
      </c>
      <c r="L113" s="327">
        <f t="shared" si="18"/>
        <v>0</v>
      </c>
      <c r="M113" s="327"/>
      <c r="N113" s="327"/>
      <c r="O113" s="457"/>
      <c r="P113" s="327"/>
      <c r="Q113" s="17"/>
      <c r="R113" s="453"/>
      <c r="S113" s="453"/>
    </row>
    <row r="114" spans="1:19" x14ac:dyDescent="0.3">
      <c r="B114" s="16" t="s">
        <v>299</v>
      </c>
      <c r="C114" s="15" t="s">
        <v>302</v>
      </c>
      <c r="D114" s="21" t="s">
        <v>51</v>
      </c>
      <c r="E114" s="21" t="s">
        <v>52</v>
      </c>
      <c r="F114" s="110">
        <v>0</v>
      </c>
      <c r="G114" s="318">
        <f>'Forage crops, footprints'!G14</f>
        <v>1.4248888174213353E-2</v>
      </c>
      <c r="H114" s="319">
        <f>'Forage crops, footprints'!H14</f>
        <v>2.3847872238080535E-4</v>
      </c>
      <c r="I114" s="318">
        <f>'Forage crops, footprints'!I14</f>
        <v>5.5496587714507417E-3</v>
      </c>
      <c r="J114" s="120">
        <f>'Forage crops, footprints'!J14</f>
        <v>0</v>
      </c>
      <c r="K114" s="120">
        <f>'Forage crops, footprints'!K14</f>
        <v>2.1426370103250188E-9</v>
      </c>
      <c r="L114" s="120">
        <f>'Forage crops, footprints'!L14</f>
        <v>3.5122388625340054E-4</v>
      </c>
      <c r="M114" s="151">
        <f>'Parameters SH, country spec'!H15</f>
        <v>0.40067105954621879</v>
      </c>
      <c r="N114" s="151">
        <f>'Parameters SH, country spec'!H33</f>
        <v>0.40067105954621879</v>
      </c>
      <c r="O114" s="151">
        <f>'Parameters D24m, country spec'!H11</f>
        <v>0.40067105954621879</v>
      </c>
      <c r="P114" s="151"/>
    </row>
    <row r="115" spans="1:19" x14ac:dyDescent="0.3">
      <c r="B115" s="16" t="s">
        <v>300</v>
      </c>
      <c r="C115" s="15" t="s">
        <v>302</v>
      </c>
      <c r="D115" s="21" t="s">
        <v>51</v>
      </c>
      <c r="E115" s="21" t="s">
        <v>52</v>
      </c>
      <c r="F115" s="110">
        <f>'Forage crops, footprints'!F31</f>
        <v>0.51445196317795561</v>
      </c>
      <c r="G115" s="318">
        <f>'Forage crops, footprints'!G31</f>
        <v>7.6719017232218913E-3</v>
      </c>
      <c r="H115" s="318">
        <f>'Forage crops, footprints'!H31</f>
        <v>1.3477192274802781E-4</v>
      </c>
      <c r="I115" s="318">
        <f>'Forage crops, footprints'!I31</f>
        <v>5.5496587714507425E-3</v>
      </c>
      <c r="J115" s="120">
        <f>'Forage crops, footprints'!J31</f>
        <v>6.7567011968587768E-5</v>
      </c>
      <c r="K115" s="120">
        <f>'Forage crops, footprints'!K31</f>
        <v>6.050074120144133E-10</v>
      </c>
      <c r="L115" s="120">
        <f>'Forage crops, footprints'!L31</f>
        <v>4.6641021720636829E-4</v>
      </c>
      <c r="M115" s="151">
        <f>'Parameters SH, country spec'!H16</f>
        <v>0.27744597499526535</v>
      </c>
      <c r="N115" s="151">
        <f>'Parameters SH, country spec'!H34</f>
        <v>0.27744597499526535</v>
      </c>
      <c r="O115" s="151">
        <f>'Parameters D24m, country spec'!H12</f>
        <v>0.27744597499526535</v>
      </c>
      <c r="P115" s="151"/>
    </row>
    <row r="116" spans="1:19" x14ac:dyDescent="0.3">
      <c r="B116" s="16" t="s">
        <v>301</v>
      </c>
      <c r="C116" s="15" t="s">
        <v>302</v>
      </c>
      <c r="D116" s="21" t="s">
        <v>51</v>
      </c>
      <c r="E116" s="21" t="s">
        <v>52</v>
      </c>
      <c r="F116" s="110">
        <f>'Forage, input data per ha'!$D$84*'Forage crops, footprints'!F48+'Forage, input data per ha'!$E$84*'Forage crops, footprints'!F65</f>
        <v>1.2021385208157926</v>
      </c>
      <c r="G116" s="318">
        <f>'Forage, input data per ha'!$D$84*'Forage crops, footprints'!G48+'Forage, input data per ha'!$E$84*'Forage crops, footprints'!G65</f>
        <v>2.8632234529458817E-2</v>
      </c>
      <c r="H116" s="318">
        <f>'Forage, input data per ha'!$D$84*'Forage crops, footprints'!H48+'Forage, input data per ha'!$E$84*'Forage crops, footprints'!H65</f>
        <v>1.6681390709343633E-3</v>
      </c>
      <c r="I116" s="318">
        <f>'Forage, input data per ha'!$D$84*'Forage crops, footprints'!I48+'Forage, input data per ha'!$E$84*'Forage crops, footprints'!I65</f>
        <v>5.5496587714507425E-3</v>
      </c>
      <c r="J116" s="120">
        <f>'Forage, input data per ha'!$D$84*'Forage crops, footprints'!J48+'Forage, input data per ha'!$E$84*'Forage crops, footprints'!J65</f>
        <v>5.2923808259331637E-5</v>
      </c>
      <c r="K116" s="120">
        <f>'Forage, input data per ha'!$D$84*'Forage crops, footprints'!K48+'Forage, input data per ha'!$E$84*'Forage crops, footprints'!K65</f>
        <v>1.1513074284714903E-9</v>
      </c>
      <c r="L116" s="120">
        <f>'Forage, input data per ha'!$D$84*'Forage crops, footprints'!L48+'Forage, input data per ha'!$E$84*'Forage crops, footprints'!L65</f>
        <v>1.9046449086430252E-4</v>
      </c>
      <c r="M116" s="151">
        <f>'Parameters SH, country spec'!H17</f>
        <v>7.1895313213819118E-2</v>
      </c>
      <c r="N116" s="151">
        <f>'Parameters SH, country spec'!H35</f>
        <v>7.1895313213819118E-2</v>
      </c>
      <c r="O116" s="151">
        <f>'Parameters D24m, country spec'!H13</f>
        <v>7.1895313213819118E-2</v>
      </c>
      <c r="P116" s="151"/>
    </row>
    <row r="117" spans="1:19" x14ac:dyDescent="0.3">
      <c r="A117" s="20" t="s">
        <v>231</v>
      </c>
      <c r="B117" s="15" t="s">
        <v>113</v>
      </c>
      <c r="C117" s="15" t="s">
        <v>232</v>
      </c>
      <c r="D117" s="21" t="s">
        <v>51</v>
      </c>
      <c r="E117" s="21" t="s">
        <v>52</v>
      </c>
      <c r="F117" s="22">
        <v>2.41</v>
      </c>
      <c r="G117" s="38">
        <v>2.1000000000000001E-2</v>
      </c>
      <c r="H117" s="38">
        <v>3.0999999999999999E-3</v>
      </c>
      <c r="I117" s="38">
        <v>0</v>
      </c>
      <c r="J117" s="26">
        <v>0.16</v>
      </c>
      <c r="K117" s="26">
        <v>2.8400000000000001E-9</v>
      </c>
      <c r="L117" s="26">
        <v>1.25E-3</v>
      </c>
      <c r="M117" s="151">
        <f>'Parameters SH, country spec'!H18</f>
        <v>3.0038264722936558E-3</v>
      </c>
      <c r="N117" s="151">
        <f>'Parameters SH, country spec'!H36</f>
        <v>3.0038264722936558E-3</v>
      </c>
      <c r="O117" s="151">
        <f>'Parameters D24m, country spec'!H14</f>
        <v>3.0038264722936558E-3</v>
      </c>
    </row>
    <row r="118" spans="1:19" x14ac:dyDescent="0.3">
      <c r="A118" s="20" t="s">
        <v>233</v>
      </c>
      <c r="B118" s="15" t="s">
        <v>114</v>
      </c>
      <c r="C118" s="15" t="s">
        <v>232</v>
      </c>
      <c r="D118" s="21" t="s">
        <v>51</v>
      </c>
      <c r="E118" s="21" t="s">
        <v>52</v>
      </c>
      <c r="F118" s="19">
        <v>0.97</v>
      </c>
      <c r="G118" s="38">
        <v>0.02</v>
      </c>
      <c r="H118" s="38">
        <v>5.5999999999999999E-3</v>
      </c>
      <c r="I118" s="38">
        <v>0.107875159755801</v>
      </c>
      <c r="J118" s="26">
        <v>0.19</v>
      </c>
      <c r="K118" s="26">
        <v>1.14E-9</v>
      </c>
      <c r="L118" s="26">
        <v>1.2099999999999999E-3</v>
      </c>
      <c r="M118" s="151">
        <f>'Parameters SH, country spec'!H19</f>
        <v>1.964163410545296E-2</v>
      </c>
      <c r="N118" s="151">
        <f>'Parameters SH, country spec'!H37</f>
        <v>1.964163410545296E-2</v>
      </c>
      <c r="O118" s="151">
        <f>'Parameters D24m, country spec'!H15</f>
        <v>1.964163410545296E-2</v>
      </c>
    </row>
    <row r="119" spans="1:19" x14ac:dyDescent="0.3">
      <c r="A119" s="20" t="s">
        <v>234</v>
      </c>
      <c r="B119" s="15" t="s">
        <v>115</v>
      </c>
      <c r="C119" s="15" t="s">
        <v>232</v>
      </c>
      <c r="D119" s="21" t="s">
        <v>51</v>
      </c>
      <c r="E119" s="21" t="s">
        <v>52</v>
      </c>
      <c r="F119" s="19">
        <v>4.3099999999999996</v>
      </c>
      <c r="G119" s="38">
        <v>1.7999999999999999E-2</v>
      </c>
      <c r="H119" s="38">
        <v>3.8E-3</v>
      </c>
      <c r="I119" s="38">
        <v>7.4401097074734898E-2</v>
      </c>
      <c r="J119" s="26">
        <v>0</v>
      </c>
      <c r="K119" s="26">
        <v>5.0600000000000003E-9</v>
      </c>
      <c r="L119" s="26">
        <v>1.1000000000000001E-3</v>
      </c>
      <c r="M119" s="151">
        <f>'Parameters SH, country spec'!H20</f>
        <v>6.238152652520509E-4</v>
      </c>
      <c r="N119" s="151">
        <f>'Parameters SH, country spec'!H38</f>
        <v>6.238152652520509E-4</v>
      </c>
      <c r="O119" s="151">
        <f>'Parameters D24m, country spec'!H16</f>
        <v>6.238152652520509E-4</v>
      </c>
    </row>
    <row r="120" spans="1:19" x14ac:dyDescent="0.3">
      <c r="A120" s="20" t="s">
        <v>235</v>
      </c>
      <c r="B120" s="15" t="s">
        <v>116</v>
      </c>
      <c r="C120" s="15" t="s">
        <v>232</v>
      </c>
      <c r="D120" s="21" t="s">
        <v>51</v>
      </c>
      <c r="E120" s="21" t="s">
        <v>52</v>
      </c>
      <c r="F120" s="19">
        <v>3.11</v>
      </c>
      <c r="G120" s="38">
        <v>1.6E-2</v>
      </c>
      <c r="H120" s="38">
        <v>1.1999999999999999E-3</v>
      </c>
      <c r="I120" s="38">
        <v>0</v>
      </c>
      <c r="J120" s="26">
        <v>0</v>
      </c>
      <c r="K120" s="26">
        <v>3.65E-9</v>
      </c>
      <c r="L120" s="26">
        <v>9.68E-4</v>
      </c>
      <c r="M120" s="151">
        <f>'Parameters SH, country spec'!H21</f>
        <v>4.9703321891174883E-5</v>
      </c>
      <c r="N120" s="151">
        <f>'Parameters SH, country spec'!H39</f>
        <v>4.9703321891174883E-5</v>
      </c>
      <c r="O120" s="151">
        <f>'Parameters D24m, country spec'!H17</f>
        <v>4.9703321891174883E-5</v>
      </c>
    </row>
    <row r="121" spans="1:19" x14ac:dyDescent="0.3">
      <c r="A121" s="20" t="s">
        <v>236</v>
      </c>
      <c r="B121" s="15" t="s">
        <v>117</v>
      </c>
      <c r="C121" s="15" t="s">
        <v>232</v>
      </c>
      <c r="D121" s="21" t="s">
        <v>51</v>
      </c>
      <c r="E121" s="21" t="s">
        <v>52</v>
      </c>
      <c r="F121" s="19">
        <v>2.5299999999999998</v>
      </c>
      <c r="G121" s="38">
        <v>2.4E-2</v>
      </c>
      <c r="H121" s="38">
        <v>2.2000000000000001E-3</v>
      </c>
      <c r="I121" s="38">
        <v>1.6090387365381601E-2</v>
      </c>
      <c r="J121" s="26">
        <v>0.1</v>
      </c>
      <c r="K121" s="26">
        <v>2.98E-9</v>
      </c>
      <c r="L121" s="26">
        <v>1.4300000000000001E-3</v>
      </c>
      <c r="M121" s="151">
        <f>'Parameters SH, country spec'!H22</f>
        <v>2.8451429826063719E-3</v>
      </c>
      <c r="N121" s="151">
        <f>'Parameters SH, country spec'!H40</f>
        <v>2.8451429826063719E-3</v>
      </c>
      <c r="O121" s="151">
        <f>'Parameters D24m, country spec'!H18</f>
        <v>2.8451429826063719E-3</v>
      </c>
    </row>
    <row r="122" spans="1:19" x14ac:dyDescent="0.3">
      <c r="A122" s="20" t="s">
        <v>237</v>
      </c>
      <c r="B122" s="15" t="s">
        <v>118</v>
      </c>
      <c r="C122" s="15" t="s">
        <v>238</v>
      </c>
      <c r="D122" s="21" t="s">
        <v>51</v>
      </c>
      <c r="E122" s="21" t="s">
        <v>52</v>
      </c>
      <c r="F122" s="19">
        <v>3.42</v>
      </c>
      <c r="G122" s="38">
        <v>2.1999999999999999E-2</v>
      </c>
      <c r="H122" s="38">
        <v>1.6999999999999999E-3</v>
      </c>
      <c r="I122" s="38">
        <v>0</v>
      </c>
      <c r="J122" s="26">
        <v>0.49</v>
      </c>
      <c r="K122" s="26">
        <v>4.0199999999999998E-9</v>
      </c>
      <c r="L122" s="26">
        <v>0</v>
      </c>
      <c r="M122" s="151">
        <f>'Parameters SH, country spec'!H23</f>
        <v>7.8267619629308958E-4</v>
      </c>
      <c r="N122" s="151">
        <f>'Parameters SH, country spec'!H41</f>
        <v>7.8267619629308958E-4</v>
      </c>
      <c r="O122" s="151">
        <f>'Parameters D24m, country spec'!H19</f>
        <v>7.8267619629308958E-4</v>
      </c>
    </row>
    <row r="123" spans="1:19" x14ac:dyDescent="0.3">
      <c r="A123" s="20" t="s">
        <v>239</v>
      </c>
      <c r="B123" s="15" t="s">
        <v>119</v>
      </c>
      <c r="C123" s="15" t="s">
        <v>238</v>
      </c>
      <c r="D123" s="21" t="s">
        <v>51</v>
      </c>
      <c r="E123" s="21" t="s">
        <v>52</v>
      </c>
      <c r="F123" s="19">
        <v>5.13</v>
      </c>
      <c r="G123" s="38">
        <v>1.2999999999999999E-2</v>
      </c>
      <c r="H123" s="38">
        <v>2E-3</v>
      </c>
      <c r="I123" s="38">
        <v>0</v>
      </c>
      <c r="J123" s="26">
        <v>1.05</v>
      </c>
      <c r="K123" s="26">
        <v>6.0200000000000003E-9</v>
      </c>
      <c r="L123" s="26">
        <v>6.1400000000000002E-5</v>
      </c>
      <c r="M123" s="151">
        <f>'Parameters SH, country spec'!H24</f>
        <v>7.6884594730627475E-4</v>
      </c>
      <c r="N123" s="151">
        <f>'Parameters SH, country spec'!H42</f>
        <v>7.6884594730627475E-4</v>
      </c>
      <c r="O123" s="151">
        <f>'Parameters D24m, country spec'!H20</f>
        <v>7.6884594730627475E-4</v>
      </c>
    </row>
    <row r="124" spans="1:19" x14ac:dyDescent="0.3">
      <c r="B124" s="16" t="s">
        <v>120</v>
      </c>
      <c r="C124" s="15" t="s">
        <v>240</v>
      </c>
      <c r="D124" s="21" t="s">
        <v>51</v>
      </c>
      <c r="E124" s="21" t="s">
        <v>52</v>
      </c>
      <c r="F124" s="17">
        <f>'Off-farm feed'!$F$88</f>
        <v>1.5397450382845088</v>
      </c>
      <c r="G124" s="18">
        <f>'Off-farm feed'!$G$88</f>
        <v>4.1115595157230206E-2</v>
      </c>
      <c r="H124" s="18">
        <f>'Off-farm feed'!$H$88</f>
        <v>4.4751668198345796E-3</v>
      </c>
      <c r="I124" s="18">
        <f>'Off-farm feed'!$I$88</f>
        <v>2.5747126436781614E-3</v>
      </c>
      <c r="J124" s="27">
        <f>'Off-farm feed'!$J$88</f>
        <v>0.29368572248181501</v>
      </c>
      <c r="K124" s="27">
        <f>'Off-farm feed'!$K$88</f>
        <v>1.777473414827503E-10</v>
      </c>
      <c r="L124" s="27">
        <f>'Off-farm feed'!$L$88</f>
        <v>2.4996062723023757E-3</v>
      </c>
      <c r="M124" s="151">
        <f>'Parameters SH, country spec'!H25</f>
        <v>1.3183641649379223E-3</v>
      </c>
      <c r="N124" s="151">
        <f>'Parameters SH, country spec'!H43</f>
        <v>1.3183641649379223E-3</v>
      </c>
      <c r="O124" s="151">
        <f>'Parameters D24m, country spec'!H21</f>
        <v>1.3183641649379223E-3</v>
      </c>
    </row>
    <row r="125" spans="1:19" x14ac:dyDescent="0.3">
      <c r="B125" s="16" t="s">
        <v>241</v>
      </c>
      <c r="C125" s="15" t="s">
        <v>240</v>
      </c>
      <c r="D125" s="21" t="s">
        <v>51</v>
      </c>
      <c r="E125" s="21" t="s">
        <v>52</v>
      </c>
      <c r="F125" s="17">
        <f>'Off-farm feed'!$F$36</f>
        <v>2.5509164954964132</v>
      </c>
      <c r="G125" s="18">
        <f>'Off-farm feed'!$G$36</f>
        <v>4.2620923125915477E-2</v>
      </c>
      <c r="H125" s="18">
        <f>'Off-farm feed'!$H$36</f>
        <v>3.2959349471355036E-3</v>
      </c>
      <c r="I125" s="18">
        <f>'Off-farm feed'!$I$36</f>
        <v>2.3780487804878048E-3</v>
      </c>
      <c r="J125" s="27">
        <f>'Off-farm feed'!$J$36</f>
        <v>0.25920846302270939</v>
      </c>
      <c r="K125" s="27">
        <f>'Off-farm feed'!$K$36</f>
        <v>6.1197957373175144E-10</v>
      </c>
      <c r="L125" s="27">
        <f>'Off-farm feed'!$L$36</f>
        <v>1.0450321677831981E-4</v>
      </c>
      <c r="M125" s="151">
        <f>'Parameters SH, country spec'!H26</f>
        <v>3.2548889626891842E-2</v>
      </c>
      <c r="N125" s="151">
        <f>'Parameters SH, country spec'!H44</f>
        <v>3.2548889626891842E-2</v>
      </c>
      <c r="O125" s="151">
        <f>'Parameters D24m, country spec'!H22</f>
        <v>3.2548889626891842E-2</v>
      </c>
    </row>
    <row r="126" spans="1:19" x14ac:dyDescent="0.3">
      <c r="B126" s="15" t="s">
        <v>122</v>
      </c>
      <c r="C126" s="15" t="s">
        <v>242</v>
      </c>
      <c r="D126" s="21" t="s">
        <v>51</v>
      </c>
      <c r="E126" s="21" t="s">
        <v>52</v>
      </c>
      <c r="F126" s="97"/>
      <c r="G126" s="98"/>
      <c r="H126" s="98"/>
      <c r="I126" s="97"/>
      <c r="J126" s="105"/>
      <c r="K126" s="105"/>
      <c r="L126" s="105"/>
      <c r="M126" s="151">
        <f>'Parameters SH, country spec'!H27</f>
        <v>7.1183592363716075E-2</v>
      </c>
      <c r="N126" s="151">
        <f>'Parameters SH, country spec'!H45</f>
        <v>7.1183592363716075E-2</v>
      </c>
      <c r="O126" s="151">
        <f>'Parameters D24m, country spec'!H23</f>
        <v>7.1183592363716075E-2</v>
      </c>
    </row>
    <row r="127" spans="1:19" x14ac:dyDescent="0.3">
      <c r="A127" s="75"/>
      <c r="B127" s="15" t="s">
        <v>243</v>
      </c>
      <c r="C127" s="76" t="s">
        <v>244</v>
      </c>
      <c r="D127" s="21" t="s">
        <v>51</v>
      </c>
      <c r="E127" s="21" t="s">
        <v>52</v>
      </c>
      <c r="F127" s="73">
        <f t="shared" ref="F127:L127" si="19">AVERAGE(F117:F125)</f>
        <v>2.8856290593089913</v>
      </c>
      <c r="G127" s="99">
        <f t="shared" si="19"/>
        <v>2.4192946475905076E-2</v>
      </c>
      <c r="H127" s="99">
        <f t="shared" si="19"/>
        <v>3.0412335296633422E-3</v>
      </c>
      <c r="I127" s="99">
        <f t="shared" si="19"/>
        <v>2.2591045068898162E-2</v>
      </c>
      <c r="J127" s="164">
        <f t="shared" si="19"/>
        <v>0.28254379838939159</v>
      </c>
      <c r="K127" s="74">
        <f t="shared" si="19"/>
        <v>2.9444141016905002E-9</v>
      </c>
      <c r="L127" s="164">
        <f t="shared" si="19"/>
        <v>9.5816772100896597E-4</v>
      </c>
      <c r="M127" s="151">
        <f>'Parameters SH, country spec'!H28</f>
        <v>0.11722116179805527</v>
      </c>
      <c r="N127" s="151">
        <f>'Parameters SH, country spec'!H46</f>
        <v>0.11722116179805527</v>
      </c>
      <c r="O127" s="151">
        <f>'Parameters D24m, country spec'!H24</f>
        <v>0.11722116179805527</v>
      </c>
    </row>
    <row r="128" spans="1:19" x14ac:dyDescent="0.3">
      <c r="A128" s="328"/>
      <c r="B128" s="329" t="s">
        <v>616</v>
      </c>
      <c r="C128" s="330"/>
      <c r="D128" s="331"/>
      <c r="E128" s="331"/>
      <c r="F128" s="332">
        <f>SUMPRODUCT(F114:F116,M114:M116)+SUMPRODUCT(F117:F127,M117:M127)/0.87</f>
        <v>0.76510351870891558</v>
      </c>
      <c r="G128" s="333">
        <f>SUMPRODUCT(G114:G116,M114:M116)+SUMPRODUCT(G117:G127,M117:M127)/0.87</f>
        <v>1.54603496663134E-2</v>
      </c>
      <c r="H128" s="333">
        <f>SUMPRODUCT(H114:H116,M114:M116)+SUMPRODUCT(H117:H127,M117:M127)/0.87</f>
        <v>9.4314903899336507E-4</v>
      </c>
      <c r="I128" s="333">
        <f>SUMPRODUCT(I114:I116,M114:M116)+SUMPRODUCT(I117:I127,M117:M127)/0.87</f>
        <v>9.8404530816279048E-3</v>
      </c>
      <c r="J128" s="334">
        <f>SUMPRODUCT(J114:J116,M114:M116)+SUMPRODUCT(J117:J127,M117:M127)/0.87</f>
        <v>5.4772069889186994E-2</v>
      </c>
      <c r="K128" s="334">
        <f>SUMPRODUCT(K114:K116,M114:M116)+SUMPRODUCT(K117:K127,M117:M127)/0.87</f>
        <v>1.5870711925483097E-9</v>
      </c>
      <c r="L128" s="334">
        <f>SUMPRODUCT(L114:L116,M114:M116)+SUMPRODUCT(L117:L127,M117:M127)/0.87</f>
        <v>4.5782884813520125E-4</v>
      </c>
      <c r="M128" s="335"/>
      <c r="N128" s="336"/>
      <c r="O128" s="336"/>
      <c r="P128" s="335"/>
    </row>
    <row r="129" spans="1:19" x14ac:dyDescent="0.3">
      <c r="A129" s="150"/>
      <c r="B129" s="23" t="s">
        <v>457</v>
      </c>
      <c r="C129" s="24"/>
      <c r="D129" s="94"/>
      <c r="E129" s="94"/>
      <c r="F129" s="327">
        <f>SUMPRODUCT(F114:F117,N114:N117)+SUMPRODUCT(F118:F128,N118:N128)/0.87</f>
        <v>0.76402179591147923</v>
      </c>
      <c r="G129" s="25">
        <f>SUMPRODUCT(G114:G117,N114:N117)+SUMPRODUCT(G118:G128,N118:N128)/0.87</f>
        <v>1.545092386600379E-2</v>
      </c>
      <c r="H129" s="25">
        <f>SUMPRODUCT(H114:H117,N114:N117)+SUMPRODUCT(H118:H128,N118:N128)/0.87</f>
        <v>9.4175761132861283E-4</v>
      </c>
      <c r="I129" s="25">
        <f>SUMPRODUCT(I114:I117,N114:N117)+SUMPRODUCT(I118:I128,N118:N128)/0.87</f>
        <v>9.8404530816279048E-3</v>
      </c>
      <c r="J129" s="28">
        <f>SUMPRODUCT(J114:J117,N114:N117)+SUMPRODUCT(J118:J128,N118:N128)/0.87</f>
        <v>5.4700254267780427E-2</v>
      </c>
      <c r="K129" s="28">
        <f>SUMPRODUCT(K114:K117,N114:N117)+SUMPRODUCT(K118:K128,N118:N128)/0.87</f>
        <v>1.5857964652683431E-9</v>
      </c>
      <c r="L129" s="28">
        <f>SUMPRODUCT(L114:L117,N114:N117)+SUMPRODUCT(L118:L128,N118:N128)/0.87</f>
        <v>4.5726778859296249E-4</v>
      </c>
      <c r="M129" s="152"/>
      <c r="N129" s="152"/>
      <c r="O129" s="454"/>
      <c r="P129" s="152"/>
    </row>
    <row r="130" spans="1:19" x14ac:dyDescent="0.3">
      <c r="A130" s="328"/>
      <c r="B130" s="329" t="s">
        <v>641</v>
      </c>
      <c r="C130" s="330"/>
      <c r="D130" s="331"/>
      <c r="E130" s="331"/>
      <c r="F130" s="332">
        <f>SUMPRODUCT(F114:F116,$O114:$O116)+SUMPRODUCT(F117:F127,$O117:$O127)/0.87</f>
        <v>0.76510351870891558</v>
      </c>
      <c r="G130" s="332">
        <f t="shared" ref="G130:L130" si="20">SUMPRODUCT(G114:G116,$O114:$O116)+SUMPRODUCT(G117:G127,$O117:$O127)/0.87</f>
        <v>1.54603496663134E-2</v>
      </c>
      <c r="H130" s="332">
        <f t="shared" si="20"/>
        <v>9.4314903899336507E-4</v>
      </c>
      <c r="I130" s="332">
        <f t="shared" si="20"/>
        <v>9.8404530816279048E-3</v>
      </c>
      <c r="J130" s="332">
        <f t="shared" si="20"/>
        <v>5.4772069889186994E-2</v>
      </c>
      <c r="K130" s="332">
        <f t="shared" si="20"/>
        <v>1.5870711925483097E-9</v>
      </c>
      <c r="L130" s="332">
        <f t="shared" si="20"/>
        <v>4.5782884813520125E-4</v>
      </c>
      <c r="M130" s="332"/>
      <c r="N130" s="332"/>
      <c r="O130" s="456"/>
      <c r="P130" s="332"/>
      <c r="Q130" s="17"/>
      <c r="R130" s="453"/>
      <c r="S130" s="453"/>
    </row>
    <row r="131" spans="1:19" x14ac:dyDescent="0.3">
      <c r="A131" s="150"/>
      <c r="B131" s="23" t="s">
        <v>642</v>
      </c>
      <c r="C131" s="24"/>
      <c r="D131" s="94"/>
      <c r="E131" s="94"/>
      <c r="F131" s="327">
        <f>SUMPRODUCT(F114:F116,$P114:$P116)+SUMPRODUCT(F117:F127,$P117:$P127)/0.87</f>
        <v>0</v>
      </c>
      <c r="G131" s="327">
        <f t="shared" ref="G131:L131" si="21">SUMPRODUCT(G114:G116,$P114:$P116)+SUMPRODUCT(G117:G127,$P117:$P127)/0.87</f>
        <v>0</v>
      </c>
      <c r="H131" s="327">
        <f t="shared" si="21"/>
        <v>0</v>
      </c>
      <c r="I131" s="327">
        <f t="shared" si="21"/>
        <v>0</v>
      </c>
      <c r="J131" s="327">
        <f t="shared" si="21"/>
        <v>0</v>
      </c>
      <c r="K131" s="327">
        <f t="shared" si="21"/>
        <v>0</v>
      </c>
      <c r="L131" s="327">
        <f t="shared" si="21"/>
        <v>0</v>
      </c>
      <c r="M131" s="327"/>
      <c r="N131" s="327"/>
      <c r="O131" s="457"/>
      <c r="P131" s="327"/>
      <c r="Q131" s="17"/>
      <c r="R131" s="453"/>
      <c r="S131" s="453"/>
    </row>
    <row r="132" spans="1:19" x14ac:dyDescent="0.3">
      <c r="B132" s="16" t="s">
        <v>299</v>
      </c>
      <c r="C132" s="15" t="s">
        <v>302</v>
      </c>
      <c r="D132" s="21" t="s">
        <v>53</v>
      </c>
      <c r="E132" s="21" t="s">
        <v>54</v>
      </c>
      <c r="F132" s="110">
        <v>0</v>
      </c>
      <c r="G132" s="318">
        <f>'Forage crops, footprints'!G15</f>
        <v>3.4288619089893765E-2</v>
      </c>
      <c r="H132" s="319">
        <f>'Forage crops, footprints'!H15</f>
        <v>0</v>
      </c>
      <c r="I132" s="318">
        <f>'Forage crops, footprints'!I15</f>
        <v>1.0006970049386602E-3</v>
      </c>
      <c r="J132" s="120">
        <f>'Forage crops, footprints'!J15</f>
        <v>0</v>
      </c>
      <c r="K132" s="120">
        <f>'Forage crops, footprints'!K15</f>
        <v>8.2930933826806023E-11</v>
      </c>
      <c r="L132" s="120">
        <f>'Forage crops, footprints'!L15</f>
        <v>1.5695313654600586E-3</v>
      </c>
      <c r="M132" s="151">
        <f>'Parameters SH, country spec'!I15</f>
        <v>0.47949543012015922</v>
      </c>
      <c r="N132" s="151">
        <f>'Parameters SH, country spec'!I33</f>
        <v>0.47949543012015922</v>
      </c>
      <c r="O132" s="151">
        <f>'Parameters D24m, country spec'!I11</f>
        <v>0.47949543012015922</v>
      </c>
      <c r="P132" s="151"/>
    </row>
    <row r="133" spans="1:19" x14ac:dyDescent="0.3">
      <c r="B133" s="16" t="s">
        <v>300</v>
      </c>
      <c r="C133" s="15" t="s">
        <v>302</v>
      </c>
      <c r="D133" s="21" t="s">
        <v>53</v>
      </c>
      <c r="E133" s="21" t="s">
        <v>54</v>
      </c>
      <c r="F133" s="110">
        <f>'Forage crops, footprints'!F32</f>
        <v>0.61500988697347925</v>
      </c>
      <c r="G133" s="318">
        <f>'Forage crops, footprints'!G32</f>
        <v>3.1365504235647443E-4</v>
      </c>
      <c r="H133" s="318">
        <f>'Forage crops, footprints'!H32</f>
        <v>8.458551473656372E-5</v>
      </c>
      <c r="I133" s="318">
        <f>'Forage crops, footprints'!I32</f>
        <v>1.0006970049386602E-3</v>
      </c>
      <c r="J133" s="120">
        <f>'Forage crops, footprints'!J32</f>
        <v>7.1677920029331065E-5</v>
      </c>
      <c r="K133" s="120">
        <f>'Forage crops, footprints'!K32</f>
        <v>1.8981028633078485E-11</v>
      </c>
      <c r="L133" s="120">
        <f>'Forage crops, footprints'!L32</f>
        <v>1.9068533684490312E-5</v>
      </c>
      <c r="M133" s="151">
        <f>'Parameters SH, country spec'!I16</f>
        <v>0.16379583021525312</v>
      </c>
      <c r="N133" s="151">
        <f>'Parameters SH, country spec'!I34</f>
        <v>0.16379583021525312</v>
      </c>
      <c r="O133" s="151">
        <f>'Parameters D24m, country spec'!I12</f>
        <v>0.16379583021525312</v>
      </c>
      <c r="P133" s="151"/>
    </row>
    <row r="134" spans="1:19" x14ac:dyDescent="0.3">
      <c r="B134" s="16" t="s">
        <v>301</v>
      </c>
      <c r="C134" s="15" t="s">
        <v>302</v>
      </c>
      <c r="D134" s="21" t="s">
        <v>53</v>
      </c>
      <c r="E134" s="21" t="s">
        <v>54</v>
      </c>
      <c r="F134" s="110">
        <f>'Forage, input data per ha'!$D$85*'Forage crops, footprints'!F49+'Forage, input data per ha'!$E$85*'Forage crops, footprints'!F69</f>
        <v>1.9030569421592489</v>
      </c>
      <c r="G134" s="318">
        <f>'Forage, input data per ha'!$D$85*'Forage crops, footprints'!G49+'Forage, input data per ha'!$E$85*'Forage crops, footprints'!G69</f>
        <v>3.5832557747188944E-2</v>
      </c>
      <c r="H134" s="318">
        <f>'Forage, input data per ha'!$D$85*'Forage crops, footprints'!H49+'Forage, input data per ha'!$E$85*'Forage crops, footprints'!H69</f>
        <v>4.5593399742885403E-4</v>
      </c>
      <c r="I134" s="318">
        <f>'Forage, input data per ha'!$D$85*'Forage crops, footprints'!I49+'Forage, input data per ha'!$E$85*'Forage crops, footprints'!I69</f>
        <v>8.6498742478344302E-4</v>
      </c>
      <c r="J134" s="120">
        <f>'Forage, input data per ha'!$D$85*'Forage crops, footprints'!J49+'Forage, input data per ha'!$E$85*'Forage crops, footprints'!J69</f>
        <v>4.7216447734087927E-5</v>
      </c>
      <c r="K134" s="120">
        <f>'Forage, input data per ha'!$D$85*'Forage crops, footprints'!K49+'Forage, input data per ha'!$E$85*'Forage crops, footprints'!K69</f>
        <v>3.3969523511921766E-11</v>
      </c>
      <c r="L134" s="120">
        <f>'Forage, input data per ha'!$D$85*'Forage crops, footprints'!L49+'Forage, input data per ha'!$E$85*'Forage crops, footprints'!L69</f>
        <v>1.3566792817665679E-3</v>
      </c>
      <c r="M134" s="151">
        <f>'Parameters SH, country spec'!I17</f>
        <v>0.1711074910334601</v>
      </c>
      <c r="N134" s="151">
        <f>'Parameters SH, country spec'!I35</f>
        <v>0.1711074910334601</v>
      </c>
      <c r="O134" s="151">
        <f>'Parameters D24m, country spec'!I13</f>
        <v>0.1711074910334601</v>
      </c>
      <c r="P134" s="151"/>
    </row>
    <row r="135" spans="1:19" x14ac:dyDescent="0.3">
      <c r="A135" s="20" t="s">
        <v>231</v>
      </c>
      <c r="B135" s="15" t="s">
        <v>113</v>
      </c>
      <c r="C135" s="15" t="s">
        <v>232</v>
      </c>
      <c r="D135" s="21" t="s">
        <v>53</v>
      </c>
      <c r="E135" s="21" t="s">
        <v>54</v>
      </c>
      <c r="F135" s="22">
        <v>1.47</v>
      </c>
      <c r="G135" s="38">
        <v>2.1000000000000001E-2</v>
      </c>
      <c r="H135" s="38">
        <v>3.0999999999999999E-3</v>
      </c>
      <c r="I135" s="38">
        <v>0</v>
      </c>
      <c r="J135" s="26">
        <v>0.31</v>
      </c>
      <c r="K135" s="26">
        <v>3.7400000000000001E-11</v>
      </c>
      <c r="L135" s="26">
        <v>1.25E-3</v>
      </c>
      <c r="M135" s="151">
        <f>'Parameters SH, country spec'!I18</f>
        <v>3.7649623151768418E-3</v>
      </c>
      <c r="N135" s="151">
        <f>'Parameters SH, country spec'!I36</f>
        <v>3.7649623151768418E-3</v>
      </c>
      <c r="O135" s="151">
        <f>'Parameters D24m, country spec'!I14</f>
        <v>3.7649623151768418E-3</v>
      </c>
    </row>
    <row r="136" spans="1:19" x14ac:dyDescent="0.3">
      <c r="A136" s="20" t="s">
        <v>233</v>
      </c>
      <c r="B136" s="15" t="s">
        <v>114</v>
      </c>
      <c r="C136" s="15" t="s">
        <v>232</v>
      </c>
      <c r="D136" s="21" t="s">
        <v>53</v>
      </c>
      <c r="E136" s="21" t="s">
        <v>54</v>
      </c>
      <c r="F136" s="19">
        <v>1.08</v>
      </c>
      <c r="G136" s="38">
        <v>0.02</v>
      </c>
      <c r="H136" s="38">
        <v>5.5999999999999999E-3</v>
      </c>
      <c r="I136" s="38">
        <v>1.6271234432720799E-2</v>
      </c>
      <c r="J136" s="26">
        <v>0.94</v>
      </c>
      <c r="K136" s="26">
        <v>2.76E-11</v>
      </c>
      <c r="L136" s="26">
        <v>1.2099999999999999E-3</v>
      </c>
      <c r="M136" s="151">
        <f>'Parameters SH, country spec'!I19</f>
        <v>1.1306927408010266E-2</v>
      </c>
      <c r="N136" s="151">
        <f>'Parameters SH, country spec'!I37</f>
        <v>1.1306927408010266E-2</v>
      </c>
      <c r="O136" s="151">
        <f>'Parameters D24m, country spec'!I15</f>
        <v>1.1306927408010266E-2</v>
      </c>
    </row>
    <row r="137" spans="1:19" x14ac:dyDescent="0.3">
      <c r="A137" s="20" t="s">
        <v>234</v>
      </c>
      <c r="B137" s="15" t="s">
        <v>115</v>
      </c>
      <c r="C137" s="15" t="s">
        <v>232</v>
      </c>
      <c r="D137" s="21" t="s">
        <v>53</v>
      </c>
      <c r="E137" s="21" t="s">
        <v>54</v>
      </c>
      <c r="F137" s="19">
        <v>1.96</v>
      </c>
      <c r="G137" s="38">
        <v>1.7999999999999999E-2</v>
      </c>
      <c r="H137" s="38">
        <v>3.8E-3</v>
      </c>
      <c r="I137" s="38">
        <v>2.4189052298800402E-3</v>
      </c>
      <c r="J137" s="26">
        <v>0.09</v>
      </c>
      <c r="K137" s="26">
        <v>5.01E-11</v>
      </c>
      <c r="L137" s="26">
        <v>1.1000000000000001E-3</v>
      </c>
      <c r="M137" s="151">
        <f>'Parameters SH, country spec'!I20</f>
        <v>1.2367044164683077E-4</v>
      </c>
      <c r="N137" s="151">
        <f>'Parameters SH, country spec'!I38</f>
        <v>1.2367044164683077E-4</v>
      </c>
      <c r="O137" s="151">
        <f>'Parameters D24m, country spec'!I16</f>
        <v>1.2367044164683077E-4</v>
      </c>
    </row>
    <row r="138" spans="1:19" x14ac:dyDescent="0.3">
      <c r="A138" s="20" t="s">
        <v>235</v>
      </c>
      <c r="B138" s="15" t="s">
        <v>116</v>
      </c>
      <c r="C138" s="15" t="s">
        <v>232</v>
      </c>
      <c r="D138" s="21" t="s">
        <v>53</v>
      </c>
      <c r="E138" s="21" t="s">
        <v>54</v>
      </c>
      <c r="F138" s="19">
        <v>2.85</v>
      </c>
      <c r="G138" s="38">
        <v>1.6E-2</v>
      </c>
      <c r="H138" s="38">
        <v>1.1999999999999999E-3</v>
      </c>
      <c r="I138" s="38">
        <v>0</v>
      </c>
      <c r="J138" s="26">
        <v>0</v>
      </c>
      <c r="K138" s="26">
        <v>7.2700000000000005E-11</v>
      </c>
      <c r="L138" s="26">
        <v>9.68E-4</v>
      </c>
      <c r="M138" s="151">
        <f>'Parameters SH, country spec'!I21</f>
        <v>4.6537012747958835E-4</v>
      </c>
      <c r="N138" s="151">
        <f>'Parameters SH, country spec'!I39</f>
        <v>4.6537012747958835E-4</v>
      </c>
      <c r="O138" s="151">
        <f>'Parameters D24m, country spec'!I17</f>
        <v>4.6537012747958835E-4</v>
      </c>
    </row>
    <row r="139" spans="1:19" x14ac:dyDescent="0.3">
      <c r="A139" s="20" t="s">
        <v>236</v>
      </c>
      <c r="B139" s="15" t="s">
        <v>117</v>
      </c>
      <c r="C139" s="15" t="s">
        <v>232</v>
      </c>
      <c r="D139" s="21" t="s">
        <v>53</v>
      </c>
      <c r="E139" s="21" t="s">
        <v>54</v>
      </c>
      <c r="F139" s="19">
        <v>1.1499999999999999</v>
      </c>
      <c r="G139" s="38">
        <v>2.4E-2</v>
      </c>
      <c r="H139" s="38">
        <v>2.2000000000000001E-3</v>
      </c>
      <c r="I139" s="38">
        <v>0</v>
      </c>
      <c r="J139" s="26">
        <v>0.26</v>
      </c>
      <c r="K139" s="26">
        <v>2.92E-11</v>
      </c>
      <c r="L139" s="26">
        <v>1.4300000000000001E-3</v>
      </c>
      <c r="M139" s="151">
        <f>'Parameters SH, country spec'!I22</f>
        <v>1.2739490248206042E-2</v>
      </c>
      <c r="N139" s="151">
        <f>'Parameters SH, country spec'!I40</f>
        <v>1.2739490248206042E-2</v>
      </c>
      <c r="O139" s="151">
        <f>'Parameters D24m, country spec'!I18</f>
        <v>1.2739490248206042E-2</v>
      </c>
    </row>
    <row r="140" spans="1:19" x14ac:dyDescent="0.3">
      <c r="A140" s="20" t="s">
        <v>237</v>
      </c>
      <c r="B140" s="15" t="s">
        <v>118</v>
      </c>
      <c r="C140" s="15" t="s">
        <v>238</v>
      </c>
      <c r="D140" s="21" t="s">
        <v>53</v>
      </c>
      <c r="E140" s="21" t="s">
        <v>54</v>
      </c>
      <c r="F140" s="19">
        <v>2</v>
      </c>
      <c r="G140" s="38">
        <v>1.2999999999999999E-2</v>
      </c>
      <c r="H140" s="38">
        <v>1.6999999999999999E-3</v>
      </c>
      <c r="I140" s="38">
        <v>0</v>
      </c>
      <c r="J140" s="26">
        <v>1.01</v>
      </c>
      <c r="K140" s="26">
        <v>5.0999999999999998E-11</v>
      </c>
      <c r="L140" s="26">
        <v>0</v>
      </c>
      <c r="M140" s="151">
        <f>'Parameters SH, country spec'!I23</f>
        <v>0</v>
      </c>
      <c r="N140" s="151">
        <f>'Parameters SH, country spec'!I41</f>
        <v>0</v>
      </c>
      <c r="O140" s="151">
        <f>'Parameters D24m, country spec'!I19</f>
        <v>0</v>
      </c>
    </row>
    <row r="141" spans="1:19" x14ac:dyDescent="0.3">
      <c r="A141" s="20" t="s">
        <v>239</v>
      </c>
      <c r="B141" s="15" t="s">
        <v>119</v>
      </c>
      <c r="C141" s="15" t="s">
        <v>238</v>
      </c>
      <c r="D141" s="21" t="s">
        <v>53</v>
      </c>
      <c r="E141" s="21" t="s">
        <v>54</v>
      </c>
      <c r="F141" s="19">
        <v>2</v>
      </c>
      <c r="G141" s="38">
        <v>6.0000000000000001E-3</v>
      </c>
      <c r="H141" s="38">
        <v>2E-3</v>
      </c>
      <c r="I141" s="38">
        <v>0</v>
      </c>
      <c r="J141" s="26">
        <v>1.05</v>
      </c>
      <c r="K141" s="26">
        <v>5.1100000000000003E-11</v>
      </c>
      <c r="L141" s="26">
        <v>6.1400000000000002E-5</v>
      </c>
      <c r="M141" s="151">
        <f>'Parameters SH, country spec'!I24</f>
        <v>0</v>
      </c>
      <c r="N141" s="151">
        <f>'Parameters SH, country spec'!I42</f>
        <v>0</v>
      </c>
      <c r="O141" s="151">
        <f>'Parameters D24m, country spec'!I20</f>
        <v>0</v>
      </c>
    </row>
    <row r="142" spans="1:19" x14ac:dyDescent="0.3">
      <c r="B142" s="16" t="s">
        <v>120</v>
      </c>
      <c r="C142" s="15" t="s">
        <v>240</v>
      </c>
      <c r="D142" s="21" t="s">
        <v>53</v>
      </c>
      <c r="E142" s="21" t="s">
        <v>54</v>
      </c>
      <c r="F142" s="17">
        <f>'Off-farm feed'!$F$88</f>
        <v>1.5397450382845088</v>
      </c>
      <c r="G142" s="18">
        <f>'Off-farm feed'!$G$88</f>
        <v>4.1115595157230206E-2</v>
      </c>
      <c r="H142" s="18">
        <f>'Off-farm feed'!$H$88</f>
        <v>4.4751668198345796E-3</v>
      </c>
      <c r="I142" s="18">
        <f>'Off-farm feed'!$I$88</f>
        <v>2.5747126436781614E-3</v>
      </c>
      <c r="J142" s="27">
        <f>'Off-farm feed'!$J$88</f>
        <v>0.29368572248181501</v>
      </c>
      <c r="K142" s="27">
        <f>'Off-farm feed'!$K$88</f>
        <v>1.777473414827503E-10</v>
      </c>
      <c r="L142" s="27">
        <f>'Off-farm feed'!$L$88</f>
        <v>2.4996062723023757E-3</v>
      </c>
      <c r="M142" s="151">
        <f>'Parameters SH, country spec'!I25</f>
        <v>4.3197597637154396E-2</v>
      </c>
      <c r="N142" s="151">
        <f>'Parameters SH, country spec'!I43</f>
        <v>4.3197597637154396E-2</v>
      </c>
      <c r="O142" s="151">
        <f>'Parameters D24m, country spec'!I21</f>
        <v>4.3197597637154396E-2</v>
      </c>
    </row>
    <row r="143" spans="1:19" x14ac:dyDescent="0.3">
      <c r="B143" s="16" t="s">
        <v>241</v>
      </c>
      <c r="C143" s="15" t="s">
        <v>240</v>
      </c>
      <c r="D143" s="21" t="s">
        <v>53</v>
      </c>
      <c r="E143" s="21" t="s">
        <v>54</v>
      </c>
      <c r="F143" s="17">
        <f>'Off-farm feed'!$F$36</f>
        <v>2.5509164954964132</v>
      </c>
      <c r="G143" s="18">
        <f>'Off-farm feed'!$G$36</f>
        <v>4.2620923125915477E-2</v>
      </c>
      <c r="H143" s="18">
        <f>'Off-farm feed'!$H$36</f>
        <v>3.2959349471355036E-3</v>
      </c>
      <c r="I143" s="18">
        <f>'Off-farm feed'!$I$36</f>
        <v>2.3780487804878048E-3</v>
      </c>
      <c r="J143" s="27">
        <f>'Off-farm feed'!$J$36</f>
        <v>0.25920846302270939</v>
      </c>
      <c r="K143" s="27">
        <f>'Off-farm feed'!$K$36</f>
        <v>6.1197957373175144E-10</v>
      </c>
      <c r="L143" s="27">
        <f>'Off-farm feed'!$L$36</f>
        <v>1.0450321677831981E-4</v>
      </c>
      <c r="M143" s="151">
        <f>'Parameters SH, country spec'!I26</f>
        <v>5.5787586237705654E-2</v>
      </c>
      <c r="N143" s="151">
        <f>'Parameters SH, country spec'!I44</f>
        <v>5.5787586237705654E-2</v>
      </c>
      <c r="O143" s="151">
        <f>'Parameters D24m, country spec'!I22</f>
        <v>5.5787586237705654E-2</v>
      </c>
    </row>
    <row r="144" spans="1:19" x14ac:dyDescent="0.3">
      <c r="B144" s="15" t="s">
        <v>122</v>
      </c>
      <c r="C144" s="15" t="s">
        <v>242</v>
      </c>
      <c r="D144" s="21" t="s">
        <v>53</v>
      </c>
      <c r="E144" s="21" t="s">
        <v>54</v>
      </c>
      <c r="F144" s="97"/>
      <c r="G144" s="98"/>
      <c r="H144" s="98"/>
      <c r="I144" s="97"/>
      <c r="J144" s="105"/>
      <c r="K144" s="105"/>
      <c r="L144" s="105"/>
      <c r="M144" s="151">
        <f>'Parameters SH, country spec'!I27</f>
        <v>3.963187482955613E-2</v>
      </c>
      <c r="N144" s="151">
        <f>'Parameters SH, country spec'!I45</f>
        <v>3.963187482955613E-2</v>
      </c>
      <c r="O144" s="151">
        <f>'Parameters D24m, country spec'!I23</f>
        <v>3.963187482955613E-2</v>
      </c>
    </row>
    <row r="145" spans="1:19" x14ac:dyDescent="0.3">
      <c r="A145" s="75"/>
      <c r="B145" s="15" t="s">
        <v>243</v>
      </c>
      <c r="C145" s="76" t="s">
        <v>244</v>
      </c>
      <c r="D145" s="21" t="s">
        <v>53</v>
      </c>
      <c r="E145" s="21" t="s">
        <v>54</v>
      </c>
      <c r="F145" s="73">
        <f>AVERAGE(F135:F143)</f>
        <v>1.8445179481978802</v>
      </c>
      <c r="G145" s="99">
        <f t="shared" ref="G145:L145" si="22">AVERAGE(G135:G143)</f>
        <v>2.2415168698127302E-2</v>
      </c>
      <c r="H145" s="99">
        <f t="shared" si="22"/>
        <v>3.0412335296633422E-3</v>
      </c>
      <c r="I145" s="99">
        <f t="shared" si="22"/>
        <v>2.6269890096407562E-3</v>
      </c>
      <c r="J145" s="164">
        <f t="shared" si="22"/>
        <v>0.46809935394494712</v>
      </c>
      <c r="K145" s="74">
        <f t="shared" si="22"/>
        <v>1.2320299057938908E-10</v>
      </c>
      <c r="L145" s="164">
        <f t="shared" si="22"/>
        <v>9.5816772100896597E-4</v>
      </c>
      <c r="M145" s="151">
        <f>'Parameters SH, country spec'!I28</f>
        <v>1.8583769386191842E-2</v>
      </c>
      <c r="N145" s="151">
        <f>'Parameters SH, country spec'!I46</f>
        <v>1.8583769386191842E-2</v>
      </c>
      <c r="O145" s="151">
        <f>'Parameters D24m, country spec'!I24</f>
        <v>1.8583769386191842E-2</v>
      </c>
    </row>
    <row r="146" spans="1:19" x14ac:dyDescent="0.3">
      <c r="A146" s="328"/>
      <c r="B146" s="329" t="s">
        <v>616</v>
      </c>
      <c r="C146" s="330"/>
      <c r="D146" s="331"/>
      <c r="E146" s="331"/>
      <c r="F146" s="332">
        <f>SUMPRODUCT(F132:F134,M132:M134)+SUMPRODUCT(F135:F145,M135:M145)/0.87</f>
        <v>0.74482995794886342</v>
      </c>
      <c r="G146" s="333">
        <f>SUMPRODUCT(G132:G134,M132:M134)+SUMPRODUCT(G135:G145,M135:M145)/0.87</f>
        <v>2.8590490599307322E-2</v>
      </c>
      <c r="H146" s="333">
        <f>SUMPRODUCT(H132:H134,M132:M134)+SUMPRODUCT(H135:H145,M135:M145)/0.87</f>
        <v>7.0997392565812353E-4</v>
      </c>
      <c r="I146" s="333">
        <f>SUMPRODUCT(I132:I134,M132:M134)+SUMPRODUCT(I135:I145,M135:M145)/0.87</f>
        <v>1.3400019871770679E-3</v>
      </c>
      <c r="J146" s="334">
        <f>SUMPRODUCT(J132:J134,M132:M134)+SUMPRODUCT(J135:J145,M135:M145)/0.87</f>
        <v>5.8600544327755931E-2</v>
      </c>
      <c r="K146" s="334">
        <f>SUMPRODUCT(K132:K134,M132:M134)+SUMPRODUCT(K135:K145,M135:M145)/0.87</f>
        <v>1.0038024965251186E-10</v>
      </c>
      <c r="L146" s="334">
        <f>SUMPRODUCT(L132:L134,M132:M134)+SUMPRODUCT(L135:L145,M135:M145)/0.87</f>
        <v>1.1818730814714673E-3</v>
      </c>
      <c r="M146" s="335"/>
      <c r="N146" s="336"/>
      <c r="O146" s="336"/>
      <c r="P146" s="335"/>
    </row>
    <row r="147" spans="1:19" x14ac:dyDescent="0.3">
      <c r="A147" s="150"/>
      <c r="B147" s="23" t="s">
        <v>457</v>
      </c>
      <c r="C147" s="24"/>
      <c r="D147" s="94"/>
      <c r="E147" s="94"/>
      <c r="F147" s="327">
        <f>SUMPRODUCT(F132:F135,N132:N135)+SUMPRODUCT(F136:F146,N136:N146)/0.87</f>
        <v>0.74400296450239178</v>
      </c>
      <c r="G147" s="25">
        <f>SUMPRODUCT(G132:G135,N132:N135)+SUMPRODUCT(G136:G146,N136:N146)/0.87</f>
        <v>2.857867640721487E-2</v>
      </c>
      <c r="H147" s="25">
        <f>SUMPRODUCT(H132:H135,N132:N135)+SUMPRODUCT(H136:H146,N136:N146)/0.87</f>
        <v>7.0822992587304728E-4</v>
      </c>
      <c r="I147" s="25">
        <f>SUMPRODUCT(I132:I135,N132:N135)+SUMPRODUCT(I136:I146,N136:N146)/0.87</f>
        <v>1.3400019871770679E-3</v>
      </c>
      <c r="J147" s="28">
        <f>SUMPRODUCT(J132:J135,N132:N135)+SUMPRODUCT(J136:J146,N136:N146)/0.87</f>
        <v>5.842614434924831E-2</v>
      </c>
      <c r="K147" s="28">
        <f>SUMPRODUCT(K132:K135,N132:N135)+SUMPRODUCT(K136:K146,N136:N146)/0.87</f>
        <v>1.0035920913897578E-10</v>
      </c>
      <c r="L147" s="28">
        <f>SUMPRODUCT(L132:L135,N132:N135)+SUMPRODUCT(L136:L146,N136:N146)/0.87</f>
        <v>1.1811698557516786E-3</v>
      </c>
      <c r="M147" s="152"/>
      <c r="N147" s="152"/>
      <c r="O147" s="454"/>
      <c r="P147" s="152"/>
    </row>
    <row r="148" spans="1:19" x14ac:dyDescent="0.3">
      <c r="A148" s="328"/>
      <c r="B148" s="329" t="s">
        <v>641</v>
      </c>
      <c r="C148" s="330"/>
      <c r="D148" s="331"/>
      <c r="E148" s="331"/>
      <c r="F148" s="332">
        <f>SUMPRODUCT(F132:F134,$O132:$O134)+SUMPRODUCT(F135:F145,$O135:$O145)/0.87</f>
        <v>0.74482995794886342</v>
      </c>
      <c r="G148" s="332">
        <f t="shared" ref="G148:L148" si="23">SUMPRODUCT(G132:G134,$O132:$O134)+SUMPRODUCT(G135:G145,$O135:$O145)/0.87</f>
        <v>2.8590490599307322E-2</v>
      </c>
      <c r="H148" s="332">
        <f t="shared" si="23"/>
        <v>7.0997392565812353E-4</v>
      </c>
      <c r="I148" s="332">
        <f t="shared" si="23"/>
        <v>1.3400019871770679E-3</v>
      </c>
      <c r="J148" s="332">
        <f t="shared" si="23"/>
        <v>5.8600544327755931E-2</v>
      </c>
      <c r="K148" s="332">
        <f t="shared" si="23"/>
        <v>1.0038024965251186E-10</v>
      </c>
      <c r="L148" s="332">
        <f t="shared" si="23"/>
        <v>1.1818730814714673E-3</v>
      </c>
      <c r="M148" s="332"/>
      <c r="N148" s="332"/>
      <c r="O148" s="456"/>
      <c r="P148" s="332"/>
      <c r="Q148" s="17"/>
      <c r="R148" s="453"/>
      <c r="S148" s="453"/>
    </row>
    <row r="149" spans="1:19" x14ac:dyDescent="0.3">
      <c r="A149" s="150"/>
      <c r="B149" s="23" t="s">
        <v>642</v>
      </c>
      <c r="C149" s="24"/>
      <c r="D149" s="94"/>
      <c r="E149" s="94"/>
      <c r="F149" s="327">
        <f>SUMPRODUCT(F132:F134,$P132:$P134)+SUMPRODUCT(F135:F145,$P135:$P145)/0.87</f>
        <v>0</v>
      </c>
      <c r="G149" s="327">
        <f t="shared" ref="G149:L149" si="24">SUMPRODUCT(G132:G134,$P132:$P134)+SUMPRODUCT(G135:G145,$P135:$P145)/0.87</f>
        <v>0</v>
      </c>
      <c r="H149" s="327">
        <f t="shared" si="24"/>
        <v>0</v>
      </c>
      <c r="I149" s="327">
        <f t="shared" si="24"/>
        <v>0</v>
      </c>
      <c r="J149" s="327">
        <f t="shared" si="24"/>
        <v>0</v>
      </c>
      <c r="K149" s="327">
        <f t="shared" si="24"/>
        <v>0</v>
      </c>
      <c r="L149" s="327">
        <f t="shared" si="24"/>
        <v>0</v>
      </c>
      <c r="M149" s="327"/>
      <c r="N149" s="327"/>
      <c r="O149" s="457"/>
      <c r="P149" s="327"/>
      <c r="Q149" s="17"/>
      <c r="R149" s="453"/>
      <c r="S149" s="453"/>
    </row>
    <row r="150" spans="1:19" x14ac:dyDescent="0.3">
      <c r="B150" s="16" t="s">
        <v>299</v>
      </c>
      <c r="C150" s="15" t="s">
        <v>302</v>
      </c>
      <c r="D150" s="21" t="s">
        <v>55</v>
      </c>
      <c r="E150" s="21" t="s">
        <v>56</v>
      </c>
      <c r="F150" s="110">
        <v>0</v>
      </c>
      <c r="G150" s="318">
        <f>'Forage crops, footprints'!G16</f>
        <v>1.4248888174213353E-2</v>
      </c>
      <c r="H150" s="319">
        <f>'Forage crops, footprints'!H16</f>
        <v>2.3847872238080535E-4</v>
      </c>
      <c r="I150" s="318">
        <f>'Forage crops, footprints'!I16</f>
        <v>2.3699570524521766E-4</v>
      </c>
      <c r="J150" s="120">
        <f>'Forage crops, footprints'!J16</f>
        <v>0</v>
      </c>
      <c r="K150" s="120">
        <f>'Forage crops, footprints'!K16</f>
        <v>1.023700413544696E-10</v>
      </c>
      <c r="L150" s="120">
        <f>'Forage crops, footprints'!L16</f>
        <v>3.5122388625340054E-4</v>
      </c>
      <c r="M150" s="151">
        <f>'Parameters SH, country spec'!J15</f>
        <v>0.26557017524746096</v>
      </c>
      <c r="N150" s="151">
        <f>'Parameters SH, country spec'!J33</f>
        <v>0.26557017524746096</v>
      </c>
      <c r="O150" s="151">
        <f>'Parameters D24m, country spec'!J11</f>
        <v>0.26557017524746096</v>
      </c>
      <c r="P150" s="151"/>
    </row>
    <row r="151" spans="1:19" x14ac:dyDescent="0.3">
      <c r="B151" s="16" t="s">
        <v>300</v>
      </c>
      <c r="C151" s="15" t="s">
        <v>302</v>
      </c>
      <c r="D151" s="21" t="s">
        <v>55</v>
      </c>
      <c r="E151" s="21" t="s">
        <v>56</v>
      </c>
      <c r="F151" s="110">
        <f>'Forage crops, footprints'!F33</f>
        <v>0.6336182502296176</v>
      </c>
      <c r="G151" s="318">
        <f>'Forage crops, footprints'!G33</f>
        <v>7.983589952893182E-3</v>
      </c>
      <c r="H151" s="318">
        <f>'Forage crops, footprints'!H33</f>
        <v>1.3832511096562076E-3</v>
      </c>
      <c r="I151" s="318">
        <f>'Forage crops, footprints'!I33</f>
        <v>2.3699570524521768E-4</v>
      </c>
      <c r="J151" s="120">
        <f>'Forage crops, footprints'!J33</f>
        <v>1.0479214179139297E-4</v>
      </c>
      <c r="K151" s="120">
        <f>'Forage crops, footprints'!K33</f>
        <v>2.8677079889189967E-11</v>
      </c>
      <c r="L151" s="120">
        <f>'Forage crops, footprints'!L33</f>
        <v>4.8535917929508023E-4</v>
      </c>
      <c r="M151" s="151">
        <f>'Parameters SH, country spec'!J16</f>
        <v>0.3089723847114122</v>
      </c>
      <c r="N151" s="151">
        <f>'Parameters SH, country spec'!J34</f>
        <v>0.3089723847114122</v>
      </c>
      <c r="O151" s="151">
        <f>'Parameters D24m, country spec'!J12</f>
        <v>0.3089723847114122</v>
      </c>
      <c r="P151" s="151"/>
    </row>
    <row r="152" spans="1:19" x14ac:dyDescent="0.3">
      <c r="B152" s="16" t="s">
        <v>301</v>
      </c>
      <c r="C152" s="15" t="s">
        <v>302</v>
      </c>
      <c r="D152" s="21" t="s">
        <v>55</v>
      </c>
      <c r="E152" s="21" t="s">
        <v>56</v>
      </c>
      <c r="F152" s="110">
        <f>'Forage, input data per ha'!$D$86*'Forage crops, footprints'!F50+'Forage, input data per ha'!$E$86*'Forage crops, footprints'!F67</f>
        <v>1.31552570056847</v>
      </c>
      <c r="G152" s="318">
        <f>'Forage, input data per ha'!$D$86*'Forage crops, footprints'!G50+'Forage, input data per ha'!$E$86*'Forage crops, footprints'!G67</f>
        <v>2.091716494408814E-2</v>
      </c>
      <c r="H152" s="318">
        <f>'Forage, input data per ha'!$D$86*'Forage crops, footprints'!H50+'Forage, input data per ha'!$E$86*'Forage crops, footprints'!H67</f>
        <v>9.0128490500422892E-4</v>
      </c>
      <c r="I152" s="318">
        <f>'Forage, input data per ha'!$D$86*'Forage crops, footprints'!I50+'Forage, input data per ha'!$E$86*'Forage crops, footprints'!I67</f>
        <v>2.3699570524521766E-4</v>
      </c>
      <c r="J152" s="120">
        <f>'Forage, input data per ha'!$D$86*'Forage crops, footprints'!J50+'Forage, input data per ha'!$E$86*'Forage crops, footprints'!J67</f>
        <v>4.8573491292518831E-5</v>
      </c>
      <c r="K152" s="120">
        <f>'Forage, input data per ha'!$D$86*'Forage crops, footprints'!K50+'Forage, input data per ha'!$E$86*'Forage crops, footprints'!K67</f>
        <v>4.6267115126137289E-11</v>
      </c>
      <c r="L152" s="120">
        <f>'Forage, input data per ha'!$D$86*'Forage crops, footprints'!L50+'Forage, input data per ha'!$E$86*'Forage crops, footprints'!L67</f>
        <v>2.7669407133162509E-4</v>
      </c>
      <c r="M152" s="151">
        <f>'Parameters SH, country spec'!J17</f>
        <v>0.15280804679497859</v>
      </c>
      <c r="N152" s="151">
        <f>'Parameters SH, country spec'!J35</f>
        <v>0.15280804679497859</v>
      </c>
      <c r="O152" s="151">
        <f>'Parameters D24m, country spec'!J13</f>
        <v>0.15280804679497859</v>
      </c>
      <c r="P152" s="151"/>
    </row>
    <row r="153" spans="1:19" x14ac:dyDescent="0.3">
      <c r="A153" s="20" t="s">
        <v>231</v>
      </c>
      <c r="B153" s="15" t="s">
        <v>113</v>
      </c>
      <c r="C153" s="15" t="s">
        <v>232</v>
      </c>
      <c r="D153" s="21" t="s">
        <v>55</v>
      </c>
      <c r="E153" s="21" t="s">
        <v>56</v>
      </c>
      <c r="F153" s="22">
        <v>2.64</v>
      </c>
      <c r="G153" s="38">
        <v>2.1000000000000001E-2</v>
      </c>
      <c r="H153" s="38">
        <v>3.0999999999999999E-3</v>
      </c>
      <c r="I153" s="38">
        <v>0</v>
      </c>
      <c r="J153" s="26">
        <v>0.23</v>
      </c>
      <c r="K153" s="26">
        <v>1.2E-10</v>
      </c>
      <c r="L153" s="26">
        <v>1.25E-3</v>
      </c>
      <c r="M153" s="151">
        <f>'Parameters SH, country spec'!J18</f>
        <v>1.4852072857038275E-2</v>
      </c>
      <c r="N153" s="151">
        <f>'Parameters SH, country spec'!J36</f>
        <v>1.4852072857038275E-2</v>
      </c>
      <c r="O153" s="151">
        <f>'Parameters D24m, country spec'!J14</f>
        <v>1.4852072857038275E-2</v>
      </c>
    </row>
    <row r="154" spans="1:19" x14ac:dyDescent="0.3">
      <c r="A154" s="20" t="s">
        <v>233</v>
      </c>
      <c r="B154" s="15" t="s">
        <v>114</v>
      </c>
      <c r="C154" s="15" t="s">
        <v>232</v>
      </c>
      <c r="D154" s="21" t="s">
        <v>55</v>
      </c>
      <c r="E154" s="21" t="s">
        <v>56</v>
      </c>
      <c r="F154" s="19">
        <v>1.52</v>
      </c>
      <c r="G154" s="38">
        <v>0.02</v>
      </c>
      <c r="H154" s="38">
        <v>5.5999999999999999E-3</v>
      </c>
      <c r="I154" s="38">
        <v>3.7403547823840698E-3</v>
      </c>
      <c r="J154" s="26">
        <v>0.13</v>
      </c>
      <c r="K154" s="26">
        <v>6.8700000000000006E-11</v>
      </c>
      <c r="L154" s="26">
        <v>1.2099999999999999E-3</v>
      </c>
      <c r="M154" s="151">
        <f>'Parameters SH, country spec'!J19</f>
        <v>2.0345709016517825E-2</v>
      </c>
      <c r="N154" s="151">
        <f>'Parameters SH, country spec'!J37</f>
        <v>2.0345709016517825E-2</v>
      </c>
      <c r="O154" s="151">
        <f>'Parameters D24m, country spec'!J15</f>
        <v>2.0345709016517825E-2</v>
      </c>
    </row>
    <row r="155" spans="1:19" x14ac:dyDescent="0.3">
      <c r="A155" s="20" t="s">
        <v>234</v>
      </c>
      <c r="B155" s="15" t="s">
        <v>115</v>
      </c>
      <c r="C155" s="15" t="s">
        <v>232</v>
      </c>
      <c r="D155" s="21" t="s">
        <v>55</v>
      </c>
      <c r="E155" s="21" t="s">
        <v>56</v>
      </c>
      <c r="F155" s="19">
        <v>3.56</v>
      </c>
      <c r="G155" s="38">
        <v>1.7999999999999999E-2</v>
      </c>
      <c r="H155" s="38">
        <v>3.8E-3</v>
      </c>
      <c r="I155" s="38">
        <v>8.19041835426825E-4</v>
      </c>
      <c r="J155" s="26">
        <v>0.14000000000000001</v>
      </c>
      <c r="K155" s="26">
        <v>1.6100000000000001E-10</v>
      </c>
      <c r="L155" s="26">
        <v>1.1000000000000001E-3</v>
      </c>
      <c r="M155" s="151">
        <f>'Parameters SH, country spec'!J20</f>
        <v>4.4481071240192398E-4</v>
      </c>
      <c r="N155" s="151">
        <f>'Parameters SH, country spec'!J38</f>
        <v>4.4481071240192398E-4</v>
      </c>
      <c r="O155" s="151">
        <f>'Parameters D24m, country spec'!J16</f>
        <v>4.4481071240192398E-4</v>
      </c>
    </row>
    <row r="156" spans="1:19" x14ac:dyDescent="0.3">
      <c r="A156" s="20" t="s">
        <v>235</v>
      </c>
      <c r="B156" s="15" t="s">
        <v>116</v>
      </c>
      <c r="C156" s="15" t="s">
        <v>232</v>
      </c>
      <c r="D156" s="21" t="s">
        <v>55</v>
      </c>
      <c r="E156" s="21" t="s">
        <v>56</v>
      </c>
      <c r="F156" s="19">
        <v>3.38</v>
      </c>
      <c r="G156" s="38">
        <v>1.6E-2</v>
      </c>
      <c r="H156" s="38">
        <v>1.1999999999999999E-3</v>
      </c>
      <c r="I156" s="38">
        <v>1.87956044751104E-4</v>
      </c>
      <c r="J156" s="26">
        <v>7.0000000000000007E-2</v>
      </c>
      <c r="K156" s="26">
        <v>1.5299999999999999E-10</v>
      </c>
      <c r="L156" s="26">
        <v>9.68E-4</v>
      </c>
      <c r="M156" s="151">
        <f>'Parameters SH, country spec'!J21</f>
        <v>5.8075964903519491E-3</v>
      </c>
      <c r="N156" s="151">
        <f>'Parameters SH, country spec'!J39</f>
        <v>5.8075964903519491E-3</v>
      </c>
      <c r="O156" s="151">
        <f>'Parameters D24m, country spec'!J17</f>
        <v>5.8075964903519491E-3</v>
      </c>
    </row>
    <row r="157" spans="1:19" x14ac:dyDescent="0.3">
      <c r="A157" s="20" t="s">
        <v>236</v>
      </c>
      <c r="B157" s="15" t="s">
        <v>117</v>
      </c>
      <c r="C157" s="15" t="s">
        <v>232</v>
      </c>
      <c r="D157" s="21" t="s">
        <v>55</v>
      </c>
      <c r="E157" s="21" t="s">
        <v>56</v>
      </c>
      <c r="F157" s="19">
        <v>2.14</v>
      </c>
      <c r="G157" s="38">
        <v>2.4E-2</v>
      </c>
      <c r="H157" s="38">
        <v>2.2000000000000001E-3</v>
      </c>
      <c r="I157" s="38">
        <v>3.9847055114357799E-4</v>
      </c>
      <c r="J157" s="26">
        <v>0.25</v>
      </c>
      <c r="K157" s="26">
        <v>9.6800000000000004E-11</v>
      </c>
      <c r="L157" s="26">
        <v>1.4300000000000001E-3</v>
      </c>
      <c r="M157" s="151">
        <f>'Parameters SH, country spec'!J22</f>
        <v>2.3351211772125756E-2</v>
      </c>
      <c r="N157" s="151">
        <f>'Parameters SH, country spec'!J40</f>
        <v>2.3351211772125756E-2</v>
      </c>
      <c r="O157" s="151">
        <f>'Parameters D24m, country spec'!J18</f>
        <v>2.3351211772125756E-2</v>
      </c>
    </row>
    <row r="158" spans="1:19" x14ac:dyDescent="0.3">
      <c r="A158" s="20" t="s">
        <v>237</v>
      </c>
      <c r="B158" s="15" t="s">
        <v>118</v>
      </c>
      <c r="C158" s="15" t="s">
        <v>238</v>
      </c>
      <c r="D158" s="21" t="s">
        <v>55</v>
      </c>
      <c r="E158" s="21" t="s">
        <v>56</v>
      </c>
      <c r="F158" s="19">
        <v>4.8600000000000003</v>
      </c>
      <c r="G158" s="38">
        <v>3.1E-2</v>
      </c>
      <c r="H158" s="38">
        <v>1.6999999999999999E-3</v>
      </c>
      <c r="I158" s="38">
        <v>0</v>
      </c>
      <c r="J158" s="26">
        <v>1.01</v>
      </c>
      <c r="K158" s="26">
        <v>2.1999999999999999E-10</v>
      </c>
      <c r="L158" s="26">
        <v>0</v>
      </c>
      <c r="M158" s="151">
        <f>'Parameters SH, country spec'!J23</f>
        <v>2.6962503550840627E-3</v>
      </c>
      <c r="N158" s="151">
        <f>'Parameters SH, country spec'!J41</f>
        <v>2.6962503550840627E-3</v>
      </c>
      <c r="O158" s="151">
        <f>'Parameters D24m, country spec'!J19</f>
        <v>2.6962503550840627E-3</v>
      </c>
    </row>
    <row r="159" spans="1:19" x14ac:dyDescent="0.3">
      <c r="A159" s="20" t="s">
        <v>239</v>
      </c>
      <c r="B159" s="15" t="s">
        <v>119</v>
      </c>
      <c r="C159" s="15" t="s">
        <v>238</v>
      </c>
      <c r="D159" s="21" t="s">
        <v>55</v>
      </c>
      <c r="E159" s="21" t="s">
        <v>56</v>
      </c>
      <c r="F159" s="19">
        <v>3.93</v>
      </c>
      <c r="G159" s="38">
        <v>0.01</v>
      </c>
      <c r="H159" s="38">
        <v>2E-3</v>
      </c>
      <c r="I159" s="38">
        <v>0</v>
      </c>
      <c r="J159" s="26">
        <v>1.05</v>
      </c>
      <c r="K159" s="26">
        <v>1.7800000000000001E-10</v>
      </c>
      <c r="L159" s="26">
        <v>6.1400000000000002E-5</v>
      </c>
      <c r="M159" s="151">
        <f>'Parameters SH, country spec'!J24</f>
        <v>2.6486063692714159E-3</v>
      </c>
      <c r="N159" s="151">
        <f>'Parameters SH, country spec'!J42</f>
        <v>2.6486063692714159E-3</v>
      </c>
      <c r="O159" s="151">
        <f>'Parameters D24m, country spec'!J20</f>
        <v>2.6486063692714159E-3</v>
      </c>
    </row>
    <row r="160" spans="1:19" x14ac:dyDescent="0.3">
      <c r="B160" s="16" t="s">
        <v>120</v>
      </c>
      <c r="C160" s="15" t="s">
        <v>240</v>
      </c>
      <c r="D160" s="21" t="s">
        <v>55</v>
      </c>
      <c r="E160" s="21" t="s">
        <v>56</v>
      </c>
      <c r="F160" s="17">
        <f>'Off-farm feed'!$F$88</f>
        <v>1.5397450382845088</v>
      </c>
      <c r="G160" s="18">
        <f>'Off-farm feed'!$G$88</f>
        <v>4.1115595157230206E-2</v>
      </c>
      <c r="H160" s="18">
        <f>'Off-farm feed'!$H$88</f>
        <v>4.4751668198345796E-3</v>
      </c>
      <c r="I160" s="18">
        <f>'Off-farm feed'!$I$88</f>
        <v>2.5747126436781614E-3</v>
      </c>
      <c r="J160" s="27">
        <f>'Off-farm feed'!$J$88</f>
        <v>0.29368572248181501</v>
      </c>
      <c r="K160" s="27">
        <f>'Off-farm feed'!$K$88</f>
        <v>1.777473414827503E-10</v>
      </c>
      <c r="L160" s="27">
        <f>'Off-farm feed'!$L$88</f>
        <v>2.4996062723023757E-3</v>
      </c>
      <c r="M160" s="151">
        <f>'Parameters SH, country spec'!J25</f>
        <v>1.9433337380001321E-2</v>
      </c>
      <c r="N160" s="151">
        <f>'Parameters SH, country spec'!J43</f>
        <v>1.9433337380001321E-2</v>
      </c>
      <c r="O160" s="151">
        <f>'Parameters D24m, country spec'!J21</f>
        <v>1.9433337380001321E-2</v>
      </c>
    </row>
    <row r="161" spans="1:19" x14ac:dyDescent="0.3">
      <c r="B161" s="16" t="s">
        <v>241</v>
      </c>
      <c r="C161" s="15" t="s">
        <v>240</v>
      </c>
      <c r="D161" s="21" t="s">
        <v>55</v>
      </c>
      <c r="E161" s="21" t="s">
        <v>56</v>
      </c>
      <c r="F161" s="17">
        <f>'Off-farm feed'!$F$36</f>
        <v>2.5509164954964132</v>
      </c>
      <c r="G161" s="18">
        <f>'Off-farm feed'!$G$36</f>
        <v>4.2620923125915477E-2</v>
      </c>
      <c r="H161" s="18">
        <f>'Off-farm feed'!$H$36</f>
        <v>3.2959349471355036E-3</v>
      </c>
      <c r="I161" s="18">
        <f>'Off-farm feed'!$I$36</f>
        <v>2.3780487804878048E-3</v>
      </c>
      <c r="J161" s="27">
        <f>'Off-farm feed'!$J$36</f>
        <v>0.25920846302270939</v>
      </c>
      <c r="K161" s="27">
        <f>'Off-farm feed'!$K$36</f>
        <v>6.1197957373175144E-10</v>
      </c>
      <c r="L161" s="27">
        <f>'Off-farm feed'!$L$36</f>
        <v>1.0450321677831981E-4</v>
      </c>
      <c r="M161" s="151">
        <f>'Parameters SH, country spec'!J26</f>
        <v>6.7782810502236002E-2</v>
      </c>
      <c r="N161" s="151">
        <f>'Parameters SH, country spec'!J44</f>
        <v>6.7782810502236002E-2</v>
      </c>
      <c r="O161" s="151">
        <f>'Parameters D24m, country spec'!J22</f>
        <v>6.7782810502236002E-2</v>
      </c>
    </row>
    <row r="162" spans="1:19" x14ac:dyDescent="0.3">
      <c r="B162" s="15" t="s">
        <v>122</v>
      </c>
      <c r="C162" s="15" t="s">
        <v>242</v>
      </c>
      <c r="D162" s="21" t="s">
        <v>55</v>
      </c>
      <c r="E162" s="21" t="s">
        <v>56</v>
      </c>
      <c r="F162" s="97"/>
      <c r="G162" s="98"/>
      <c r="H162" s="98"/>
      <c r="I162" s="97"/>
      <c r="J162" s="105"/>
      <c r="K162" s="105"/>
      <c r="L162" s="105"/>
      <c r="M162" s="151">
        <f>'Parameters SH, country spec'!J27</f>
        <v>4.7732591070968847E-2</v>
      </c>
      <c r="N162" s="151">
        <f>'Parameters SH, country spec'!J45</f>
        <v>4.7732591070968847E-2</v>
      </c>
      <c r="O162" s="151">
        <f>'Parameters D24m, country spec'!J23</f>
        <v>4.7732591070968847E-2</v>
      </c>
    </row>
    <row r="163" spans="1:19" x14ac:dyDescent="0.3">
      <c r="A163" s="75"/>
      <c r="B163" s="15" t="s">
        <v>243</v>
      </c>
      <c r="C163" s="76" t="s">
        <v>244</v>
      </c>
      <c r="D163" s="21" t="s">
        <v>55</v>
      </c>
      <c r="E163" s="21" t="s">
        <v>56</v>
      </c>
      <c r="F163" s="73">
        <f t="shared" ref="F163:L163" si="25">AVERAGE(F153:F161)</f>
        <v>2.9022957259756579</v>
      </c>
      <c r="G163" s="99">
        <f t="shared" si="25"/>
        <v>2.4859613142571745E-2</v>
      </c>
      <c r="H163" s="99">
        <f t="shared" si="25"/>
        <v>3.0412335296633422E-3</v>
      </c>
      <c r="I163" s="99">
        <f t="shared" si="25"/>
        <v>1.1220649597635047E-3</v>
      </c>
      <c r="J163" s="164">
        <f t="shared" si="25"/>
        <v>0.38143268727828045</v>
      </c>
      <c r="K163" s="74">
        <f t="shared" si="25"/>
        <v>1.9858076835716685E-10</v>
      </c>
      <c r="L163" s="164">
        <f t="shared" si="25"/>
        <v>9.5816772100896597E-4</v>
      </c>
      <c r="M163" s="151">
        <f>'Parameters SH, country spec'!J28</f>
        <v>6.7554396720150997E-2</v>
      </c>
      <c r="N163" s="151">
        <f>'Parameters SH, country spec'!J46</f>
        <v>6.7554396720150997E-2</v>
      </c>
      <c r="O163" s="151">
        <f>'Parameters D24m, country spec'!J24</f>
        <v>6.7554396720150997E-2</v>
      </c>
    </row>
    <row r="164" spans="1:19" x14ac:dyDescent="0.3">
      <c r="A164" s="328"/>
      <c r="B164" s="329" t="s">
        <v>616</v>
      </c>
      <c r="C164" s="330"/>
      <c r="D164" s="331"/>
      <c r="E164" s="331"/>
      <c r="F164" s="332">
        <f>SUMPRODUCT(F150:F152,M150:M152)+SUMPRODUCT(F153:F163,M153:M163)/0.87</f>
        <v>1.0447544389178778</v>
      </c>
      <c r="G164" s="333">
        <f>SUMPRODUCT(G150:G152,M150:M152)+SUMPRODUCT(G153:G163,M153:M163)/0.87</f>
        <v>1.732938715898626E-2</v>
      </c>
      <c r="H164" s="333">
        <f>SUMPRODUCT(H150:H152,M150:M152)+SUMPRODUCT(H153:H163,M153:M163)/0.87</f>
        <v>1.4855855218542202E-3</v>
      </c>
      <c r="I164" s="333">
        <f>SUMPRODUCT(I150:I152,M150:M152)+SUMPRODUCT(I153:I163,M153:M163)/0.87</f>
        <v>6.0213453603742109E-4</v>
      </c>
      <c r="J164" s="334">
        <f>SUMPRODUCT(J150:J152,M150:M152)+SUMPRODUCT(J153:J163,M153:M163)/0.87</f>
        <v>7.6955206745958391E-2</v>
      </c>
      <c r="K164" s="334">
        <f>SUMPRODUCT(K150:K152,M150:M152)+SUMPRODUCT(K153:K163,M153:M163)/0.87</f>
        <v>1.1876755984694802E-10</v>
      </c>
      <c r="L164" s="334">
        <f>SUMPRODUCT(L150:L152,M150:M152)+SUMPRODUCT(L153:L163,M153:M163)/0.87</f>
        <v>5.191239510007569E-4</v>
      </c>
      <c r="M164" s="335"/>
      <c r="N164" s="336"/>
      <c r="O164" s="336"/>
      <c r="P164" s="335"/>
    </row>
    <row r="165" spans="1:19" x14ac:dyDescent="0.3">
      <c r="A165" s="150"/>
      <c r="B165" s="23" t="s">
        <v>457</v>
      </c>
      <c r="C165" s="24"/>
      <c r="D165" s="94"/>
      <c r="E165" s="94"/>
      <c r="F165" s="327">
        <f>SUMPRODUCT(F150:F153,N150:N153)+SUMPRODUCT(F154:F164,N154:N164)/0.87</f>
        <v>1.0388955522459979</v>
      </c>
      <c r="G165" s="25">
        <f>SUMPRODUCT(G150:G153,N150:N153)+SUMPRODUCT(G154:G164,N154:N164)/0.87</f>
        <v>1.728278237864176E-2</v>
      </c>
      <c r="H165" s="25">
        <f>SUMPRODUCT(H150:H153,N150:N153)+SUMPRODUCT(H154:H164,N154:N164)/0.87</f>
        <v>1.4787057685652703E-3</v>
      </c>
      <c r="I165" s="25">
        <f>SUMPRODUCT(I150:I153,N150:N153)+SUMPRODUCT(I154:I164,N154:N164)/0.87</f>
        <v>6.0213453603742109E-4</v>
      </c>
      <c r="J165" s="28">
        <f>SUMPRODUCT(J150:J153,N150:N153)+SUMPRODUCT(J154:J164,N154:N164)/0.87</f>
        <v>7.6444773437423411E-2</v>
      </c>
      <c r="K165" s="28">
        <f>SUMPRODUCT(K150:K153,N150:N153)+SUMPRODUCT(K154:K164,N154:N164)/0.87</f>
        <v>1.1850124681640805E-10</v>
      </c>
      <c r="L165" s="28">
        <f>SUMPRODUCT(L150:L153,N150:N153)+SUMPRODUCT(L154:L164,N154:N164)/0.87</f>
        <v>5.1634985693263199E-4</v>
      </c>
      <c r="M165" s="152"/>
      <c r="N165" s="152"/>
      <c r="O165" s="454"/>
      <c r="P165" s="152"/>
    </row>
    <row r="166" spans="1:19" x14ac:dyDescent="0.3">
      <c r="A166" s="328"/>
      <c r="B166" s="329" t="s">
        <v>641</v>
      </c>
      <c r="C166" s="330"/>
      <c r="D166" s="331"/>
      <c r="E166" s="331"/>
      <c r="F166" s="332">
        <f>SUMPRODUCT(F150:F152,$O150:$O152)+SUMPRODUCT(F153:F163,$O153:$O163)/0.87</f>
        <v>1.0447544389178778</v>
      </c>
      <c r="G166" s="332">
        <f t="shared" ref="G166:L166" si="26">SUMPRODUCT(G150:G152,$O150:$O152)+SUMPRODUCT(G153:G163,$O153:$O163)/0.87</f>
        <v>1.732938715898626E-2</v>
      </c>
      <c r="H166" s="332">
        <f t="shared" si="26"/>
        <v>1.4855855218542202E-3</v>
      </c>
      <c r="I166" s="332">
        <f t="shared" si="26"/>
        <v>6.0213453603742109E-4</v>
      </c>
      <c r="J166" s="332">
        <f t="shared" si="26"/>
        <v>7.6955206745958391E-2</v>
      </c>
      <c r="K166" s="332">
        <f t="shared" si="26"/>
        <v>1.1876755984694802E-10</v>
      </c>
      <c r="L166" s="332">
        <f t="shared" si="26"/>
        <v>5.191239510007569E-4</v>
      </c>
      <c r="M166" s="332"/>
      <c r="N166" s="332"/>
      <c r="O166" s="456"/>
      <c r="P166" s="332"/>
      <c r="Q166" s="17"/>
      <c r="R166" s="453"/>
      <c r="S166" s="453"/>
    </row>
    <row r="167" spans="1:19" x14ac:dyDescent="0.3">
      <c r="A167" s="150"/>
      <c r="B167" s="23" t="s">
        <v>642</v>
      </c>
      <c r="C167" s="24"/>
      <c r="D167" s="94"/>
      <c r="E167" s="94"/>
      <c r="F167" s="327">
        <f>SUMPRODUCT(F150:F152,$P150:$P152)+SUMPRODUCT(F153:F163,$P153:$P163)/0.87</f>
        <v>0</v>
      </c>
      <c r="G167" s="327">
        <f t="shared" ref="G167:L167" si="27">SUMPRODUCT(G150:G152,$P150:$P152)+SUMPRODUCT(G153:G163,$P153:$P163)/0.87</f>
        <v>0</v>
      </c>
      <c r="H167" s="327">
        <f t="shared" si="27"/>
        <v>0</v>
      </c>
      <c r="I167" s="327">
        <f t="shared" si="27"/>
        <v>0</v>
      </c>
      <c r="J167" s="327">
        <f t="shared" si="27"/>
        <v>0</v>
      </c>
      <c r="K167" s="327">
        <f t="shared" si="27"/>
        <v>0</v>
      </c>
      <c r="L167" s="327">
        <f t="shared" si="27"/>
        <v>0</v>
      </c>
      <c r="M167" s="327"/>
      <c r="N167" s="327"/>
      <c r="O167" s="457"/>
      <c r="P167" s="327"/>
      <c r="Q167" s="17"/>
      <c r="R167" s="453"/>
      <c r="S167" s="453"/>
    </row>
    <row r="168" spans="1:19" x14ac:dyDescent="0.3">
      <c r="B168" s="16" t="s">
        <v>299</v>
      </c>
      <c r="C168" s="15" t="s">
        <v>302</v>
      </c>
      <c r="D168" s="21" t="s">
        <v>57</v>
      </c>
      <c r="E168" s="21" t="s">
        <v>58</v>
      </c>
      <c r="F168" s="110">
        <v>0</v>
      </c>
      <c r="G168" s="318">
        <f>'Forage crops, footprints'!G17</f>
        <v>1.4248888174213355E-2</v>
      </c>
      <c r="H168" s="319">
        <f>'Forage crops, footprints'!H17</f>
        <v>2.3847872238080535E-4</v>
      </c>
      <c r="I168" s="318">
        <f>'Forage crops, footprints'!I17</f>
        <v>4.1581712214757781E-2</v>
      </c>
      <c r="J168" s="120">
        <f>'Forage crops, footprints'!J17</f>
        <v>0</v>
      </c>
      <c r="K168" s="120">
        <f>'Forage crops, footprints'!K17</f>
        <v>6.3047082974254232E-9</v>
      </c>
      <c r="L168" s="120">
        <f>'Forage crops, footprints'!L17</f>
        <v>3.5122388625340054E-4</v>
      </c>
      <c r="M168" s="151">
        <f>'Parameters SH, country spec'!K15</f>
        <v>0.42695226222969923</v>
      </c>
      <c r="N168" s="151">
        <f>'Parameters SH, country spec'!K33</f>
        <v>0.42695226222969923</v>
      </c>
      <c r="O168" s="151">
        <f>'Parameters D24m, country spec'!K11</f>
        <v>0.42695226222969923</v>
      </c>
      <c r="P168" s="151"/>
    </row>
    <row r="169" spans="1:19" x14ac:dyDescent="0.3">
      <c r="B169" s="16" t="s">
        <v>300</v>
      </c>
      <c r="C169" s="15" t="s">
        <v>302</v>
      </c>
      <c r="D169" s="21" t="s">
        <v>57</v>
      </c>
      <c r="E169" s="21" t="s">
        <v>58</v>
      </c>
      <c r="F169" s="110">
        <f>'Forage crops, footprints'!F34</f>
        <v>1.0250102501025009</v>
      </c>
      <c r="G169" s="318">
        <f>'Forage crops, footprints'!G34</f>
        <v>5.6375563755637556E-3</v>
      </c>
      <c r="H169" s="318">
        <f>'Forage crops, footprints'!H34</f>
        <v>1.3426190599934167E-3</v>
      </c>
      <c r="I169" s="318">
        <f>'Forage crops, footprints'!I34</f>
        <v>4.1581712214757788E-2</v>
      </c>
      <c r="J169" s="120">
        <f>'Forage crops, footprints'!J34</f>
        <v>6.7567011968587768E-5</v>
      </c>
      <c r="K169" s="120">
        <f>'Forage crops, footprints'!K34</f>
        <v>2.0012100108206573E-9</v>
      </c>
      <c r="L169" s="120">
        <f>'Forage crops, footprints'!L34</f>
        <v>3.427330000436436E-4</v>
      </c>
      <c r="M169" s="151">
        <f>'Parameters SH, country spec'!K16</f>
        <v>8.4238508213965613E-2</v>
      </c>
      <c r="N169" s="151">
        <f>'Parameters SH, country spec'!K34</f>
        <v>8.4238508213965613E-2</v>
      </c>
      <c r="O169" s="151">
        <f>'Parameters D24m, country spec'!K12</f>
        <v>8.4238508213965613E-2</v>
      </c>
      <c r="P169" s="151"/>
    </row>
    <row r="170" spans="1:19" x14ac:dyDescent="0.3">
      <c r="B170" s="16" t="s">
        <v>301</v>
      </c>
      <c r="C170" s="15" t="s">
        <v>302</v>
      </c>
      <c r="D170" s="21" t="s">
        <v>57</v>
      </c>
      <c r="E170" s="21" t="s">
        <v>58</v>
      </c>
      <c r="F170" s="110">
        <f>'Forage, input data per ha'!$D$87*'Forage crops, footprints'!F51+'Forage, input data per ha'!$E$87*'Forage crops, footprints'!F68</f>
        <v>1.5547169575916358</v>
      </c>
      <c r="G170" s="318">
        <f>'Forage, input data per ha'!$D$87*'Forage crops, footprints'!G51+'Forage, input data per ha'!$E$87*'Forage crops, footprints'!G68</f>
        <v>2.9285237454224174E-2</v>
      </c>
      <c r="H170" s="318">
        <f>'Forage, input data per ha'!$D$87*'Forage crops, footprints'!H51+'Forage, input data per ha'!$E$87*'Forage crops, footprints'!H68</f>
        <v>1.7330455513853513E-3</v>
      </c>
      <c r="I170" s="318">
        <f>'Forage, input data per ha'!$D$87*'Forage crops, footprints'!I51+'Forage, input data per ha'!$E$87*'Forage crops, footprints'!I68</f>
        <v>4.1581712214757788E-2</v>
      </c>
      <c r="J170" s="120">
        <f>'Forage, input data per ha'!$D$87*'Forage crops, footprints'!J51+'Forage, input data per ha'!$E$87*'Forage crops, footprints'!J68</f>
        <v>5.3292018768848208E-5</v>
      </c>
      <c r="K170" s="120">
        <f>'Forage, input data per ha'!$D$87*'Forage crops, footprints'!K51+'Forage, input data per ha'!$E$87*'Forage crops, footprints'!K68</f>
        <v>2.4113327427615942E-9</v>
      </c>
      <c r="L170" s="120">
        <f>'Forage, input data per ha'!$D$87*'Forage crops, footprints'!L51+'Forage, input data per ha'!$E$87*'Forage crops, footprints'!L68</f>
        <v>1.8316602548775911E-4</v>
      </c>
      <c r="M170" s="151">
        <f>'Parameters SH, country spec'!K17</f>
        <v>6.2955748563960065E-2</v>
      </c>
      <c r="N170" s="151">
        <f>'Parameters SH, country spec'!K35</f>
        <v>6.2955748563960065E-2</v>
      </c>
      <c r="O170" s="151">
        <f>'Parameters D24m, country spec'!K13</f>
        <v>6.2955748563960065E-2</v>
      </c>
      <c r="P170" s="151"/>
    </row>
    <row r="171" spans="1:19" x14ac:dyDescent="0.3">
      <c r="A171" s="20" t="s">
        <v>231</v>
      </c>
      <c r="B171" s="15" t="s">
        <v>113</v>
      </c>
      <c r="C171" s="15" t="s">
        <v>232</v>
      </c>
      <c r="D171" s="21" t="s">
        <v>57</v>
      </c>
      <c r="E171" s="21" t="s">
        <v>58</v>
      </c>
      <c r="F171" s="22">
        <v>3</v>
      </c>
      <c r="G171" s="38">
        <v>2.1000000000000001E-2</v>
      </c>
      <c r="H171" s="38">
        <v>3.0999999999999999E-3</v>
      </c>
      <c r="I171" s="38">
        <v>8.3690230745484803E-2</v>
      </c>
      <c r="J171" s="26">
        <v>0.16</v>
      </c>
      <c r="K171" s="26">
        <v>5.8500000000000003E-9</v>
      </c>
      <c r="L171" s="26">
        <v>1.25E-3</v>
      </c>
      <c r="M171" s="151">
        <f>'Parameters SH, country spec'!K18</f>
        <v>7.4482644340220033E-2</v>
      </c>
      <c r="N171" s="151">
        <f>'Parameters SH, country spec'!K36</f>
        <v>7.4482644340220033E-2</v>
      </c>
      <c r="O171" s="151">
        <f>'Parameters D24m, country spec'!K14</f>
        <v>7.4482644340220033E-2</v>
      </c>
    </row>
    <row r="172" spans="1:19" x14ac:dyDescent="0.3">
      <c r="A172" s="20" t="s">
        <v>233</v>
      </c>
      <c r="B172" s="15" t="s">
        <v>114</v>
      </c>
      <c r="C172" s="15" t="s">
        <v>232</v>
      </c>
      <c r="D172" s="21" t="s">
        <v>57</v>
      </c>
      <c r="E172" s="21" t="s">
        <v>58</v>
      </c>
      <c r="F172" s="19">
        <v>0.83</v>
      </c>
      <c r="G172" s="38">
        <v>0.02</v>
      </c>
      <c r="H172" s="38">
        <v>5.5999999999999999E-3</v>
      </c>
      <c r="I172" s="38">
        <v>0.40567118436717697</v>
      </c>
      <c r="J172" s="26">
        <v>0.05</v>
      </c>
      <c r="K172" s="26">
        <v>1.63E-9</v>
      </c>
      <c r="L172" s="26">
        <v>1.2099999999999999E-3</v>
      </c>
      <c r="M172" s="151">
        <f>'Parameters SH, country spec'!K19</f>
        <v>9.8235935846622865E-2</v>
      </c>
      <c r="N172" s="151">
        <f>'Parameters SH, country spec'!K37</f>
        <v>9.8235935846622865E-2</v>
      </c>
      <c r="O172" s="151">
        <f>'Parameters D24m, country spec'!K15</f>
        <v>9.8235935846622865E-2</v>
      </c>
    </row>
    <row r="173" spans="1:19" x14ac:dyDescent="0.3">
      <c r="A173" s="20" t="s">
        <v>234</v>
      </c>
      <c r="B173" s="15" t="s">
        <v>115</v>
      </c>
      <c r="C173" s="15" t="s">
        <v>232</v>
      </c>
      <c r="D173" s="21" t="s">
        <v>57</v>
      </c>
      <c r="E173" s="21" t="s">
        <v>58</v>
      </c>
      <c r="F173" s="19">
        <v>4.45</v>
      </c>
      <c r="G173" s="38">
        <v>1.7999999999999999E-2</v>
      </c>
      <c r="H173" s="38">
        <v>3.8E-3</v>
      </c>
      <c r="I173" s="38">
        <v>1.28183392190184</v>
      </c>
      <c r="J173" s="26">
        <v>0</v>
      </c>
      <c r="K173" s="26">
        <v>8.6900000000000004E-9</v>
      </c>
      <c r="L173" s="26">
        <v>1.1000000000000001E-3</v>
      </c>
      <c r="M173" s="151">
        <f>'Parameters SH, country spec'!K20</f>
        <v>1.1613149284971752E-2</v>
      </c>
      <c r="N173" s="151">
        <f>'Parameters SH, country spec'!K38</f>
        <v>1.1613149284971752E-2</v>
      </c>
      <c r="O173" s="151">
        <f>'Parameters D24m, country spec'!K16</f>
        <v>1.1613149284971752E-2</v>
      </c>
    </row>
    <row r="174" spans="1:19" x14ac:dyDescent="0.3">
      <c r="A174" s="20" t="s">
        <v>235</v>
      </c>
      <c r="B174" s="15" t="s">
        <v>116</v>
      </c>
      <c r="C174" s="15" t="s">
        <v>232</v>
      </c>
      <c r="D174" s="21" t="s">
        <v>57</v>
      </c>
      <c r="E174" s="21" t="s">
        <v>58</v>
      </c>
      <c r="F174" s="19">
        <v>4.24</v>
      </c>
      <c r="G174" s="38">
        <v>1.6E-2</v>
      </c>
      <c r="H174" s="38">
        <v>1.1999999999999999E-3</v>
      </c>
      <c r="I174" s="38">
        <v>0</v>
      </c>
      <c r="J174" s="26">
        <v>0</v>
      </c>
      <c r="K174" s="26">
        <v>8.2800000000000004E-9</v>
      </c>
      <c r="L174" s="26">
        <v>9.68E-4</v>
      </c>
      <c r="M174" s="151">
        <f>'Parameters SH, country spec'!K21</f>
        <v>3.0653721191027461E-3</v>
      </c>
      <c r="N174" s="151">
        <f>'Parameters SH, country spec'!K39</f>
        <v>3.0653721191027461E-3</v>
      </c>
      <c r="O174" s="151">
        <f>'Parameters D24m, country spec'!K17</f>
        <v>3.0653721191027461E-3</v>
      </c>
    </row>
    <row r="175" spans="1:19" x14ac:dyDescent="0.3">
      <c r="A175" s="20" t="s">
        <v>236</v>
      </c>
      <c r="B175" s="15" t="s">
        <v>117</v>
      </c>
      <c r="C175" s="15" t="s">
        <v>232</v>
      </c>
      <c r="D175" s="21" t="s">
        <v>57</v>
      </c>
      <c r="E175" s="21" t="s">
        <v>58</v>
      </c>
      <c r="F175" s="19">
        <v>2.81</v>
      </c>
      <c r="G175" s="38">
        <v>2.4E-2</v>
      </c>
      <c r="H175" s="38">
        <v>2.2000000000000001E-3</v>
      </c>
      <c r="I175" s="38">
        <v>4.7600961702642601E-2</v>
      </c>
      <c r="J175" s="26">
        <v>0.22</v>
      </c>
      <c r="K175" s="26">
        <v>5.4899999999999999E-9</v>
      </c>
      <c r="L175" s="26">
        <v>1.4300000000000001E-3</v>
      </c>
      <c r="M175" s="151">
        <f>'Parameters SH, country spec'!K22</f>
        <v>6.309442770624088E-2</v>
      </c>
      <c r="N175" s="151">
        <f>'Parameters SH, country spec'!K40</f>
        <v>6.309442770624088E-2</v>
      </c>
      <c r="O175" s="151">
        <f>'Parameters D24m, country spec'!K18</f>
        <v>6.309442770624088E-2</v>
      </c>
    </row>
    <row r="176" spans="1:19" x14ac:dyDescent="0.3">
      <c r="A176" s="20" t="s">
        <v>237</v>
      </c>
      <c r="B176" s="15" t="s">
        <v>118</v>
      </c>
      <c r="C176" s="15" t="s">
        <v>238</v>
      </c>
      <c r="D176" s="21" t="s">
        <v>57</v>
      </c>
      <c r="E176" s="21" t="s">
        <v>58</v>
      </c>
      <c r="F176" s="19">
        <v>6.68</v>
      </c>
      <c r="G176" s="38">
        <v>4.2000000000000003E-2</v>
      </c>
      <c r="H176" s="38">
        <v>1.6999999999999999E-3</v>
      </c>
      <c r="I176" s="38">
        <v>9.3072167504476194E-2</v>
      </c>
      <c r="J176" s="26">
        <v>0.49</v>
      </c>
      <c r="K176" s="26">
        <v>1.3000000000000001E-8</v>
      </c>
      <c r="L176" s="26">
        <v>0</v>
      </c>
      <c r="M176" s="151">
        <f>'Parameters SH, country spec'!K23</f>
        <v>2.7198099192756071E-3</v>
      </c>
      <c r="N176" s="151">
        <f>'Parameters SH, country spec'!K41</f>
        <v>2.7198099192756071E-3</v>
      </c>
      <c r="O176" s="151">
        <f>'Parameters D24m, country spec'!K19</f>
        <v>2.7198099192756071E-3</v>
      </c>
    </row>
    <row r="177" spans="1:19" x14ac:dyDescent="0.3">
      <c r="A177" s="20" t="s">
        <v>239</v>
      </c>
      <c r="B177" s="15" t="s">
        <v>119</v>
      </c>
      <c r="C177" s="15" t="s">
        <v>238</v>
      </c>
      <c r="D177" s="21" t="s">
        <v>57</v>
      </c>
      <c r="E177" s="21" t="s">
        <v>58</v>
      </c>
      <c r="F177" s="19">
        <v>7.73</v>
      </c>
      <c r="G177" s="38">
        <v>0.02</v>
      </c>
      <c r="H177" s="38">
        <v>2E-3</v>
      </c>
      <c r="I177" s="38">
        <v>0.14428759821834899</v>
      </c>
      <c r="J177" s="26">
        <v>1.05</v>
      </c>
      <c r="K177" s="26">
        <v>1.51E-8</v>
      </c>
      <c r="L177" s="26">
        <v>6.1400000000000002E-5</v>
      </c>
      <c r="M177" s="151">
        <f>'Parameters SH, country spec'!K24</f>
        <v>2.67174962512282E-3</v>
      </c>
      <c r="N177" s="151">
        <f>'Parameters SH, country spec'!K42</f>
        <v>2.67174962512282E-3</v>
      </c>
      <c r="O177" s="151">
        <f>'Parameters D24m, country spec'!K20</f>
        <v>2.67174962512282E-3</v>
      </c>
    </row>
    <row r="178" spans="1:19" x14ac:dyDescent="0.3">
      <c r="B178" s="16" t="s">
        <v>120</v>
      </c>
      <c r="C178" s="15" t="s">
        <v>240</v>
      </c>
      <c r="D178" s="21" t="s">
        <v>57</v>
      </c>
      <c r="E178" s="21" t="s">
        <v>58</v>
      </c>
      <c r="F178" s="17">
        <f>'Off-farm feed'!$F$88</f>
        <v>1.5397450382845088</v>
      </c>
      <c r="G178" s="18">
        <f>'Off-farm feed'!$G$88</f>
        <v>4.1115595157230206E-2</v>
      </c>
      <c r="H178" s="18">
        <f>'Off-farm feed'!$H$88</f>
        <v>4.4751668198345796E-3</v>
      </c>
      <c r="I178" s="18">
        <f>'Off-farm feed'!$I$88</f>
        <v>2.5747126436781614E-3</v>
      </c>
      <c r="J178" s="27">
        <f>'Off-farm feed'!$J$88</f>
        <v>0.29368572248181501</v>
      </c>
      <c r="K178" s="27">
        <f>'Off-farm feed'!$K$88</f>
        <v>1.777473414827503E-10</v>
      </c>
      <c r="L178" s="27">
        <f>'Off-farm feed'!$L$88</f>
        <v>2.4996062723023757E-3</v>
      </c>
      <c r="M178" s="151">
        <f>'Parameters SH, country spec'!K25</f>
        <v>7.8768273776592904E-3</v>
      </c>
      <c r="N178" s="151">
        <f>'Parameters SH, country spec'!K43</f>
        <v>7.8768273776592904E-3</v>
      </c>
      <c r="O178" s="151">
        <f>'Parameters D24m, country spec'!K21</f>
        <v>7.8768273776592904E-3</v>
      </c>
    </row>
    <row r="179" spans="1:19" x14ac:dyDescent="0.3">
      <c r="B179" s="16" t="s">
        <v>241</v>
      </c>
      <c r="C179" s="15" t="s">
        <v>240</v>
      </c>
      <c r="D179" s="21" t="s">
        <v>57</v>
      </c>
      <c r="E179" s="21" t="s">
        <v>58</v>
      </c>
      <c r="F179" s="17">
        <f>'Off-farm feed'!$F$36</f>
        <v>2.5509164954964132</v>
      </c>
      <c r="G179" s="18">
        <f>'Off-farm feed'!$G$36</f>
        <v>4.2620923125915477E-2</v>
      </c>
      <c r="H179" s="18">
        <f>'Off-farm feed'!$H$36</f>
        <v>3.2959349471355036E-3</v>
      </c>
      <c r="I179" s="18">
        <f>'Off-farm feed'!$I$36</f>
        <v>2.3780487804878048E-3</v>
      </c>
      <c r="J179" s="27">
        <f>'Off-farm feed'!$J$36</f>
        <v>0.25920846302270939</v>
      </c>
      <c r="K179" s="27">
        <f>'Off-farm feed'!$K$36</f>
        <v>6.1197957373175144E-10</v>
      </c>
      <c r="L179" s="27">
        <f>'Off-farm feed'!$L$36</f>
        <v>1.0450321677831981E-4</v>
      </c>
      <c r="M179" s="151">
        <f>'Parameters SH, country spec'!K26</f>
        <v>6.7333865050956468E-2</v>
      </c>
      <c r="N179" s="151">
        <f>'Parameters SH, country spec'!K44</f>
        <v>6.7333865050956468E-2</v>
      </c>
      <c r="O179" s="151">
        <f>'Parameters D24m, country spec'!K22</f>
        <v>6.7333865050956468E-2</v>
      </c>
    </row>
    <row r="180" spans="1:19" x14ac:dyDescent="0.3">
      <c r="B180" s="15" t="s">
        <v>122</v>
      </c>
      <c r="C180" s="15" t="s">
        <v>242</v>
      </c>
      <c r="D180" s="21" t="s">
        <v>57</v>
      </c>
      <c r="E180" s="21" t="s">
        <v>58</v>
      </c>
      <c r="F180" s="97"/>
      <c r="G180" s="98"/>
      <c r="H180" s="98"/>
      <c r="I180" s="97"/>
      <c r="J180" s="105"/>
      <c r="K180" s="105"/>
      <c r="L180" s="105"/>
      <c r="M180" s="151">
        <f>'Parameters SH, country spec'!K27</f>
        <v>6.255642502619195E-2</v>
      </c>
      <c r="N180" s="151">
        <f>'Parameters SH, country spec'!K45</f>
        <v>6.255642502619195E-2</v>
      </c>
      <c r="O180" s="151">
        <f>'Parameters D24m, country spec'!K23</f>
        <v>6.255642502619195E-2</v>
      </c>
    </row>
    <row r="181" spans="1:19" x14ac:dyDescent="0.3">
      <c r="A181" s="75"/>
      <c r="B181" s="15" t="s">
        <v>243</v>
      </c>
      <c r="C181" s="76" t="s">
        <v>244</v>
      </c>
      <c r="D181" s="21" t="s">
        <v>57</v>
      </c>
      <c r="E181" s="21" t="s">
        <v>58</v>
      </c>
      <c r="F181" s="73">
        <f t="shared" ref="F181:L181" si="28">AVERAGE(F171:F179)</f>
        <v>3.7589623926423252</v>
      </c>
      <c r="G181" s="99">
        <f t="shared" si="28"/>
        <v>2.7192946475905075E-2</v>
      </c>
      <c r="H181" s="99">
        <f t="shared" si="28"/>
        <v>3.0412335296633422E-3</v>
      </c>
      <c r="I181" s="99">
        <f t="shared" si="28"/>
        <v>0.22901209176268175</v>
      </c>
      <c r="J181" s="74">
        <f t="shared" si="28"/>
        <v>0.28032157616716941</v>
      </c>
      <c r="K181" s="74">
        <f t="shared" si="28"/>
        <v>6.5366363239127219E-9</v>
      </c>
      <c r="L181" s="74">
        <f t="shared" si="28"/>
        <v>9.5816772100896597E-4</v>
      </c>
      <c r="M181" s="151">
        <f>'Parameters SH, country spec'!K28</f>
        <v>3.220327469601051E-2</v>
      </c>
      <c r="N181" s="151">
        <f>'Parameters SH, country spec'!K46</f>
        <v>3.220327469601051E-2</v>
      </c>
      <c r="O181" s="151">
        <f>'Parameters D24m, country spec'!K24</f>
        <v>3.220327469601051E-2</v>
      </c>
    </row>
    <row r="182" spans="1:19" x14ac:dyDescent="0.3">
      <c r="A182" s="328"/>
      <c r="B182" s="329" t="s">
        <v>616</v>
      </c>
      <c r="C182" s="330"/>
      <c r="D182" s="331"/>
      <c r="E182" s="331"/>
      <c r="F182" s="332">
        <f>SUMPRODUCT(F168:F170,M168:M170)+SUMPRODUCT(F171:F181,M171:M181)/0.87</f>
        <v>1.2080375203721143</v>
      </c>
      <c r="G182" s="333">
        <f>SUMPRODUCT(G168:G170,M168:M170)+SUMPRODUCT(G171:G181,M171:M181)/0.87</f>
        <v>1.9365690287186644E-2</v>
      </c>
      <c r="H182" s="333">
        <f>SUMPRODUCT(H168:H170,M168:M170)+SUMPRODUCT(H171:H181,M171:M181)/0.87</f>
        <v>1.855882601459964E-3</v>
      </c>
      <c r="I182" s="333">
        <f>SUMPRODUCT(I168:I170,M168:M170)+SUMPRODUCT(I171:I181,M171:M181)/0.87</f>
        <v>0.1068262071471421</v>
      </c>
      <c r="J182" s="334">
        <f>SUMPRODUCT(J168:J170,M168:M170)+SUMPRODUCT(J171:J181,M171:M181)/0.87</f>
        <v>7.3160690551045973E-2</v>
      </c>
      <c r="K182" s="334">
        <f>SUMPRODUCT(K168:K170,M168:M170)+SUMPRODUCT(K171:K181,M171:M181)/0.87</f>
        <v>4.6183394441152165E-9</v>
      </c>
      <c r="L182" s="334">
        <f>SUMPRODUCT(L168:L170,M168:M170)+SUMPRODUCT(L171:L181,M171:M181)/0.87</f>
        <v>6.221761131081846E-4</v>
      </c>
      <c r="M182" s="335"/>
      <c r="N182" s="336"/>
      <c r="O182" s="336"/>
      <c r="P182" s="335"/>
    </row>
    <row r="183" spans="1:19" x14ac:dyDescent="0.3">
      <c r="A183" s="150"/>
      <c r="B183" s="23" t="s">
        <v>457</v>
      </c>
      <c r="C183" s="24"/>
      <c r="D183" s="94"/>
      <c r="E183" s="94"/>
      <c r="F183" s="327">
        <f>SUMPRODUCT(F168:F171,N168:N171)+SUMPRODUCT(F172:F182,N172:N182)/0.87</f>
        <v>1.174648748771326</v>
      </c>
      <c r="G183" s="25">
        <f>SUMPRODUCT(G168:G171,N168:N171)+SUMPRODUCT(G172:G182,N172:N182)/0.87</f>
        <v>1.9131968885981124E-2</v>
      </c>
      <c r="H183" s="25">
        <f>SUMPRODUCT(H168:H171,N168:N171)+SUMPRODUCT(H172:H182,N172:N182)/0.87</f>
        <v>1.821380870805816E-3</v>
      </c>
      <c r="I183" s="25">
        <f>SUMPRODUCT(I168:I171,N168:N171)+SUMPRODUCT(I172:I182,N172:N182)/0.87</f>
        <v>0.10589476914728269</v>
      </c>
      <c r="J183" s="28">
        <f>SUMPRODUCT(J168:J171,N168:N171)+SUMPRODUCT(J172:J182,N172:N182)/0.87</f>
        <v>7.1379956065670616E-2</v>
      </c>
      <c r="K183" s="28">
        <f>SUMPRODUCT(K168:K171,N168:N171)+SUMPRODUCT(K172:K182,N172:N182)/0.87</f>
        <v>4.5532313394936792E-9</v>
      </c>
      <c r="L183" s="28">
        <f>SUMPRODUCT(L168:L171,N168:N171)+SUMPRODUCT(L172:L182,N172:N182)/0.87</f>
        <v>6.0826412494118963E-4</v>
      </c>
      <c r="M183" s="152"/>
      <c r="N183" s="152"/>
      <c r="O183" s="454"/>
      <c r="P183" s="152"/>
    </row>
    <row r="184" spans="1:19" x14ac:dyDescent="0.3">
      <c r="A184" s="328"/>
      <c r="B184" s="329" t="s">
        <v>641</v>
      </c>
      <c r="C184" s="330"/>
      <c r="D184" s="331"/>
      <c r="E184" s="331"/>
      <c r="F184" s="332">
        <f>SUMPRODUCT(F168:F170,$O168:$O170)+SUMPRODUCT(F171:F181,$O171:$O181)/0.87</f>
        <v>1.2080375203721143</v>
      </c>
      <c r="G184" s="332">
        <f t="shared" ref="G184:L184" si="29">SUMPRODUCT(G168:G170,$O168:$O170)+SUMPRODUCT(G171:G181,$O171:$O181)/0.87</f>
        <v>1.9365690287186644E-2</v>
      </c>
      <c r="H184" s="332">
        <f t="shared" si="29"/>
        <v>1.855882601459964E-3</v>
      </c>
      <c r="I184" s="332">
        <f t="shared" si="29"/>
        <v>0.1068262071471421</v>
      </c>
      <c r="J184" s="332">
        <f t="shared" si="29"/>
        <v>7.3160690551045973E-2</v>
      </c>
      <c r="K184" s="332">
        <f t="shared" si="29"/>
        <v>4.6183394441152165E-9</v>
      </c>
      <c r="L184" s="332">
        <f t="shared" si="29"/>
        <v>6.221761131081846E-4</v>
      </c>
      <c r="M184" s="332"/>
      <c r="N184" s="332"/>
      <c r="O184" s="456"/>
      <c r="P184" s="332"/>
      <c r="Q184" s="17"/>
      <c r="R184" s="453"/>
      <c r="S184" s="453"/>
    </row>
    <row r="185" spans="1:19" x14ac:dyDescent="0.3">
      <c r="A185" s="150"/>
      <c r="B185" s="23" t="s">
        <v>642</v>
      </c>
      <c r="C185" s="24"/>
      <c r="D185" s="94"/>
      <c r="E185" s="94"/>
      <c r="F185" s="327">
        <f>SUMPRODUCT(F168:F170,$P168:$P170)+SUMPRODUCT(F171:F181,$P171:$P181)/0.87</f>
        <v>0</v>
      </c>
      <c r="G185" s="327">
        <f t="shared" ref="G185:L185" si="30">SUMPRODUCT(G168:G170,$P168:$P170)+SUMPRODUCT(G171:G181,$P171:$P181)/0.87</f>
        <v>0</v>
      </c>
      <c r="H185" s="327">
        <f t="shared" si="30"/>
        <v>0</v>
      </c>
      <c r="I185" s="327">
        <f t="shared" si="30"/>
        <v>0</v>
      </c>
      <c r="J185" s="327">
        <f t="shared" si="30"/>
        <v>0</v>
      </c>
      <c r="K185" s="327">
        <f t="shared" si="30"/>
        <v>0</v>
      </c>
      <c r="L185" s="327">
        <f t="shared" si="30"/>
        <v>0</v>
      </c>
      <c r="M185" s="327"/>
      <c r="N185" s="327"/>
      <c r="O185" s="457"/>
      <c r="P185" s="327"/>
      <c r="Q185" s="17"/>
      <c r="R185" s="453"/>
      <c r="S185" s="453"/>
    </row>
    <row r="186" spans="1:19" x14ac:dyDescent="0.3">
      <c r="B186" s="16" t="s">
        <v>299</v>
      </c>
      <c r="C186" s="15" t="s">
        <v>302</v>
      </c>
      <c r="D186" s="21" t="s">
        <v>59</v>
      </c>
      <c r="E186" s="21" t="s">
        <v>60</v>
      </c>
      <c r="F186" s="110">
        <v>0</v>
      </c>
      <c r="G186" s="318">
        <f>'Forage crops, footprints'!G18</f>
        <v>1.3044946916826707E-2</v>
      </c>
      <c r="H186" s="319">
        <f>'Forage crops, footprints'!H18</f>
        <v>0</v>
      </c>
      <c r="I186" s="318">
        <f>'Forage crops, footprints'!I18</f>
        <v>0</v>
      </c>
      <c r="J186" s="120">
        <f>'Forage crops, footprints'!J18</f>
        <v>0</v>
      </c>
      <c r="K186" s="120">
        <f>'Forage crops, footprints'!K18</f>
        <v>-3.1981697689077777E-10</v>
      </c>
      <c r="L186" s="120">
        <f>'Forage crops, footprints'!L18</f>
        <v>0</v>
      </c>
      <c r="M186" s="151">
        <f>'Parameters SH, country spec'!L15</f>
        <v>0.51738911290322576</v>
      </c>
      <c r="N186" s="151">
        <f>'Parameters SH, country spec'!L33</f>
        <v>0.2708957255649333</v>
      </c>
      <c r="O186" s="151">
        <f>'Parameters D24m, country spec'!L11</f>
        <v>0.35361702127659567</v>
      </c>
      <c r="P186" s="151"/>
    </row>
    <row r="187" spans="1:19" x14ac:dyDescent="0.3">
      <c r="B187" s="16" t="s">
        <v>300</v>
      </c>
      <c r="C187" s="15" t="s">
        <v>302</v>
      </c>
      <c r="D187" s="21" t="s">
        <v>59</v>
      </c>
      <c r="E187" s="21" t="s">
        <v>60</v>
      </c>
      <c r="F187" s="110">
        <f>'Forage crops, footprints'!F35</f>
        <v>0.91421835939926821</v>
      </c>
      <c r="G187" s="318">
        <f>'Forage crops, footprints'!G35</f>
        <v>6.399528515794878E-3</v>
      </c>
      <c r="H187" s="318">
        <f>'Forage crops, footprints'!H35</f>
        <v>5.4853101563956093E-4</v>
      </c>
      <c r="I187" s="318">
        <f>'Forage crops, footprints'!I35</f>
        <v>0</v>
      </c>
      <c r="J187" s="120">
        <f>'Forage crops, footprints'!J35</f>
        <v>9.1421835939926832E-6</v>
      </c>
      <c r="K187" s="120">
        <f>'Forage crops, footprints'!K35</f>
        <v>7.4525395075970689E-12</v>
      </c>
      <c r="L187" s="120">
        <f>'Forage crops, footprints'!L35</f>
        <v>3.8905679357643523E-4</v>
      </c>
      <c r="M187" s="151">
        <f>'Parameters SH, country spec'!L16</f>
        <v>0</v>
      </c>
      <c r="N187" s="151">
        <f>'Parameters SH, country spec'!L34</f>
        <v>0</v>
      </c>
      <c r="O187" s="151">
        <f>'Parameters D24m, country spec'!L12</f>
        <v>0</v>
      </c>
      <c r="P187" s="151"/>
    </row>
    <row r="188" spans="1:19" x14ac:dyDescent="0.3">
      <c r="B188" s="16" t="s">
        <v>301</v>
      </c>
      <c r="C188" s="15" t="s">
        <v>302</v>
      </c>
      <c r="D188" s="21" t="s">
        <v>59</v>
      </c>
      <c r="E188" s="21" t="s">
        <v>60</v>
      </c>
      <c r="F188" s="110">
        <f>'Forage, input data per ha'!$D$88*'Forage crops, footprints'!F52+'Forage, input data per ha'!$E$88*'Forage crops, footprints'!F69</f>
        <v>1.8675635319702042</v>
      </c>
      <c r="G188" s="318">
        <f>'Forage, input data per ha'!$D$88*'Forage crops, footprints'!G52+'Forage, input data per ha'!$E$88*'Forage crops, footprints'!G69</f>
        <v>1.5414535566578789E-2</v>
      </c>
      <c r="H188" s="319">
        <f>'Forage, input data per ha'!$D$88*'Forage crops, footprints'!H52+'Forage, input data per ha'!$E$88*'Forage crops, footprints'!H69</f>
        <v>2.7302838114031687E-4</v>
      </c>
      <c r="I188" s="318">
        <f>'Forage, input data per ha'!$D$88*'Forage crops, footprints'!I52+'Forage, input data per ha'!$E$88*'Forage crops, footprints'!I69</f>
        <v>0</v>
      </c>
      <c r="J188" s="120">
        <f>'Forage, input data per ha'!$D$88*'Forage crops, footprints'!J52+'Forage, input data per ha'!$E$88*'Forage crops, footprints'!J69</f>
        <v>4.4821524767284887E-5</v>
      </c>
      <c r="K188" s="120">
        <f>'Forage, input data per ha'!$D$88*'Forage crops, footprints'!K52+'Forage, input data per ha'!$E$88*'Forage crops, footprints'!K69</f>
        <v>1.2388347720149342E-11</v>
      </c>
      <c r="L188" s="120">
        <f>'Forage, input data per ha'!$D$88*'Forage crops, footprints'!L52+'Forage, input data per ha'!$E$88*'Forage crops, footprints'!L69</f>
        <v>4.2105603975177349E-4</v>
      </c>
      <c r="M188" s="151">
        <f>'Parameters SH, country spec'!L17</f>
        <v>0.48261088709677419</v>
      </c>
      <c r="N188" s="151">
        <f>'Parameters SH, country spec'!L35</f>
        <v>0.72910427443506676</v>
      </c>
      <c r="O188" s="151">
        <f>'Parameters D24m, country spec'!L13</f>
        <v>0.60723404255319147</v>
      </c>
      <c r="P188" s="151"/>
    </row>
    <row r="189" spans="1:19" x14ac:dyDescent="0.3">
      <c r="A189" s="20" t="s">
        <v>231</v>
      </c>
      <c r="B189" s="15" t="s">
        <v>113</v>
      </c>
      <c r="C189" s="15" t="s">
        <v>232</v>
      </c>
      <c r="D189" s="21" t="s">
        <v>59</v>
      </c>
      <c r="E189" s="21" t="s">
        <v>60</v>
      </c>
      <c r="F189" s="22">
        <v>2.1800000000000002</v>
      </c>
      <c r="G189" s="38">
        <v>2.1000000000000001E-2</v>
      </c>
      <c r="H189" s="38">
        <v>1.5E-3</v>
      </c>
      <c r="I189" s="38">
        <v>0</v>
      </c>
      <c r="J189" s="26">
        <v>0.11</v>
      </c>
      <c r="K189" s="26">
        <v>1.7799999999999999E-11</v>
      </c>
      <c r="L189" s="26">
        <v>1.25E-3</v>
      </c>
      <c r="M189" s="151">
        <f>'Parameters SH, country spec'!L18</f>
        <v>0</v>
      </c>
      <c r="N189" s="151">
        <f>'Parameters SH, country spec'!L36</f>
        <v>0</v>
      </c>
      <c r="O189" s="151">
        <f>'Parameters D24m, country spec'!L14</f>
        <v>3.9148936170212763E-2</v>
      </c>
    </row>
    <row r="190" spans="1:19" x14ac:dyDescent="0.3">
      <c r="A190" s="20" t="s">
        <v>233</v>
      </c>
      <c r="B190" s="15" t="s">
        <v>114</v>
      </c>
      <c r="C190" s="15" t="s">
        <v>232</v>
      </c>
      <c r="D190" s="21" t="s">
        <v>59</v>
      </c>
      <c r="E190" s="21" t="s">
        <v>60</v>
      </c>
      <c r="F190" s="19">
        <v>1.51</v>
      </c>
      <c r="G190" s="38">
        <v>0.02</v>
      </c>
      <c r="H190" s="38">
        <v>5.5999999999999999E-3</v>
      </c>
      <c r="I190" s="38">
        <v>0</v>
      </c>
      <c r="J190" s="26">
        <v>0.02</v>
      </c>
      <c r="K190" s="26">
        <v>1.23E-11</v>
      </c>
      <c r="L190" s="26">
        <v>1.2099999999999999E-3</v>
      </c>
      <c r="M190" s="151">
        <f>'Parameters SH, country spec'!L19</f>
        <v>3.1697869732220848E-4</v>
      </c>
      <c r="N190" s="151">
        <f>'Parameters SH, country spec'!L37</f>
        <v>0</v>
      </c>
      <c r="O190" s="151">
        <f>'Parameters D24m, country spec'!L15</f>
        <v>3.1697869732220848E-4</v>
      </c>
    </row>
    <row r="191" spans="1:19" x14ac:dyDescent="0.3">
      <c r="A191" s="20" t="s">
        <v>234</v>
      </c>
      <c r="B191" s="15" t="s">
        <v>115</v>
      </c>
      <c r="C191" s="15" t="s">
        <v>232</v>
      </c>
      <c r="D191" s="21" t="s">
        <v>59</v>
      </c>
      <c r="E191" s="21" t="s">
        <v>60</v>
      </c>
      <c r="F191" s="19">
        <v>2.5499999999999998</v>
      </c>
      <c r="G191" s="38">
        <v>1.7999999999999999E-2</v>
      </c>
      <c r="H191" s="38">
        <v>3.8E-3</v>
      </c>
      <c r="I191" s="38">
        <v>3.2864863213405697E-4</v>
      </c>
      <c r="J191" s="26">
        <v>0.11</v>
      </c>
      <c r="K191" s="26">
        <v>2.0799999999999999E-11</v>
      </c>
      <c r="L191" s="26">
        <v>1.1000000000000001E-3</v>
      </c>
      <c r="M191" s="151">
        <f>'Parameters SH, country spec'!L20</f>
        <v>0</v>
      </c>
      <c r="N191" s="151">
        <f>'Parameters SH, country spec'!L38</f>
        <v>0</v>
      </c>
      <c r="O191" s="151">
        <f>'Parameters D24m, country spec'!L16</f>
        <v>0</v>
      </c>
    </row>
    <row r="192" spans="1:19" x14ac:dyDescent="0.3">
      <c r="A192" s="20" t="s">
        <v>235</v>
      </c>
      <c r="B192" s="15" t="s">
        <v>116</v>
      </c>
      <c r="C192" s="15" t="s">
        <v>232</v>
      </c>
      <c r="D192" s="21" t="s">
        <v>59</v>
      </c>
      <c r="E192" s="21" t="s">
        <v>60</v>
      </c>
      <c r="F192" s="19">
        <v>1.68</v>
      </c>
      <c r="G192" s="38">
        <v>1.6E-2</v>
      </c>
      <c r="H192" s="38">
        <v>1.1999999999999999E-3</v>
      </c>
      <c r="I192" s="38">
        <v>0</v>
      </c>
      <c r="J192" s="26">
        <v>0.16</v>
      </c>
      <c r="K192" s="26">
        <v>1.37E-11</v>
      </c>
      <c r="L192" s="26">
        <v>9.68E-4</v>
      </c>
      <c r="M192" s="151">
        <f>'Parameters SH, country spec'!L21</f>
        <v>4.9002790875207444E-6</v>
      </c>
      <c r="N192" s="151">
        <f>'Parameters SH, country spec'!L39</f>
        <v>0</v>
      </c>
      <c r="O192" s="151">
        <f>'Parameters D24m, country spec'!L17</f>
        <v>4.9002790875207444E-6</v>
      </c>
    </row>
    <row r="193" spans="1:19" x14ac:dyDescent="0.3">
      <c r="A193" s="20" t="s">
        <v>236</v>
      </c>
      <c r="B193" s="15" t="s">
        <v>117</v>
      </c>
      <c r="C193" s="15" t="s">
        <v>232</v>
      </c>
      <c r="D193" s="21" t="s">
        <v>59</v>
      </c>
      <c r="E193" s="21" t="s">
        <v>60</v>
      </c>
      <c r="F193" s="19">
        <v>1.54</v>
      </c>
      <c r="G193" s="38">
        <v>2.4E-2</v>
      </c>
      <c r="H193" s="38">
        <v>2.2000000000000001E-3</v>
      </c>
      <c r="I193" s="38">
        <v>0</v>
      </c>
      <c r="J193" s="26">
        <v>0.11</v>
      </c>
      <c r="K193" s="26">
        <v>1.25E-11</v>
      </c>
      <c r="L193" s="26">
        <v>1.4300000000000001E-3</v>
      </c>
      <c r="M193" s="151">
        <f>'Parameters SH, country spec'!L22</f>
        <v>0</v>
      </c>
      <c r="N193" s="151">
        <f>'Parameters SH, country spec'!L40</f>
        <v>0</v>
      </c>
      <c r="O193" s="151">
        <f>'Parameters D24m, country spec'!L18</f>
        <v>0</v>
      </c>
    </row>
    <row r="194" spans="1:19" x14ac:dyDescent="0.3">
      <c r="A194" s="20" t="s">
        <v>237</v>
      </c>
      <c r="B194" s="15" t="s">
        <v>118</v>
      </c>
      <c r="C194" s="15" t="s">
        <v>238</v>
      </c>
      <c r="D194" s="21" t="s">
        <v>59</v>
      </c>
      <c r="E194" s="21" t="s">
        <v>60</v>
      </c>
      <c r="F194" s="19">
        <v>3.38</v>
      </c>
      <c r="G194" s="38">
        <v>2.1000000000000001E-2</v>
      </c>
      <c r="H194" s="38">
        <v>1.6999999999999999E-3</v>
      </c>
      <c r="I194" s="38">
        <v>0</v>
      </c>
      <c r="J194" s="26">
        <v>0.2</v>
      </c>
      <c r="K194" s="26">
        <v>2.7499999999999999E-11</v>
      </c>
      <c r="L194" s="26">
        <v>0</v>
      </c>
      <c r="M194" s="151">
        <f>'Parameters SH, country spec'!L23</f>
        <v>1.4784950076098704E-3</v>
      </c>
      <c r="N194" s="151">
        <f>'Parameters SH, country spec'!L41</f>
        <v>0</v>
      </c>
      <c r="O194" s="151">
        <f>'Parameters D24m, country spec'!L19</f>
        <v>1.4784950076098704E-3</v>
      </c>
    </row>
    <row r="195" spans="1:19" x14ac:dyDescent="0.3">
      <c r="A195" s="20" t="s">
        <v>239</v>
      </c>
      <c r="B195" s="15" t="s">
        <v>119</v>
      </c>
      <c r="C195" s="15" t="s">
        <v>238</v>
      </c>
      <c r="D195" s="21" t="s">
        <v>59</v>
      </c>
      <c r="E195" s="21" t="s">
        <v>60</v>
      </c>
      <c r="F195" s="19">
        <v>5.05</v>
      </c>
      <c r="G195" s="38">
        <v>1.2999999999999999E-2</v>
      </c>
      <c r="H195" s="38">
        <v>2E-3</v>
      </c>
      <c r="I195" s="38">
        <v>0</v>
      </c>
      <c r="J195" s="26">
        <v>0.31</v>
      </c>
      <c r="K195" s="26">
        <v>4.1199999999999997E-11</v>
      </c>
      <c r="L195" s="26">
        <v>6.1400000000000002E-5</v>
      </c>
      <c r="M195" s="151">
        <f>'Parameters SH, country spec'!L24</f>
        <v>1.4523693197724004E-3</v>
      </c>
      <c r="N195" s="151">
        <f>'Parameters SH, country spec'!L42</f>
        <v>0</v>
      </c>
      <c r="O195" s="151">
        <f>'Parameters D24m, country spec'!L20</f>
        <v>1.4523693197724004E-3</v>
      </c>
    </row>
    <row r="196" spans="1:19" x14ac:dyDescent="0.3">
      <c r="B196" s="16" t="s">
        <v>120</v>
      </c>
      <c r="C196" s="15" t="s">
        <v>240</v>
      </c>
      <c r="D196" s="21" t="s">
        <v>59</v>
      </c>
      <c r="E196" s="21" t="s">
        <v>60</v>
      </c>
      <c r="F196" s="17">
        <f>'Off-farm feed'!$F$88</f>
        <v>1.5397450382845088</v>
      </c>
      <c r="G196" s="18">
        <f>'Off-farm feed'!$G$88</f>
        <v>4.1115595157230206E-2</v>
      </c>
      <c r="H196" s="18">
        <f>'Off-farm feed'!$H$88</f>
        <v>4.4751668198345796E-3</v>
      </c>
      <c r="I196" s="18">
        <f>'Off-farm feed'!$I$88</f>
        <v>2.5747126436781614E-3</v>
      </c>
      <c r="J196" s="27">
        <f>'Off-farm feed'!$J$88</f>
        <v>0.29368572248181501</v>
      </c>
      <c r="K196" s="27">
        <f>'Off-farm feed'!$K$88</f>
        <v>1.777473414827503E-10</v>
      </c>
      <c r="L196" s="27">
        <f>'Off-farm feed'!$L$88</f>
        <v>2.4996062723023757E-3</v>
      </c>
      <c r="M196" s="151">
        <f>'Parameters SH, country spec'!L25</f>
        <v>0</v>
      </c>
      <c r="N196" s="151">
        <f>'Parameters SH, country spec'!L43</f>
        <v>0</v>
      </c>
      <c r="O196" s="151">
        <f>'Parameters D24m, country spec'!L21</f>
        <v>0</v>
      </c>
    </row>
    <row r="197" spans="1:19" x14ac:dyDescent="0.3">
      <c r="B197" s="16" t="s">
        <v>241</v>
      </c>
      <c r="C197" s="15" t="s">
        <v>240</v>
      </c>
      <c r="D197" s="21" t="s">
        <v>59</v>
      </c>
      <c r="E197" s="21" t="s">
        <v>60</v>
      </c>
      <c r="F197" s="17">
        <f>'Off-farm feed'!$F$36</f>
        <v>2.5509164954964132</v>
      </c>
      <c r="G197" s="18">
        <f>'Off-farm feed'!$G$36</f>
        <v>4.2620923125915477E-2</v>
      </c>
      <c r="H197" s="18">
        <f>'Off-farm feed'!$H$36</f>
        <v>3.2959349471355036E-3</v>
      </c>
      <c r="I197" s="18">
        <f>'Off-farm feed'!$I$36</f>
        <v>2.3780487804878048E-3</v>
      </c>
      <c r="J197" s="27">
        <f>'Off-farm feed'!$J$36</f>
        <v>0.25920846302270939</v>
      </c>
      <c r="K197" s="27">
        <f>'Off-farm feed'!$K$36</f>
        <v>6.1197957373175144E-10</v>
      </c>
      <c r="L197" s="27">
        <f>'Off-farm feed'!$L$36</f>
        <v>1.0450321677831981E-4</v>
      </c>
      <c r="M197" s="151">
        <f>'Parameters SH, country spec'!L26</f>
        <v>0</v>
      </c>
      <c r="N197" s="151">
        <f>'Parameters SH, country spec'!L44</f>
        <v>0</v>
      </c>
      <c r="O197" s="151">
        <f>'Parameters D24m, country spec'!L22</f>
        <v>0</v>
      </c>
    </row>
    <row r="198" spans="1:19" x14ac:dyDescent="0.3">
      <c r="B198" s="15" t="s">
        <v>122</v>
      </c>
      <c r="C198" s="15" t="s">
        <v>242</v>
      </c>
      <c r="D198" s="21" t="s">
        <v>59</v>
      </c>
      <c r="E198" s="21" t="s">
        <v>60</v>
      </c>
      <c r="F198" s="97"/>
      <c r="G198" s="98"/>
      <c r="H198" s="98"/>
      <c r="I198" s="97"/>
      <c r="J198" s="105"/>
      <c r="K198" s="105"/>
      <c r="L198" s="105"/>
      <c r="M198" s="151">
        <f>'Parameters SH, country spec'!L27</f>
        <v>0</v>
      </c>
      <c r="N198" s="151">
        <f>'Parameters SH, country spec'!L45</f>
        <v>0</v>
      </c>
      <c r="O198" s="151">
        <f>'Parameters D24m, country spec'!L23</f>
        <v>0</v>
      </c>
    </row>
    <row r="199" spans="1:19" x14ac:dyDescent="0.3">
      <c r="A199" s="75"/>
      <c r="B199" s="15" t="s">
        <v>243</v>
      </c>
      <c r="C199" s="76" t="s">
        <v>244</v>
      </c>
      <c r="D199" s="21" t="s">
        <v>59</v>
      </c>
      <c r="E199" s="21" t="s">
        <v>60</v>
      </c>
      <c r="F199" s="73">
        <f t="shared" ref="F199:L199" si="31">AVERAGE(F189:F197)</f>
        <v>2.4422957259756579</v>
      </c>
      <c r="G199" s="99">
        <f t="shared" si="31"/>
        <v>2.4081835364793965E-2</v>
      </c>
      <c r="H199" s="99">
        <f t="shared" si="31"/>
        <v>2.8634557518855647E-3</v>
      </c>
      <c r="I199" s="99">
        <f t="shared" si="31"/>
        <v>5.868233395888915E-4</v>
      </c>
      <c r="J199" s="74">
        <f t="shared" si="31"/>
        <v>0.17476602061161384</v>
      </c>
      <c r="K199" s="74">
        <f t="shared" si="31"/>
        <v>1.0394743502383353E-10</v>
      </c>
      <c r="L199" s="74">
        <f t="shared" si="31"/>
        <v>9.5816772100896597E-4</v>
      </c>
      <c r="M199" s="151">
        <f>'Parameters SH, country spec'!L28</f>
        <v>0</v>
      </c>
      <c r="N199" s="151">
        <f>'Parameters SH, country spec'!L46</f>
        <v>0</v>
      </c>
      <c r="O199" s="151">
        <f>'Parameters D24m, country spec'!L24</f>
        <v>0</v>
      </c>
    </row>
    <row r="200" spans="1:19" x14ac:dyDescent="0.3">
      <c r="A200" s="328"/>
      <c r="B200" s="329" t="s">
        <v>616</v>
      </c>
      <c r="C200" s="330"/>
      <c r="D200" s="331"/>
      <c r="E200" s="331"/>
      <c r="F200" s="332">
        <f>SUMPRODUCT(F186:F188,M186:M188)+SUMPRODUCT(F189:F199,M189:M199)/0.87</f>
        <v>0.91604057160061647</v>
      </c>
      <c r="G200" s="333">
        <f>SUMPRODUCT(G186:G188,M186:M188)+SUMPRODUCT(G189:G199,M189:M199)/0.87</f>
        <v>1.425330306464225E-2</v>
      </c>
      <c r="H200" s="333">
        <f>SUMPRODUCT(H186:H188,M186:M188)+SUMPRODUCT(H189:H199,M189:M199)/0.87</f>
        <v>1.4004134415850723E-4</v>
      </c>
      <c r="I200" s="333">
        <f>SUMPRODUCT(I186:I188,M186:M188)+SUMPRODUCT(I189:I199,M189:M199)/0.87</f>
        <v>0</v>
      </c>
      <c r="J200" s="334">
        <f>SUMPRODUCT(J186:J188,M186:M188)+SUMPRODUCT(J189:J199,M189:M199)/0.87</f>
        <v>8.8721424002651623E-4</v>
      </c>
      <c r="K200" s="334">
        <f>SUMPRODUCT(K186:K188,M186:M188)+SUMPRODUCT(K189:K199,M189:M199)/0.87</f>
        <v>-1.5937099898721668E-10</v>
      </c>
      <c r="L200" s="334">
        <f>SUMPRODUCT(L186:L188,M186:M188)+SUMPRODUCT(L189:L199,M189:M199)/0.87</f>
        <v>2.0375503710361046E-4</v>
      </c>
      <c r="M200" s="335"/>
      <c r="N200" s="335"/>
      <c r="O200" s="336"/>
      <c r="P200" s="335"/>
    </row>
    <row r="201" spans="1:19" x14ac:dyDescent="0.3">
      <c r="A201" s="150"/>
      <c r="B201" s="23" t="s">
        <v>457</v>
      </c>
      <c r="C201" s="24"/>
      <c r="D201" s="94"/>
      <c r="E201" s="94"/>
      <c r="F201" s="327">
        <f>SUMPRODUCT(F186:F189,N186:N189)+SUMPRODUCT(F190:F200,N190:N200)/0.87</f>
        <v>1.3616485539385264</v>
      </c>
      <c r="G201" s="25">
        <f>SUMPRODUCT(G186:G189,N186:N189)+SUMPRODUCT(G190:G200,N190:N200)/0.87</f>
        <v>1.4772624130013769E-2</v>
      </c>
      <c r="H201" s="25">
        <f>SUMPRODUCT(H186:H189,N186:N189)+SUMPRODUCT(H190:H200,N190:N200)/0.87</f>
        <v>1.9906615973149159E-4</v>
      </c>
      <c r="I201" s="25">
        <f>SUMPRODUCT(I186:I189,N186:N189)+SUMPRODUCT(I190:I200,N190:N200)/0.87</f>
        <v>0</v>
      </c>
      <c r="J201" s="28">
        <f>SUMPRODUCT(J186:J189,N186:N189)+SUMPRODUCT(J190:J200,N190:N200)/0.87</f>
        <v>3.267956529452462E-5</v>
      </c>
      <c r="K201" s="28">
        <f>SUMPRODUCT(K186:K189,N186:N189)+SUMPRODUCT(K190:K200,N190:N200)/0.87</f>
        <v>-7.7604654726861951E-11</v>
      </c>
      <c r="L201" s="28">
        <f>SUMPRODUCT(L186:L189,N186:N189)+SUMPRODUCT(L190:L200,N190:N200)/0.87</f>
        <v>3.0699375835971946E-4</v>
      </c>
      <c r="M201" s="152"/>
      <c r="N201" s="152"/>
      <c r="O201" s="454"/>
      <c r="P201" s="152"/>
    </row>
    <row r="202" spans="1:19" x14ac:dyDescent="0.3">
      <c r="A202" s="328"/>
      <c r="B202" s="329" t="s">
        <v>641</v>
      </c>
      <c r="C202" s="330"/>
      <c r="D202" s="331"/>
      <c r="E202" s="331"/>
      <c r="F202" s="332">
        <f>SUMPRODUCT(F186:F188,$O186:$O188)+SUMPRODUCT(F189:F199,$O189:$O199)/0.87</f>
        <v>1.2468795662816425</v>
      </c>
      <c r="G202" s="332">
        <f t="shared" ref="G202:L202" si="32">SUMPRODUCT(G186:G188,$O186:$O188)+SUMPRODUCT(G189:G199,$O189:$O199)/0.87</f>
        <v>1.4982887206467366E-2</v>
      </c>
      <c r="H202" s="332">
        <f t="shared" si="32"/>
        <v>2.4156516835608256E-4</v>
      </c>
      <c r="I202" s="332">
        <f t="shared" si="32"/>
        <v>0</v>
      </c>
      <c r="J202" s="332">
        <f t="shared" si="32"/>
        <v>5.8426655326609053E-3</v>
      </c>
      <c r="K202" s="332">
        <f t="shared" si="32"/>
        <v>-1.0464905052604493E-10</v>
      </c>
      <c r="L202" s="332">
        <f t="shared" si="32"/>
        <v>3.1247684091038555E-4</v>
      </c>
      <c r="M202" s="332"/>
      <c r="N202" s="332"/>
      <c r="O202" s="456"/>
      <c r="P202" s="332"/>
      <c r="Q202" s="17"/>
      <c r="R202" s="453"/>
      <c r="S202" s="453"/>
    </row>
    <row r="203" spans="1:19" x14ac:dyDescent="0.3">
      <c r="A203" s="150"/>
      <c r="B203" s="23" t="s">
        <v>642</v>
      </c>
      <c r="C203" s="24"/>
      <c r="D203" s="94"/>
      <c r="E203" s="94"/>
      <c r="F203" s="327">
        <f>SUMPRODUCT(F186:F188,$P186:$P188)+SUMPRODUCT(F189:F199,$P189:$P199)/0.87</f>
        <v>0</v>
      </c>
      <c r="G203" s="327">
        <f t="shared" ref="G203:L203" si="33">SUMPRODUCT(G186:G188,$P186:$P188)+SUMPRODUCT(G189:G199,$P189:$P199)/0.87</f>
        <v>0</v>
      </c>
      <c r="H203" s="327">
        <f t="shared" si="33"/>
        <v>0</v>
      </c>
      <c r="I203" s="327">
        <f t="shared" si="33"/>
        <v>0</v>
      </c>
      <c r="J203" s="327">
        <f t="shared" si="33"/>
        <v>0</v>
      </c>
      <c r="K203" s="327">
        <f t="shared" si="33"/>
        <v>0</v>
      </c>
      <c r="L203" s="327">
        <f t="shared" si="33"/>
        <v>0</v>
      </c>
      <c r="M203" s="327"/>
      <c r="N203" s="327"/>
      <c r="O203" s="457"/>
      <c r="P203" s="327"/>
      <c r="Q203" s="17"/>
      <c r="R203" s="453"/>
      <c r="S203" s="453"/>
    </row>
    <row r="204" spans="1:19" x14ac:dyDescent="0.3">
      <c r="B204" s="16" t="s">
        <v>299</v>
      </c>
      <c r="C204" s="15" t="s">
        <v>302</v>
      </c>
      <c r="D204" s="21" t="s">
        <v>556</v>
      </c>
      <c r="E204" s="21" t="s">
        <v>560</v>
      </c>
      <c r="F204" s="110">
        <v>0</v>
      </c>
      <c r="G204" s="110">
        <f>'Forage crops, footprints'!G19</f>
        <v>1.4248888174213353E-2</v>
      </c>
      <c r="H204" s="110">
        <f>'Forage crops, footprints'!H19</f>
        <v>2.3847872238080538E-4</v>
      </c>
      <c r="I204" s="110">
        <f>'Forage crops, footprints'!I19</f>
        <v>0</v>
      </c>
      <c r="J204" s="110">
        <f>'Forage crops, footprints'!J19</f>
        <v>0</v>
      </c>
      <c r="K204" s="110">
        <f>'Forage crops, footprints'!K19</f>
        <v>1.0782534831875403E-10</v>
      </c>
      <c r="L204" s="110">
        <f>'Forage crops, footprints'!L19</f>
        <v>3.5122388625340054E-4</v>
      </c>
      <c r="M204" s="151">
        <f>'Parameters SH, country spec'!M15</f>
        <v>0.74946751429338065</v>
      </c>
      <c r="N204" s="151">
        <f>'Parameters SH, country spec'!L33</f>
        <v>0.2708957255649333</v>
      </c>
      <c r="O204" s="264">
        <f>'Parameters D24m, country spec'!M11</f>
        <v>0.74946751429338065</v>
      </c>
    </row>
    <row r="205" spans="1:19" x14ac:dyDescent="0.3">
      <c r="B205" s="16" t="s">
        <v>300</v>
      </c>
      <c r="C205" s="15" t="s">
        <v>302</v>
      </c>
      <c r="D205" s="21" t="s">
        <v>556</v>
      </c>
      <c r="E205" s="21" t="s">
        <v>560</v>
      </c>
      <c r="F205" s="110">
        <f>'EFP per kg feed'!F38</f>
        <v>0.8788382457321926</v>
      </c>
      <c r="G205" s="110">
        <f>'EFP per kg feed'!G38</f>
        <v>1.3367026899596603E-2</v>
      </c>
      <c r="H205" s="110">
        <f>'EFP per kg feed'!H38</f>
        <v>1.0513666543814294E-3</v>
      </c>
      <c r="I205" s="110">
        <f>'EFP per kg feed'!I38</f>
        <v>8.8723926090581128E-3</v>
      </c>
      <c r="J205" s="110">
        <f>'EFP per kg feed'!J38</f>
        <v>4.903565546308513E-2</v>
      </c>
      <c r="K205" s="110">
        <f>'EFP per kg feed'!K38</f>
        <v>3.9076218507099569E-10</v>
      </c>
      <c r="L205" s="110">
        <f>'EFP per kg feed'!L38</f>
        <v>4.4201480419082137E-4</v>
      </c>
      <c r="M205" s="151">
        <f>'Parameters SH, country spec'!M16</f>
        <v>6.8994040926595557E-2</v>
      </c>
      <c r="N205" s="151">
        <f>'Parameters SH, country spec'!L34</f>
        <v>0</v>
      </c>
      <c r="O205" s="264">
        <f>'Parameters D24m, country spec'!M12</f>
        <v>6.8994040926595557E-2</v>
      </c>
    </row>
    <row r="206" spans="1:19" x14ac:dyDescent="0.3">
      <c r="B206" s="16" t="s">
        <v>301</v>
      </c>
      <c r="C206" s="15" t="s">
        <v>302</v>
      </c>
      <c r="D206" s="21" t="s">
        <v>556</v>
      </c>
      <c r="E206" s="21" t="s">
        <v>560</v>
      </c>
      <c r="F206" s="110">
        <f>'Forage, input data per ha'!$D$89*'Forage crops, footprints'!F53+'Forage, input data per ha'!$E$89*'Forage crops, footprints'!F70</f>
        <v>1.2970560584416255</v>
      </c>
      <c r="G206" s="110">
        <f>'Forage, input data per ha'!$D$89*'Forage crops, footprints'!G53+'Forage, input data per ha'!$E$89*'Forage crops, footprints'!G70</f>
        <v>4.0541993766796673E-2</v>
      </c>
      <c r="H206" s="110">
        <f>'Forage, input data per ha'!$D$89*'Forage crops, footprints'!H53+'Forage, input data per ha'!$E$89*'Forage crops, footprints'!H70</f>
        <v>2.8519324749103334E-3</v>
      </c>
      <c r="I206" s="110">
        <f>'Forage, input data per ha'!$D$89*'Forage crops, footprints'!I53+'Forage, input data per ha'!$E$89*'Forage crops, footprints'!I70</f>
        <v>0</v>
      </c>
      <c r="J206" s="110">
        <f>'Forage, input data per ha'!$D$89*'Forage crops, footprints'!J53+'Forage, input data per ha'!$E$89*'Forage crops, footprints'!J70</f>
        <v>5.420321354130755E-5</v>
      </c>
      <c r="K206" s="110">
        <f>'Forage, input data per ha'!$D$89*'Forage crops, footprints'!K53+'Forage, input data per ha'!$E$89*'Forage crops, footprints'!K70</f>
        <v>6.322289789166101E-11</v>
      </c>
      <c r="L206" s="110">
        <f>'Forage, input data per ha'!$D$89*'Forage crops, footprints'!L53+'Forage, input data per ha'!$E$89*'Forage crops, footprints'!L70</f>
        <v>5.7351816877562223E-5</v>
      </c>
      <c r="M206" s="151">
        <f>'Parameters SH, country spec'!M17</f>
        <v>3.2584598647782959E-3</v>
      </c>
      <c r="N206" s="151">
        <f>'Parameters SH, country spec'!L35</f>
        <v>0.72910427443506676</v>
      </c>
      <c r="O206" s="264">
        <f>'Parameters D24m, country spec'!M13</f>
        <v>3.2584598647782959E-3</v>
      </c>
    </row>
    <row r="207" spans="1:19" x14ac:dyDescent="0.3">
      <c r="A207" s="20" t="s">
        <v>231</v>
      </c>
      <c r="B207" s="15" t="s">
        <v>113</v>
      </c>
      <c r="C207" s="15" t="s">
        <v>232</v>
      </c>
      <c r="D207" s="21" t="s">
        <v>556</v>
      </c>
      <c r="E207" s="21" t="s">
        <v>560</v>
      </c>
      <c r="F207" s="439">
        <f t="shared" ref="F207:F213" si="34">F135</f>
        <v>1.47</v>
      </c>
      <c r="G207" s="98">
        <f t="shared" ref="G207:G213" si="35">G81</f>
        <v>2.1000000000000001E-2</v>
      </c>
      <c r="H207" s="98">
        <f t="shared" ref="H207:L207" si="36">H81</f>
        <v>3.0999999999999999E-3</v>
      </c>
      <c r="I207" s="38">
        <v>0</v>
      </c>
      <c r="J207" s="105">
        <f t="shared" si="36"/>
        <v>0.15</v>
      </c>
      <c r="K207" s="105">
        <f t="shared" si="36"/>
        <v>6.8900000000000002E-11</v>
      </c>
      <c r="L207" s="105">
        <f t="shared" si="36"/>
        <v>1.25E-3</v>
      </c>
      <c r="M207" s="151">
        <f>'Parameters SH, country spec'!M18</f>
        <v>1.3909861729922528E-2</v>
      </c>
      <c r="N207" s="151">
        <f>'Parameters SH, country spec'!L36</f>
        <v>0</v>
      </c>
      <c r="O207" s="264">
        <f>'Parameters D24m, country spec'!M14</f>
        <v>1.3909861729922528E-2</v>
      </c>
      <c r="Q207" s="6" t="s">
        <v>630</v>
      </c>
    </row>
    <row r="208" spans="1:19" x14ac:dyDescent="0.3">
      <c r="A208" s="20" t="s">
        <v>233</v>
      </c>
      <c r="B208" s="15" t="s">
        <v>114</v>
      </c>
      <c r="C208" s="15" t="s">
        <v>232</v>
      </c>
      <c r="D208" s="21" t="s">
        <v>556</v>
      </c>
      <c r="E208" s="21" t="s">
        <v>560</v>
      </c>
      <c r="F208" s="439">
        <f t="shared" si="34"/>
        <v>1.08</v>
      </c>
      <c r="G208" s="98">
        <f t="shared" si="35"/>
        <v>0.02</v>
      </c>
      <c r="H208" s="98">
        <f t="shared" ref="H208:L213" si="37">H82</f>
        <v>5.5999999999999999E-3</v>
      </c>
      <c r="I208" s="19">
        <v>0</v>
      </c>
      <c r="J208" s="105">
        <f t="shared" si="37"/>
        <v>0.13</v>
      </c>
      <c r="K208" s="105">
        <f t="shared" si="37"/>
        <v>5.0199999999999999E-11</v>
      </c>
      <c r="L208" s="105">
        <f t="shared" si="37"/>
        <v>1.2099999999999999E-3</v>
      </c>
      <c r="M208" s="151">
        <f>'Parameters SH, country spec'!M19</f>
        <v>6.5309995773990038E-4</v>
      </c>
      <c r="N208" s="151">
        <f>'Parameters SH, country spec'!L37</f>
        <v>0</v>
      </c>
      <c r="O208" s="264">
        <f>'Parameters D24m, country spec'!M15</f>
        <v>6.5309995773990038E-4</v>
      </c>
    </row>
    <row r="209" spans="1:19" x14ac:dyDescent="0.3">
      <c r="A209" s="20" t="s">
        <v>234</v>
      </c>
      <c r="B209" s="15" t="s">
        <v>115</v>
      </c>
      <c r="C209" s="15" t="s">
        <v>232</v>
      </c>
      <c r="D209" s="21" t="s">
        <v>556</v>
      </c>
      <c r="E209" s="21" t="s">
        <v>560</v>
      </c>
      <c r="F209" s="439">
        <f t="shared" si="34"/>
        <v>1.96</v>
      </c>
      <c r="G209" s="98">
        <f t="shared" si="35"/>
        <v>1.7999999999999999E-2</v>
      </c>
      <c r="H209" s="98">
        <f t="shared" si="37"/>
        <v>3.8E-3</v>
      </c>
      <c r="I209" s="38">
        <v>1.4889164731429301E-5</v>
      </c>
      <c r="J209" s="105">
        <f t="shared" si="37"/>
        <v>0</v>
      </c>
      <c r="K209" s="105">
        <f t="shared" si="37"/>
        <v>1.3200000000000001E-10</v>
      </c>
      <c r="L209" s="105">
        <f t="shared" si="37"/>
        <v>1.1000000000000001E-3</v>
      </c>
      <c r="M209" s="151">
        <f>'Parameters SH, country spec'!M20</f>
        <v>1.5338046639374065E-3</v>
      </c>
      <c r="N209" s="151">
        <f>'Parameters SH, country spec'!L38</f>
        <v>0</v>
      </c>
      <c r="O209" s="264">
        <f>'Parameters D24m, country spec'!M16</f>
        <v>1.5338046639374065E-3</v>
      </c>
    </row>
    <row r="210" spans="1:19" x14ac:dyDescent="0.3">
      <c r="A210" s="20" t="s">
        <v>235</v>
      </c>
      <c r="B210" s="15" t="s">
        <v>116</v>
      </c>
      <c r="C210" s="15" t="s">
        <v>232</v>
      </c>
      <c r="D210" s="21" t="s">
        <v>556</v>
      </c>
      <c r="E210" s="21" t="s">
        <v>560</v>
      </c>
      <c r="F210" s="439">
        <f t="shared" si="34"/>
        <v>2.85</v>
      </c>
      <c r="G210" s="98">
        <f t="shared" si="35"/>
        <v>1.6E-2</v>
      </c>
      <c r="H210" s="98">
        <f t="shared" si="37"/>
        <v>1.1999999999999999E-3</v>
      </c>
      <c r="I210" s="38">
        <v>0</v>
      </c>
      <c r="J210" s="105">
        <f t="shared" si="37"/>
        <v>7.0000000000000007E-2</v>
      </c>
      <c r="K210" s="105">
        <f t="shared" si="37"/>
        <v>1.1399999999999999E-10</v>
      </c>
      <c r="L210" s="105">
        <f t="shared" si="37"/>
        <v>9.68E-4</v>
      </c>
      <c r="M210" s="151">
        <f>'Parameters SH, country spec'!M21</f>
        <v>7.2745448066960375E-5</v>
      </c>
      <c r="N210" s="151">
        <f>'Parameters SH, country spec'!L39</f>
        <v>0</v>
      </c>
      <c r="O210" s="264">
        <f>'Parameters D24m, country spec'!M17</f>
        <v>7.2745448066960375E-5</v>
      </c>
    </row>
    <row r="211" spans="1:19" x14ac:dyDescent="0.3">
      <c r="A211" s="20" t="s">
        <v>236</v>
      </c>
      <c r="B211" s="15" t="s">
        <v>117</v>
      </c>
      <c r="C211" s="15" t="s">
        <v>232</v>
      </c>
      <c r="D211" s="21" t="s">
        <v>556</v>
      </c>
      <c r="E211" s="21" t="s">
        <v>560</v>
      </c>
      <c r="F211" s="439">
        <f t="shared" si="34"/>
        <v>1.1499999999999999</v>
      </c>
      <c r="G211" s="98">
        <f t="shared" si="35"/>
        <v>2.4E-2</v>
      </c>
      <c r="H211" s="98">
        <f t="shared" si="37"/>
        <v>2.2000000000000001E-3</v>
      </c>
      <c r="I211" s="38">
        <v>0</v>
      </c>
      <c r="J211" s="105">
        <f t="shared" si="37"/>
        <v>0.18</v>
      </c>
      <c r="K211" s="105">
        <f t="shared" si="37"/>
        <v>6.9799999999999994E-11</v>
      </c>
      <c r="L211" s="105">
        <f t="shared" si="37"/>
        <v>1.4300000000000001E-3</v>
      </c>
      <c r="M211" s="151">
        <f>'Parameters SH, country spec'!M22</f>
        <v>2.0790459475885831E-2</v>
      </c>
      <c r="N211" s="151">
        <f>'Parameters SH, country spec'!L40</f>
        <v>0</v>
      </c>
      <c r="O211" s="264">
        <f>'Parameters D24m, country spec'!M18</f>
        <v>2.0790459475885831E-2</v>
      </c>
    </row>
    <row r="212" spans="1:19" x14ac:dyDescent="0.3">
      <c r="A212" s="20" t="s">
        <v>237</v>
      </c>
      <c r="B212" s="15" t="s">
        <v>118</v>
      </c>
      <c r="C212" s="15" t="s">
        <v>238</v>
      </c>
      <c r="D212" s="21" t="s">
        <v>556</v>
      </c>
      <c r="E212" s="21" t="s">
        <v>560</v>
      </c>
      <c r="F212" s="439">
        <f t="shared" si="34"/>
        <v>2</v>
      </c>
      <c r="G212" s="98">
        <f t="shared" si="35"/>
        <v>2.7E-2</v>
      </c>
      <c r="H212" s="98">
        <f t="shared" si="37"/>
        <v>1.6999999999999999E-3</v>
      </c>
      <c r="I212" s="38">
        <v>0</v>
      </c>
      <c r="J212" s="105">
        <f t="shared" si="37"/>
        <v>1.01</v>
      </c>
      <c r="K212" s="105">
        <f t="shared" si="37"/>
        <v>1.5999999999999999E-10</v>
      </c>
      <c r="L212" s="105">
        <f t="shared" si="37"/>
        <v>0</v>
      </c>
      <c r="M212" s="151">
        <f>'Parameters SH, country spec'!M23</f>
        <v>6.5340906393272433E-4</v>
      </c>
      <c r="N212" s="151">
        <f>'Parameters SH, country spec'!L41</f>
        <v>0</v>
      </c>
      <c r="O212" s="264">
        <f>'Parameters D24m, country spec'!M19</f>
        <v>6.5340906393272433E-4</v>
      </c>
    </row>
    <row r="213" spans="1:19" x14ac:dyDescent="0.3">
      <c r="A213" s="20" t="s">
        <v>239</v>
      </c>
      <c r="B213" s="15" t="s">
        <v>119</v>
      </c>
      <c r="C213" s="15" t="s">
        <v>238</v>
      </c>
      <c r="D213" s="21" t="s">
        <v>556</v>
      </c>
      <c r="E213" s="21" t="s">
        <v>560</v>
      </c>
      <c r="F213" s="439">
        <f t="shared" si="34"/>
        <v>2</v>
      </c>
      <c r="G213" s="98">
        <f t="shared" si="35"/>
        <v>1.4E-2</v>
      </c>
      <c r="H213" s="98">
        <f t="shared" si="37"/>
        <v>2E-3</v>
      </c>
      <c r="I213" s="337">
        <v>0</v>
      </c>
      <c r="J213" s="105">
        <f t="shared" si="37"/>
        <v>1.01</v>
      </c>
      <c r="K213" s="105">
        <f t="shared" si="37"/>
        <v>2.0000000000000001E-10</v>
      </c>
      <c r="L213" s="105">
        <f t="shared" si="37"/>
        <v>6.1400000000000002E-5</v>
      </c>
      <c r="M213" s="151">
        <f>'Parameters SH, country spec'!M24</f>
        <v>6.4186302502542813E-4</v>
      </c>
      <c r="N213" s="151">
        <f>'Parameters SH, country spec'!L42</f>
        <v>0</v>
      </c>
      <c r="O213" s="264">
        <f>'Parameters D24m, country spec'!M20</f>
        <v>6.4186302502542813E-4</v>
      </c>
    </row>
    <row r="214" spans="1:19" x14ac:dyDescent="0.3">
      <c r="B214" s="16" t="s">
        <v>120</v>
      </c>
      <c r="C214" s="15" t="s">
        <v>240</v>
      </c>
      <c r="D214" s="21" t="s">
        <v>556</v>
      </c>
      <c r="E214" s="21" t="s">
        <v>560</v>
      </c>
      <c r="F214" s="17">
        <f>'Off-farm feed'!$F$88</f>
        <v>1.5397450382845088</v>
      </c>
      <c r="G214" s="18">
        <f>'Off-farm feed'!$G$88</f>
        <v>4.1115595157230206E-2</v>
      </c>
      <c r="H214" s="18">
        <f>'Off-farm feed'!$H$88</f>
        <v>4.4751668198345796E-3</v>
      </c>
      <c r="I214" s="18">
        <f>'Off-farm feed'!$I$88</f>
        <v>2.5747126436781614E-3</v>
      </c>
      <c r="J214" s="27">
        <f>'Off-farm feed'!$J$88</f>
        <v>0.29368572248181501</v>
      </c>
      <c r="K214" s="27">
        <f>'Off-farm feed'!$K$88</f>
        <v>1.777473414827503E-10</v>
      </c>
      <c r="L214" s="27">
        <f>'Off-farm feed'!$L$88</f>
        <v>2.4996062723023757E-3</v>
      </c>
      <c r="M214" s="151">
        <f>'Parameters SH, country spec'!M25</f>
        <v>1.0151950508744787E-2</v>
      </c>
      <c r="N214" s="151">
        <f>'Parameters SH, country spec'!L43</f>
        <v>0</v>
      </c>
      <c r="O214" s="264">
        <f>'Parameters D24m, country spec'!M21</f>
        <v>1.0151950508744787E-2</v>
      </c>
    </row>
    <row r="215" spans="1:19" x14ac:dyDescent="0.3">
      <c r="B215" s="16" t="s">
        <v>241</v>
      </c>
      <c r="C215" s="15" t="s">
        <v>240</v>
      </c>
      <c r="D215" s="21" t="s">
        <v>556</v>
      </c>
      <c r="E215" s="21" t="s">
        <v>560</v>
      </c>
      <c r="F215" s="17">
        <f>'Off-farm feed'!$F$36</f>
        <v>2.5509164954964132</v>
      </c>
      <c r="G215" s="18">
        <f>'Off-farm feed'!$G$36</f>
        <v>4.2620923125915477E-2</v>
      </c>
      <c r="H215" s="18">
        <f>'Off-farm feed'!$H$36</f>
        <v>3.2959349471355036E-3</v>
      </c>
      <c r="I215" s="18">
        <f>'Off-farm feed'!$I$36</f>
        <v>2.3780487804878048E-3</v>
      </c>
      <c r="J215" s="27">
        <f>'Off-farm feed'!$J$36</f>
        <v>0.25920846302270939</v>
      </c>
      <c r="K215" s="27">
        <f>'Off-farm feed'!$K$36</f>
        <v>6.1197957373175144E-10</v>
      </c>
      <c r="L215" s="27">
        <f>'Off-farm feed'!$L$36</f>
        <v>1.0450321677831981E-4</v>
      </c>
      <c r="M215" s="151">
        <f>'Parameters SH, country spec'!M26</f>
        <v>1.9990823703774308E-2</v>
      </c>
      <c r="N215" s="151">
        <f>'Parameters SH, country spec'!L44</f>
        <v>0</v>
      </c>
      <c r="O215" s="264">
        <f>'Parameters D24m, country spec'!M22</f>
        <v>1.9990823703774308E-2</v>
      </c>
    </row>
    <row r="216" spans="1:19" x14ac:dyDescent="0.3">
      <c r="B216" s="15" t="s">
        <v>122</v>
      </c>
      <c r="C216" s="15" t="s">
        <v>242</v>
      </c>
      <c r="D216" s="21" t="s">
        <v>556</v>
      </c>
      <c r="E216" s="21" t="s">
        <v>560</v>
      </c>
      <c r="F216" s="97"/>
      <c r="G216" s="98"/>
      <c r="H216" s="98"/>
      <c r="I216" s="97"/>
      <c r="J216" s="105"/>
      <c r="K216" s="105"/>
      <c r="L216" s="105"/>
      <c r="M216" s="151">
        <f>'Parameters SH, country spec'!M27</f>
        <v>8.0060070909469844E-2</v>
      </c>
      <c r="N216" s="151">
        <f>'Parameters SH, country spec'!L45</f>
        <v>0</v>
      </c>
      <c r="O216" s="264">
        <f>'Parameters D24m, country spec'!M23</f>
        <v>8.0060070909469844E-2</v>
      </c>
    </row>
    <row r="217" spans="1:19" x14ac:dyDescent="0.3">
      <c r="A217" s="75"/>
      <c r="B217" s="15" t="s">
        <v>243</v>
      </c>
      <c r="C217" s="76" t="s">
        <v>244</v>
      </c>
      <c r="D217" s="21" t="s">
        <v>556</v>
      </c>
      <c r="E217" s="21" t="s">
        <v>560</v>
      </c>
      <c r="F217" s="73">
        <f>AVERAGE(F207:F215)</f>
        <v>1.8445179481978802</v>
      </c>
      <c r="G217" s="99">
        <f t="shared" ref="G217:L217" si="38">AVERAGE(G207:G215)</f>
        <v>2.4859613142571745E-2</v>
      </c>
      <c r="H217" s="99">
        <f t="shared" si="38"/>
        <v>3.0412335296633422E-3</v>
      </c>
      <c r="I217" s="99">
        <f t="shared" si="38"/>
        <v>5.5196117654415496E-4</v>
      </c>
      <c r="J217" s="74">
        <f t="shared" si="38"/>
        <v>0.34476602061161377</v>
      </c>
      <c r="K217" s="74">
        <f t="shared" si="38"/>
        <v>1.7606965724605575E-10</v>
      </c>
      <c r="L217" s="74">
        <f t="shared" si="38"/>
        <v>9.5816772100896597E-4</v>
      </c>
      <c r="M217" s="151">
        <f>'Parameters SH, country spec'!M28</f>
        <v>2.9821896428745772E-2</v>
      </c>
      <c r="N217" s="151">
        <f>'Parameters SH, country spec'!L46</f>
        <v>0</v>
      </c>
      <c r="O217" s="264">
        <f>'Parameters D24m, country spec'!M24</f>
        <v>2.9821896428745772E-2</v>
      </c>
    </row>
    <row r="218" spans="1:19" x14ac:dyDescent="0.3">
      <c r="A218" s="328"/>
      <c r="B218" s="329" t="s">
        <v>616</v>
      </c>
      <c r="C218" s="330"/>
      <c r="D218" s="331"/>
      <c r="E218" s="331"/>
      <c r="F218" s="332">
        <f>SUMPRODUCT(F204:F206,M204:M206)+SUMPRODUCT(F207:F217,M207:M217)/0.87</f>
        <v>0.26313613289032056</v>
      </c>
      <c r="G218" s="333">
        <f>SUMPRODUCT(G204:G206,M204:M206)+SUMPRODUCT(G207:G217,M207:M217)/0.87</f>
        <v>1.5032661010122255E-2</v>
      </c>
      <c r="H218" s="333">
        <f>SUMPRODUCT(H204:H206,M204:M206)+SUMPRODUCT(H207:H217,M207:M217)/0.87</f>
        <v>6.0865804684322546E-4</v>
      </c>
      <c r="I218" s="333">
        <f>SUMPRODUCT(I204:I206,M204:M206)+SUMPRODUCT(I207:I217,M207:M217)/0.87</f>
        <v>7.1577540886947017E-4</v>
      </c>
      <c r="J218" s="334">
        <f>SUMPRODUCT(J204:J206,M204:M206)+SUMPRODUCT(J207:J217,M207:M217)/0.87</f>
        <v>3.28911976460858E-2</v>
      </c>
      <c r="K218" s="334">
        <f>SUMPRODUCT(K204:K206,M204:M206)+SUMPRODUCT(K207:K217,M207:M217)/0.87</f>
        <v>1.3346661607413174E-10</v>
      </c>
      <c r="L218" s="334">
        <f>SUMPRODUCT(L204:L206,M204:M206)+SUMPRODUCT(L207:L217,M207:M217)/0.87</f>
        <v>4.1545934455032259E-4</v>
      </c>
      <c r="M218" s="335"/>
      <c r="N218" s="335"/>
      <c r="O218" s="336"/>
      <c r="P218" s="335"/>
    </row>
    <row r="219" spans="1:19" x14ac:dyDescent="0.3">
      <c r="A219" s="150"/>
      <c r="B219" s="23" t="s">
        <v>457</v>
      </c>
      <c r="C219" s="24"/>
      <c r="D219" s="94"/>
      <c r="E219" s="94"/>
      <c r="F219" s="327">
        <f>SUMPRODUCT(F204:F207,N204:N207)+SUMPRODUCT(F208:F218,N208:N218)/0.87</f>
        <v>0.94568911639168896</v>
      </c>
      <c r="G219" s="25">
        <f>SUMPRODUCT(G204:G207,N204:N207)+SUMPRODUCT(G208:G218,N208:N218)/0.87</f>
        <v>3.3419303849938409E-2</v>
      </c>
      <c r="H219" s="25">
        <f>SUMPRODUCT(H204:H207,N204:N207)+SUMPRODUCT(H208:H218,N208:N218)/0.87</f>
        <v>2.1439590243884496E-3</v>
      </c>
      <c r="I219" s="25">
        <f>SUMPRODUCT(I204:I207,N204:N207)+SUMPRODUCT(I208:I218,N208:N218)/0.87</f>
        <v>0</v>
      </c>
      <c r="J219" s="28">
        <f>SUMPRODUCT(J204:J207,N204:N207)+SUMPRODUCT(J208:J218,N208:N218)/0.87</f>
        <v>3.9519794681084025E-5</v>
      </c>
      <c r="K219" s="28">
        <f>SUMPRODUCT(K204:K207,N204:N207)+SUMPRODUCT(K208:K218,N208:N218)/0.87</f>
        <v>7.5305511062082344E-11</v>
      </c>
      <c r="L219" s="28">
        <f>SUMPRODUCT(L204:L207,N204:N207)+SUMPRODUCT(L208:L218,N208:N218)/0.87</f>
        <v>1.3696050433439837E-4</v>
      </c>
      <c r="M219" s="152"/>
      <c r="N219" s="152"/>
      <c r="O219" s="454"/>
      <c r="P219" s="152"/>
    </row>
    <row r="220" spans="1:19" x14ac:dyDescent="0.3">
      <c r="A220" s="328"/>
      <c r="B220" s="329" t="s">
        <v>641</v>
      </c>
      <c r="C220" s="330"/>
      <c r="D220" s="331"/>
      <c r="E220" s="331"/>
      <c r="F220" s="332">
        <f>SUMPRODUCT(F204:F206,$O204:$O206)+SUMPRODUCT(F207:F217,$O207:$O217)/0.87</f>
        <v>0.26313613289032056</v>
      </c>
      <c r="G220" s="332">
        <f t="shared" ref="G220:L220" si="39">SUMPRODUCT(G204:G206,$O204:$O206)+SUMPRODUCT(G207:G217,$O207:$O217)/0.87</f>
        <v>1.5032661010122255E-2</v>
      </c>
      <c r="H220" s="332">
        <f t="shared" si="39"/>
        <v>6.0865804684322546E-4</v>
      </c>
      <c r="I220" s="332">
        <f t="shared" si="39"/>
        <v>7.1577540886947017E-4</v>
      </c>
      <c r="J220" s="332">
        <f t="shared" si="39"/>
        <v>3.28911976460858E-2</v>
      </c>
      <c r="K220" s="332">
        <f t="shared" si="39"/>
        <v>1.3346661607413174E-10</v>
      </c>
      <c r="L220" s="332">
        <f t="shared" si="39"/>
        <v>4.1545934455032259E-4</v>
      </c>
      <c r="M220" s="332"/>
      <c r="N220" s="332"/>
      <c r="O220" s="456"/>
      <c r="P220" s="332"/>
      <c r="Q220" s="17"/>
      <c r="R220" s="453"/>
      <c r="S220" s="453"/>
    </row>
    <row r="221" spans="1:19" x14ac:dyDescent="0.3">
      <c r="A221" s="150"/>
      <c r="B221" s="23" t="s">
        <v>642</v>
      </c>
      <c r="C221" s="24"/>
      <c r="D221" s="94"/>
      <c r="E221" s="94"/>
      <c r="F221" s="327">
        <f>SUMPRODUCT(F204:F206,$P204:$P206)+SUMPRODUCT(F207:F217,$P207:$P217)/0.87</f>
        <v>0</v>
      </c>
      <c r="G221" s="327">
        <f t="shared" ref="G221:L221" si="40">SUMPRODUCT(G204:G206,$P204:$P206)+SUMPRODUCT(G207:G217,$P207:$P217)/0.87</f>
        <v>0</v>
      </c>
      <c r="H221" s="327">
        <f t="shared" si="40"/>
        <v>0</v>
      </c>
      <c r="I221" s="327">
        <f t="shared" si="40"/>
        <v>0</v>
      </c>
      <c r="J221" s="327">
        <f t="shared" si="40"/>
        <v>0</v>
      </c>
      <c r="K221" s="327">
        <f t="shared" si="40"/>
        <v>0</v>
      </c>
      <c r="L221" s="327">
        <f t="shared" si="40"/>
        <v>0</v>
      </c>
      <c r="M221" s="327"/>
      <c r="N221" s="327"/>
      <c r="O221" s="457"/>
      <c r="P221" s="327"/>
      <c r="Q221" s="17"/>
      <c r="R221" s="453"/>
      <c r="S221" s="453"/>
    </row>
  </sheetData>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G41"/>
  <sheetViews>
    <sheetView zoomScale="80" zoomScaleNormal="80" workbookViewId="0">
      <selection activeCell="A25" sqref="A25"/>
    </sheetView>
  </sheetViews>
  <sheetFormatPr defaultColWidth="8.6640625" defaultRowHeight="14.4" x14ac:dyDescent="0.3"/>
  <cols>
    <col min="1" max="1" width="46.33203125" customWidth="1"/>
    <col min="2" max="2" width="22.33203125" customWidth="1"/>
    <col min="3" max="3" width="21.6640625" customWidth="1"/>
    <col min="4" max="4" width="14.6640625" customWidth="1"/>
    <col min="5" max="5" width="26.33203125" customWidth="1"/>
  </cols>
  <sheetData>
    <row r="2" spans="1:6" ht="21" x14ac:dyDescent="0.4">
      <c r="A2" s="2" t="s">
        <v>459</v>
      </c>
    </row>
    <row r="4" spans="1:6" x14ac:dyDescent="0.3">
      <c r="A4" s="109" t="s">
        <v>250</v>
      </c>
      <c r="B4" s="161" t="s">
        <v>251</v>
      </c>
      <c r="C4" s="161" t="s">
        <v>252</v>
      </c>
      <c r="D4" s="161" t="s">
        <v>253</v>
      </c>
      <c r="E4" s="161" t="s">
        <v>470</v>
      </c>
      <c r="F4" s="109" t="s">
        <v>125</v>
      </c>
    </row>
    <row r="5" spans="1:6" x14ac:dyDescent="0.3">
      <c r="A5" s="3" t="s">
        <v>471</v>
      </c>
      <c r="B5" s="4">
        <v>0.29001600000000005</v>
      </c>
      <c r="C5" s="42">
        <v>1.1016000000000002E-4</v>
      </c>
      <c r="D5" s="42">
        <v>1.0269360000000001E-5</v>
      </c>
      <c r="E5" s="88"/>
      <c r="F5" s="88" t="s">
        <v>254</v>
      </c>
    </row>
    <row r="6" spans="1:6" x14ac:dyDescent="0.3">
      <c r="A6" s="3" t="s">
        <v>472</v>
      </c>
      <c r="B6" s="4">
        <v>9.6299999999999997E-3</v>
      </c>
      <c r="C6" s="42">
        <v>3.6659999999999876E-5</v>
      </c>
      <c r="D6" s="42">
        <v>1.5257999999999987E-5</v>
      </c>
      <c r="E6" s="88"/>
      <c r="F6" s="88" t="s">
        <v>255</v>
      </c>
    </row>
    <row r="7" spans="1:6" x14ac:dyDescent="0.3">
      <c r="A7" s="3" t="s">
        <v>473</v>
      </c>
      <c r="B7" s="4">
        <f>0.07592*3.6</f>
        <v>0.273312</v>
      </c>
      <c r="C7" s="42">
        <f>0.00003363*3.6</f>
        <v>1.2106800000000001E-4</v>
      </c>
      <c r="D7" s="42">
        <f>0.00000204*3.6</f>
        <v>7.3440000000000003E-6</v>
      </c>
      <c r="E7" s="10">
        <f>35.2/3.6</f>
        <v>9.7777777777777786</v>
      </c>
      <c r="F7" s="88" t="s">
        <v>254</v>
      </c>
    </row>
    <row r="9" spans="1:6" x14ac:dyDescent="0.3">
      <c r="A9" s="109" t="s">
        <v>466</v>
      </c>
      <c r="B9" s="161" t="s">
        <v>463</v>
      </c>
      <c r="C9" s="161" t="s">
        <v>464</v>
      </c>
      <c r="D9" s="161" t="s">
        <v>465</v>
      </c>
      <c r="E9" s="109"/>
      <c r="F9" s="109" t="s">
        <v>125</v>
      </c>
    </row>
    <row r="10" spans="1:6" x14ac:dyDescent="0.3">
      <c r="A10" t="s">
        <v>224</v>
      </c>
      <c r="B10">
        <v>2.7E-2</v>
      </c>
      <c r="C10">
        <v>9.5000000000000005E-5</v>
      </c>
      <c r="D10">
        <v>1.1000000000000001E-6</v>
      </c>
      <c r="F10" s="88" t="s">
        <v>467</v>
      </c>
    </row>
    <row r="12" spans="1:6" x14ac:dyDescent="0.3">
      <c r="A12" s="109" t="s">
        <v>250</v>
      </c>
      <c r="B12" s="161" t="s">
        <v>256</v>
      </c>
      <c r="C12" s="161" t="s">
        <v>257</v>
      </c>
      <c r="D12" s="161" t="s">
        <v>258</v>
      </c>
      <c r="E12" s="109"/>
      <c r="F12" s="109" t="s">
        <v>125</v>
      </c>
    </row>
    <row r="13" spans="1:6" x14ac:dyDescent="0.3">
      <c r="A13" s="3" t="s">
        <v>259</v>
      </c>
      <c r="B13" s="110">
        <v>2.2999999999999998</v>
      </c>
      <c r="C13" s="111">
        <v>0</v>
      </c>
      <c r="D13" s="111">
        <v>4.3624161073825508E-3</v>
      </c>
      <c r="F13" s="116" t="s">
        <v>260</v>
      </c>
    </row>
    <row r="14" spans="1:6" x14ac:dyDescent="0.3">
      <c r="A14" s="3" t="s">
        <v>261</v>
      </c>
      <c r="B14" s="112">
        <v>4.3928213588059704</v>
      </c>
      <c r="C14" s="111">
        <v>9.8666566537313431E-3</v>
      </c>
      <c r="D14" s="111">
        <v>9.948031617910448E-3</v>
      </c>
      <c r="F14" s="117" t="s">
        <v>262</v>
      </c>
    </row>
    <row r="16" spans="1:6" x14ac:dyDescent="0.3">
      <c r="A16" s="109" t="s">
        <v>482</v>
      </c>
      <c r="B16" s="161" t="s">
        <v>479</v>
      </c>
      <c r="C16" s="161" t="s">
        <v>480</v>
      </c>
      <c r="D16" s="161" t="s">
        <v>481</v>
      </c>
      <c r="E16" s="109"/>
      <c r="F16" s="109" t="s">
        <v>125</v>
      </c>
    </row>
    <row r="17" spans="1:6" x14ac:dyDescent="0.3">
      <c r="A17" s="3" t="s">
        <v>490</v>
      </c>
      <c r="B17" s="42">
        <v>7.5028151531290013E-2</v>
      </c>
      <c r="C17" s="42">
        <v>2.5092882000000001E-4</v>
      </c>
      <c r="D17" s="42">
        <v>3.0881530559999995E-6</v>
      </c>
      <c r="F17" s="88" t="s">
        <v>489</v>
      </c>
    </row>
    <row r="18" spans="1:6" x14ac:dyDescent="0.3">
      <c r="B18" s="42"/>
      <c r="C18" s="42"/>
      <c r="D18" s="42"/>
    </row>
    <row r="19" spans="1:6" x14ac:dyDescent="0.3">
      <c r="A19" s="109" t="s">
        <v>484</v>
      </c>
      <c r="B19" s="353" t="s">
        <v>486</v>
      </c>
      <c r="C19" s="353" t="s">
        <v>485</v>
      </c>
      <c r="D19" s="353" t="s">
        <v>487</v>
      </c>
      <c r="E19" s="109"/>
      <c r="F19" s="109" t="s">
        <v>125</v>
      </c>
    </row>
    <row r="20" spans="1:6" x14ac:dyDescent="0.3">
      <c r="A20" s="3" t="s">
        <v>488</v>
      </c>
      <c r="B20" s="42">
        <f>46.7/1000</f>
        <v>4.6700000000000005E-2</v>
      </c>
      <c r="C20" s="42">
        <f>0.708/1000</f>
        <v>7.0799999999999997E-4</v>
      </c>
      <c r="D20" s="42">
        <f>0.0681/1000</f>
        <v>6.8099999999999988E-5</v>
      </c>
      <c r="F20" s="88" t="s">
        <v>483</v>
      </c>
    </row>
    <row r="21" spans="1:6" x14ac:dyDescent="0.3">
      <c r="A21" s="88"/>
    </row>
    <row r="22" spans="1:6" x14ac:dyDescent="0.3">
      <c r="A22" s="109" t="s">
        <v>263</v>
      </c>
      <c r="B22" s="109"/>
    </row>
    <row r="23" spans="1:6" x14ac:dyDescent="0.3">
      <c r="A23" s="83" t="s">
        <v>91</v>
      </c>
      <c r="B23" s="113">
        <v>1</v>
      </c>
      <c r="C23" s="113"/>
    </row>
    <row r="24" spans="1:6" x14ac:dyDescent="0.3">
      <c r="A24" s="3" t="s">
        <v>92</v>
      </c>
      <c r="B24" s="114">
        <v>29.8</v>
      </c>
      <c r="C24" s="114"/>
    </row>
    <row r="25" spans="1:6" x14ac:dyDescent="0.3">
      <c r="A25" s="3" t="s">
        <v>93</v>
      </c>
      <c r="B25" s="114">
        <v>27</v>
      </c>
      <c r="C25" s="113"/>
    </row>
    <row r="26" spans="1:6" x14ac:dyDescent="0.3">
      <c r="A26" s="3" t="s">
        <v>94</v>
      </c>
      <c r="B26" s="115">
        <v>273</v>
      </c>
      <c r="C26" s="115"/>
    </row>
    <row r="28" spans="1:6" ht="15.6" x14ac:dyDescent="0.3">
      <c r="A28" s="315" t="s">
        <v>444</v>
      </c>
      <c r="B28" s="316"/>
    </row>
    <row r="29" spans="1:6" x14ac:dyDescent="0.3">
      <c r="A29" s="86" t="s">
        <v>445</v>
      </c>
      <c r="B29" s="340">
        <v>352323</v>
      </c>
    </row>
    <row r="31" spans="1:6" x14ac:dyDescent="0.3">
      <c r="A31" s="317" t="s">
        <v>446</v>
      </c>
      <c r="B31" s="317"/>
    </row>
    <row r="32" spans="1:6" x14ac:dyDescent="0.3">
      <c r="A32" s="86" t="s">
        <v>447</v>
      </c>
      <c r="B32" s="341">
        <v>0.05</v>
      </c>
    </row>
    <row r="33" spans="1:7" x14ac:dyDescent="0.3">
      <c r="A33" s="86" t="s">
        <v>448</v>
      </c>
      <c r="B33" s="341">
        <f>(3*1.008+14.007)/14.007</f>
        <v>1.2158920539730134</v>
      </c>
    </row>
    <row r="34" spans="1:7" x14ac:dyDescent="0.3">
      <c r="A34" s="342" t="s">
        <v>449</v>
      </c>
      <c r="B34" s="86"/>
    </row>
    <row r="36" spans="1:7" ht="15.6" x14ac:dyDescent="0.3">
      <c r="A36" s="315" t="s">
        <v>460</v>
      </c>
      <c r="B36" s="316"/>
      <c r="F36" t="s">
        <v>125</v>
      </c>
      <c r="G36" t="s">
        <v>507</v>
      </c>
    </row>
    <row r="37" spans="1:7" x14ac:dyDescent="0.3">
      <c r="A37" s="86" t="s">
        <v>462</v>
      </c>
      <c r="B37" s="341">
        <v>0.86</v>
      </c>
      <c r="C37" s="6"/>
      <c r="F37" t="s">
        <v>508</v>
      </c>
    </row>
    <row r="38" spans="1:7" x14ac:dyDescent="0.3">
      <c r="A38" s="3" t="s">
        <v>461</v>
      </c>
      <c r="B38" s="264">
        <v>0.11</v>
      </c>
      <c r="F38" t="s">
        <v>509</v>
      </c>
    </row>
    <row r="39" spans="1:7" x14ac:dyDescent="0.3">
      <c r="A39" s="3" t="s">
        <v>296</v>
      </c>
      <c r="B39" s="264">
        <v>2.80794782811753E-2</v>
      </c>
      <c r="F39" t="s">
        <v>508</v>
      </c>
    </row>
    <row r="40" spans="1:7" x14ac:dyDescent="0.3">
      <c r="B40" s="343"/>
    </row>
    <row r="41" spans="1:7" x14ac:dyDescent="0.3">
      <c r="F41" t="s">
        <v>510</v>
      </c>
    </row>
  </sheetData>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1EFB3-E760-4B2A-A058-582DA4CFA4FF}">
  <dimension ref="A2:S262"/>
  <sheetViews>
    <sheetView topLeftCell="A244" zoomScale="80" zoomScaleNormal="80" workbookViewId="0">
      <selection activeCell="F63" sqref="F63"/>
    </sheetView>
  </sheetViews>
  <sheetFormatPr defaultColWidth="8.6640625" defaultRowHeight="14.4" x14ac:dyDescent="0.3"/>
  <cols>
    <col min="1" max="1" width="15.33203125" customWidth="1"/>
    <col min="2" max="2" width="18.33203125" customWidth="1"/>
    <col min="3" max="3" width="12.44140625" customWidth="1"/>
    <col min="4" max="4" width="16.6640625" customWidth="1"/>
    <col min="5" max="5" width="12.33203125" customWidth="1"/>
    <col min="6" max="7" width="14.6640625" customWidth="1"/>
    <col min="8" max="8" width="11.33203125" customWidth="1"/>
    <col min="9" max="9" width="12.33203125" customWidth="1"/>
    <col min="10" max="10" width="14.33203125" customWidth="1"/>
    <col min="11" max="11" width="12" customWidth="1"/>
    <col min="12" max="12" width="14.6640625" customWidth="1"/>
    <col min="13" max="13" width="14.33203125" customWidth="1"/>
    <col min="14" max="14" width="15" customWidth="1"/>
    <col min="15" max="15" width="15.44140625" customWidth="1"/>
    <col min="16" max="16" width="15" customWidth="1"/>
    <col min="17" max="17" width="17.6640625" customWidth="1"/>
    <col min="18" max="18" width="24.6640625" customWidth="1"/>
    <col min="20" max="24" width="10.6640625" customWidth="1"/>
    <col min="25" max="25" width="13.6640625" customWidth="1"/>
    <col min="36" max="36" width="30.44140625" customWidth="1"/>
    <col min="37" max="37" width="32.44140625" customWidth="1"/>
  </cols>
  <sheetData>
    <row r="2" spans="1:19" ht="21" x14ac:dyDescent="0.4">
      <c r="A2" s="2" t="s">
        <v>491</v>
      </c>
    </row>
    <row r="4" spans="1:19" ht="18" x14ac:dyDescent="0.35">
      <c r="A4" s="265" t="s">
        <v>299</v>
      </c>
      <c r="B4" s="109"/>
      <c r="C4" s="109"/>
      <c r="D4" s="109"/>
      <c r="E4" s="109"/>
      <c r="F4" s="109"/>
      <c r="G4" s="109"/>
      <c r="H4" s="109"/>
      <c r="I4" s="109"/>
      <c r="J4" s="109"/>
      <c r="K4" s="109"/>
      <c r="L4" s="109"/>
      <c r="M4" s="109"/>
      <c r="N4" s="109"/>
      <c r="O4" s="109"/>
      <c r="P4" s="109"/>
    </row>
    <row r="6" spans="1:19" x14ac:dyDescent="0.3">
      <c r="A6" s="266" t="s">
        <v>224</v>
      </c>
      <c r="B6" s="267"/>
      <c r="C6" s="267"/>
      <c r="D6" s="267"/>
      <c r="E6" s="268" t="s">
        <v>65</v>
      </c>
      <c r="F6" s="268" t="s">
        <v>66</v>
      </c>
      <c r="G6" s="269"/>
      <c r="H6" s="268" t="s">
        <v>67</v>
      </c>
      <c r="I6" s="270"/>
      <c r="J6" s="271" t="s">
        <v>68</v>
      </c>
      <c r="K6" s="270"/>
      <c r="L6" s="270"/>
      <c r="M6" s="270"/>
      <c r="N6" s="271" t="s">
        <v>69</v>
      </c>
      <c r="O6" s="271" t="s">
        <v>305</v>
      </c>
      <c r="P6" s="271" t="s">
        <v>70</v>
      </c>
    </row>
    <row r="7" spans="1:19" ht="81" customHeight="1" x14ac:dyDescent="0.3">
      <c r="A7" s="272" t="s">
        <v>19</v>
      </c>
      <c r="B7" s="272" t="s">
        <v>224</v>
      </c>
      <c r="C7" s="272" t="s">
        <v>74</v>
      </c>
      <c r="D7" s="273" t="s">
        <v>306</v>
      </c>
      <c r="E7" s="274"/>
      <c r="F7" s="46" t="s">
        <v>227</v>
      </c>
      <c r="G7" s="46" t="s">
        <v>76</v>
      </c>
      <c r="H7" s="46" t="s">
        <v>228</v>
      </c>
      <c r="I7" s="46" t="s">
        <v>469</v>
      </c>
      <c r="J7" s="46" t="s">
        <v>77</v>
      </c>
      <c r="K7" s="46" t="s">
        <v>78</v>
      </c>
      <c r="L7" s="46" t="s">
        <v>79</v>
      </c>
      <c r="M7" s="46" t="s">
        <v>80</v>
      </c>
      <c r="N7" s="46" t="s">
        <v>81</v>
      </c>
      <c r="O7" s="46"/>
      <c r="P7" s="46"/>
      <c r="R7" s="275"/>
    </row>
    <row r="8" spans="1:19" x14ac:dyDescent="0.3">
      <c r="B8" t="s">
        <v>299</v>
      </c>
      <c r="C8" t="s">
        <v>91</v>
      </c>
      <c r="D8" t="s">
        <v>90</v>
      </c>
      <c r="E8" s="4">
        <f t="shared" ref="E8:E11" si="0">SUM(F8:P8)</f>
        <v>4.4308428633357926E-2</v>
      </c>
      <c r="F8" s="4">
        <f>'Forage, input data per ha'!D8*(Frac_BAT_DK*EF_min_fert_BAT_CO2+Frac_AN_DK*EF_min_fert_AN_CO2)/'Forage, input data per ha'!C8</f>
        <v>7.1853792860260158E-3</v>
      </c>
      <c r="G8" s="4">
        <f>EF_capital_goods_CO2</f>
        <v>2.7E-2</v>
      </c>
      <c r="H8" s="4"/>
      <c r="I8" s="4"/>
      <c r="J8" s="4">
        <f>'Forage, input data per ha'!H8*EF_diesel_CO2*Heating_value_diesel/'Forage, input data per ha'!C8</f>
        <v>1.012304934733191E-2</v>
      </c>
      <c r="K8" s="4"/>
      <c r="L8" s="4">
        <f>'Forage, input data per ha'!I8*'Parameters, general'!$B$17/'Forage, input data per ha'!C8</f>
        <v>0</v>
      </c>
      <c r="M8" s="4"/>
      <c r="N8" s="4"/>
      <c r="O8" s="4"/>
      <c r="P8" s="4"/>
    </row>
    <row r="9" spans="1:19" x14ac:dyDescent="0.3">
      <c r="B9" t="s">
        <v>299</v>
      </c>
      <c r="C9" t="s">
        <v>92</v>
      </c>
      <c r="D9" t="s">
        <v>90</v>
      </c>
      <c r="E9" s="4">
        <f t="shared" si="0"/>
        <v>1.085237315674436E-4</v>
      </c>
      <c r="F9" s="4">
        <f>'Forage, input data per ha'!D8*(Frac_BAT_DK*EF_min_fert_BAT_CH4+Frac_AN_DK*EF_min_fert_AN_CH4)/'Forage, input data per ha'!C8</f>
        <v>9.0395620528127703E-6</v>
      </c>
      <c r="G9" s="4">
        <f>EF_capital_goods_CH4</f>
        <v>9.5000000000000005E-5</v>
      </c>
      <c r="H9" s="4"/>
      <c r="I9" s="4"/>
      <c r="J9" s="4">
        <f>'Forage, input data per ha'!H8*EF_diesel_CH4*Heating_value_diesel/'Forage, input data per ha'!C8</f>
        <v>4.4841695146308248E-6</v>
      </c>
      <c r="K9" s="4"/>
      <c r="L9" s="4">
        <f>'Forage, input data per ha'!I8*'Parameters, general'!$C$17/'Forage, input data per ha'!C8</f>
        <v>0</v>
      </c>
      <c r="M9" s="4"/>
      <c r="N9" s="4"/>
      <c r="O9" s="4"/>
      <c r="P9" s="4"/>
    </row>
    <row r="10" spans="1:19" x14ac:dyDescent="0.3">
      <c r="B10" t="s">
        <v>299</v>
      </c>
      <c r="C10" t="s">
        <v>311</v>
      </c>
      <c r="D10" t="s">
        <v>90</v>
      </c>
      <c r="E10" s="4">
        <f t="shared" si="0"/>
        <v>0</v>
      </c>
      <c r="F10" s="4"/>
      <c r="G10" s="4"/>
      <c r="H10" s="4"/>
      <c r="I10" s="4"/>
      <c r="J10" s="4"/>
      <c r="K10" s="4"/>
      <c r="L10" s="4"/>
      <c r="M10" s="4"/>
      <c r="N10" s="4"/>
      <c r="O10" s="4"/>
      <c r="P10" s="4"/>
    </row>
    <row r="11" spans="1:19" x14ac:dyDescent="0.3">
      <c r="B11" t="s">
        <v>299</v>
      </c>
      <c r="C11" t="s">
        <v>94</v>
      </c>
      <c r="D11" t="s">
        <v>90</v>
      </c>
      <c r="E11" s="4">
        <f t="shared" si="0"/>
        <v>1.1152725257467368E-4</v>
      </c>
      <c r="F11" s="4">
        <f>'Forage, input data per ha'!D8*(Frac_BAT_DK*EF_min_fert_BAT_N2O+Frac_AN_DK*EF_min_fert_AN_N2O)/'Forage, input data per ha'!C8</f>
        <v>1.5109205782627397E-5</v>
      </c>
      <c r="G11" s="4">
        <f>EF_capital_goods_N2O</f>
        <v>1.1000000000000001E-6</v>
      </c>
      <c r="H11" s="281">
        <f>('Forage, input data per ha'!D8*'Parameters SH, country spec'!B78+'Forage, input data per ha'!F8*'Parameters SH, country spec'!B79)*44/28/'Forage, input data per ha'!C8</f>
        <v>8.6405487735697828E-5</v>
      </c>
      <c r="I11" s="4">
        <f>H11*0.1</f>
        <v>8.6405487735697824E-6</v>
      </c>
      <c r="J11" s="4">
        <f>'Forage, input data per ha'!H8*EF_diesel_N2O*Heating_value_diesel/'Forage, input data per ha'!C8</f>
        <v>2.720102827786762E-7</v>
      </c>
      <c r="K11" s="4"/>
      <c r="L11" s="4">
        <f>'Forage, input data per ha'!I8*'Parameters, general'!$D$17/'Forage, input data per ha'!C8</f>
        <v>0</v>
      </c>
      <c r="M11" s="4"/>
      <c r="N11" s="4"/>
      <c r="O11" s="4"/>
      <c r="P11" s="4"/>
    </row>
    <row r="12" spans="1:19" ht="15" customHeight="1" x14ac:dyDescent="0.3">
      <c r="A12" s="155"/>
      <c r="B12" s="155" t="s">
        <v>299</v>
      </c>
      <c r="C12" s="155" t="s">
        <v>95</v>
      </c>
      <c r="D12" s="155" t="s">
        <v>90</v>
      </c>
      <c r="E12" s="345">
        <f>SUM(F12:P12)</f>
        <v>7.7989375786953655E-2</v>
      </c>
      <c r="F12" s="345">
        <f>SUMPRODUCT(F8:F11,'Parameters, general'!$B$23:$B$26)</f>
        <v>1.1579571413857116E-2</v>
      </c>
      <c r="G12" s="345">
        <f>SUMPRODUCT(G8:G11,'Parameters, general'!$B$23:$B$26)</f>
        <v>3.01313E-2</v>
      </c>
      <c r="H12" s="345">
        <f>SUMPRODUCT(H8:H11,'Parameters, general'!$B$23:$B$26)</f>
        <v>2.3588698151845507E-2</v>
      </c>
      <c r="I12" s="345">
        <f>SUMPRODUCT(I8:I11,'Parameters, general'!$B$23:$B$26)</f>
        <v>2.3588698151845505E-3</v>
      </c>
      <c r="J12" s="345">
        <f>SUMPRODUCT(J8:J11,'Parameters, general'!$B$23:$B$26)</f>
        <v>1.0330936406066488E-2</v>
      </c>
      <c r="K12" s="345">
        <f>SUMPRODUCT(K8:K11,'Parameters, general'!$B$23:$B$26)</f>
        <v>0</v>
      </c>
      <c r="L12" s="345">
        <f>SUMPRODUCT(L8:L11,'Parameters, general'!$B$23:$B$26)</f>
        <v>0</v>
      </c>
      <c r="M12" s="345">
        <f>SUMPRODUCT(M8:M11,'Parameters, general'!$B$23:$B$26)</f>
        <v>0</v>
      </c>
      <c r="N12" s="345">
        <f>SUMPRODUCT(N8:N11,'Parameters, general'!$B$23:$B$26)</f>
        <v>0</v>
      </c>
      <c r="O12" s="345">
        <f>SUMPRODUCT(O8:O11,'Parameters, general'!$B$23:$B$26)</f>
        <v>0</v>
      </c>
      <c r="P12" s="345"/>
      <c r="R12" s="124"/>
      <c r="S12" s="6"/>
    </row>
    <row r="13" spans="1:19" x14ac:dyDescent="0.3">
      <c r="B13" t="s">
        <v>299</v>
      </c>
      <c r="C13" t="s">
        <v>91</v>
      </c>
      <c r="D13" t="s">
        <v>41</v>
      </c>
      <c r="E13" s="4">
        <f t="shared" ref="E13:E16" si="1">SUM(F13:P13)</f>
        <v>5.868003361745662E-2</v>
      </c>
      <c r="F13" s="4">
        <f>'Forage, input data per ha'!D9*(Frac_BAT_FR*EF_min_fert_BAT_CO2+Frac_AN_FR*EF_min_fert_AN_CO2)/'Forage, input data per ha'!C9</f>
        <v>1.8033196435898471E-2</v>
      </c>
      <c r="G13" s="4">
        <f>EF_capital_goods_CO2</f>
        <v>2.7E-2</v>
      </c>
      <c r="H13" s="4"/>
      <c r="I13" s="4"/>
      <c r="J13" s="4">
        <f>'Forage, input data per ha'!H9*EF_diesel_CO2*Heating_value_diesel/'Forage, input data per ha'!C9</f>
        <v>1.3104747288322258E-2</v>
      </c>
      <c r="K13" s="4"/>
      <c r="L13" s="4">
        <f>'Forage, input data per ha'!I9*'Parameters, general'!$B$17/'Forage, input data per ha'!C9</f>
        <v>5.4208989323589914E-4</v>
      </c>
      <c r="M13" s="4"/>
      <c r="N13" s="276"/>
      <c r="O13" s="4"/>
      <c r="P13" s="4"/>
    </row>
    <row r="14" spans="1:19" x14ac:dyDescent="0.3">
      <c r="B14" t="s">
        <v>299</v>
      </c>
      <c r="C14" t="s">
        <v>92</v>
      </c>
      <c r="D14" t="s">
        <v>41</v>
      </c>
      <c r="E14" s="4">
        <f t="shared" si="1"/>
        <v>1.356989640494849E-4</v>
      </c>
      <c r="F14" s="4">
        <f>'Forage, input data per ha'!D9*(Frac_BAT_FR*EF_min_fert_BAT_CH4+Frac_AN_FR*EF_min_fert_AN_CH4)/'Forage, input data per ha'!C9</f>
        <v>3.3081003708430824E-5</v>
      </c>
      <c r="G14" s="4">
        <f>EF_capital_goods_CH4</f>
        <v>9.5000000000000005E-5</v>
      </c>
      <c r="H14" s="4"/>
      <c r="I14" s="4"/>
      <c r="J14" s="4">
        <f>'Forage, input data per ha'!H9*EF_diesel_CH4*Heating_value_diesel/'Forage, input data per ha'!C9</f>
        <v>5.8049611605147208E-6</v>
      </c>
      <c r="K14" s="4"/>
      <c r="L14" s="4">
        <f>'Forage, input data per ha'!I9*'Parameters, general'!$C$17/'Forage, input data per ha'!C9</f>
        <v>1.8129991805393392E-6</v>
      </c>
      <c r="M14" s="4"/>
      <c r="N14" s="4"/>
      <c r="O14" s="4"/>
      <c r="P14" s="4"/>
    </row>
    <row r="15" spans="1:19" x14ac:dyDescent="0.3">
      <c r="B15" t="s">
        <v>299</v>
      </c>
      <c r="C15" t="s">
        <v>311</v>
      </c>
      <c r="D15" t="s">
        <v>41</v>
      </c>
      <c r="E15" s="4">
        <f t="shared" si="1"/>
        <v>0</v>
      </c>
      <c r="F15" s="4"/>
      <c r="G15" s="4"/>
      <c r="H15" s="4"/>
      <c r="I15" s="4"/>
      <c r="J15" s="4"/>
      <c r="K15" s="4"/>
      <c r="L15" s="4"/>
      <c r="M15" s="4"/>
      <c r="N15" s="4"/>
      <c r="O15" s="4"/>
      <c r="P15" s="4"/>
    </row>
    <row r="16" spans="1:19" x14ac:dyDescent="0.3">
      <c r="B16" t="s">
        <v>299</v>
      </c>
      <c r="C16" t="s">
        <v>94</v>
      </c>
      <c r="D16" t="s">
        <v>41</v>
      </c>
      <c r="E16" s="4">
        <f t="shared" si="1"/>
        <v>2.0526606903337259E-4</v>
      </c>
      <c r="F16" s="4">
        <f>'Forage, input data per ha'!D9*(Frac_BAT_FR*EF_min_fert_BAT_N2O+Frac_AN_FR*EF_min_fert_AN_N2O)/'Forage, input data per ha'!C9</f>
        <v>3.9622270994168309E-5</v>
      </c>
      <c r="G16" s="4">
        <f>EF_capital_goods_N2O</f>
        <v>1.1000000000000001E-6</v>
      </c>
      <c r="H16" s="4">
        <f>('Forage, input data per ha'!D9*'Parameters SH, country spec'!C78+'Forage, input data per ha'!F9*'Parameters SH, country spec'!C79)*44/28/'Forage, input data per ha'!C9</f>
        <v>1.492448690828462E-4</v>
      </c>
      <c r="I16" s="4">
        <f>H16*0.1</f>
        <v>1.4924486908284621E-5</v>
      </c>
      <c r="J16" s="4">
        <f>'Forage, input data per ha'!H9*EF_diesel_N2O*Heating_value_diesel/'Forage, input data per ha'!C9</f>
        <v>3.521296689696708E-7</v>
      </c>
      <c r="K16" s="4"/>
      <c r="L16" s="4">
        <f>'Forage, input data per ha'!I9*'Parameters, general'!$D$17/'Forage, input data per ha'!C9</f>
        <v>2.231237910379547E-8</v>
      </c>
      <c r="M16" s="4"/>
      <c r="N16" s="4"/>
      <c r="O16" s="4"/>
      <c r="P16" s="4"/>
    </row>
    <row r="17" spans="1:19" ht="15" customHeight="1" x14ac:dyDescent="0.3">
      <c r="A17" s="155"/>
      <c r="B17" s="155" t="s">
        <v>299</v>
      </c>
      <c r="C17" s="155" t="s">
        <v>95</v>
      </c>
      <c r="D17" s="155" t="s">
        <v>41</v>
      </c>
      <c r="E17" s="345">
        <f>SUM(F17:P17)</f>
        <v>0.118761499592242</v>
      </c>
      <c r="F17" s="345">
        <f>SUMPRODUCT(F13:F16,'Parameters, general'!$B$23:$B$26)</f>
        <v>2.9835890327817659E-2</v>
      </c>
      <c r="G17" s="345">
        <f>SUMPRODUCT(G13:G16,'Parameters, general'!$B$23:$B$26)</f>
        <v>3.01313E-2</v>
      </c>
      <c r="H17" s="345">
        <f>SUMPRODUCT(H13:H16,'Parameters, general'!$B$23:$B$26)</f>
        <v>4.0743849259617014E-2</v>
      </c>
      <c r="I17" s="345">
        <f>SUMPRODUCT(I13:I16,'Parameters, general'!$B$23:$B$26)</f>
        <v>4.0743849259617018E-3</v>
      </c>
      <c r="J17" s="345">
        <f>SUMPRODUCT(J13:J16,'Parameters, general'!$B$23:$B$26)</f>
        <v>1.3373866530534318E-2</v>
      </c>
      <c r="K17" s="345">
        <f>SUMPRODUCT(K13:K16,'Parameters, general'!$B$23:$B$26)</f>
        <v>0</v>
      </c>
      <c r="L17" s="345">
        <f>SUMPRODUCT(L13:L16,'Parameters, general'!$B$23:$B$26)</f>
        <v>6.0220854831130751E-4</v>
      </c>
      <c r="M17" s="345">
        <f>SUMPRODUCT(M13:M16,'Parameters, general'!$B$23:$B$26)</f>
        <v>0</v>
      </c>
      <c r="N17" s="345">
        <f>SUMPRODUCT(N13:N16,'Parameters, general'!$B$23:$B$26)</f>
        <v>0</v>
      </c>
      <c r="O17" s="345">
        <f>SUMPRODUCT(O13:O16,'Parameters, general'!$B$23:$B$26)</f>
        <v>0</v>
      </c>
      <c r="P17" s="345"/>
      <c r="R17" s="124"/>
      <c r="S17" s="6"/>
    </row>
    <row r="18" spans="1:19" x14ac:dyDescent="0.3">
      <c r="B18" t="s">
        <v>299</v>
      </c>
      <c r="C18" t="s">
        <v>91</v>
      </c>
      <c r="D18" t="s">
        <v>43</v>
      </c>
      <c r="E18" s="4">
        <f t="shared" ref="E18:E21" si="2">SUM(F18:P18)</f>
        <v>6.1305371870698483E-2</v>
      </c>
      <c r="F18" s="4">
        <f>'Forage, input data per ha'!D10*(Frac_BAT_DE*EF_min_fert_BAT_CO2+Frac_AN_DE*EF_min_fert_AN_CO2)/'Forage, input data per ha'!C10</f>
        <v>2.1132412362766816E-2</v>
      </c>
      <c r="G18" s="4">
        <f>EF_capital_goods_CO2</f>
        <v>2.7E-2</v>
      </c>
      <c r="H18" s="4"/>
      <c r="I18" s="4"/>
      <c r="J18" s="4">
        <f>'Forage, input data per ha'!H10*EF_diesel_CO2*Heating_value_diesel/'Forage, input data per ha'!C10</f>
        <v>1.3163101311885569E-2</v>
      </c>
      <c r="K18" s="4"/>
      <c r="L18" s="4">
        <f>'Forage, input data per ha'!I10*'Parameters, general'!$B$17/'Forage, input data per ha'!C10</f>
        <v>9.8581960460988964E-6</v>
      </c>
      <c r="M18" s="4"/>
      <c r="N18" s="4"/>
      <c r="O18" s="4"/>
      <c r="P18" s="4"/>
    </row>
    <row r="19" spans="1:19" x14ac:dyDescent="0.3">
      <c r="B19" t="s">
        <v>299</v>
      </c>
      <c r="C19" t="s">
        <v>92</v>
      </c>
      <c r="D19" t="s">
        <v>43</v>
      </c>
      <c r="E19" s="4">
        <f t="shared" si="2"/>
        <v>1.3963014187344785E-4</v>
      </c>
      <c r="F19" s="4">
        <f>'Forage, input data per ha'!D10*(Frac_BAT_DE*EF_min_fert_BAT_CH4+Frac_AN_DE*EF_min_fert_AN_CH4)/'Forage, input data per ha'!C10</f>
        <v>3.8766361483709314E-5</v>
      </c>
      <c r="G19" s="4">
        <f>EF_capital_goods_CH4</f>
        <v>9.5000000000000005E-5</v>
      </c>
      <c r="H19" s="4"/>
      <c r="I19" s="4"/>
      <c r="J19" s="4">
        <f>'Forage, input data per ha'!H10*EF_diesel_CH4*Heating_value_diesel/'Forage, input data per ha'!C10</f>
        <v>5.8308100252728102E-6</v>
      </c>
      <c r="K19" s="4"/>
      <c r="L19" s="4">
        <f>'Forage, input data per ha'!I10*'Parameters, general'!$C$17/'Forage, input data per ha'!C10</f>
        <v>3.2970364465724827E-8</v>
      </c>
      <c r="M19" s="4"/>
      <c r="N19" s="4"/>
      <c r="O19" s="4"/>
      <c r="P19" s="4"/>
    </row>
    <row r="20" spans="1:19" x14ac:dyDescent="0.3">
      <c r="B20" t="s">
        <v>299</v>
      </c>
      <c r="C20" t="s">
        <v>311</v>
      </c>
      <c r="D20" t="s">
        <v>43</v>
      </c>
      <c r="E20" s="4">
        <f t="shared" si="2"/>
        <v>0</v>
      </c>
      <c r="F20" s="4"/>
      <c r="G20" s="4"/>
      <c r="H20" s="4"/>
      <c r="I20" s="4"/>
      <c r="J20" s="4"/>
      <c r="K20" s="4"/>
      <c r="L20" s="4"/>
      <c r="M20" s="4"/>
      <c r="N20" s="4"/>
      <c r="O20" s="4"/>
      <c r="P20" s="4"/>
    </row>
    <row r="21" spans="1:19" x14ac:dyDescent="0.3">
      <c r="B21" t="s">
        <v>299</v>
      </c>
      <c r="C21" t="s">
        <v>94</v>
      </c>
      <c r="D21" t="s">
        <v>43</v>
      </c>
      <c r="E21" s="4">
        <f t="shared" si="2"/>
        <v>2.3482182282842832E-4</v>
      </c>
      <c r="F21" s="4">
        <f>'Forage, input data per ha'!D10*(Frac_BAT_DE*EF_min_fert_BAT_N2O+Frac_AN_DE*EF_min_fert_AN_N2O)/'Forage, input data per ha'!C10</f>
        <v>4.6431822132832091E-5</v>
      </c>
      <c r="G21" s="4">
        <f>EF_capital_goods_N2O</f>
        <v>1.1000000000000001E-6</v>
      </c>
      <c r="H21" s="4">
        <f>('Forage, input data per ha'!D10*'Parameters SH, country spec'!D78+'Forage, input data per ha'!F10*'Parameters SH, country spec'!D79)*44/28/'Forage, input data per ha'!C10</f>
        <v>1.6994172478968788E-4</v>
      </c>
      <c r="I21" s="4">
        <f>H21*0.1</f>
        <v>1.6994172478968787E-5</v>
      </c>
      <c r="J21" s="4">
        <f>'Forage, input data per ha'!H10*EF_diesel_N2O*Heating_value_diesel/'Forage, input data per ha'!C10</f>
        <v>3.5369766433412225E-7</v>
      </c>
      <c r="K21" s="4"/>
      <c r="L21" s="4">
        <f>'Forage, input data per ha'!I10*'Parameters, general'!$D$17/'Forage, input data per ha'!C10</f>
        <v>4.0576260543632219E-10</v>
      </c>
      <c r="M21" s="4"/>
      <c r="N21" s="4"/>
      <c r="O21" s="4"/>
      <c r="P21" s="4"/>
    </row>
    <row r="22" spans="1:19" ht="15" customHeight="1" x14ac:dyDescent="0.3">
      <c r="A22" s="155"/>
      <c r="B22" s="155" t="s">
        <v>299</v>
      </c>
      <c r="C22" s="155" t="s">
        <v>95</v>
      </c>
      <c r="D22" s="155" t="s">
        <v>43</v>
      </c>
      <c r="E22" s="345">
        <f>SUM(F22:P22)</f>
        <v>0.12957270773068816</v>
      </c>
      <c r="F22" s="345">
        <f>SUMPRODUCT(F18:F21,'Parameters, general'!$B$23:$B$26)</f>
        <v>3.4963537377244516E-2</v>
      </c>
      <c r="G22" s="345">
        <f>SUMPRODUCT(G18:G21,'Parameters, general'!$B$23:$B$26)</f>
        <v>3.01313E-2</v>
      </c>
      <c r="H22" s="345">
        <f>SUMPRODUCT(H18:H21,'Parameters, general'!$B$23:$B$26)</f>
        <v>4.6394090867584795E-2</v>
      </c>
      <c r="I22" s="345">
        <f>SUMPRODUCT(I18:I21,'Parameters, general'!$B$23:$B$26)</f>
        <v>4.6394090867584786E-3</v>
      </c>
      <c r="J22" s="345">
        <f>SUMPRODUCT(J18:J21,'Parameters, general'!$B$23:$B$26)</f>
        <v>1.3433418913001914E-2</v>
      </c>
      <c r="K22" s="345">
        <f>SUMPRODUCT(K18:K21,'Parameters, general'!$B$23:$B$26)</f>
        <v>0</v>
      </c>
      <c r="L22" s="345">
        <f>SUMPRODUCT(L18:L21,'Parameters, general'!$B$23:$B$26)</f>
        <v>1.0951486098461612E-5</v>
      </c>
      <c r="M22" s="345">
        <f>SUMPRODUCT(M18:M21,'Parameters, general'!$B$23:$B$26)</f>
        <v>0</v>
      </c>
      <c r="N22" s="345">
        <f>SUMPRODUCT(N18:N21,'Parameters, general'!$B$23:$B$26)</f>
        <v>0</v>
      </c>
      <c r="O22" s="345">
        <f>SUMPRODUCT(O18:O21,'Parameters, general'!$B$23:$B$26)</f>
        <v>0</v>
      </c>
      <c r="P22" s="345"/>
      <c r="R22" s="124"/>
      <c r="S22" s="6"/>
    </row>
    <row r="23" spans="1:19" x14ac:dyDescent="0.3">
      <c r="B23" t="s">
        <v>299</v>
      </c>
      <c r="C23" t="s">
        <v>91</v>
      </c>
      <c r="D23" t="s">
        <v>45</v>
      </c>
      <c r="E23" s="4">
        <f t="shared" ref="E23:E26" si="3">SUM(F23:P23)</f>
        <v>8.4294355288487388E-2</v>
      </c>
      <c r="F23" s="4">
        <f>'Forage, input data per ha'!D11*(Frac_BAT_GR*EF_min_fert_BAT_CO2+Frac_AN_GR*EF_min_fert_AN_CO2)/'Forage, input data per ha'!C11</f>
        <v>2.175109426324023E-2</v>
      </c>
      <c r="G23" s="4">
        <f>EF_capital_goods_CO2</f>
        <v>2.7E-2</v>
      </c>
      <c r="H23" s="4"/>
      <c r="I23" s="4"/>
      <c r="J23" s="4">
        <f>'Forage, input data per ha'!H11*EF_diesel_CO2*Heating_value_diesel/'Forage, input data per ha'!C11</f>
        <v>3.241698856182381E-2</v>
      </c>
      <c r="K23" s="4"/>
      <c r="L23" s="4">
        <f>'Forage, input data per ha'!I11*'Parameters, general'!$B$17/'Forage, input data per ha'!C11</f>
        <v>3.1262724634233347E-3</v>
      </c>
      <c r="M23" s="4"/>
      <c r="N23" s="276"/>
      <c r="O23" s="4"/>
      <c r="P23" s="4"/>
    </row>
    <row r="24" spans="1:19" x14ac:dyDescent="0.3">
      <c r="B24" t="s">
        <v>299</v>
      </c>
      <c r="C24" t="s">
        <v>92</v>
      </c>
      <c r="D24" t="s">
        <v>45</v>
      </c>
      <c r="E24" s="4">
        <f t="shared" si="3"/>
        <v>1.5971663577783884E-4</v>
      </c>
      <c r="F24" s="4">
        <f>'Forage, input data per ha'!D11*(Frac_BAT_GR*EF_min_fert_BAT_CH4+Frac_AN_GR*EF_min_fert_AN_CH4)/'Forage, input data per ha'!C11</f>
        <v>3.9901302719260733E-5</v>
      </c>
      <c r="G24" s="4">
        <f>EF_capital_goods_CH4</f>
        <v>9.5000000000000005E-5</v>
      </c>
      <c r="H24" s="4"/>
      <c r="I24" s="4"/>
      <c r="J24" s="4">
        <f>'Forage, input data per ha'!H11*EF_diesel_CH4*Heating_value_diesel/'Forage, input data per ha'!C11</f>
        <v>1.4359632841598194E-5</v>
      </c>
      <c r="K24" s="4"/>
      <c r="L24" s="4">
        <f>'Forage, input data per ha'!I11*'Parameters, general'!$C$17/'Forage, input data per ha'!C11</f>
        <v>1.0455700216979909E-5</v>
      </c>
      <c r="M24" s="4"/>
      <c r="N24" s="4"/>
      <c r="O24" s="4"/>
      <c r="P24" s="4"/>
    </row>
    <row r="25" spans="1:19" x14ac:dyDescent="0.3">
      <c r="B25" t="s">
        <v>299</v>
      </c>
      <c r="C25" t="s">
        <v>311</v>
      </c>
      <c r="D25" t="s">
        <v>45</v>
      </c>
      <c r="E25" s="4">
        <f t="shared" si="3"/>
        <v>0</v>
      </c>
      <c r="F25" s="4"/>
      <c r="G25" s="4"/>
      <c r="H25" s="4"/>
      <c r="I25" s="4"/>
      <c r="J25" s="4"/>
      <c r="K25" s="4"/>
      <c r="L25" s="4"/>
      <c r="M25" s="4"/>
      <c r="N25" s="4"/>
      <c r="O25" s="4"/>
      <c r="P25" s="4"/>
    </row>
    <row r="26" spans="1:19" x14ac:dyDescent="0.3">
      <c r="B26" t="s">
        <v>299</v>
      </c>
      <c r="C26" t="s">
        <v>94</v>
      </c>
      <c r="D26" t="s">
        <v>45</v>
      </c>
      <c r="E26" s="4">
        <f t="shared" si="3"/>
        <v>2.4137158990018053E-4</v>
      </c>
      <c r="F26" s="4">
        <f>'Forage, input data per ha'!D11*(Frac_BAT_GR*EF_min_fert_BAT_N2O+Frac_AN_GR*EF_min_fert_AN_N2O)/'Forage, input data per ha'!C11</f>
        <v>4.7791180802654265E-5</v>
      </c>
      <c r="G26" s="4">
        <f>EF_capital_goods_N2O</f>
        <v>1.1000000000000001E-6</v>
      </c>
      <c r="H26" s="4">
        <f>('Forage, input data per ha'!D11*'Parameters SH, country spec'!E78+'Forage, input data per ha'!F11*'Parameters SH, country spec'!E79)*44/28/'Forage, input data per ha'!C11</f>
        <v>1.7407334076117382E-4</v>
      </c>
      <c r="I26" s="4">
        <f>H26*0.1</f>
        <v>1.7407334076117384E-5</v>
      </c>
      <c r="J26" s="4">
        <f>'Forage, input data per ha'!H11*EF_diesel_N2O*Heating_value_diesel/'Forage, input data per ha'!C11</f>
        <v>8.7105712152424362E-7</v>
      </c>
      <c r="K26" s="4"/>
      <c r="L26" s="4">
        <f>'Forage, input data per ha'!I11*'Parameters, general'!$D$17/'Forage, input data per ha'!C11</f>
        <v>1.2867713871083588E-7</v>
      </c>
      <c r="M26" s="4"/>
      <c r="N26" s="4"/>
      <c r="O26" s="4"/>
      <c r="P26" s="4"/>
    </row>
    <row r="27" spans="1:19" ht="15" customHeight="1" x14ac:dyDescent="0.3">
      <c r="A27" s="155"/>
      <c r="B27" s="155" t="s">
        <v>299</v>
      </c>
      <c r="C27" s="155" t="s">
        <v>95</v>
      </c>
      <c r="D27" s="155" t="s">
        <v>45</v>
      </c>
      <c r="E27" s="345">
        <f>SUM(F27:P27)</f>
        <v>0.15494835507741625</v>
      </c>
      <c r="F27" s="345">
        <f>SUMPRODUCT(F23:F26,'Parameters, general'!$B$23:$B$26)</f>
        <v>3.5987145443398816E-2</v>
      </c>
      <c r="G27" s="345">
        <f>SUMPRODUCT(G23:G26,'Parameters, general'!$B$23:$B$26)</f>
        <v>3.01313E-2</v>
      </c>
      <c r="H27" s="345">
        <f>SUMPRODUCT(H23:H26,'Parameters, general'!$B$23:$B$26)</f>
        <v>4.7522022027800453E-2</v>
      </c>
      <c r="I27" s="345">
        <f>SUMPRODUCT(I23:I26,'Parameters, general'!$B$23:$B$26)</f>
        <v>4.7522022027800459E-3</v>
      </c>
      <c r="J27" s="345">
        <f>SUMPRODUCT(J23:J26,'Parameters, general'!$B$23:$B$26)</f>
        <v>3.3082704214679549E-2</v>
      </c>
      <c r="K27" s="345">
        <f>SUMPRODUCT(K23:K26,'Parameters, general'!$B$23:$B$26)</f>
        <v>0</v>
      </c>
      <c r="L27" s="345">
        <f>SUMPRODUCT(L23:L26,'Parameters, general'!$B$23:$B$26)</f>
        <v>3.4729811887573938E-3</v>
      </c>
      <c r="M27" s="345">
        <f>SUMPRODUCT(M23:M26,'Parameters, general'!$B$23:$B$26)</f>
        <v>0</v>
      </c>
      <c r="N27" s="345">
        <f>SUMPRODUCT(N23:N26,'Parameters, general'!$B$23:$B$26)</f>
        <v>0</v>
      </c>
      <c r="O27" s="345">
        <f>SUMPRODUCT(O23:O26,'Parameters, general'!$B$23:$B$26)</f>
        <v>0</v>
      </c>
      <c r="P27" s="345"/>
      <c r="R27" s="124"/>
      <c r="S27" s="6"/>
    </row>
    <row r="28" spans="1:19" x14ac:dyDescent="0.3">
      <c r="B28" t="s">
        <v>299</v>
      </c>
      <c r="C28" t="s">
        <v>91</v>
      </c>
      <c r="D28" t="s">
        <v>96</v>
      </c>
      <c r="E28" s="4">
        <f t="shared" ref="E28:E31" si="4">SUM(F28:P28)</f>
        <v>9.7457850533830021E-2</v>
      </c>
      <c r="F28" s="4">
        <f>'Forage, input data per ha'!D12*(Frac_BAT_HU*EF_min_fert_BAT_CO2+Frac_AN_HU*EF_min_fert_AN_CO2)/'Forage, input data per ha'!C12</f>
        <v>2.1751094263240234E-2</v>
      </c>
      <c r="G28" s="4">
        <f>EF_capital_goods_CO2</f>
        <v>2.7E-2</v>
      </c>
      <c r="H28" s="4"/>
      <c r="I28" s="4"/>
      <c r="J28" s="4">
        <f>'Forage, input data per ha'!H12*EF_diesel_CO2*Heating_value_diesel/'Forage, input data per ha'!C12</f>
        <v>4.869818254347158E-2</v>
      </c>
      <c r="K28" s="4"/>
      <c r="L28" s="4">
        <f>'Forage, input data per ha'!I12*'Parameters, general'!$B$17/'Forage, input data per ha'!C12</f>
        <v>8.5737271182102421E-6</v>
      </c>
      <c r="M28" s="4"/>
      <c r="N28" s="4"/>
      <c r="O28" s="4"/>
      <c r="P28" s="4"/>
    </row>
    <row r="29" spans="1:19" x14ac:dyDescent="0.3">
      <c r="B29" t="s">
        <v>299</v>
      </c>
      <c r="C29" t="s">
        <v>92</v>
      </c>
      <c r="D29" t="s">
        <v>96</v>
      </c>
      <c r="E29" s="4">
        <f t="shared" si="4"/>
        <v>1.5650163000430493E-4</v>
      </c>
      <c r="F29" s="4">
        <f>'Forage, input data per ha'!D12*(Frac_BAT_HU*EF_min_fert_BAT_CH4+Frac_AN_HU*EF_min_fert_AN_CH4)/'Forage, input data per ha'!C12</f>
        <v>3.9901302719260733E-5</v>
      </c>
      <c r="G29" s="4">
        <f>EF_capital_goods_CH4</f>
        <v>9.5000000000000005E-5</v>
      </c>
      <c r="H29" s="4"/>
      <c r="I29" s="4"/>
      <c r="J29" s="4">
        <f>'Forage, input data per ha'!H12*EF_diesel_CH4*Heating_value_diesel/'Forage, input data per ha'!C12</f>
        <v>2.1571652778410818E-5</v>
      </c>
      <c r="K29" s="4"/>
      <c r="L29" s="4">
        <f>'Forage, input data per ha'!I12*'Parameters, general'!$C$17/'Forage, input data per ha'!C12</f>
        <v>2.8674506633383747E-8</v>
      </c>
      <c r="M29" s="4"/>
      <c r="N29" s="4"/>
      <c r="O29" s="4"/>
      <c r="P29" s="4"/>
    </row>
    <row r="30" spans="1:19" x14ac:dyDescent="0.3">
      <c r="B30" t="s">
        <v>299</v>
      </c>
      <c r="C30" t="s">
        <v>311</v>
      </c>
      <c r="D30" t="s">
        <v>96</v>
      </c>
      <c r="E30" s="4">
        <f t="shared" si="4"/>
        <v>0</v>
      </c>
      <c r="F30" s="4"/>
      <c r="G30" s="4"/>
      <c r="H30" s="4"/>
      <c r="I30" s="4"/>
      <c r="J30" s="4"/>
      <c r="K30" s="4"/>
      <c r="L30" s="4"/>
      <c r="M30" s="4"/>
      <c r="N30" s="4"/>
      <c r="O30" s="4"/>
      <c r="P30" s="4"/>
    </row>
    <row r="31" spans="1:19" x14ac:dyDescent="0.3">
      <c r="B31" t="s">
        <v>299</v>
      </c>
      <c r="C31" t="s">
        <v>94</v>
      </c>
      <c r="D31" t="s">
        <v>96</v>
      </c>
      <c r="E31" s="4">
        <f t="shared" si="4"/>
        <v>2.4168074768549639E-4</v>
      </c>
      <c r="F31" s="4">
        <f>'Forage, input data per ha'!D12*(Frac_BAT_HU*EF_min_fert_BAT_N2O+Frac_AN_HU*EF_min_fert_AN_N2O)/'Forage, input data per ha'!C12</f>
        <v>4.7791180802654265E-5</v>
      </c>
      <c r="G31" s="4">
        <f>EF_capital_goods_N2O</f>
        <v>1.1000000000000001E-6</v>
      </c>
      <c r="H31" s="4">
        <f>('Forage, input data per ha'!D12*'Parameters SH, country spec'!F78+'Forage, input data per ha'!F12*'Parameters SH, country spec'!F79)*44/28/'Forage, input data per ha'!C12</f>
        <v>1.7407334076117385E-4</v>
      </c>
      <c r="I31" s="4">
        <f>H31*0.1</f>
        <v>1.7407334076117384E-5</v>
      </c>
      <c r="J31" s="4">
        <f>'Forage, input data per ha'!H12*EF_diesel_N2O*Heating_value_diesel/'Forage, input data per ha'!C12</f>
        <v>1.3085391515895945E-6</v>
      </c>
      <c r="K31" s="4"/>
      <c r="L31" s="4">
        <f>'Forage, input data per ha'!I12*'Parameters, general'!$D$17/'Forage, input data per ha'!C12</f>
        <v>3.5289396128023986E-10</v>
      </c>
      <c r="M31" s="4"/>
      <c r="N31" s="4"/>
      <c r="O31" s="4"/>
      <c r="P31" s="4"/>
    </row>
    <row r="32" spans="1:19" ht="15" customHeight="1" x14ac:dyDescent="0.3">
      <c r="A32" s="155"/>
      <c r="B32" s="155" t="s">
        <v>299</v>
      </c>
      <c r="C32" s="155" t="s">
        <v>95</v>
      </c>
      <c r="D32" s="155" t="s">
        <v>96</v>
      </c>
      <c r="E32" s="345">
        <f>SUM(F32:P32)</f>
        <v>0.16810044322609879</v>
      </c>
      <c r="F32" s="345">
        <f>SUMPRODUCT(F28:F31,'Parameters, general'!$B$23:$B$26)</f>
        <v>3.5987145443398816E-2</v>
      </c>
      <c r="G32" s="345">
        <f>SUMPRODUCT(G28:G31,'Parameters, general'!$B$23:$B$26)</f>
        <v>3.01313E-2</v>
      </c>
      <c r="H32" s="345">
        <f>SUMPRODUCT(H28:H31,'Parameters, general'!$B$23:$B$26)</f>
        <v>4.752202202780046E-2</v>
      </c>
      <c r="I32" s="345">
        <f>SUMPRODUCT(I28:I31,'Parameters, general'!$B$23:$B$26)</f>
        <v>4.7522022027800459E-3</v>
      </c>
      <c r="J32" s="345">
        <f>SUMPRODUCT(J28:J31,'Parameters, general'!$B$23:$B$26)</f>
        <v>4.969824898465218E-2</v>
      </c>
      <c r="K32" s="345">
        <f>SUMPRODUCT(K28:K31,'Parameters, general'!$B$23:$B$26)</f>
        <v>0</v>
      </c>
      <c r="L32" s="345">
        <f>SUMPRODUCT(L28:L31,'Parameters, general'!$B$23:$B$26)</f>
        <v>9.5245674673145822E-6</v>
      </c>
      <c r="M32" s="345">
        <f>SUMPRODUCT(M28:M31,'Parameters, general'!$B$23:$B$26)</f>
        <v>0</v>
      </c>
      <c r="N32" s="345">
        <f>SUMPRODUCT(N28:N31,'Parameters, general'!$B$23:$B$26)</f>
        <v>0</v>
      </c>
      <c r="O32" s="345">
        <f>SUMPRODUCT(O28:O31,'Parameters, general'!$B$23:$B$26)</f>
        <v>0</v>
      </c>
      <c r="P32" s="345"/>
      <c r="R32" s="124"/>
      <c r="S32" s="6"/>
    </row>
    <row r="33" spans="1:19" x14ac:dyDescent="0.3">
      <c r="B33" t="s">
        <v>299</v>
      </c>
      <c r="C33" t="s">
        <v>91</v>
      </c>
      <c r="D33" t="s">
        <v>49</v>
      </c>
      <c r="E33" s="4">
        <f t="shared" ref="E33:E36" si="5">SUM(F33:P33)</f>
        <v>6.3462604134633421E-2</v>
      </c>
      <c r="F33" s="4">
        <f>'Forage, input data per ha'!D13*(Frac_BAT_IE*EF_min_fert_BAT_CO2+Frac_AN_IE*EF_min_fert_AN_CO2)/'Forage, input data per ha'!C13</f>
        <v>2.1751094263240234E-2</v>
      </c>
      <c r="G33" s="4">
        <f>EF_capital_goods_CO2</f>
        <v>2.7E-2</v>
      </c>
      <c r="H33" s="4"/>
      <c r="I33" s="4"/>
      <c r="J33" s="4">
        <f>'Forage, input data per ha'!H13*EF_diesel_CO2*Heating_value_diesel/'Forage, input data per ha'!C13</f>
        <v>1.4711509871393188E-2</v>
      </c>
      <c r="K33" s="4"/>
      <c r="L33" s="4">
        <f>'Forage, input data per ha'!I13*'Parameters, general'!$B$17/'Forage, input data per ha'!C13</f>
        <v>0</v>
      </c>
      <c r="M33" s="4"/>
      <c r="N33" s="276"/>
      <c r="O33" s="4"/>
      <c r="P33" s="4"/>
    </row>
    <row r="34" spans="1:19" x14ac:dyDescent="0.3">
      <c r="B34" t="s">
        <v>299</v>
      </c>
      <c r="C34" t="s">
        <v>92</v>
      </c>
      <c r="D34" t="s">
        <v>49</v>
      </c>
      <c r="E34" s="4">
        <f t="shared" si="5"/>
        <v>1.4141800552451564E-4</v>
      </c>
      <c r="F34" s="4">
        <f>'Forage, input data per ha'!D13*(Frac_BAT_IE*EF_min_fert_BAT_CH4+Frac_AN_IE*EF_min_fert_AN_CH4)/'Forage, input data per ha'!C13</f>
        <v>3.9901302719260733E-5</v>
      </c>
      <c r="G34" s="4">
        <f>EF_capital_goods_CH4</f>
        <v>9.5000000000000005E-5</v>
      </c>
      <c r="H34" s="4"/>
      <c r="I34" s="4"/>
      <c r="J34" s="4">
        <f>'Forage, input data per ha'!H13*EF_diesel_CH4*Heating_value_diesel/'Forage, input data per ha'!C13</f>
        <v>6.5167028052549126E-6</v>
      </c>
      <c r="K34" s="4"/>
      <c r="L34" s="4">
        <f>'Forage, input data per ha'!I13*'Parameters, general'!$C$17/'Forage, input data per ha'!C13</f>
        <v>0</v>
      </c>
      <c r="M34" s="4"/>
      <c r="N34" s="4"/>
      <c r="O34" s="4"/>
      <c r="P34" s="4"/>
    </row>
    <row r="35" spans="1:19" x14ac:dyDescent="0.3">
      <c r="B35" t="s">
        <v>299</v>
      </c>
      <c r="C35" t="s">
        <v>311</v>
      </c>
      <c r="D35" t="s">
        <v>49</v>
      </c>
      <c r="E35" s="4">
        <f t="shared" si="5"/>
        <v>0</v>
      </c>
      <c r="F35" s="4"/>
      <c r="G35" s="4"/>
      <c r="H35" s="4"/>
      <c r="I35" s="4"/>
      <c r="J35" s="4"/>
      <c r="K35" s="4"/>
      <c r="L35" s="4"/>
      <c r="M35" s="4"/>
      <c r="N35" s="4"/>
      <c r="O35" s="4"/>
      <c r="P35" s="4"/>
    </row>
    <row r="36" spans="1:19" x14ac:dyDescent="0.3">
      <c r="B36" t="s">
        <v>299</v>
      </c>
      <c r="C36" t="s">
        <v>94</v>
      </c>
      <c r="D36" t="s">
        <v>49</v>
      </c>
      <c r="E36" s="4">
        <f t="shared" si="5"/>
        <v>2.4076715964597344E-4</v>
      </c>
      <c r="F36" s="4">
        <f>'Forage, input data per ha'!D13*(Frac_BAT_IE*EF_min_fert_BAT_N2O+Frac_AN_IE*EF_min_fert_AN_N2O)/'Forage, input data per ha'!C13</f>
        <v>4.7791180802654258E-5</v>
      </c>
      <c r="G36" s="4">
        <f>EF_capital_goods_N2O</f>
        <v>1.1000000000000001E-6</v>
      </c>
      <c r="H36" s="4">
        <f>('Forage, input data per ha'!D13*'Parameters SH, country spec'!G78+'Forage, input data per ha'!F13*'Parameters SH, country spec'!G79)*44/28/'Forage, input data per ha'!C13</f>
        <v>1.7407334076117385E-4</v>
      </c>
      <c r="I36" s="4">
        <f>H36*0.1</f>
        <v>1.7407334076117384E-5</v>
      </c>
      <c r="J36" s="4">
        <f>'Forage, input data per ha'!H13*EF_diesel_N2O*Heating_value_diesel/'Forage, input data per ha'!C13</f>
        <v>3.9530400602795185E-7</v>
      </c>
      <c r="K36" s="4"/>
      <c r="L36" s="4">
        <f>'Forage, input data per ha'!I13*'Parameters, general'!$D$17/'Forage, input data per ha'!C13</f>
        <v>0</v>
      </c>
      <c r="M36" s="4"/>
      <c r="N36" s="4"/>
      <c r="O36" s="4"/>
      <c r="P36" s="4"/>
    </row>
    <row r="37" spans="1:19" ht="15" customHeight="1" x14ac:dyDescent="0.3">
      <c r="A37" s="155"/>
      <c r="B37" s="155" t="s">
        <v>299</v>
      </c>
      <c r="C37" s="155" t="s">
        <v>95</v>
      </c>
      <c r="D37" s="155" t="s">
        <v>49</v>
      </c>
      <c r="E37" s="345">
        <f>SUM(F37:P37)</f>
        <v>0.13340629528261472</v>
      </c>
      <c r="F37" s="345">
        <f>SUMPRODUCT(F33:F36,'Parameters, general'!$B$23:$B$26)</f>
        <v>3.5987145443398816E-2</v>
      </c>
      <c r="G37" s="345">
        <f>SUMPRODUCT(G33:G36,'Parameters, general'!$B$23:$B$26)</f>
        <v>3.01313E-2</v>
      </c>
      <c r="H37" s="345">
        <f>SUMPRODUCT(H33:H36,'Parameters, general'!$B$23:$B$26)</f>
        <v>4.752202202780046E-2</v>
      </c>
      <c r="I37" s="345">
        <f>SUMPRODUCT(I33:I36,'Parameters, general'!$B$23:$B$26)</f>
        <v>4.7522022027800459E-3</v>
      </c>
      <c r="J37" s="345">
        <f>SUMPRODUCT(J33:J36,'Parameters, general'!$B$23:$B$26)</f>
        <v>1.5013625608635414E-2</v>
      </c>
      <c r="K37" s="345">
        <f>SUMPRODUCT(K33:K36,'Parameters, general'!$B$23:$B$26)</f>
        <v>0</v>
      </c>
      <c r="L37" s="345">
        <f>SUMPRODUCT(L33:L36,'Parameters, general'!$B$23:$B$26)</f>
        <v>0</v>
      </c>
      <c r="M37" s="345">
        <f>SUMPRODUCT(M33:M36,'Parameters, general'!$B$23:$B$26)</f>
        <v>0</v>
      </c>
      <c r="N37" s="345">
        <f>SUMPRODUCT(N33:N36,'Parameters, general'!$B$23:$B$26)</f>
        <v>0</v>
      </c>
      <c r="O37" s="345">
        <f>SUMPRODUCT(O33:O36,'Parameters, general'!$B$23:$B$26)</f>
        <v>0</v>
      </c>
      <c r="P37" s="345"/>
      <c r="R37" s="124"/>
      <c r="S37" s="6"/>
    </row>
    <row r="38" spans="1:19" x14ac:dyDescent="0.3">
      <c r="B38" t="s">
        <v>299</v>
      </c>
      <c r="C38" t="s">
        <v>91</v>
      </c>
      <c r="D38" t="s">
        <v>51</v>
      </c>
      <c r="E38" s="4">
        <f t="shared" ref="E38:E41" si="6">SUM(F38:P38)</f>
        <v>6.1293077534017679E-2</v>
      </c>
      <c r="F38" s="4">
        <f>'Forage, input data per ha'!D14*(Frac_BAT_IT*EF_min_fert_BAT_CO2+Frac_AN_IT*EF_min_fert_AN_CO2)/'Forage, input data per ha'!C14</f>
        <v>2.175109426324023E-2</v>
      </c>
      <c r="G38" s="4">
        <f>EF_capital_goods_CO2</f>
        <v>2.7E-2</v>
      </c>
      <c r="H38" s="4"/>
      <c r="I38" s="4"/>
      <c r="J38" s="4">
        <f>'Forage, input data per ha'!H14*EF_diesel_CO2*Heating_value_diesel/'Forage, input data per ha'!C14</f>
        <v>1.2125602631526086E-2</v>
      </c>
      <c r="K38" s="4"/>
      <c r="L38" s="4">
        <f>'Forage, input data per ha'!I14*'Parameters, general'!$B$17/'Forage, input data per ha'!C14</f>
        <v>4.1638063925135904E-4</v>
      </c>
      <c r="M38" s="4"/>
      <c r="N38" s="4"/>
      <c r="O38" s="4"/>
      <c r="P38" s="4"/>
    </row>
    <row r="39" spans="1:19" x14ac:dyDescent="0.3">
      <c r="B39" t="s">
        <v>299</v>
      </c>
      <c r="C39" t="s">
        <v>92</v>
      </c>
      <c r="D39" t="s">
        <v>51</v>
      </c>
      <c r="E39" s="4">
        <f t="shared" si="6"/>
        <v>1.4166510514020646E-4</v>
      </c>
      <c r="F39" s="4">
        <f>'Forage, input data per ha'!D14*(Frac_BAT_IT*EF_min_fert_BAT_CH4+Frac_AN_IT*EF_min_fert_AN_CH4)/'Forage, input data per ha'!C14</f>
        <v>3.9901302719260733E-5</v>
      </c>
      <c r="G39" s="4">
        <f>EF_capital_goods_CH4</f>
        <v>9.5000000000000005E-5</v>
      </c>
      <c r="H39" s="4"/>
      <c r="I39" s="4"/>
      <c r="J39" s="4">
        <f>'Forage, input data per ha'!H14*EF_diesel_CH4*Heating_value_diesel/'Forage, input data per ha'!C14</f>
        <v>5.371233094022949E-6</v>
      </c>
      <c r="K39" s="4"/>
      <c r="L39" s="4">
        <f>'Forage, input data per ha'!I14*'Parameters, general'!$C$17/'Forage, input data per ha'!C14</f>
        <v>1.3925693269227845E-6</v>
      </c>
      <c r="M39" s="4"/>
      <c r="N39" s="4"/>
      <c r="O39" s="4"/>
      <c r="P39" s="4"/>
    </row>
    <row r="40" spans="1:19" x14ac:dyDescent="0.3">
      <c r="B40" t="s">
        <v>299</v>
      </c>
      <c r="C40" t="s">
        <v>311</v>
      </c>
      <c r="D40" t="s">
        <v>51</v>
      </c>
      <c r="E40" s="4">
        <f t="shared" si="6"/>
        <v>0</v>
      </c>
      <c r="F40" s="4"/>
      <c r="G40" s="4"/>
      <c r="H40" s="4"/>
      <c r="I40" s="4"/>
      <c r="J40" s="4"/>
      <c r="K40" s="4"/>
      <c r="L40" s="4"/>
      <c r="M40" s="4"/>
      <c r="N40" s="4"/>
      <c r="O40" s="4"/>
      <c r="P40" s="4"/>
    </row>
    <row r="41" spans="1:19" x14ac:dyDescent="0.3">
      <c r="B41" t="s">
        <v>299</v>
      </c>
      <c r="C41" t="s">
        <v>94</v>
      </c>
      <c r="D41" t="s">
        <v>51</v>
      </c>
      <c r="E41" s="4">
        <f t="shared" si="6"/>
        <v>2.4071481350592891E-4</v>
      </c>
      <c r="F41" s="4">
        <f>'Forage, input data per ha'!D14*(Frac_BAT_IT*EF_min_fert_BAT_N2O+Frac_AN_IT*EF_min_fert_AN_N2O)/'Forage, input data per ha'!C14</f>
        <v>4.7791180802654258E-5</v>
      </c>
      <c r="G41" s="4">
        <f>EF_capital_goods_N2O</f>
        <v>1.1000000000000001E-6</v>
      </c>
      <c r="H41" s="4">
        <f>('Forage, input data per ha'!D14*'Parameters SH, country spec'!H78+'Forage, input data per ha'!F14*'Parameters SH, country spec'!H79)*44/28/'Forage, input data per ha'!C14</f>
        <v>1.7407334076117382E-4</v>
      </c>
      <c r="I41" s="4">
        <f>H41*0.1</f>
        <v>1.7407334076117384E-5</v>
      </c>
      <c r="J41" s="4">
        <f>'Forage, input data per ha'!H14*EF_diesel_N2O*Heating_value_diesel/'Forage, input data per ha'!C14</f>
        <v>3.2581967028863559E-7</v>
      </c>
      <c r="K41" s="4"/>
      <c r="L41" s="4">
        <f>'Forage, input data per ha'!I14*'Parameters, general'!$D$17/'Forage, input data per ha'!C14</f>
        <v>1.7138195694812812E-8</v>
      </c>
      <c r="M41" s="4"/>
      <c r="N41" s="4"/>
      <c r="O41" s="4"/>
      <c r="P41" s="4"/>
    </row>
    <row r="42" spans="1:19" ht="15" customHeight="1" x14ac:dyDescent="0.3">
      <c r="A42" s="155"/>
      <c r="B42" s="155" t="s">
        <v>299</v>
      </c>
      <c r="C42" s="155" t="s">
        <v>95</v>
      </c>
      <c r="D42" s="155" t="s">
        <v>51</v>
      </c>
      <c r="E42" s="345">
        <f>SUM(F42:P42)</f>
        <v>0.13122984175431443</v>
      </c>
      <c r="F42" s="345">
        <f>SUMPRODUCT(F38:F41,'Parameters, general'!$B$23:$B$26)</f>
        <v>3.5987145443398816E-2</v>
      </c>
      <c r="G42" s="345">
        <f>SUMPRODUCT(G38:G41,'Parameters, general'!$B$23:$B$26)</f>
        <v>3.01313E-2</v>
      </c>
      <c r="H42" s="345">
        <f>SUMPRODUCT(H38:H41,'Parameters, general'!$B$23:$B$26)</f>
        <v>4.7522022027800453E-2</v>
      </c>
      <c r="I42" s="345">
        <f>SUMPRODUCT(I38:I41,'Parameters, general'!$B$23:$B$26)</f>
        <v>4.7522022027800459E-3</v>
      </c>
      <c r="J42" s="345">
        <f>SUMPRODUCT(J38:J41,'Parameters, general'!$B$23:$B$26)</f>
        <v>1.2374614147716767E-2</v>
      </c>
      <c r="K42" s="345">
        <f>SUMPRODUCT(K38:K41,'Parameters, general'!$B$23:$B$26)</f>
        <v>0</v>
      </c>
      <c r="L42" s="345">
        <f>SUMPRODUCT(L38:L41,'Parameters, general'!$B$23:$B$26)</f>
        <v>4.6255793261834192E-4</v>
      </c>
      <c r="M42" s="345">
        <f>SUMPRODUCT(M38:M41,'Parameters, general'!$B$23:$B$26)</f>
        <v>0</v>
      </c>
      <c r="N42" s="345">
        <f>SUMPRODUCT(N38:N41,'Parameters, general'!$B$23:$B$26)</f>
        <v>0</v>
      </c>
      <c r="O42" s="345">
        <f>SUMPRODUCT(O38:O41,'Parameters, general'!$B$23:$B$26)</f>
        <v>0</v>
      </c>
      <c r="P42" s="345"/>
      <c r="R42" s="124"/>
      <c r="S42" s="6"/>
    </row>
    <row r="43" spans="1:19" x14ac:dyDescent="0.3">
      <c r="B43" t="s">
        <v>299</v>
      </c>
      <c r="C43" t="s">
        <v>91</v>
      </c>
      <c r="D43" t="s">
        <v>53</v>
      </c>
      <c r="E43" s="4">
        <f t="shared" ref="E43:E46" si="7">SUM(F43:P43)</f>
        <v>0.14487727946271467</v>
      </c>
      <c r="F43" s="4">
        <f>'Forage, input data per ha'!D15*(Frac_BAT_NL*EF_min_fert_BAT_CO2+Frac_AN_NL*EF_min_fert_AN_CO2)/'Forage, input data per ha'!C15</f>
        <v>9.7200179188847394E-2</v>
      </c>
      <c r="G43" s="4">
        <f>EF_capital_goods_CO2</f>
        <v>2.7E-2</v>
      </c>
      <c r="H43" s="4"/>
      <c r="I43" s="4"/>
      <c r="J43" s="4">
        <f>'Forage, input data per ha'!H15*EF_diesel_CO2*Heating_value_diesel/'Forage, input data per ha'!C15</f>
        <v>2.0602019827343845E-2</v>
      </c>
      <c r="K43" s="4"/>
      <c r="L43" s="4">
        <f>'Forage, input data per ha'!I15*'Parameters, general'!$B$17/'Forage, input data per ha'!C15</f>
        <v>7.5080446523445883E-5</v>
      </c>
      <c r="M43" s="4"/>
      <c r="N43" s="276"/>
      <c r="O43" s="4"/>
      <c r="P43" s="4"/>
    </row>
    <row r="44" spans="1:19" x14ac:dyDescent="0.3">
      <c r="B44" t="s">
        <v>299</v>
      </c>
      <c r="C44" t="s">
        <v>92</v>
      </c>
      <c r="D44" t="s">
        <v>53</v>
      </c>
      <c r="E44" s="4">
        <f t="shared" si="7"/>
        <v>2.8268600759209957E-4</v>
      </c>
      <c r="F44" s="4">
        <f>'Forage, input data per ha'!D15*(Frac_BAT_NL*EF_min_fert_BAT_CH4+Frac_AN_NL*EF_min_fert_AN_CH4)/'Forage, input data per ha'!C15</f>
        <v>1.7830890378398945E-4</v>
      </c>
      <c r="G44" s="4">
        <f>EF_capital_goods_CH4</f>
        <v>9.5000000000000005E-5</v>
      </c>
      <c r="H44" s="4"/>
      <c r="I44" s="4"/>
      <c r="J44" s="4">
        <f>'Forage, input data per ha'!H15*EF_diesel_CH4*Heating_value_diesel/'Forage, input data per ha'!C15</f>
        <v>9.1260000894833206E-6</v>
      </c>
      <c r="K44" s="4"/>
      <c r="L44" s="4">
        <f>'Forage, input data per ha'!I15*'Parameters, general'!$C$17/'Forage, input data per ha'!C15</f>
        <v>2.5110371862679221E-7</v>
      </c>
      <c r="M44" s="4"/>
      <c r="N44" s="4"/>
      <c r="O44" s="4"/>
      <c r="P44" s="4"/>
    </row>
    <row r="45" spans="1:19" x14ac:dyDescent="0.3">
      <c r="B45" t="s">
        <v>299</v>
      </c>
      <c r="C45" t="s">
        <v>311</v>
      </c>
      <c r="D45" t="s">
        <v>53</v>
      </c>
      <c r="E45" s="4">
        <f t="shared" si="7"/>
        <v>0</v>
      </c>
      <c r="F45" s="4"/>
      <c r="G45" s="4"/>
      <c r="H45" s="4"/>
      <c r="I45" s="4"/>
      <c r="J45" s="4"/>
      <c r="K45" s="4"/>
      <c r="L45" s="4"/>
      <c r="M45" s="4"/>
      <c r="N45" s="4"/>
      <c r="O45" s="4"/>
      <c r="P45" s="4"/>
    </row>
    <row r="46" spans="1:19" x14ac:dyDescent="0.3">
      <c r="B46" t="s">
        <v>299</v>
      </c>
      <c r="C46" t="s">
        <v>94</v>
      </c>
      <c r="D46" t="s">
        <v>53</v>
      </c>
      <c r="E46" s="4">
        <f t="shared" si="7"/>
        <v>9.6094583821907287E-4</v>
      </c>
      <c r="F46" s="4">
        <f>'Forage, input data per ha'!D15*(Frac_BAT_NL*EF_min_fert_BAT_N2O+Frac_AN_NL*EF_min_fert_AN_N2O)/'Forage, input data per ha'!C15</f>
        <v>2.1356678801743158E-4</v>
      </c>
      <c r="G46" s="4">
        <f>EF_capital_goods_N2O</f>
        <v>1.1000000000000001E-6</v>
      </c>
      <c r="H46" s="4">
        <f>('Forage, input data per ha'!D15*'Parameters SH, country spec'!I78+'Forage, input data per ha'!F15*'Parameters SH, country spec'!I79)*44/28/'Forage, input data per ha'!C15</f>
        <v>6.7792943235542443E-4</v>
      </c>
      <c r="I46" s="4">
        <f>H46*0.1</f>
        <v>6.7792943235542451E-5</v>
      </c>
      <c r="J46" s="4">
        <f>'Forage, input data per ha'!H15*EF_diesel_N2O*Heating_value_diesel/'Forage, input data per ha'!C15</f>
        <v>5.5358430516045113E-7</v>
      </c>
      <c r="K46" s="4"/>
      <c r="L46" s="4">
        <f>'Forage, input data per ha'!I15*'Parameters, general'!$D$17/'Forage, input data per ha'!C15</f>
        <v>3.0903055139313702E-9</v>
      </c>
      <c r="M46" s="4"/>
      <c r="N46" s="4"/>
      <c r="O46" s="4"/>
      <c r="P46" s="4"/>
    </row>
    <row r="47" spans="1:19" ht="15" customHeight="1" x14ac:dyDescent="0.3">
      <c r="A47" s="155"/>
      <c r="B47" s="155" t="s">
        <v>299</v>
      </c>
      <c r="C47" s="155" t="s">
        <v>95</v>
      </c>
      <c r="D47" s="155" t="s">
        <v>53</v>
      </c>
      <c r="E47" s="345">
        <f>SUM(F47:P47)</f>
        <v>0.41563953632276618</v>
      </c>
      <c r="F47" s="345">
        <f>SUMPRODUCT(F43:F46,'Parameters, general'!$B$23:$B$26)</f>
        <v>0.16081751765036911</v>
      </c>
      <c r="G47" s="345">
        <f>SUMPRODUCT(G43:G46,'Parameters, general'!$B$23:$B$26)</f>
        <v>3.01313E-2</v>
      </c>
      <c r="H47" s="345">
        <f>SUMPRODUCT(H43:H46,'Parameters, general'!$B$23:$B$26)</f>
        <v>0.18507473503303087</v>
      </c>
      <c r="I47" s="345">
        <f>SUMPRODUCT(I43:I46,'Parameters, general'!$B$23:$B$26)</f>
        <v>1.850747350330309E-2</v>
      </c>
      <c r="J47" s="345">
        <f>SUMPRODUCT(J43:J46,'Parameters, general'!$B$23:$B$26)</f>
        <v>2.1025103145319253E-2</v>
      </c>
      <c r="K47" s="345">
        <f>SUMPRODUCT(K43:K46,'Parameters, general'!$B$23:$B$26)</f>
        <v>0</v>
      </c>
      <c r="L47" s="345">
        <f>SUMPRODUCT(L43:L46,'Parameters, general'!$B$23:$B$26)</f>
        <v>8.3406990743827548E-5</v>
      </c>
      <c r="M47" s="345">
        <f>SUMPRODUCT(M43:M46,'Parameters, general'!$B$23:$B$26)</f>
        <v>0</v>
      </c>
      <c r="N47" s="345">
        <f>SUMPRODUCT(N43:N46,'Parameters, general'!$B$23:$B$26)</f>
        <v>0</v>
      </c>
      <c r="O47" s="345">
        <f>SUMPRODUCT(O43:O46,'Parameters, general'!$B$23:$B$26)</f>
        <v>0</v>
      </c>
      <c r="P47" s="345"/>
      <c r="R47" s="124"/>
      <c r="S47" s="6"/>
    </row>
    <row r="48" spans="1:19" x14ac:dyDescent="0.3">
      <c r="B48" t="s">
        <v>299</v>
      </c>
      <c r="C48" t="s">
        <v>91</v>
      </c>
      <c r="D48" t="s">
        <v>55</v>
      </c>
      <c r="E48" s="4">
        <f t="shared" ref="E48:E51" si="8">SUM(F48:P48)</f>
        <v>0.13900206333363052</v>
      </c>
      <c r="F48" s="4">
        <f>'Forage, input data per ha'!D16*(Frac_BAT_PL*EF_min_fert_BAT_CO2+Frac_AN_PL*EF_min_fert_AN_CO2)/'Forage, input data per ha'!C16</f>
        <v>2.1751094263240234E-2</v>
      </c>
      <c r="G48" s="4">
        <f>EF_capital_goods_CO2</f>
        <v>2.7E-2</v>
      </c>
      <c r="H48" s="4"/>
      <c r="I48" s="4"/>
      <c r="J48" s="4">
        <f>'Forage, input data per ha'!H16*EF_diesel_CO2*Heating_value_diesel/'Forage, input data per ha'!C16</f>
        <v>1.5222817539100278E-2</v>
      </c>
      <c r="K48" s="4"/>
      <c r="L48" s="4">
        <f>'Forage, input data per ha'!I16*'Parameters, general'!$B$17/'Forage, input data per ha'!I16</f>
        <v>7.5028151531290013E-2</v>
      </c>
      <c r="M48" s="4"/>
      <c r="N48" s="276"/>
      <c r="O48" s="4"/>
      <c r="P48" s="4"/>
    </row>
    <row r="49" spans="1:19" x14ac:dyDescent="0.3">
      <c r="B49" t="s">
        <v>299</v>
      </c>
      <c r="C49" t="s">
        <v>92</v>
      </c>
      <c r="D49" t="s">
        <v>55</v>
      </c>
      <c r="E49" s="4">
        <f t="shared" si="8"/>
        <v>1.4170396663282844E-4</v>
      </c>
      <c r="F49" s="4">
        <f>'Forage, input data per ha'!D16*(Frac_BAT_PL*EF_min_fert_BAT_CH4+Frac_AN_PL*EF_min_fert_AN_CH4)/'Forage, input data per ha'!C16</f>
        <v>3.9901302719260733E-5</v>
      </c>
      <c r="G49" s="4">
        <f>EF_capital_goods_CH4</f>
        <v>9.5000000000000005E-5</v>
      </c>
      <c r="H49" s="4"/>
      <c r="I49" s="4"/>
      <c r="J49" s="4">
        <f>'Forage, input data per ha'!H16*EF_diesel_CH4*Heating_value_diesel/'Forage, input data per ha'!C16</f>
        <v>6.7431948609054584E-6</v>
      </c>
      <c r="K49" s="4"/>
      <c r="L49" s="4">
        <f>'Forage, input data per ha'!I16*'Parameters, general'!$C$17/'Forage, input data per ha'!C16</f>
        <v>5.9469052662250286E-8</v>
      </c>
      <c r="M49" s="4"/>
      <c r="N49" s="4"/>
      <c r="O49" s="4"/>
      <c r="P49" s="4"/>
    </row>
    <row r="50" spans="1:19" x14ac:dyDescent="0.3">
      <c r="B50" t="s">
        <v>299</v>
      </c>
      <c r="C50" t="s">
        <v>311</v>
      </c>
      <c r="D50" t="s">
        <v>55</v>
      </c>
      <c r="E50" s="4">
        <f t="shared" si="8"/>
        <v>0</v>
      </c>
      <c r="F50" s="4"/>
      <c r="G50" s="4"/>
      <c r="H50" s="4"/>
      <c r="I50" s="4"/>
      <c r="J50" s="4"/>
      <c r="K50" s="4"/>
      <c r="L50" s="4"/>
      <c r="M50" s="4"/>
      <c r="N50" s="4"/>
      <c r="O50" s="4"/>
      <c r="P50" s="4"/>
    </row>
    <row r="51" spans="1:19" x14ac:dyDescent="0.3">
      <c r="B51" t="s">
        <v>299</v>
      </c>
      <c r="C51" t="s">
        <v>94</v>
      </c>
      <c r="D51" t="s">
        <v>55</v>
      </c>
      <c r="E51" s="4">
        <f t="shared" si="8"/>
        <v>2.4078163056136687E-4</v>
      </c>
      <c r="F51" s="4">
        <f>'Forage, input data per ha'!D16*(Frac_BAT_PL*EF_min_fert_BAT_N2O+Frac_AN_PL*EF_min_fert_AN_N2O)/'Forage, input data per ha'!C16</f>
        <v>4.7791180802654265E-5</v>
      </c>
      <c r="G51" s="4">
        <f>EF_capital_goods_N2O</f>
        <v>1.1000000000000001E-6</v>
      </c>
      <c r="H51" s="4">
        <f>('Forage, input data per ha'!D16*'Parameters SH, country spec'!J78+'Forage, input data per ha'!F16*'Parameters SH, country spec'!J79)*44/28/'Forage, input data per ha'!C16</f>
        <v>1.7407334076117385E-4</v>
      </c>
      <c r="I51" s="4">
        <f>H51*0.1</f>
        <v>1.7407334076117384E-5</v>
      </c>
      <c r="J51" s="4">
        <f>'Forage, input data per ha'!H16*EF_diesel_N2O*Heating_value_diesel/'Forage, input data per ha'!C16</f>
        <v>4.0904304240996531E-7</v>
      </c>
      <c r="K51" s="4"/>
      <c r="L51" s="4">
        <f>'Forage, input data per ha'!I16*'Parameters, general'!$D$17/'Forage, input data per ha'!C16</f>
        <v>7.3187901141189401E-10</v>
      </c>
      <c r="M51" s="4"/>
      <c r="N51" s="4"/>
      <c r="O51" s="4"/>
      <c r="P51" s="4"/>
    </row>
    <row r="52" spans="1:19" ht="15" customHeight="1" x14ac:dyDescent="0.3">
      <c r="A52" s="155"/>
      <c r="B52" s="155" t="s">
        <v>299</v>
      </c>
      <c r="C52" s="155" t="s">
        <v>95</v>
      </c>
      <c r="D52" s="155" t="s">
        <v>55</v>
      </c>
      <c r="E52" s="345">
        <f>SUM(F52:P52)</f>
        <v>0.20895822668254194</v>
      </c>
      <c r="F52" s="345">
        <f>SUMPRODUCT(F48:F51,'Parameters, general'!$B$23:$B$26)</f>
        <v>3.5987145443398816E-2</v>
      </c>
      <c r="G52" s="345">
        <f>SUMPRODUCT(G48:G51,'Parameters, general'!$B$23:$B$26)</f>
        <v>3.01313E-2</v>
      </c>
      <c r="H52" s="345">
        <f>SUMPRODUCT(H48:H51,'Parameters, general'!$B$23:$B$26)</f>
        <v>4.752202202780046E-2</v>
      </c>
      <c r="I52" s="345">
        <f>SUMPRODUCT(I48:I51,'Parameters, general'!$B$23:$B$26)</f>
        <v>4.7522022027800459E-3</v>
      </c>
      <c r="J52" s="345">
        <f>SUMPRODUCT(J48:J51,'Parameters, general'!$B$23:$B$26)</f>
        <v>1.553543349653318E-2</v>
      </c>
      <c r="K52" s="345">
        <f>SUMPRODUCT(K48:K51,'Parameters, general'!$B$23:$B$26)</f>
        <v>0</v>
      </c>
      <c r="L52" s="345">
        <f>SUMPRODUCT(L48:L51,'Parameters, general'!$B$23:$B$26)</f>
        <v>7.5030123512029465E-2</v>
      </c>
      <c r="M52" s="345">
        <f>SUMPRODUCT(M48:M51,'Parameters, general'!$B$23:$B$26)</f>
        <v>0</v>
      </c>
      <c r="N52" s="345">
        <f>SUMPRODUCT(N48:N51,'Parameters, general'!$B$23:$B$26)</f>
        <v>0</v>
      </c>
      <c r="O52" s="345">
        <f>SUMPRODUCT(O48:O51,'Parameters, general'!$B$23:$B$26)</f>
        <v>0</v>
      </c>
      <c r="P52" s="345"/>
      <c r="R52" s="124"/>
      <c r="S52" s="6"/>
    </row>
    <row r="53" spans="1:19" x14ac:dyDescent="0.3">
      <c r="B53" t="s">
        <v>299</v>
      </c>
      <c r="C53" t="s">
        <v>91</v>
      </c>
      <c r="D53" t="s">
        <v>57</v>
      </c>
      <c r="E53" s="4">
        <f t="shared" ref="E53:E56" si="9">SUM(F53:P53)</f>
        <v>7.3790006479957662E-2</v>
      </c>
      <c r="F53" s="4">
        <f>'Forage, input data per ha'!D17*(Frac_BAT_ES*EF_min_fert_BAT_CO2+Frac_AN_ES*EF_min_fert_AN_CO2)/'Forage, input data per ha'!C17</f>
        <v>2.1751094263240234E-2</v>
      </c>
      <c r="G53" s="4">
        <f>EF_capital_goods_CO2</f>
        <v>2.7E-2</v>
      </c>
      <c r="H53" s="4"/>
      <c r="I53" s="4"/>
      <c r="J53" s="4">
        <f>'Forage, input data per ha'!H17*EF_diesel_CO2*Heating_value_diesel/'Forage, input data per ha'!C17</f>
        <v>2.1919113211738082E-2</v>
      </c>
      <c r="K53" s="4"/>
      <c r="L53" s="4">
        <f>'Forage, input data per ha'!I17*'Parameters, general'!$B$17/'Forage, input data per ha'!C17</f>
        <v>3.1197990049793398E-3</v>
      </c>
      <c r="M53" s="4"/>
      <c r="N53" s="4"/>
      <c r="O53" s="4"/>
      <c r="P53" s="4"/>
    </row>
    <row r="54" spans="1:19" x14ac:dyDescent="0.3">
      <c r="B54" t="s">
        <v>299</v>
      </c>
      <c r="C54" t="s">
        <v>92</v>
      </c>
      <c r="D54" t="s">
        <v>57</v>
      </c>
      <c r="E54" s="4">
        <f t="shared" si="9"/>
        <v>1.5504478074565914E-4</v>
      </c>
      <c r="F54" s="4">
        <f>'Forage, input data per ha'!D17*(Frac_BAT_ES*EF_min_fert_BAT_CH4+Frac_AN_ES*EF_min_fert_AN_CH4)/'Forage, input data per ha'!C17</f>
        <v>3.9901302719260733E-5</v>
      </c>
      <c r="G54" s="4">
        <f>EF_capital_goods_CH4</f>
        <v>9.5000000000000005E-5</v>
      </c>
      <c r="H54" s="4"/>
      <c r="I54" s="4"/>
      <c r="J54" s="4">
        <f>'Forage, input data per ha'!H17*EF_diesel_CH4*Heating_value_diesel/'Forage, input data per ha'!C17</f>
        <v>9.7094280467696498E-6</v>
      </c>
      <c r="K54" s="4"/>
      <c r="L54" s="4">
        <f>'Forage, input data per ha'!I17*'Parameters, general'!$C$17/'Forage, input data per ha'!C17</f>
        <v>1.0434049979628758E-5</v>
      </c>
      <c r="M54" s="4"/>
      <c r="N54" s="4"/>
      <c r="O54" s="4"/>
      <c r="P54" s="4"/>
    </row>
    <row r="55" spans="1:19" x14ac:dyDescent="0.3">
      <c r="B55" t="s">
        <v>299</v>
      </c>
      <c r="C55" t="s">
        <v>311</v>
      </c>
      <c r="D55" t="s">
        <v>57</v>
      </c>
      <c r="E55" s="4">
        <f t="shared" si="9"/>
        <v>0</v>
      </c>
      <c r="F55" s="4"/>
      <c r="G55" s="4"/>
      <c r="H55" s="4"/>
      <c r="I55" s="4"/>
      <c r="J55" s="4"/>
      <c r="K55" s="4"/>
      <c r="L55" s="4"/>
      <c r="M55" s="4"/>
      <c r="N55" s="4"/>
      <c r="O55" s="4"/>
      <c r="P55" s="4"/>
    </row>
    <row r="56" spans="1:19" x14ac:dyDescent="0.3">
      <c r="B56" t="s">
        <v>299</v>
      </c>
      <c r="C56" t="s">
        <v>94</v>
      </c>
      <c r="D56" t="s">
        <v>57</v>
      </c>
      <c r="E56" s="4">
        <f t="shared" si="9"/>
        <v>2.4108924144950811E-4</v>
      </c>
      <c r="F56" s="4">
        <f>'Forage, input data per ha'!D17*(Frac_BAT_ES*EF_min_fert_BAT_N2O+Frac_AN_ES*EF_min_fert_AN_N2O)/'Forage, input data per ha'!C17</f>
        <v>4.7791180802654265E-5</v>
      </c>
      <c r="G56" s="4">
        <f>EF_capital_goods_N2O</f>
        <v>1.1000000000000001E-6</v>
      </c>
      <c r="H56" s="4">
        <f>('Forage, input data per ha'!D17*'Parameters SH, country spec'!K78+'Forage, input data per ha'!F17*'Parameters SH, country spec'!K79)*44/28/'Forage, input data per ha'!C17</f>
        <v>1.7407334076117385E-4</v>
      </c>
      <c r="I56" s="4">
        <f>H56*0.1</f>
        <v>1.7407334076117384E-5</v>
      </c>
      <c r="J56" s="4">
        <f>'Forage, input data per ha'!H17*EF_diesel_N2O*Heating_value_diesel/'Forage, input data per ha'!C17</f>
        <v>5.8897511791287795E-7</v>
      </c>
      <c r="K56" s="4"/>
      <c r="L56" s="4">
        <f>'Forage, input data per ha'!I17*'Parameters, general'!$D$17/'Forage, input data per ha'!C17</f>
        <v>1.2841069164971674E-7</v>
      </c>
      <c r="M56" s="4"/>
      <c r="N56" s="4"/>
      <c r="O56" s="4"/>
      <c r="P56" s="4"/>
    </row>
    <row r="57" spans="1:19" ht="15" customHeight="1" x14ac:dyDescent="0.3">
      <c r="A57" s="155"/>
      <c r="B57" s="155" t="s">
        <v>299</v>
      </c>
      <c r="C57" s="155" t="s">
        <v>95</v>
      </c>
      <c r="D57" s="155" t="s">
        <v>57</v>
      </c>
      <c r="E57" s="345">
        <f>SUM(F57:P57)</f>
        <v>0.14422770386189399</v>
      </c>
      <c r="F57" s="345">
        <f>SUMPRODUCT(F53:F56,'Parameters, general'!$B$23:$B$26)</f>
        <v>3.5987145443398816E-2</v>
      </c>
      <c r="G57" s="345">
        <f>SUMPRODUCT(G53:G56,'Parameters, general'!$B$23:$B$26)</f>
        <v>3.01313E-2</v>
      </c>
      <c r="H57" s="345">
        <f>SUMPRODUCT(H53:H56,'Parameters, general'!$B$23:$B$26)</f>
        <v>4.752202202780046E-2</v>
      </c>
      <c r="I57" s="345">
        <f>SUMPRODUCT(I53:I56,'Parameters, general'!$B$23:$B$26)</f>
        <v>4.7522022027800459E-3</v>
      </c>
      <c r="J57" s="345">
        <f>SUMPRODUCT(J53:J56,'Parameters, general'!$B$23:$B$26)</f>
        <v>2.2369244374722035E-2</v>
      </c>
      <c r="K57" s="345">
        <f>SUMPRODUCT(K53:K56,'Parameters, general'!$B$23:$B$26)</f>
        <v>0</v>
      </c>
      <c r="L57" s="345">
        <f>SUMPRODUCT(L53:L56,'Parameters, general'!$B$23:$B$26)</f>
        <v>3.4657898131926494E-3</v>
      </c>
      <c r="M57" s="345">
        <f>SUMPRODUCT(M53:M56,'Parameters, general'!$B$23:$B$26)</f>
        <v>0</v>
      </c>
      <c r="N57" s="345">
        <f>SUMPRODUCT(N53:N56,'Parameters, general'!$B$23:$B$26)</f>
        <v>0</v>
      </c>
      <c r="O57" s="345">
        <f>SUMPRODUCT(O53:O56,'Parameters, general'!$B$23:$B$26)</f>
        <v>0</v>
      </c>
      <c r="P57" s="345"/>
      <c r="R57" s="124"/>
      <c r="S57" s="6"/>
    </row>
    <row r="58" spans="1:19" x14ac:dyDescent="0.3">
      <c r="B58" t="s">
        <v>299</v>
      </c>
      <c r="C58" t="s">
        <v>91</v>
      </c>
      <c r="D58" t="s">
        <v>59</v>
      </c>
      <c r="E58" s="4">
        <f t="shared" ref="E58:E61" si="10">SUM(F58:P58)</f>
        <v>6.0039825186889023E-2</v>
      </c>
      <c r="F58" s="4">
        <f>'Forage, input data per ha'!D18*(Frac_BAT_SE*EF_min_fert_BAT_CO2+Frac_AN_SE*EF_min_fert_AN_CO2)/'Forage, input data per ha'!C18</f>
        <v>0</v>
      </c>
      <c r="G58" s="4">
        <f>EF_capital_goods_CO2</f>
        <v>2.7E-2</v>
      </c>
      <c r="H58" s="4"/>
      <c r="I58" s="4"/>
      <c r="J58" s="4">
        <f>'Forage, input data per ha'!H18*EF_diesel_CO2*Heating_value_diesel/'Forage, input data per ha'!C18</f>
        <v>3.303982518688902E-2</v>
      </c>
      <c r="K58" s="4"/>
      <c r="L58" s="4">
        <f>'Forage, input data per ha'!I18*'Parameters, general'!$B$17/'Forage, input data per ha'!C18</f>
        <v>0</v>
      </c>
      <c r="M58" s="4"/>
      <c r="N58" s="276"/>
      <c r="O58" s="4"/>
      <c r="P58" s="4"/>
    </row>
    <row r="59" spans="1:19" x14ac:dyDescent="0.3">
      <c r="B59" t="s">
        <v>299</v>
      </c>
      <c r="C59" t="s">
        <v>92</v>
      </c>
      <c r="D59" t="s">
        <v>59</v>
      </c>
      <c r="E59" s="4">
        <f t="shared" si="10"/>
        <v>1.0963552846463486E-4</v>
      </c>
      <c r="F59" s="4">
        <f>'Forage, input data per ha'!D18*(Frac_BAT_SE*EF_min_fert_BAT_CH4+Frac_AN_SE*EF_min_fert_AN_CH4)/'Forage, input data per ha'!C18</f>
        <v>0</v>
      </c>
      <c r="G59" s="4">
        <f>EF_capital_goods_CH4</f>
        <v>9.5000000000000005E-5</v>
      </c>
      <c r="H59" s="4"/>
      <c r="I59" s="4"/>
      <c r="J59" s="4">
        <f>'Forage, input data per ha'!H18*EF_diesel_CH4*Heating_value_diesel/'Forage, input data per ha'!C18</f>
        <v>1.463552846463485E-5</v>
      </c>
      <c r="K59" s="4"/>
      <c r="L59" s="4">
        <f>'Forage, input data per ha'!I18*'Parameters, general'!$C$17/'Forage, input data per ha'!C18</f>
        <v>0</v>
      </c>
      <c r="M59" s="4"/>
      <c r="N59" s="4"/>
      <c r="O59" s="4"/>
      <c r="P59" s="4"/>
    </row>
    <row r="60" spans="1:19" x14ac:dyDescent="0.3">
      <c r="B60" t="s">
        <v>299</v>
      </c>
      <c r="C60" t="s">
        <v>311</v>
      </c>
      <c r="D60" t="s">
        <v>59</v>
      </c>
      <c r="E60" s="4">
        <f t="shared" si="10"/>
        <v>0</v>
      </c>
      <c r="F60" s="4"/>
      <c r="G60" s="4"/>
      <c r="H60" s="4"/>
      <c r="I60" s="4"/>
      <c r="J60" s="4"/>
      <c r="K60" s="4"/>
      <c r="L60" s="4"/>
      <c r="M60" s="4"/>
      <c r="N60" s="4"/>
      <c r="O60" s="4"/>
      <c r="P60" s="4"/>
    </row>
    <row r="61" spans="1:19" x14ac:dyDescent="0.3">
      <c r="B61" t="s">
        <v>299</v>
      </c>
      <c r="C61" t="s">
        <v>94</v>
      </c>
      <c r="D61" t="s">
        <v>59</v>
      </c>
      <c r="E61" s="4">
        <f t="shared" si="10"/>
        <v>5.0799301372574892E-5</v>
      </c>
      <c r="F61" s="4">
        <f>'Forage, input data per ha'!D18*(Frac_BAT_SE*EF_min_fert_BAT_N2O+Frac_AN_SE*EF_min_fert_AN_N2O)/'Forage, input data per ha'!C18</f>
        <v>0</v>
      </c>
      <c r="G61" s="4">
        <f>EF_capital_goods_N2O</f>
        <v>1.1000000000000001E-6</v>
      </c>
      <c r="H61" s="4">
        <f>('Forage, input data per ha'!D18*'Parameters SH, country spec'!L78+'Forage, input data per ha'!F18*'Parameters SH, country spec'!L79)*44/28/'Forage, input data per ha'!C18</f>
        <v>4.4374098534637324E-5</v>
      </c>
      <c r="I61" s="4">
        <f>H61*0.1</f>
        <v>4.4374098534637329E-6</v>
      </c>
      <c r="J61" s="4">
        <f>'Forage, input data per ha'!H18*EF_diesel_N2O*Heating_value_diesel/'Forage, input data per ha'!C18</f>
        <v>8.8779298447383559E-7</v>
      </c>
      <c r="K61" s="4"/>
      <c r="L61" s="4">
        <f>'Forage, input data per ha'!I18*'Parameters, general'!$D$17/'Forage, input data per ha'!C18</f>
        <v>0</v>
      </c>
      <c r="M61" s="4"/>
      <c r="N61" s="4"/>
      <c r="O61" s="4"/>
      <c r="P61" s="4"/>
    </row>
    <row r="62" spans="1:19" ht="15" customHeight="1" x14ac:dyDescent="0.3">
      <c r="A62" s="155"/>
      <c r="B62" s="155" t="s">
        <v>299</v>
      </c>
      <c r="C62" s="155" t="s">
        <v>95</v>
      </c>
      <c r="D62" s="155" t="s">
        <v>59</v>
      </c>
      <c r="E62" s="345">
        <f>SUM(F62:P62)</f>
        <v>7.7175173209848083E-2</v>
      </c>
      <c r="F62" s="345">
        <f>SUMPRODUCT(F58:F61,'Parameters, general'!$B$23:$B$26)</f>
        <v>0</v>
      </c>
      <c r="G62" s="345">
        <f>SUMPRODUCT(G58:G61,'Parameters, general'!$B$23:$B$26)</f>
        <v>3.01313E-2</v>
      </c>
      <c r="H62" s="345">
        <f>SUMPRODUCT(H58:H61,'Parameters, general'!$B$23:$B$26)</f>
        <v>1.211412889995599E-2</v>
      </c>
      <c r="I62" s="345">
        <f>SUMPRODUCT(I58:I61,'Parameters, general'!$B$23:$B$26)</f>
        <v>1.2114128899955992E-3</v>
      </c>
      <c r="J62" s="345">
        <f>SUMPRODUCT(J58:J61,'Parameters, general'!$B$23:$B$26)</f>
        <v>3.3718331419896497E-2</v>
      </c>
      <c r="K62" s="345">
        <f>SUMPRODUCT(K58:K61,'Parameters, general'!$B$23:$B$26)</f>
        <v>0</v>
      </c>
      <c r="L62" s="345">
        <f>SUMPRODUCT(L58:L61,'Parameters, general'!$B$23:$B$26)</f>
        <v>0</v>
      </c>
      <c r="M62" s="345">
        <f>SUMPRODUCT(M58:M61,'Parameters, general'!$B$23:$B$26)</f>
        <v>0</v>
      </c>
      <c r="N62" s="345">
        <f>SUMPRODUCT(N58:N61,'Parameters, general'!$B$23:$B$26)</f>
        <v>0</v>
      </c>
      <c r="O62" s="345">
        <f>SUMPRODUCT(O58:O61,'Parameters, general'!$B$23:$B$26)</f>
        <v>0</v>
      </c>
      <c r="P62" s="345"/>
      <c r="R62" s="124"/>
      <c r="S62" s="6"/>
    </row>
    <row r="63" spans="1:19" x14ac:dyDescent="0.3">
      <c r="B63" t="s">
        <v>299</v>
      </c>
      <c r="C63" t="s">
        <v>91</v>
      </c>
      <c r="D63" t="s">
        <v>556</v>
      </c>
      <c r="E63" s="4">
        <f t="shared" ref="E63:E66" si="11">SUM(F63:P63)</f>
        <v>6.3462604134633421E-2</v>
      </c>
      <c r="F63" s="4">
        <f>'Forage, input data per ha'!D19*(Frac_BAT_GB*EF_min_fert_BAT_CO2+Frac_AN_GB*EF_min_fert_AN_CO2)/'Forage, input data per ha'!C19</f>
        <v>2.1751094263240234E-2</v>
      </c>
      <c r="G63" s="4">
        <f>EF_capital_goods_CO2</f>
        <v>2.7E-2</v>
      </c>
      <c r="H63" s="4"/>
      <c r="I63" s="4"/>
      <c r="J63" s="4">
        <f>'Forage, input data per ha'!H19*EF_diesel_CO2*Heating_value_diesel/'Forage, input data per ha'!C19</f>
        <v>1.4711509871393188E-2</v>
      </c>
      <c r="K63" s="4"/>
      <c r="L63" s="4">
        <f>'Forage, input data per ha'!I19*'Parameters, general'!$B$17/'Forage, input data per ha'!C19</f>
        <v>0</v>
      </c>
      <c r="M63" s="4"/>
      <c r="N63" s="276"/>
      <c r="O63" s="4"/>
      <c r="P63" s="4"/>
    </row>
    <row r="64" spans="1:19" x14ac:dyDescent="0.3">
      <c r="B64" t="s">
        <v>299</v>
      </c>
      <c r="C64" t="s">
        <v>92</v>
      </c>
      <c r="D64" t="s">
        <v>556</v>
      </c>
      <c r="E64" s="4">
        <f t="shared" si="11"/>
        <v>1.4141800552451564E-4</v>
      </c>
      <c r="F64" s="4">
        <f>'Forage, input data per ha'!D19*(Frac_BAT_GB*EF_min_fert_BAT_CH4+Frac_AN_GB*EF_min_fert_AN_CH4)/'Forage, input data per ha'!C19</f>
        <v>3.9901302719260733E-5</v>
      </c>
      <c r="G64" s="4">
        <f>EF_capital_goods_CH4</f>
        <v>9.5000000000000005E-5</v>
      </c>
      <c r="H64" s="4"/>
      <c r="I64" s="4"/>
      <c r="J64" s="4">
        <f>'Forage, input data per ha'!H19*EF_diesel_CH4*Heating_value_diesel/'Forage, input data per ha'!C19</f>
        <v>6.5167028052549126E-6</v>
      </c>
      <c r="K64" s="4"/>
      <c r="L64" s="4">
        <f>'Forage, input data per ha'!I19*'Parameters, general'!$C$17/'Forage, input data per ha'!C19</f>
        <v>0</v>
      </c>
      <c r="M64" s="4"/>
      <c r="N64" s="4"/>
      <c r="O64" s="4"/>
      <c r="P64" s="4"/>
    </row>
    <row r="65" spans="1:19" x14ac:dyDescent="0.3">
      <c r="B65" t="s">
        <v>299</v>
      </c>
      <c r="C65" t="s">
        <v>311</v>
      </c>
      <c r="D65" t="s">
        <v>556</v>
      </c>
      <c r="E65" s="4">
        <f t="shared" si="11"/>
        <v>0</v>
      </c>
      <c r="F65" s="4"/>
      <c r="G65" s="4"/>
      <c r="H65" s="4"/>
      <c r="I65" s="4"/>
      <c r="J65" s="4"/>
      <c r="K65" s="4"/>
      <c r="L65" s="4"/>
      <c r="M65" s="4"/>
      <c r="N65" s="4"/>
      <c r="O65" s="4"/>
      <c r="P65" s="4"/>
    </row>
    <row r="66" spans="1:19" x14ac:dyDescent="0.3">
      <c r="B66" t="s">
        <v>299</v>
      </c>
      <c r="C66" t="s">
        <v>94</v>
      </c>
      <c r="D66" t="s">
        <v>556</v>
      </c>
      <c r="E66" s="4">
        <f t="shared" si="11"/>
        <v>2.4076715964597344E-4</v>
      </c>
      <c r="F66" s="4">
        <f>'Forage, input data per ha'!D19*(Frac_BAT_GB*EF_min_fert_BAT_N2O+Frac_AN_GB*EF_min_fert_AN_N2O)/'Forage, input data per ha'!C19</f>
        <v>4.7791180802654258E-5</v>
      </c>
      <c r="G66" s="4">
        <f>EF_capital_goods_N2O</f>
        <v>1.1000000000000001E-6</v>
      </c>
      <c r="H66" s="4">
        <f>('Forage, input data per ha'!D19*'Parameters SH, country spec'!$M$78+'Forage, input data per ha'!F19*'Parameters SH, country spec'!$M$79)*44/28/'Forage, input data per ha'!C19</f>
        <v>1.7407334076117385E-4</v>
      </c>
      <c r="I66" s="4">
        <f>H66*0.1</f>
        <v>1.7407334076117384E-5</v>
      </c>
      <c r="J66" s="4">
        <f>'Forage, input data per ha'!H19*EF_diesel_N2O*Heating_value_diesel/'Forage, input data per ha'!C19</f>
        <v>3.9530400602795185E-7</v>
      </c>
      <c r="K66" s="4"/>
      <c r="L66" s="4">
        <f>'Forage, input data per ha'!I19*'Parameters, general'!$D$17/'Forage, input data per ha'!C19</f>
        <v>0</v>
      </c>
      <c r="M66" s="4"/>
      <c r="N66" s="4"/>
      <c r="O66" s="4"/>
      <c r="P66" s="4"/>
    </row>
    <row r="67" spans="1:19" ht="15" customHeight="1" x14ac:dyDescent="0.3">
      <c r="A67" s="155"/>
      <c r="B67" s="155" t="s">
        <v>299</v>
      </c>
      <c r="C67" s="155" t="s">
        <v>95</v>
      </c>
      <c r="D67" s="155" t="s">
        <v>556</v>
      </c>
      <c r="E67" s="345">
        <f>SUM(F67:P67)</f>
        <v>0.13340629528261472</v>
      </c>
      <c r="F67" s="345">
        <f>SUMPRODUCT(F63:F66,'Parameters, general'!$B$23:$B$26)</f>
        <v>3.5987145443398816E-2</v>
      </c>
      <c r="G67" s="345">
        <f>SUMPRODUCT(G63:G66,'Parameters, general'!$B$23:$B$26)</f>
        <v>3.01313E-2</v>
      </c>
      <c r="H67" s="345">
        <f>SUMPRODUCT(H63:H66,'Parameters, general'!$B$23:$B$26)</f>
        <v>4.752202202780046E-2</v>
      </c>
      <c r="I67" s="345">
        <f>SUMPRODUCT(I63:I66,'Parameters, general'!$B$23:$B$26)</f>
        <v>4.7522022027800459E-3</v>
      </c>
      <c r="J67" s="345">
        <f>SUMPRODUCT(J63:J66,'Parameters, general'!$B$23:$B$26)</f>
        <v>1.5013625608635414E-2</v>
      </c>
      <c r="K67" s="345">
        <f>SUMPRODUCT(K63:K66,'Parameters, general'!$B$23:$B$26)</f>
        <v>0</v>
      </c>
      <c r="L67" s="345">
        <f>SUMPRODUCT(L63:L66,'Parameters, general'!$B$23:$B$26)</f>
        <v>0</v>
      </c>
      <c r="M67" s="345">
        <f>SUMPRODUCT(M63:M66,'Parameters, general'!$B$23:$B$26)</f>
        <v>0</v>
      </c>
      <c r="N67" s="345">
        <f>SUMPRODUCT(N63:N66,'Parameters, general'!$B$23:$B$26)</f>
        <v>0</v>
      </c>
      <c r="O67" s="345">
        <f>SUMPRODUCT(O63:O66,'Parameters, general'!$B$23:$B$26)</f>
        <v>0</v>
      </c>
      <c r="P67" s="345"/>
      <c r="R67" s="124"/>
      <c r="S67" s="6"/>
    </row>
    <row r="69" spans="1:19" ht="18" x14ac:dyDescent="0.35">
      <c r="A69" s="265" t="s">
        <v>396</v>
      </c>
      <c r="B69" s="109"/>
      <c r="C69" s="109"/>
      <c r="D69" s="109"/>
      <c r="E69" s="109"/>
      <c r="F69" s="109"/>
      <c r="G69" s="109"/>
      <c r="H69" s="109"/>
      <c r="I69" s="109"/>
      <c r="J69" s="109"/>
      <c r="K69" s="109"/>
      <c r="L69" s="109"/>
      <c r="M69" s="109"/>
      <c r="N69" s="109"/>
      <c r="O69" s="109"/>
      <c r="P69" s="109"/>
    </row>
    <row r="71" spans="1:19" x14ac:dyDescent="0.3">
      <c r="A71" s="266" t="s">
        <v>224</v>
      </c>
      <c r="B71" s="267"/>
      <c r="C71" s="267"/>
      <c r="D71" s="267"/>
      <c r="E71" s="268" t="s">
        <v>65</v>
      </c>
      <c r="F71" s="268" t="s">
        <v>66</v>
      </c>
      <c r="G71" s="269"/>
      <c r="H71" s="268" t="s">
        <v>67</v>
      </c>
      <c r="I71" s="270"/>
      <c r="J71" s="271" t="s">
        <v>68</v>
      </c>
      <c r="K71" s="270"/>
      <c r="L71" s="270"/>
      <c r="M71" s="270"/>
      <c r="N71" s="271" t="s">
        <v>69</v>
      </c>
      <c r="O71" s="271" t="s">
        <v>305</v>
      </c>
      <c r="P71" s="271" t="s">
        <v>70</v>
      </c>
    </row>
    <row r="72" spans="1:19" ht="37.200000000000003" customHeight="1" x14ac:dyDescent="0.3">
      <c r="A72" s="272" t="s">
        <v>19</v>
      </c>
      <c r="B72" s="272" t="s">
        <v>224</v>
      </c>
      <c r="C72" s="272" t="s">
        <v>74</v>
      </c>
      <c r="D72" s="273" t="s">
        <v>306</v>
      </c>
      <c r="E72" s="274"/>
      <c r="F72" s="46" t="s">
        <v>227</v>
      </c>
      <c r="G72" s="46" t="s">
        <v>76</v>
      </c>
      <c r="H72" s="46" t="s">
        <v>228</v>
      </c>
      <c r="I72" s="46" t="s">
        <v>469</v>
      </c>
      <c r="J72" s="46" t="s">
        <v>77</v>
      </c>
      <c r="K72" s="46" t="s">
        <v>78</v>
      </c>
      <c r="L72" s="46" t="s">
        <v>79</v>
      </c>
      <c r="M72" s="46" t="s">
        <v>80</v>
      </c>
      <c r="N72" s="46" t="s">
        <v>81</v>
      </c>
      <c r="O72" s="46"/>
      <c r="P72" s="46"/>
      <c r="R72" s="124"/>
      <c r="S72" s="6"/>
    </row>
    <row r="73" spans="1:19" x14ac:dyDescent="0.3">
      <c r="B73" t="s">
        <v>362</v>
      </c>
      <c r="C73" t="s">
        <v>91</v>
      </c>
      <c r="D73" t="s">
        <v>90</v>
      </c>
      <c r="E73" s="4">
        <f t="shared" ref="E73:E86" si="12">SUM(F73:P73)</f>
        <v>9.8920344355526768E-2</v>
      </c>
      <c r="F73" s="4">
        <f>'Forage, input data per ha'!D26*(Frac_BAT_DK*EF_min_fert_BAT_CO2+Frac_AN_DK*EF_min_fert_AN_CO2)/'Forage, input data per ha'!C26</f>
        <v>9.4395684303457683E-3</v>
      </c>
      <c r="G73" s="4">
        <f>EF_capital_goods_CO2</f>
        <v>2.7E-2</v>
      </c>
      <c r="H73" s="4"/>
      <c r="I73" s="4"/>
      <c r="J73" s="4">
        <f>'Forage, input data per ha'!H26*EF_diesel_CO2*Heating_value_diesel/'Forage, input data per ha'!C26</f>
        <v>1.5780775925181002E-2</v>
      </c>
      <c r="K73" s="4"/>
      <c r="L73" s="4">
        <f>'Forage, input data per ha'!I26*'Parameters, general'!$B$17/'Forage, input data per ha'!C26</f>
        <v>0</v>
      </c>
      <c r="M73" s="4"/>
      <c r="N73" s="4"/>
      <c r="O73" s="4">
        <f>'Parameters, general'!$B$20</f>
        <v>4.6700000000000005E-2</v>
      </c>
      <c r="P73" s="4"/>
    </row>
    <row r="74" spans="1:19" x14ac:dyDescent="0.3">
      <c r="B74" t="s">
        <v>362</v>
      </c>
      <c r="C74" t="s">
        <v>92</v>
      </c>
      <c r="D74" t="s">
        <v>90</v>
      </c>
      <c r="E74" s="4">
        <f t="shared" si="12"/>
        <v>8.2186579495039313E-4</v>
      </c>
      <c r="F74" s="4">
        <f>'Forage, input data per ha'!D26*(Frac_BAT_DK*EF_min_fert_BAT_CH4+Frac_AN_DK*EF_min_fert_AN_CH4)/'Forage, input data per ha'!C26</f>
        <v>1.187544333864606E-5</v>
      </c>
      <c r="G74" s="4">
        <f>EF_capital_goods_CH4</f>
        <v>9.5000000000000005E-5</v>
      </c>
      <c r="H74" s="4"/>
      <c r="I74" s="4"/>
      <c r="J74" s="4">
        <f>'Forage, input data per ha'!H26*EF_diesel_CH4*Heating_value_diesel/'Forage, input data per ha'!C26</f>
        <v>6.9903516117470652E-6</v>
      </c>
      <c r="K74" s="4"/>
      <c r="L74" s="4">
        <f>'Forage, input data per ha'!I26*'Parameters, general'!$C$17/'Forage, input data per ha'!C26</f>
        <v>0</v>
      </c>
      <c r="M74" s="4"/>
      <c r="N74" s="4"/>
      <c r="O74" s="4">
        <f>'Parameters, general'!$C$20</f>
        <v>7.0799999999999997E-4</v>
      </c>
      <c r="P74" s="4"/>
    </row>
    <row r="75" spans="1:19" x14ac:dyDescent="0.3">
      <c r="B75" t="s">
        <v>362</v>
      </c>
      <c r="C75" t="s">
        <v>311</v>
      </c>
      <c r="D75" t="s">
        <v>90</v>
      </c>
      <c r="E75" s="4">
        <f t="shared" si="12"/>
        <v>0</v>
      </c>
      <c r="F75" s="4"/>
      <c r="G75" s="4"/>
      <c r="H75" s="4"/>
      <c r="I75" s="4"/>
      <c r="J75" s="4"/>
      <c r="K75" s="4"/>
      <c r="L75" s="4"/>
      <c r="M75" s="4"/>
      <c r="N75" s="4"/>
      <c r="O75" s="4"/>
      <c r="P75" s="4"/>
    </row>
    <row r="76" spans="1:19" x14ac:dyDescent="0.3">
      <c r="B76" t="s">
        <v>362</v>
      </c>
      <c r="C76" t="s">
        <v>94</v>
      </c>
      <c r="D76" t="s">
        <v>90</v>
      </c>
      <c r="E76" s="4">
        <f t="shared" si="12"/>
        <v>1.9141119699440169E-4</v>
      </c>
      <c r="F76" s="4">
        <f>'Forage, input data per ha'!D26*(Frac_BAT_DK*EF_min_fert_BAT_N2O+Frac_AN_DK*EF_min_fert_AN_N2O)/'Forage, input data per ha'!C26</f>
        <v>1.9849248903347439E-5</v>
      </c>
      <c r="G76" s="4">
        <f>EF_capital_goods_N2O</f>
        <v>1.1000000000000001E-6</v>
      </c>
      <c r="H76" s="4">
        <f>('Forage, input data per ha'!D26*'Parameters SH, country spec'!B78+'Forage, input data per ha'!F26*'Parameters SH, country spec'!B79)*44/28/'Forage, input data per ha'!C26</f>
        <v>9.2670829535701108E-5</v>
      </c>
      <c r="I76" s="4">
        <f>H76*0.1</f>
        <v>9.2670829535701108E-6</v>
      </c>
      <c r="J76" s="4">
        <f>'Forage, input data per ha'!H26*EF_diesel_N2O*Heating_value_diesel/'Forage, input data per ha'!C26</f>
        <v>4.2403560178305126E-7</v>
      </c>
      <c r="K76" s="4"/>
      <c r="L76" s="4">
        <f>'Forage, input data per ha'!I26*'Parameters, general'!$D$17/'Forage, input data per ha'!C26</f>
        <v>0</v>
      </c>
      <c r="M76" s="4"/>
      <c r="N76" s="4"/>
      <c r="O76" s="4">
        <f>'Parameters, general'!$D$20</f>
        <v>6.8099999999999988E-5</v>
      </c>
      <c r="P76" s="4"/>
    </row>
    <row r="77" spans="1:19" ht="15" customHeight="1" x14ac:dyDescent="0.3">
      <c r="A77" s="155"/>
      <c r="B77" s="155" t="s">
        <v>362</v>
      </c>
      <c r="C77" s="155" t="s">
        <v>95</v>
      </c>
      <c r="D77" s="155" t="s">
        <v>90</v>
      </c>
      <c r="E77" s="345">
        <f>SUM(F77:P77)</f>
        <v>0.17566720182452017</v>
      </c>
      <c r="F77" s="345">
        <f>SUMPRODUCT(F73:F76,'Parameters, general'!$B$23:$B$26)</f>
        <v>1.5212301592451271E-2</v>
      </c>
      <c r="G77" s="345">
        <f>SUMPRODUCT(G73:G76,'Parameters, general'!$B$23:$B$26)</f>
        <v>3.01313E-2</v>
      </c>
      <c r="H77" s="345">
        <f>SUMPRODUCT(H73:H76,'Parameters, general'!$B$23:$B$26)</f>
        <v>2.5299136463246403E-2</v>
      </c>
      <c r="I77" s="345">
        <f>SUMPRODUCT(I73:I76,'Parameters, general'!$B$23:$B$26)</f>
        <v>2.5299136463246405E-3</v>
      </c>
      <c r="J77" s="345">
        <f>SUMPRODUCT(J73:J76,'Parameters, general'!$B$23:$B$26)</f>
        <v>1.6104850122497835E-2</v>
      </c>
      <c r="K77" s="345">
        <f>SUMPRODUCT(K73:K76,'Parameters, general'!$B$23:$B$26)</f>
        <v>0</v>
      </c>
      <c r="L77" s="345">
        <f>SUMPRODUCT(L73:L76,'Parameters, general'!$B$23:$B$26)</f>
        <v>0</v>
      </c>
      <c r="M77" s="345">
        <f>SUMPRODUCT(M73:M76,'Parameters, general'!$B$23:$B$26)</f>
        <v>0</v>
      </c>
      <c r="N77" s="345">
        <f>SUMPRODUCT(N73:N76,'Parameters, general'!$B$23:$B$26)</f>
        <v>0</v>
      </c>
      <c r="O77" s="345">
        <f>SUMPRODUCT(O73:O76,'Parameters, general'!$B$23:$B$26)</f>
        <v>8.6389700000000014E-2</v>
      </c>
      <c r="P77" s="345"/>
      <c r="R77" s="124"/>
      <c r="S77" s="6"/>
    </row>
    <row r="78" spans="1:19" x14ac:dyDescent="0.3">
      <c r="B78" t="s">
        <v>362</v>
      </c>
      <c r="C78" t="s">
        <v>91</v>
      </c>
      <c r="D78" t="s">
        <v>41</v>
      </c>
      <c r="E78" s="4">
        <f t="shared" si="12"/>
        <v>0.10896977720496381</v>
      </c>
      <c r="F78" s="4">
        <f>'Forage, input data per ha'!D27*(Frac_BAT_FR*EF_min_fert_BAT_CO2+Frac_AN_FR*EF_min_fert_AN_CO2)/'Forage, input data per ha'!C27</f>
        <v>1.8290244595307845E-2</v>
      </c>
      <c r="G78" s="4">
        <f>EF_capital_goods_CO2</f>
        <v>2.7E-2</v>
      </c>
      <c r="H78" s="4"/>
      <c r="I78" s="4"/>
      <c r="J78" s="4">
        <f>'Forage, input data per ha'!H27*EF_diesel_CO2*Heating_value_diesel/'Forage, input data per ha'!C27</f>
        <v>1.6437442716420066E-2</v>
      </c>
      <c r="K78" s="4"/>
      <c r="L78" s="4">
        <f>'Forage, input data per ha'!I27*'Parameters, general'!$B$17/'Forage, input data per ha'!C27</f>
        <v>5.4208989323589914E-4</v>
      </c>
      <c r="M78" s="4"/>
      <c r="N78" s="276"/>
      <c r="O78" s="4">
        <f>'Parameters, general'!$B$20</f>
        <v>4.6700000000000005E-2</v>
      </c>
      <c r="P78" s="4"/>
    </row>
    <row r="79" spans="1:19" x14ac:dyDescent="0.3">
      <c r="B79" t="s">
        <v>362</v>
      </c>
      <c r="C79" t="s">
        <v>92</v>
      </c>
      <c r="D79" t="s">
        <v>41</v>
      </c>
      <c r="E79" s="4">
        <f t="shared" si="12"/>
        <v>8.4564677783540028E-4</v>
      </c>
      <c r="F79" s="4">
        <f>'Forage, input data per ha'!D27*(Frac_BAT_FR*EF_min_fert_BAT_CH4+Frac_AN_FR*EF_min_fert_AN_CH4)/'Forage, input data per ha'!C27</f>
        <v>3.3552545797205459E-5</v>
      </c>
      <c r="G79" s="4">
        <f>EF_capital_goods_CH4</f>
        <v>9.5000000000000005E-5</v>
      </c>
      <c r="H79" s="4"/>
      <c r="I79" s="4"/>
      <c r="J79" s="4">
        <f>'Forage, input data per ha'!H27*EF_diesel_CH4*Heating_value_diesel/'Forage, input data per ha'!C27</f>
        <v>7.2812328576555162E-6</v>
      </c>
      <c r="K79" s="4"/>
      <c r="L79" s="4">
        <f>'Forage, input data per ha'!I27*'Parameters, general'!$C$17/'Forage, input data per ha'!C27</f>
        <v>1.812999180539339E-6</v>
      </c>
      <c r="M79" s="4"/>
      <c r="N79" s="4"/>
      <c r="O79" s="4">
        <f>'Parameters, general'!$C$20</f>
        <v>7.0799999999999997E-4</v>
      </c>
      <c r="P79" s="4"/>
    </row>
    <row r="80" spans="1:19" x14ac:dyDescent="0.3">
      <c r="B80" t="s">
        <v>362</v>
      </c>
      <c r="C80" t="s">
        <v>311</v>
      </c>
      <c r="D80" t="s">
        <v>41</v>
      </c>
      <c r="E80" s="4">
        <f t="shared" si="12"/>
        <v>0</v>
      </c>
      <c r="F80" s="4"/>
      <c r="G80" s="4"/>
      <c r="H80" s="4"/>
      <c r="I80" s="4"/>
      <c r="J80" s="4"/>
      <c r="K80" s="4"/>
      <c r="L80" s="4"/>
      <c r="M80" s="4"/>
      <c r="N80" s="4"/>
      <c r="O80" s="4"/>
      <c r="P80" s="4"/>
    </row>
    <row r="81" spans="1:19" x14ac:dyDescent="0.3">
      <c r="B81" t="s">
        <v>362</v>
      </c>
      <c r="C81" t="s">
        <v>94</v>
      </c>
      <c r="D81" t="s">
        <v>41</v>
      </c>
      <c r="E81" s="4">
        <f t="shared" si="12"/>
        <v>2.6292744135242361E-4</v>
      </c>
      <c r="F81" s="4">
        <f>'Forage, input data per ha'!D27*(Frac_BAT_FR*EF_min_fert_BAT_N2O+Frac_AN_FR*EF_min_fert_AN_N2O)/'Forage, input data per ha'!C27</f>
        <v>4.0187053386844723E-5</v>
      </c>
      <c r="G81" s="4">
        <f>EF_capital_goods_N2O</f>
        <v>1.1000000000000001E-6</v>
      </c>
      <c r="H81" s="4">
        <f>('Forage, input data per ha'!D27*'Parameters SH, country spec'!C78+'Forage, input data per ha'!F27*'Parameters SH, country spec'!C79)*44/28/'Forage, input data per ha'!C27</f>
        <v>1.3916035917453407E-4</v>
      </c>
      <c r="I81" s="4">
        <f>H81*0.1</f>
        <v>1.3916035917453407E-5</v>
      </c>
      <c r="J81" s="4">
        <f>'Forage, input data per ha'!H27*EF_diesel_N2O*Heating_value_diesel/'Forage, input data per ha'!C27</f>
        <v>4.4168049448757817E-7</v>
      </c>
      <c r="K81" s="4"/>
      <c r="L81" s="4">
        <f>'Forage, input data per ha'!I27*'Parameters, general'!$D$17/'Forage, input data per ha'!C27</f>
        <v>2.231237910379547E-8</v>
      </c>
      <c r="M81" s="4"/>
      <c r="N81" s="4"/>
      <c r="O81" s="4">
        <f>'Parameters, general'!$D$20</f>
        <v>6.8099999999999988E-5</v>
      </c>
      <c r="P81" s="4"/>
    </row>
    <row r="82" spans="1:19" ht="15" customHeight="1" x14ac:dyDescent="0.3">
      <c r="A82" s="155"/>
      <c r="B82" s="155" t="s">
        <v>362</v>
      </c>
      <c r="C82" s="155" t="s">
        <v>95</v>
      </c>
      <c r="D82" s="155" t="s">
        <v>41</v>
      </c>
      <c r="E82" s="345">
        <f>SUM(F82:P82)</f>
        <v>0.20594924267367037</v>
      </c>
      <c r="F82" s="345">
        <f>SUMPRODUCT(F78:F81,'Parameters, general'!$B$23:$B$26)</f>
        <v>3.0261176034673178E-2</v>
      </c>
      <c r="G82" s="345">
        <f>SUMPRODUCT(G78:G81,'Parameters, general'!$B$23:$B$26)</f>
        <v>3.01313E-2</v>
      </c>
      <c r="H82" s="345">
        <f>SUMPRODUCT(H78:H81,'Parameters, general'!$B$23:$B$26)</f>
        <v>3.7990778054647803E-2</v>
      </c>
      <c r="I82" s="345">
        <f>SUMPRODUCT(I78:I81,'Parameters, general'!$B$23:$B$26)</f>
        <v>3.79907780546478E-3</v>
      </c>
      <c r="J82" s="345">
        <f>SUMPRODUCT(J78:J81,'Parameters, general'!$B$23:$B$26)</f>
        <v>1.6775002230573311E-2</v>
      </c>
      <c r="K82" s="345">
        <f>SUMPRODUCT(K78:K81,'Parameters, general'!$B$23:$B$26)</f>
        <v>0</v>
      </c>
      <c r="L82" s="345">
        <f>SUMPRODUCT(L78:L81,'Parameters, general'!$B$23:$B$26)</f>
        <v>6.0220854831130751E-4</v>
      </c>
      <c r="M82" s="345">
        <f>SUMPRODUCT(M78:M81,'Parameters, general'!$B$23:$B$26)</f>
        <v>0</v>
      </c>
      <c r="N82" s="345">
        <f>SUMPRODUCT(N78:N81,'Parameters, general'!$B$23:$B$26)</f>
        <v>0</v>
      </c>
      <c r="O82" s="345">
        <f>SUMPRODUCT(O78:O81,'Parameters, general'!$B$23:$B$26)</f>
        <v>8.6389700000000014E-2</v>
      </c>
      <c r="P82" s="345"/>
      <c r="R82" s="124"/>
      <c r="S82" s="6"/>
    </row>
    <row r="83" spans="1:19" x14ac:dyDescent="0.3">
      <c r="B83" t="s">
        <v>362</v>
      </c>
      <c r="C83" t="s">
        <v>91</v>
      </c>
      <c r="D83" t="s">
        <v>43</v>
      </c>
      <c r="E83" s="4">
        <f t="shared" si="12"/>
        <v>9.9345728982403333E-2</v>
      </c>
      <c r="F83" s="4">
        <f>'Forage, input data per ha'!D28*(Frac_BAT_DE*EF_min_fert_BAT_CO2+Frac_AN_DE*EF_min_fert_AN_CO2)/'Forage, input data per ha'!C28</f>
        <v>1.2251094124540752E-2</v>
      </c>
      <c r="G83" s="4">
        <f>EF_capital_goods_CO2</f>
        <v>2.7E-2</v>
      </c>
      <c r="H83" s="4"/>
      <c r="I83" s="4"/>
      <c r="J83" s="4">
        <f>'Forage, input data per ha'!H28*EF_diesel_CO2*Heating_value_diesel/'Forage, input data per ha'!C28</f>
        <v>1.3384776661816474E-2</v>
      </c>
      <c r="K83" s="4"/>
      <c r="L83" s="4">
        <f>'Forage, input data per ha'!I28*'Parameters, general'!$B$17/'Forage, input data per ha'!C28</f>
        <v>9.8581960460988964E-6</v>
      </c>
      <c r="M83" s="4"/>
      <c r="N83" s="4"/>
      <c r="O83" s="4">
        <f>'Parameters, general'!$B$20</f>
        <v>4.6700000000000005E-2</v>
      </c>
      <c r="P83" s="4"/>
    </row>
    <row r="84" spans="1:19" x14ac:dyDescent="0.3">
      <c r="B84" t="s">
        <v>362</v>
      </c>
      <c r="C84" t="s">
        <v>92</v>
      </c>
      <c r="D84" t="s">
        <v>43</v>
      </c>
      <c r="E84" s="4">
        <f t="shared" si="12"/>
        <v>8.3143599913203822E-4</v>
      </c>
      <c r="F84" s="4">
        <f>'Forage, input data per ha'!D28*(Frac_BAT_DE*EF_min_fert_BAT_CH4+Frac_AN_DE*EF_min_fert_AN_CH4)/'Forage, input data per ha'!C28</f>
        <v>2.2474024037107735E-5</v>
      </c>
      <c r="G84" s="4">
        <f>EF_capital_goods_CH4</f>
        <v>9.5000000000000005E-5</v>
      </c>
      <c r="H84" s="4"/>
      <c r="I84" s="4"/>
      <c r="J84" s="4">
        <f>'Forage, input data per ha'!H28*EF_diesel_CH4*Heating_value_diesel/'Forage, input data per ha'!C28</f>
        <v>5.9290047304648054E-6</v>
      </c>
      <c r="K84" s="4"/>
      <c r="L84" s="4">
        <f>'Forage, input data per ha'!I28*'Parameters, general'!$C$17/'Forage, input data per ha'!C28</f>
        <v>3.2970364465724827E-8</v>
      </c>
      <c r="M84" s="4"/>
      <c r="N84" s="4"/>
      <c r="O84" s="4">
        <f>'Parameters, general'!$C$20</f>
        <v>7.0799999999999997E-4</v>
      </c>
      <c r="P84" s="4"/>
    </row>
    <row r="85" spans="1:19" x14ac:dyDescent="0.3">
      <c r="B85" t="s">
        <v>362</v>
      </c>
      <c r="C85" t="s">
        <v>311</v>
      </c>
      <c r="D85" t="s">
        <v>43</v>
      </c>
      <c r="E85" s="4">
        <f t="shared" si="12"/>
        <v>0</v>
      </c>
      <c r="F85" s="4"/>
      <c r="G85" s="4"/>
      <c r="H85" s="4"/>
      <c r="I85" s="4"/>
      <c r="J85" s="4"/>
      <c r="K85" s="4"/>
      <c r="L85" s="4"/>
      <c r="M85" s="4"/>
      <c r="N85" s="4"/>
      <c r="O85" s="4"/>
      <c r="P85" s="4"/>
    </row>
    <row r="86" spans="1:19" x14ac:dyDescent="0.3">
      <c r="B86" t="s">
        <v>362</v>
      </c>
      <c r="C86" t="s">
        <v>94</v>
      </c>
      <c r="D86" t="s">
        <v>43</v>
      </c>
      <c r="E86" s="4">
        <f t="shared" si="12"/>
        <v>2.0519135993858823E-4</v>
      </c>
      <c r="F86" s="4">
        <f>'Forage, input data per ha'!D28*(Frac_BAT_DE*EF_min_fert_BAT_N2O+Frac_AN_DE*EF_min_fert_AN_N2O)/'Forage, input data per ha'!C28</f>
        <v>2.691792179512361E-5</v>
      </c>
      <c r="G86" s="4">
        <f>EF_capital_goods_N2O</f>
        <v>1.1000000000000001E-6</v>
      </c>
      <c r="H86" s="4">
        <f>('Forage, input data per ha'!D28*'Parameters SH, country spec'!D78+'Forage, input data per ha'!F28*'Parameters SH, country spec'!D79)*44/28/'Forage, input data per ha'!C28</f>
        <v>9.8830343830404321E-5</v>
      </c>
      <c r="I86" s="4">
        <f>H86*0.1</f>
        <v>9.8830343830404331E-6</v>
      </c>
      <c r="J86" s="4">
        <f>'Forage, input data per ha'!H28*EF_diesel_N2O*Heating_value_diesel/'Forage, input data per ha'!C28</f>
        <v>3.5965416741445745E-7</v>
      </c>
      <c r="K86" s="4"/>
      <c r="L86" s="4">
        <f>'Forage, input data per ha'!I28*'Parameters, general'!$D$17/'Forage, input data per ha'!C28</f>
        <v>4.0576260543632219E-10</v>
      </c>
      <c r="M86" s="4"/>
      <c r="N86" s="4"/>
      <c r="O86" s="4">
        <f>'Parameters, general'!$D$20</f>
        <v>6.8099999999999988E-5</v>
      </c>
      <c r="P86" s="4"/>
    </row>
    <row r="87" spans="1:19" ht="15" customHeight="1" x14ac:dyDescent="0.3">
      <c r="A87" s="155"/>
      <c r="B87" s="155" t="s">
        <v>362</v>
      </c>
      <c r="C87" s="155" t="s">
        <v>95</v>
      </c>
      <c r="D87" s="155" t="s">
        <v>43</v>
      </c>
      <c r="E87" s="345">
        <f>SUM(F87:P87)</f>
        <v>0.18013976301977269</v>
      </c>
      <c r="F87" s="345">
        <f>SUMPRODUCT(F83:F86,'Parameters, general'!$B$23:$B$26)</f>
        <v>2.0269412690915308E-2</v>
      </c>
      <c r="G87" s="345">
        <f>SUMPRODUCT(G83:G86,'Parameters, general'!$B$23:$B$26)</f>
        <v>3.01313E-2</v>
      </c>
      <c r="H87" s="345">
        <f>SUMPRODUCT(H83:H86,'Parameters, general'!$B$23:$B$26)</f>
        <v>2.6980683865700381E-2</v>
      </c>
      <c r="I87" s="345">
        <f>SUMPRODUCT(I83:I86,'Parameters, general'!$B$23:$B$26)</f>
        <v>2.6980683865700382E-3</v>
      </c>
      <c r="J87" s="345">
        <f>SUMPRODUCT(J83:J86,'Parameters, general'!$B$23:$B$26)</f>
        <v>1.3659646590488472E-2</v>
      </c>
      <c r="K87" s="345">
        <f>SUMPRODUCT(K83:K86,'Parameters, general'!$B$23:$B$26)</f>
        <v>0</v>
      </c>
      <c r="L87" s="345">
        <f>SUMPRODUCT(L83:L86,'Parameters, general'!$B$23:$B$26)</f>
        <v>1.0951486098461612E-5</v>
      </c>
      <c r="M87" s="345">
        <f>SUMPRODUCT(M83:M86,'Parameters, general'!$B$23:$B$26)</f>
        <v>0</v>
      </c>
      <c r="N87" s="345">
        <f>SUMPRODUCT(N83:N86,'Parameters, general'!$B$23:$B$26)</f>
        <v>0</v>
      </c>
      <c r="O87" s="345">
        <f>SUMPRODUCT(O83:O86,'Parameters, general'!$B$23:$B$26)</f>
        <v>8.6389700000000014E-2</v>
      </c>
      <c r="P87" s="345"/>
      <c r="R87" s="124"/>
      <c r="S87" s="6"/>
    </row>
    <row r="88" spans="1:19" x14ac:dyDescent="0.3">
      <c r="B88" t="s">
        <v>362</v>
      </c>
      <c r="C88" t="s">
        <v>91</v>
      </c>
      <c r="D88" t="s">
        <v>45</v>
      </c>
      <c r="E88" s="4">
        <f t="shared" ref="E88:E96" si="13">SUM(F88:P88)</f>
        <v>0.20767166151550936</v>
      </c>
      <c r="F88" s="4">
        <f>'Forage, input data per ha'!D29*(Frac_BAT_GR*EF_min_fert_BAT_CO2+Frac_AN_GR*EF_min_fert_AN_CO2)/'Forage, input data per ha'!C29</f>
        <v>9.9916129362765033E-2</v>
      </c>
      <c r="G88" s="4">
        <f>EF_capital_goods_CO2</f>
        <v>2.7E-2</v>
      </c>
      <c r="H88" s="4"/>
      <c r="I88" s="4"/>
      <c r="J88" s="4">
        <f>'Forage, input data per ha'!H29*EF_diesel_CO2*Heating_value_diesel/'Forage, input data per ha'!C29</f>
        <v>3.0929259689321011E-2</v>
      </c>
      <c r="K88" s="4"/>
      <c r="L88" s="4">
        <f>'Forage, input data per ha'!I29*'Parameters, general'!$B$17/'Forage, input data per ha'!C29</f>
        <v>3.1262724634233347E-3</v>
      </c>
      <c r="M88" s="4"/>
      <c r="N88" s="276"/>
      <c r="O88" s="4">
        <f>'Parameters, general'!$B$20</f>
        <v>4.6700000000000005E-2</v>
      </c>
      <c r="P88" s="4"/>
    </row>
    <row r="89" spans="1:19" x14ac:dyDescent="0.3">
      <c r="B89" t="s">
        <v>362</v>
      </c>
      <c r="C89" t="s">
        <v>92</v>
      </c>
      <c r="D89" t="s">
        <v>45</v>
      </c>
      <c r="E89" s="4">
        <f t="shared" si="13"/>
        <v>1.0104474988943185E-3</v>
      </c>
      <c r="F89" s="4">
        <f>'Forage, input data per ha'!D29*(Frac_BAT_GR*EF_min_fert_BAT_CH4+Frac_AN_GR*EF_min_fert_AN_CH4)/'Forage, input data per ha'!C29</f>
        <v>1.8329117956048056E-4</v>
      </c>
      <c r="G89" s="4">
        <f>EF_capital_goods_CH4</f>
        <v>9.5000000000000005E-5</v>
      </c>
      <c r="H89" s="4"/>
      <c r="I89" s="4"/>
      <c r="J89" s="4">
        <f>'Forage, input data per ha'!H29*EF_diesel_CH4*Heating_value_diesel/'Forage, input data per ha'!C29</f>
        <v>1.3700619116858083E-5</v>
      </c>
      <c r="K89" s="4"/>
      <c r="L89" s="4">
        <f>'Forage, input data per ha'!I29*'Parameters, general'!$C$17/'Forage, input data per ha'!C29</f>
        <v>1.0455700216979911E-5</v>
      </c>
      <c r="M89" s="4"/>
      <c r="N89" s="4"/>
      <c r="O89" s="4">
        <f>'Parameters, general'!$C$20</f>
        <v>7.0799999999999997E-4</v>
      </c>
      <c r="P89" s="4"/>
    </row>
    <row r="90" spans="1:19" x14ac:dyDescent="0.3">
      <c r="B90" t="s">
        <v>362</v>
      </c>
      <c r="C90" t="s">
        <v>311</v>
      </c>
      <c r="D90" t="s">
        <v>45</v>
      </c>
      <c r="E90" s="4">
        <f t="shared" si="13"/>
        <v>0</v>
      </c>
      <c r="F90" s="4"/>
      <c r="G90" s="4"/>
      <c r="H90" s="4"/>
      <c r="I90" s="4"/>
      <c r="J90" s="4"/>
      <c r="K90" s="4"/>
      <c r="L90" s="4"/>
      <c r="M90" s="4"/>
      <c r="N90" s="4"/>
      <c r="O90" s="4"/>
      <c r="P90" s="4"/>
    </row>
    <row r="91" spans="1:19" x14ac:dyDescent="0.3">
      <c r="B91" t="s">
        <v>362</v>
      </c>
      <c r="C91" t="s">
        <v>94</v>
      </c>
      <c r="D91" t="s">
        <v>45</v>
      </c>
      <c r="E91" s="4">
        <f t="shared" si="13"/>
        <v>1.0423862634773786E-3</v>
      </c>
      <c r="F91" s="4">
        <f>'Forage, input data per ha'!D29*(Frac_BAT_GR*EF_min_fert_BAT_N2O+Frac_AN_GR*EF_min_fert_AN_N2O)/'Forage, input data per ha'!C29</f>
        <v>2.1953423334417359E-4</v>
      </c>
      <c r="G91" s="4">
        <f>EF_capital_goods_N2O</f>
        <v>1.1000000000000001E-6</v>
      </c>
      <c r="H91" s="4">
        <f>('Forage, input data per ha'!D29*'Parameters SH, country spec'!E78+'Forage, input data per ha'!F29*'Parameters SH, country spec'!E79)*44/28/'Forage, input data per ha'!C29</f>
        <v>6.842657015707418E-4</v>
      </c>
      <c r="I91" s="4">
        <f>H91*0.1</f>
        <v>6.842657015707418E-5</v>
      </c>
      <c r="J91" s="4">
        <f>'Forage, input data per ha'!H29*EF_diesel_N2O*Heating_value_diesel/'Forage, input data per ha'!C29</f>
        <v>8.3108126667827814E-7</v>
      </c>
      <c r="K91" s="4"/>
      <c r="L91" s="4">
        <f>'Forage, input data per ha'!I29*'Parameters, general'!$D$17/'Forage, input data per ha'!C29</f>
        <v>1.2867713871083588E-7</v>
      </c>
      <c r="M91" s="4"/>
      <c r="N91" s="4"/>
      <c r="O91" s="4">
        <f>'Parameters, general'!$D$20</f>
        <v>6.8099999999999988E-5</v>
      </c>
      <c r="P91" s="4"/>
    </row>
    <row r="92" spans="1:19" ht="15" customHeight="1" x14ac:dyDescent="0.3">
      <c r="A92" s="155"/>
      <c r="B92" s="155" t="s">
        <v>362</v>
      </c>
      <c r="C92" s="155" t="s">
        <v>95</v>
      </c>
      <c r="D92" s="155" t="s">
        <v>45</v>
      </c>
      <c r="E92" s="345">
        <f>SUM(F92:P92)</f>
        <v>0.52235444691188448</v>
      </c>
      <c r="F92" s="345">
        <f>SUMPRODUCT(F88:F91,'Parameters, general'!$B$23:$B$26)</f>
        <v>0.16531105221662676</v>
      </c>
      <c r="G92" s="345">
        <f>SUMPRODUCT(G88:G91,'Parameters, general'!$B$23:$B$26)</f>
        <v>3.01313E-2</v>
      </c>
      <c r="H92" s="345">
        <f>SUMPRODUCT(H88:H91,'Parameters, general'!$B$23:$B$26)</f>
        <v>0.18680453652881251</v>
      </c>
      <c r="I92" s="345">
        <f>SUMPRODUCT(I88:I91,'Parameters, general'!$B$23:$B$26)</f>
        <v>1.8680453652881252E-2</v>
      </c>
      <c r="J92" s="345">
        <f>SUMPRODUCT(J88:J91,'Parameters, general'!$B$23:$B$26)</f>
        <v>3.1564423324806551E-2</v>
      </c>
      <c r="K92" s="345">
        <f>SUMPRODUCT(K88:K91,'Parameters, general'!$B$23:$B$26)</f>
        <v>0</v>
      </c>
      <c r="L92" s="345">
        <f>SUMPRODUCT(L88:L91,'Parameters, general'!$B$23:$B$26)</f>
        <v>3.4729811887573942E-3</v>
      </c>
      <c r="M92" s="345">
        <f>SUMPRODUCT(M88:M91,'Parameters, general'!$B$23:$B$26)</f>
        <v>0</v>
      </c>
      <c r="N92" s="345">
        <f>SUMPRODUCT(N88:N91,'Parameters, general'!$B$23:$B$26)</f>
        <v>0</v>
      </c>
      <c r="O92" s="345">
        <f>SUMPRODUCT(O88:O91,'Parameters, general'!$B$23:$B$26)</f>
        <v>8.6389700000000014E-2</v>
      </c>
      <c r="P92" s="345"/>
      <c r="R92" s="124"/>
      <c r="S92" s="6"/>
    </row>
    <row r="93" spans="1:19" x14ac:dyDescent="0.3">
      <c r="B93" t="s">
        <v>362</v>
      </c>
      <c r="C93" t="s">
        <v>91</v>
      </c>
      <c r="D93" t="s">
        <v>96</v>
      </c>
      <c r="E93" s="4">
        <f t="shared" si="13"/>
        <v>0.14141963031873722</v>
      </c>
      <c r="F93" s="4">
        <f>'Forage, input data per ha'!D30*(Frac_BAT_HU*EF_min_fert_BAT_CO2+Frac_AN_HU*EF_min_fert_AN_CO2)/'Forage, input data per ha'!C30</f>
        <v>4.6200863620897606E-2</v>
      </c>
      <c r="G93" s="4">
        <f>EF_capital_goods_CO2</f>
        <v>2.7E-2</v>
      </c>
      <c r="H93" s="4"/>
      <c r="I93" s="4"/>
      <c r="J93" s="4">
        <f>'Forage, input data per ha'!H30*EF_diesel_CO2*Heating_value_diesel/'Forage, input data per ha'!C30</f>
        <v>2.151019297072139E-2</v>
      </c>
      <c r="K93" s="4"/>
      <c r="L93" s="4">
        <f>'Forage, input data per ha'!I30*'Parameters, general'!$B$17/'Forage, input data per ha'!C30</f>
        <v>8.5737271182102438E-6</v>
      </c>
      <c r="M93" s="4"/>
      <c r="N93" s="4"/>
      <c r="O93" s="4">
        <f>'Parameters, general'!$B$20</f>
        <v>4.6700000000000005E-2</v>
      </c>
      <c r="P93" s="4"/>
    </row>
    <row r="94" spans="1:19" x14ac:dyDescent="0.3">
      <c r="B94" t="s">
        <v>362</v>
      </c>
      <c r="C94" t="s">
        <v>92</v>
      </c>
      <c r="D94" t="s">
        <v>96</v>
      </c>
      <c r="E94" s="4">
        <f t="shared" si="13"/>
        <v>8.9731015561449233E-4</v>
      </c>
      <c r="F94" s="4">
        <f>'Forage, input data per ha'!D30*(Frac_BAT_HU*EF_min_fert_BAT_CH4+Frac_AN_HU*EF_min_fert_AN_CH4)/'Forage, input data per ha'!C30</f>
        <v>8.475319093918984E-5</v>
      </c>
      <c r="G94" s="4">
        <f>EF_capital_goods_CH4</f>
        <v>9.5000000000000005E-5</v>
      </c>
      <c r="H94" s="4"/>
      <c r="I94" s="4"/>
      <c r="J94" s="4">
        <f>'Forage, input data per ha'!H30*EF_diesel_CH4*Heating_value_diesel/'Forage, input data per ha'!C30</f>
        <v>9.5282901686691296E-6</v>
      </c>
      <c r="K94" s="4"/>
      <c r="L94" s="4">
        <f>'Forage, input data per ha'!I30*'Parameters, general'!$C$17/'Forage, input data per ha'!C30</f>
        <v>2.8674506633383754E-8</v>
      </c>
      <c r="M94" s="4"/>
      <c r="N94" s="4"/>
      <c r="O94" s="4">
        <f>'Parameters, general'!$C$20</f>
        <v>7.0799999999999997E-4</v>
      </c>
      <c r="P94" s="4"/>
    </row>
    <row r="95" spans="1:19" x14ac:dyDescent="0.3">
      <c r="B95" t="s">
        <v>362</v>
      </c>
      <c r="C95" t="s">
        <v>311</v>
      </c>
      <c r="D95" t="s">
        <v>96</v>
      </c>
      <c r="E95" s="4">
        <f t="shared" si="13"/>
        <v>0</v>
      </c>
      <c r="F95" s="4"/>
      <c r="G95" s="4"/>
      <c r="H95" s="4"/>
      <c r="I95" s="4"/>
      <c r="J95" s="4"/>
      <c r="K95" s="4"/>
      <c r="L95" s="4"/>
      <c r="M95" s="4"/>
      <c r="N95" s="4"/>
      <c r="O95" s="4"/>
      <c r="P95" s="4"/>
    </row>
    <row r="96" spans="1:19" x14ac:dyDescent="0.3">
      <c r="B96" t="s">
        <v>362</v>
      </c>
      <c r="C96" t="s">
        <v>94</v>
      </c>
      <c r="D96" t="s">
        <v>96</v>
      </c>
      <c r="E96" s="4">
        <f t="shared" si="13"/>
        <v>5.2939530100777621E-4</v>
      </c>
      <c r="F96" s="4">
        <f>'Forage, input data per ha'!D30*(Frac_BAT_HU*EF_min_fert_BAT_N2O+Frac_AN_HU*EF_min_fert_AN_N2O)/'Forage, input data per ha'!C30</f>
        <v>1.0151185038431108E-4</v>
      </c>
      <c r="G96" s="4">
        <f>EF_capital_goods_N2O</f>
        <v>1.1000000000000001E-6</v>
      </c>
      <c r="H96" s="4">
        <f>('Forage, input data per ha'!D30*'Parameters SH, country spec'!F78+'Forage, input data per ha'!F30*'Parameters SH, country spec'!F79)*44/28/'Forage, input data per ha'!C30</f>
        <v>3.2555010041627146E-4</v>
      </c>
      <c r="I96" s="4">
        <f>H96*0.1</f>
        <v>3.2555010041627146E-5</v>
      </c>
      <c r="J96" s="4">
        <f>'Forage, input data per ha'!H30*EF_diesel_N2O*Heating_value_diesel/'Forage, input data per ha'!C30</f>
        <v>5.7798727160526391E-7</v>
      </c>
      <c r="K96" s="4"/>
      <c r="L96" s="4">
        <f>'Forage, input data per ha'!I30*'Parameters, general'!$D$17/'Forage, input data per ha'!C30</f>
        <v>3.5289396128023991E-10</v>
      </c>
      <c r="M96" s="4"/>
      <c r="N96" s="4"/>
      <c r="O96" s="4">
        <f>'Parameters, general'!$D$20</f>
        <v>6.8099999999999988E-5</v>
      </c>
      <c r="P96" s="4"/>
    </row>
    <row r="97" spans="1:19" ht="15" customHeight="1" x14ac:dyDescent="0.3">
      <c r="A97" s="155"/>
      <c r="B97" s="155" t="s">
        <v>362</v>
      </c>
      <c r="C97" s="155" t="s">
        <v>95</v>
      </c>
      <c r="D97" s="155" t="s">
        <v>96</v>
      </c>
      <c r="E97" s="345">
        <f>SUM(F97:P97)</f>
        <v>0.312684390131172</v>
      </c>
      <c r="F97" s="345">
        <f>SUMPRODUCT(F93:F96,'Parameters, general'!$B$23:$B$26)</f>
        <v>7.6439243865802392E-2</v>
      </c>
      <c r="G97" s="345">
        <f>SUMPRODUCT(G93:G96,'Parameters, general'!$B$23:$B$26)</f>
        <v>3.01313E-2</v>
      </c>
      <c r="H97" s="345">
        <f>SUMPRODUCT(H93:H96,'Parameters, general'!$B$23:$B$26)</f>
        <v>8.8875177413642106E-2</v>
      </c>
      <c r="I97" s="345">
        <f>SUMPRODUCT(I93:I96,'Parameters, general'!$B$23:$B$26)</f>
        <v>8.8875177413642106E-3</v>
      </c>
      <c r="J97" s="345">
        <f>SUMPRODUCT(J93:J96,'Parameters, general'!$B$23:$B$26)</f>
        <v>2.1951926542895964E-2</v>
      </c>
      <c r="K97" s="345">
        <f>SUMPRODUCT(K93:K96,'Parameters, general'!$B$23:$B$26)</f>
        <v>0</v>
      </c>
      <c r="L97" s="345">
        <f>SUMPRODUCT(L93:L96,'Parameters, general'!$B$23:$B$26)</f>
        <v>9.5245674673145839E-6</v>
      </c>
      <c r="M97" s="345">
        <f>SUMPRODUCT(M93:M96,'Parameters, general'!$B$23:$B$26)</f>
        <v>0</v>
      </c>
      <c r="N97" s="345">
        <f>SUMPRODUCT(N93:N96,'Parameters, general'!$B$23:$B$26)</f>
        <v>0</v>
      </c>
      <c r="O97" s="345">
        <f>SUMPRODUCT(O93:O96,'Parameters, general'!$B$23:$B$26)</f>
        <v>8.6389700000000014E-2</v>
      </c>
      <c r="P97" s="345"/>
      <c r="R97" s="124"/>
      <c r="S97" s="6"/>
    </row>
    <row r="98" spans="1:19" x14ac:dyDescent="0.3">
      <c r="B98" t="s">
        <v>362</v>
      </c>
      <c r="C98" t="s">
        <v>91</v>
      </c>
      <c r="D98" t="s">
        <v>49</v>
      </c>
      <c r="E98" s="4">
        <f t="shared" ref="E98:E106" si="14">SUM(F98:P98)</f>
        <v>0.11934502755905853</v>
      </c>
      <c r="F98" s="4">
        <f>'Forage, input data per ha'!D31*(Frac_BAT_IE*EF_min_fert_BAT_CO2+Frac_AN_IE*EF_min_fert_AN_CO2)/'Forage, input data per ha'!C31</f>
        <v>3.2650334455802711E-2</v>
      </c>
      <c r="G98" s="4">
        <f>EF_capital_goods_CO2</f>
        <v>2.7E-2</v>
      </c>
      <c r="H98" s="4"/>
      <c r="I98" s="4"/>
      <c r="J98" s="4">
        <f>'Forage, input data per ha'!H31*EF_diesel_CO2*Heating_value_diesel/'Forage, input data per ha'!C31</f>
        <v>1.2994693103255812E-2</v>
      </c>
      <c r="K98" s="4"/>
      <c r="L98" s="4">
        <f>'Forage, input data per ha'!I31*'Parameters, general'!$B$17/'Forage, input data per ha'!C31</f>
        <v>0</v>
      </c>
      <c r="M98" s="4"/>
      <c r="N98" s="276"/>
      <c r="O98" s="4">
        <f>'Parameters, general'!$B$20</f>
        <v>4.6700000000000005E-2</v>
      </c>
      <c r="P98" s="4"/>
    </row>
    <row r="99" spans="1:19" x14ac:dyDescent="0.3">
      <c r="B99" t="s">
        <v>362</v>
      </c>
      <c r="C99" t="s">
        <v>92</v>
      </c>
      <c r="D99" t="s">
        <v>49</v>
      </c>
      <c r="E99" s="4">
        <f t="shared" si="14"/>
        <v>8.6865162869061044E-4</v>
      </c>
      <c r="F99" s="4">
        <f>'Forage, input data per ha'!D31*(Frac_BAT_IE*EF_min_fert_BAT_CH4+Frac_AN_IE*EF_min_fert_AN_CH4)/'Forage, input data per ha'!C31</f>
        <v>5.989541782308556E-5</v>
      </c>
      <c r="G99" s="4">
        <f>EF_capital_goods_CH4</f>
        <v>9.5000000000000005E-5</v>
      </c>
      <c r="H99" s="4"/>
      <c r="I99" s="4"/>
      <c r="J99" s="4">
        <f>'Forage, input data per ha'!H31*EF_diesel_CH4*Heating_value_diesel/'Forage, input data per ha'!C31</f>
        <v>5.756210867524934E-6</v>
      </c>
      <c r="K99" s="4"/>
      <c r="L99" s="4">
        <f>'Forage, input data per ha'!I31*'Parameters, general'!$C$17/'Forage, input data per ha'!C31</f>
        <v>0</v>
      </c>
      <c r="M99" s="4"/>
      <c r="N99" s="4"/>
      <c r="O99" s="4">
        <f>'Parameters, general'!$C$20</f>
        <v>7.0799999999999997E-4</v>
      </c>
      <c r="P99" s="4"/>
    </row>
    <row r="100" spans="1:19" x14ac:dyDescent="0.3">
      <c r="B100" t="s">
        <v>362</v>
      </c>
      <c r="C100" t="s">
        <v>311</v>
      </c>
      <c r="D100" t="s">
        <v>49</v>
      </c>
      <c r="E100" s="4">
        <f t="shared" si="14"/>
        <v>0</v>
      </c>
      <c r="F100" s="4"/>
      <c r="G100" s="4"/>
      <c r="H100" s="4"/>
      <c r="I100" s="4"/>
      <c r="J100" s="4"/>
      <c r="K100" s="4"/>
      <c r="L100" s="4"/>
      <c r="M100" s="4"/>
      <c r="N100" s="4"/>
      <c r="O100" s="4"/>
      <c r="P100" s="4"/>
    </row>
    <row r="101" spans="1:19" x14ac:dyDescent="0.3">
      <c r="B101" t="s">
        <v>362</v>
      </c>
      <c r="C101" t="s">
        <v>94</v>
      </c>
      <c r="D101" t="s">
        <v>49</v>
      </c>
      <c r="E101" s="4">
        <f t="shared" si="14"/>
        <v>3.9985223188303428E-4</v>
      </c>
      <c r="F101" s="4">
        <f>'Forage, input data per ha'!D31*(Frac_BAT_IE*EF_min_fert_BAT_N2O+Frac_AN_IE*EF_min_fert_AN_N2O)/'Forage, input data per ha'!C31</f>
        <v>7.1738829245087782E-5</v>
      </c>
      <c r="G101" s="4">
        <f>EF_capital_goods_N2O</f>
        <v>1.1000000000000001E-6</v>
      </c>
      <c r="H101" s="4">
        <f>('Forage, input data per ha'!D31*'Parameters SH, country spec'!G78+'Forage, input data per ha'!F31*'Parameters SH, country spec'!G79)*44/28/'Forage, input data per ha'!C31</f>
        <v>2.3505839106167088E-4</v>
      </c>
      <c r="I101" s="4">
        <f>H101*0.1</f>
        <v>2.350583910616709E-5</v>
      </c>
      <c r="J101" s="4">
        <f>'Forage, input data per ha'!H31*EF_diesel_N2O*Heating_value_diesel/'Forage, input data per ha'!C31</f>
        <v>3.4917247010855983E-7</v>
      </c>
      <c r="K101" s="4"/>
      <c r="L101" s="4">
        <f>'Forage, input data per ha'!I31*'Parameters, general'!$D$17/'Forage, input data per ha'!C31</f>
        <v>0</v>
      </c>
      <c r="M101" s="4"/>
      <c r="N101" s="4"/>
      <c r="O101" s="4">
        <f>'Parameters, general'!$D$20</f>
        <v>6.8099999999999988E-5</v>
      </c>
      <c r="P101" s="4"/>
    </row>
    <row r="102" spans="1:19" ht="15" customHeight="1" x14ac:dyDescent="0.3">
      <c r="A102" s="155"/>
      <c r="B102" s="155" t="s">
        <v>362</v>
      </c>
      <c r="C102" s="155" t="s">
        <v>95</v>
      </c>
      <c r="D102" s="155" t="s">
        <v>49</v>
      </c>
      <c r="E102" s="345">
        <f>SUM(F102:P102)</f>
        <v>0.25439050539810709</v>
      </c>
      <c r="F102" s="345">
        <f>SUMPRODUCT(F98:F101,'Parameters, general'!$B$23:$B$26)</f>
        <v>5.4019918290839623E-2</v>
      </c>
      <c r="G102" s="345">
        <f>SUMPRODUCT(G98:G101,'Parameters, general'!$B$23:$B$26)</f>
        <v>3.01313E-2</v>
      </c>
      <c r="H102" s="345">
        <f>SUMPRODUCT(H98:H101,'Parameters, general'!$B$23:$B$26)</f>
        <v>6.4170940759836148E-2</v>
      </c>
      <c r="I102" s="345">
        <f>SUMPRODUCT(I98:I101,'Parameters, general'!$B$23:$B$26)</f>
        <v>6.417094075983616E-3</v>
      </c>
      <c r="J102" s="345">
        <f>SUMPRODUCT(J98:J101,'Parameters, general'!$B$23:$B$26)</f>
        <v>1.3261552271447692E-2</v>
      </c>
      <c r="K102" s="345">
        <f>SUMPRODUCT(K98:K101,'Parameters, general'!$B$23:$B$26)</f>
        <v>0</v>
      </c>
      <c r="L102" s="345">
        <f>SUMPRODUCT(L98:L101,'Parameters, general'!$B$23:$B$26)</f>
        <v>0</v>
      </c>
      <c r="M102" s="345">
        <f>SUMPRODUCT(M98:M101,'Parameters, general'!$B$23:$B$26)</f>
        <v>0</v>
      </c>
      <c r="N102" s="345">
        <f>SUMPRODUCT(N98:N101,'Parameters, general'!$B$23:$B$26)</f>
        <v>0</v>
      </c>
      <c r="O102" s="345">
        <f>SUMPRODUCT(O98:O101,'Parameters, general'!$B$23:$B$26)</f>
        <v>8.6389700000000014E-2</v>
      </c>
      <c r="P102" s="345"/>
      <c r="R102" s="124"/>
      <c r="S102" s="6"/>
    </row>
    <row r="103" spans="1:19" x14ac:dyDescent="0.3">
      <c r="B103" t="s">
        <v>362</v>
      </c>
      <c r="C103" t="s">
        <v>91</v>
      </c>
      <c r="D103" t="s">
        <v>51</v>
      </c>
      <c r="E103" s="4">
        <f t="shared" si="14"/>
        <v>0.11379318203702314</v>
      </c>
      <c r="F103" s="4">
        <f>'Forage, input data per ha'!D32*(Frac_BAT_IT*EF_min_fert_BAT_CO2+Frac_AN_IT*EF_min_fert_AN_CO2)/'Forage, input data per ha'!C32</f>
        <v>2.8884517815723723E-2</v>
      </c>
      <c r="G103" s="4">
        <f>EF_capital_goods_CO2</f>
        <v>2.7E-2</v>
      </c>
      <c r="H103" s="4"/>
      <c r="I103" s="4"/>
      <c r="J103" s="4">
        <f>'Forage, input data per ha'!H32*EF_diesel_CO2*Heating_value_diesel/'Forage, input data per ha'!C32</f>
        <v>1.0792283582048061E-2</v>
      </c>
      <c r="K103" s="4"/>
      <c r="L103" s="4">
        <f>'Forage, input data per ha'!I32*'Parameters, general'!$B$17/'Forage, input data per ha'!C32</f>
        <v>4.1638063925135904E-4</v>
      </c>
      <c r="M103" s="4"/>
      <c r="N103" s="4"/>
      <c r="O103" s="4">
        <f>'Parameters, general'!$B$20</f>
        <v>4.6700000000000005E-2</v>
      </c>
      <c r="P103" s="4"/>
    </row>
    <row r="104" spans="1:19" x14ac:dyDescent="0.3">
      <c r="B104" t="s">
        <v>362</v>
      </c>
      <c r="C104" t="s">
        <v>92</v>
      </c>
      <c r="D104" t="s">
        <v>51</v>
      </c>
      <c r="E104" s="4">
        <f t="shared" si="14"/>
        <v>8.621604011700921E-4</v>
      </c>
      <c r="F104" s="4">
        <f>'Forage, input data per ha'!D32*(Frac_BAT_IT*EF_min_fert_BAT_CH4+Frac_AN_IT*EF_min_fert_AN_CH4)/'Forage, input data per ha'!C32</f>
        <v>5.2987214128940158E-5</v>
      </c>
      <c r="G104" s="4">
        <f>EF_capital_goods_CH4</f>
        <v>9.5000000000000005E-5</v>
      </c>
      <c r="H104" s="4"/>
      <c r="I104" s="4"/>
      <c r="J104" s="4">
        <f>'Forage, input data per ha'!H32*EF_diesel_CH4*Heating_value_diesel/'Forage, input data per ha'!C32</f>
        <v>4.7806177142291395E-6</v>
      </c>
      <c r="K104" s="4"/>
      <c r="L104" s="4">
        <f>'Forage, input data per ha'!I32*'Parameters, general'!$C$17/'Forage, input data per ha'!C32</f>
        <v>1.3925693269227845E-6</v>
      </c>
      <c r="M104" s="4"/>
      <c r="N104" s="4"/>
      <c r="O104" s="4">
        <f>'Parameters, general'!$C$20</f>
        <v>7.0799999999999997E-4</v>
      </c>
      <c r="P104" s="4"/>
    </row>
    <row r="105" spans="1:19" x14ac:dyDescent="0.3">
      <c r="B105" t="s">
        <v>362</v>
      </c>
      <c r="C105" t="s">
        <v>311</v>
      </c>
      <c r="D105" t="s">
        <v>51</v>
      </c>
      <c r="E105" s="4">
        <f t="shared" si="14"/>
        <v>0</v>
      </c>
      <c r="F105" s="4"/>
      <c r="G105" s="4"/>
      <c r="H105" s="4"/>
      <c r="I105" s="4"/>
      <c r="J105" s="4"/>
      <c r="K105" s="4"/>
      <c r="L105" s="4"/>
      <c r="M105" s="4"/>
      <c r="N105" s="4"/>
      <c r="O105" s="4"/>
      <c r="P105" s="4"/>
    </row>
    <row r="106" spans="1:19" x14ac:dyDescent="0.3">
      <c r="B106" t="s">
        <v>362</v>
      </c>
      <c r="C106" t="s">
        <v>94</v>
      </c>
      <c r="D106" t="s">
        <v>51</v>
      </c>
      <c r="E106" s="4">
        <f t="shared" si="14"/>
        <v>3.6387266834236323E-4</v>
      </c>
      <c r="F106" s="4">
        <f>'Forage, input data per ha'!D32*(Frac_BAT_IT*EF_min_fert_BAT_N2O+Frac_AN_IT*EF_min_fert_AN_N2O)/'Forage, input data per ha'!C32</f>
        <v>6.346463293397086E-5</v>
      </c>
      <c r="G106" s="4">
        <f>EF_capital_goods_N2O</f>
        <v>1.1000000000000001E-6</v>
      </c>
      <c r="H106" s="4">
        <f>('Forage, input data per ha'!D32*'Parameters SH, country spec'!H78+'Forage, input data per ha'!F32*'Parameters SH, country spec'!H79)*44/28/'Forage, input data per ha'!C32</f>
        <v>2.0990991304100756E-4</v>
      </c>
      <c r="I106" s="4">
        <f>H106*0.1</f>
        <v>2.0990991304100757E-5</v>
      </c>
      <c r="J106" s="4">
        <f>'Forage, input data per ha'!H32*EF_diesel_N2O*Heating_value_diesel/'Forage, input data per ha'!C32</f>
        <v>2.8999286758927875E-7</v>
      </c>
      <c r="K106" s="4"/>
      <c r="L106" s="4">
        <f>'Forage, input data per ha'!I32*'Parameters, general'!$D$17/'Forage, input data per ha'!C32</f>
        <v>1.7138195694812812E-8</v>
      </c>
      <c r="M106" s="4"/>
      <c r="N106" s="4"/>
      <c r="O106" s="4">
        <f>'Parameters, general'!$D$20</f>
        <v>6.8099999999999988E-5</v>
      </c>
      <c r="P106" s="4"/>
    </row>
    <row r="107" spans="1:19" ht="15" customHeight="1" x14ac:dyDescent="0.3">
      <c r="A107" s="155"/>
      <c r="B107" s="155" t="s">
        <v>362</v>
      </c>
      <c r="C107" s="155" t="s">
        <v>95</v>
      </c>
      <c r="D107" s="155" t="s">
        <v>51</v>
      </c>
      <c r="E107" s="345">
        <f>SUM(F107:P107)</f>
        <v>0.23882280044935705</v>
      </c>
      <c r="F107" s="345">
        <f>SUMPRODUCT(F103:F106,'Parameters, general'!$B$23:$B$26)</f>
        <v>4.7789381587740182E-2</v>
      </c>
      <c r="G107" s="345">
        <f>SUMPRODUCT(G103:G106,'Parameters, general'!$B$23:$B$26)</f>
        <v>3.01313E-2</v>
      </c>
      <c r="H107" s="345">
        <f>SUMPRODUCT(H103:H106,'Parameters, general'!$B$23:$B$26)</f>
        <v>5.7305406260195063E-2</v>
      </c>
      <c r="I107" s="345">
        <f>SUMPRODUCT(I103:I106,'Parameters, general'!$B$23:$B$26)</f>
        <v>5.7305406260195063E-3</v>
      </c>
      <c r="J107" s="345">
        <f>SUMPRODUCT(J103:J106,'Parameters, general'!$B$23:$B$26)</f>
        <v>1.1013914042783962E-2</v>
      </c>
      <c r="K107" s="345">
        <f>SUMPRODUCT(K103:K106,'Parameters, general'!$B$23:$B$26)</f>
        <v>0</v>
      </c>
      <c r="L107" s="345">
        <f>SUMPRODUCT(L103:L106,'Parameters, general'!$B$23:$B$26)</f>
        <v>4.6255793261834192E-4</v>
      </c>
      <c r="M107" s="345">
        <f>SUMPRODUCT(M103:M106,'Parameters, general'!$B$23:$B$26)</f>
        <v>0</v>
      </c>
      <c r="N107" s="345">
        <f>SUMPRODUCT(N103:N106,'Parameters, general'!$B$23:$B$26)</f>
        <v>0</v>
      </c>
      <c r="O107" s="345">
        <f>SUMPRODUCT(O103:O106,'Parameters, general'!$B$23:$B$26)</f>
        <v>8.6389700000000014E-2</v>
      </c>
      <c r="P107" s="345"/>
      <c r="R107" s="124"/>
      <c r="S107" s="6"/>
    </row>
    <row r="108" spans="1:19" x14ac:dyDescent="0.3">
      <c r="B108" t="s">
        <v>362</v>
      </c>
      <c r="C108" t="s">
        <v>91</v>
      </c>
      <c r="D108" t="s">
        <v>53</v>
      </c>
      <c r="E108" s="4">
        <f t="shared" ref="E108:E111" si="15">SUM(F108:P108)</f>
        <v>8.7857793091351333E-2</v>
      </c>
      <c r="F108" s="4">
        <f>'Forage, input data per ha'!D33*(Frac_BAT_NL*EF_min_fert_BAT_CO2+Frac_AN_NL*EF_min_fert_AN_CO2)/'Forage, input data per ha'!C33</f>
        <v>1.1809033777784657E-3</v>
      </c>
      <c r="G108" s="4">
        <f>EF_capital_goods_CO2</f>
        <v>2.7E-2</v>
      </c>
      <c r="H108" s="4"/>
      <c r="I108" s="4"/>
      <c r="J108" s="4">
        <f>'Forage, input data per ha'!H33*EF_diesel_CO2*Heating_value_diesel/'Forage, input data per ha'!C33</f>
        <v>1.2901809267049416E-2</v>
      </c>
      <c r="K108" s="4"/>
      <c r="L108" s="4">
        <f>'Forage, input data per ha'!I33*'Parameters, general'!$B$17/'Forage, input data per ha'!C33</f>
        <v>7.5080446523445869E-5</v>
      </c>
      <c r="M108" s="4"/>
      <c r="N108" s="276"/>
      <c r="O108" s="4">
        <f>'Parameters, general'!$B$20</f>
        <v>4.6700000000000005E-2</v>
      </c>
      <c r="P108" s="4"/>
    </row>
    <row r="109" spans="1:19" x14ac:dyDescent="0.3">
      <c r="B109" t="s">
        <v>362</v>
      </c>
      <c r="C109" t="s">
        <v>92</v>
      </c>
      <c r="D109" t="s">
        <v>53</v>
      </c>
      <c r="E109" s="4">
        <f t="shared" si="15"/>
        <v>8.1113247880617786E-4</v>
      </c>
      <c r="F109" s="4">
        <f>'Forage, input data per ha'!D33*(Frac_BAT_NL*EF_min_fert_BAT_CH4+Frac_AN_NL*EF_min_fert_AN_CH4)/'Forage, input data per ha'!C33</f>
        <v>2.166308627450026E-6</v>
      </c>
      <c r="G109" s="4">
        <f>EF_capital_goods_CH4</f>
        <v>9.5000000000000005E-5</v>
      </c>
      <c r="H109" s="4"/>
      <c r="I109" s="4"/>
      <c r="J109" s="4">
        <f>'Forage, input data per ha'!H33*EF_diesel_CH4*Heating_value_diesel/'Forage, input data per ha'!C33</f>
        <v>5.7150664601010523E-6</v>
      </c>
      <c r="K109" s="4"/>
      <c r="L109" s="4">
        <f>'Forage, input data per ha'!I33*'Parameters, general'!$C$17/'Forage, input data per ha'!C33</f>
        <v>2.5110371862679221E-7</v>
      </c>
      <c r="M109" s="4"/>
      <c r="N109" s="4"/>
      <c r="O109" s="4">
        <f>'Parameters, general'!$C$20</f>
        <v>7.0799999999999997E-4</v>
      </c>
      <c r="P109" s="4"/>
    </row>
    <row r="110" spans="1:19" x14ac:dyDescent="0.3">
      <c r="B110" t="s">
        <v>362</v>
      </c>
      <c r="C110" t="s">
        <v>311</v>
      </c>
      <c r="D110" t="s">
        <v>53</v>
      </c>
      <c r="E110" s="4">
        <f t="shared" si="15"/>
        <v>0</v>
      </c>
      <c r="F110" s="4"/>
      <c r="G110" s="4"/>
      <c r="H110" s="4"/>
      <c r="I110" s="4"/>
      <c r="J110" s="4"/>
      <c r="K110" s="4"/>
      <c r="L110" s="4"/>
      <c r="M110" s="4"/>
      <c r="N110" s="4"/>
      <c r="O110" s="4"/>
      <c r="P110" s="4"/>
    </row>
    <row r="111" spans="1:19" x14ac:dyDescent="0.3">
      <c r="B111" t="s">
        <v>362</v>
      </c>
      <c r="C111" t="s">
        <v>94</v>
      </c>
      <c r="D111" t="s">
        <v>53</v>
      </c>
      <c r="E111" s="4">
        <f t="shared" si="15"/>
        <v>9.9537255002662641E-5</v>
      </c>
      <c r="F111" s="4">
        <f>'Forage, input data per ha'!D33*(Frac_BAT_NL*EF_min_fert_BAT_N2O+Frac_AN_NL*EF_min_fert_AN_N2O)/'Forage, input data per ha'!C33</f>
        <v>2.5946633376167656E-6</v>
      </c>
      <c r="G111" s="4">
        <f>EF_capital_goods_N2O</f>
        <v>1.1000000000000001E-6</v>
      </c>
      <c r="H111" s="4">
        <f>('Forage, input data per ha'!D33*'Parameters SH, country spec'!I78+'Forage, input data per ha'!F33*'Parameters SH, country spec'!I79)*44/28/'Forage, input data per ha'!C33</f>
        <v>2.4902567922105637E-5</v>
      </c>
      <c r="I111" s="4">
        <f>H111*0.1</f>
        <v>2.490256792210564E-6</v>
      </c>
      <c r="J111" s="4">
        <f>'Forage, input data per ha'!H33*EF_diesel_N2O*Heating_value_diesel/'Forage, input data per ha'!C33</f>
        <v>3.466766452157641E-7</v>
      </c>
      <c r="K111" s="4"/>
      <c r="L111" s="4">
        <f>'Forage, input data per ha'!I33*'Parameters, general'!$D$17/'Forage, input data per ha'!C33</f>
        <v>3.0903055139313702E-9</v>
      </c>
      <c r="M111" s="4"/>
      <c r="N111" s="4"/>
      <c r="O111" s="4">
        <f>'Parameters, general'!$D$20</f>
        <v>6.8099999999999988E-5</v>
      </c>
      <c r="P111" s="4"/>
    </row>
    <row r="112" spans="1:19" ht="15" customHeight="1" x14ac:dyDescent="0.3">
      <c r="A112" s="155"/>
      <c r="B112" s="155" t="s">
        <v>362</v>
      </c>
      <c r="C112" s="155" t="s">
        <v>95</v>
      </c>
      <c r="D112" s="155" t="s">
        <v>53</v>
      </c>
      <c r="E112" s="345">
        <f>SUM(F112:P112)</f>
        <v>0.13920321157550236</v>
      </c>
      <c r="F112" s="345">
        <f>SUMPRODUCT(F108:F111,'Parameters, general'!$B$23:$B$26)</f>
        <v>1.9538024660458535E-3</v>
      </c>
      <c r="G112" s="345">
        <f>SUMPRODUCT(G108:G111,'Parameters, general'!$B$23:$B$26)</f>
        <v>3.01313E-2</v>
      </c>
      <c r="H112" s="345">
        <f>SUMPRODUCT(H108:H111,'Parameters, general'!$B$23:$B$26)</f>
        <v>6.798401042734839E-3</v>
      </c>
      <c r="I112" s="345">
        <f>SUMPRODUCT(I108:I111,'Parameters, general'!$B$23:$B$26)</f>
        <v>6.7984010427348397E-4</v>
      </c>
      <c r="J112" s="345">
        <f>SUMPRODUCT(J108:J111,'Parameters, general'!$B$23:$B$26)</f>
        <v>1.3166760971704331E-2</v>
      </c>
      <c r="K112" s="345">
        <f>SUMPRODUCT(K108:K111,'Parameters, general'!$B$23:$B$26)</f>
        <v>0</v>
      </c>
      <c r="L112" s="345">
        <f>SUMPRODUCT(L108:L111,'Parameters, general'!$B$23:$B$26)</f>
        <v>8.3406990743827535E-5</v>
      </c>
      <c r="M112" s="345">
        <f>SUMPRODUCT(M108:M111,'Parameters, general'!$B$23:$B$26)</f>
        <v>0</v>
      </c>
      <c r="N112" s="345">
        <f>SUMPRODUCT(N108:N111,'Parameters, general'!$B$23:$B$26)</f>
        <v>0</v>
      </c>
      <c r="O112" s="345">
        <f>SUMPRODUCT(O108:O111,'Parameters, general'!$B$23:$B$26)</f>
        <v>8.6389700000000014E-2</v>
      </c>
      <c r="P112" s="345"/>
      <c r="R112" s="124"/>
      <c r="S112" s="6"/>
    </row>
    <row r="113" spans="1:19" x14ac:dyDescent="0.3">
      <c r="B113" t="s">
        <v>362</v>
      </c>
      <c r="C113" t="s">
        <v>91</v>
      </c>
      <c r="D113" t="s">
        <v>55</v>
      </c>
      <c r="E113" s="4">
        <f t="shared" ref="E113:E121" si="16">SUM(F113:P113)</f>
        <v>0.11706797704376401</v>
      </c>
      <c r="F113" s="4">
        <f>'Forage, input data per ha'!D34*(Frac_BAT_PL*EF_min_fert_BAT_CO2+Frac_AN_PL*EF_min_fert_AN_CO2)/'Forage, input data per ha'!C34</f>
        <v>3.0058016193008835E-2</v>
      </c>
      <c r="G113" s="4">
        <f>EF_capital_goods_CO2</f>
        <v>2.7E-2</v>
      </c>
      <c r="H113" s="4"/>
      <c r="I113" s="4"/>
      <c r="J113" s="4">
        <f>'Forage, input data per ha'!H34*EF_diesel_CO2*Heating_value_diesel/'Forage, input data per ha'!C34</f>
        <v>1.329217950106977E-2</v>
      </c>
      <c r="K113" s="4"/>
      <c r="L113" s="4">
        <f>'Forage, input data per ha'!I34*'Parameters, general'!$B$17/'Forage, input data per ha'!C34</f>
        <v>1.7781349685403136E-5</v>
      </c>
      <c r="M113" s="4"/>
      <c r="N113" s="276"/>
      <c r="O113" s="4">
        <f>'Parameters, general'!$B$20</f>
        <v>4.6700000000000005E-2</v>
      </c>
      <c r="P113" s="4"/>
    </row>
    <row r="114" spans="1:19" x14ac:dyDescent="0.3">
      <c r="B114" t="s">
        <v>362</v>
      </c>
      <c r="C114" t="s">
        <v>92</v>
      </c>
      <c r="D114" t="s">
        <v>55</v>
      </c>
      <c r="E114" s="4">
        <f t="shared" si="16"/>
        <v>8.6408739501382854E-4</v>
      </c>
      <c r="F114" s="4">
        <f>'Forage, input data per ha'!D34*(Frac_BAT_PL*EF_min_fert_BAT_CH4+Frac_AN_PL*EF_min_fert_AN_CH4)/'Forage, input data per ha'!C34</f>
        <v>5.5139938650563344E-5</v>
      </c>
      <c r="G114" s="4">
        <f>EF_capital_goods_CH4</f>
        <v>9.5000000000000005E-5</v>
      </c>
      <c r="H114" s="4"/>
      <c r="I114" s="4"/>
      <c r="J114" s="4">
        <f>'Forage, input data per ha'!H34*EF_diesel_CH4*Heating_value_diesel/'Forage, input data per ha'!C34</f>
        <v>5.8879873106029554E-6</v>
      </c>
      <c r="K114" s="4"/>
      <c r="L114" s="4">
        <f>'Forage, input data per ha'!I34*'Parameters, general'!$C$17/'Forage, input data per ha'!C34</f>
        <v>5.9469052662250286E-8</v>
      </c>
      <c r="M114" s="4"/>
      <c r="N114" s="4"/>
      <c r="O114" s="4">
        <f>'Parameters, general'!$C$20</f>
        <v>7.0799999999999997E-4</v>
      </c>
      <c r="P114" s="4"/>
    </row>
    <row r="115" spans="1:19" x14ac:dyDescent="0.3">
      <c r="B115" t="s">
        <v>362</v>
      </c>
      <c r="C115" t="s">
        <v>311</v>
      </c>
      <c r="D115" t="s">
        <v>55</v>
      </c>
      <c r="E115" s="4">
        <f t="shared" si="16"/>
        <v>0</v>
      </c>
      <c r="F115" s="4"/>
      <c r="G115" s="4"/>
      <c r="H115" s="4"/>
      <c r="I115" s="4"/>
      <c r="J115" s="4"/>
      <c r="K115" s="4"/>
      <c r="L115" s="4"/>
      <c r="M115" s="4"/>
      <c r="N115" s="4"/>
      <c r="O115" s="4"/>
      <c r="P115" s="4"/>
    </row>
    <row r="116" spans="1:19" x14ac:dyDescent="0.3">
      <c r="B116" t="s">
        <v>362</v>
      </c>
      <c r="C116" t="s">
        <v>94</v>
      </c>
      <c r="D116" t="s">
        <v>55</v>
      </c>
      <c r="E116" s="4">
        <f t="shared" si="16"/>
        <v>3.7512223427927261E-4</v>
      </c>
      <c r="F116" s="4">
        <f>'Forage, input data per ha'!D34*(Frac_BAT_PL*EF_min_fert_BAT_N2O+Frac_AN_PL*EF_min_fert_AN_N2O)/'Forage, input data per ha'!C34</f>
        <v>6.6043026114641107E-5</v>
      </c>
      <c r="G116" s="4">
        <f>EF_capital_goods_N2O</f>
        <v>1.1000000000000001E-6</v>
      </c>
      <c r="H116" s="4">
        <f>('Forage, input data per ha'!D34*'Parameters SH, country spec'!J78+'Forage, input data per ha'!F34*'Parameters SH, country spec'!J79)*44/28/'Forage, input data per ha'!C34</f>
        <v>2.1774664567274286E-4</v>
      </c>
      <c r="I116" s="4">
        <f>H116*0.1</f>
        <v>2.1774664567274287E-5</v>
      </c>
      <c r="J116" s="4">
        <f>'Forage, input data per ha'!H34*EF_diesel_N2O*Heating_value_diesel/'Forage, input data per ha'!C34</f>
        <v>3.571660456030339E-7</v>
      </c>
      <c r="K116" s="4"/>
      <c r="L116" s="4">
        <f>'Forage, input data per ha'!I34*'Parameters, general'!$D$17/'Forage, input data per ha'!C34</f>
        <v>7.3187901141189411E-10</v>
      </c>
      <c r="M116" s="4"/>
      <c r="N116" s="4"/>
      <c r="O116" s="4">
        <f>'Parameters, general'!$D$20</f>
        <v>6.8099999999999988E-5</v>
      </c>
      <c r="P116" s="4"/>
    </row>
    <row r="117" spans="1:19" ht="15" customHeight="1" x14ac:dyDescent="0.3">
      <c r="A117" s="155"/>
      <c r="B117" s="155" t="s">
        <v>362</v>
      </c>
      <c r="C117" s="155" t="s">
        <v>95</v>
      </c>
      <c r="D117" s="155" t="s">
        <v>55</v>
      </c>
      <c r="E117" s="345">
        <f>SUM(F117:P117)</f>
        <v>0.24522615137341758</v>
      </c>
      <c r="F117" s="345">
        <f>SUMPRODUCT(F113:F116,'Parameters, general'!$B$23:$B$26)</f>
        <v>4.9730932494092647E-2</v>
      </c>
      <c r="G117" s="345">
        <f>SUMPRODUCT(G113:G116,'Parameters, general'!$B$23:$B$26)</f>
        <v>3.01313E-2</v>
      </c>
      <c r="H117" s="345">
        <f>SUMPRODUCT(H113:H116,'Parameters, general'!$B$23:$B$26)</f>
        <v>5.9444834268658799E-2</v>
      </c>
      <c r="I117" s="345">
        <f>SUMPRODUCT(I113:I116,'Parameters, general'!$B$23:$B$26)</f>
        <v>5.9444834268658807E-3</v>
      </c>
      <c r="J117" s="345">
        <f>SUMPRODUCT(J113:J116,'Parameters, general'!$B$23:$B$26)</f>
        <v>1.3565147853375367E-2</v>
      </c>
      <c r="K117" s="345">
        <f>SUMPRODUCT(K113:K116,'Parameters, general'!$B$23:$B$26)</f>
        <v>0</v>
      </c>
      <c r="L117" s="345">
        <f>SUMPRODUCT(L113:L116,'Parameters, general'!$B$23:$B$26)</f>
        <v>1.9753330424853642E-5</v>
      </c>
      <c r="M117" s="345">
        <f>SUMPRODUCT(M113:M116,'Parameters, general'!$B$23:$B$26)</f>
        <v>0</v>
      </c>
      <c r="N117" s="345">
        <f>SUMPRODUCT(N113:N116,'Parameters, general'!$B$23:$B$26)</f>
        <v>0</v>
      </c>
      <c r="O117" s="345">
        <f>SUMPRODUCT(O113:O116,'Parameters, general'!$B$23:$B$26)</f>
        <v>8.6389700000000014E-2</v>
      </c>
      <c r="P117" s="345"/>
      <c r="R117" s="124"/>
      <c r="S117" s="6"/>
    </row>
    <row r="118" spans="1:19" x14ac:dyDescent="0.3">
      <c r="B118" t="s">
        <v>362</v>
      </c>
      <c r="C118" t="s">
        <v>91</v>
      </c>
      <c r="D118" t="s">
        <v>57</v>
      </c>
      <c r="E118" s="4">
        <f t="shared" si="16"/>
        <v>0.11954794233360069</v>
      </c>
      <c r="F118" s="4">
        <f>'Forage, input data per ha'!D35*(Frac_BAT_ES*EF_min_fert_BAT_CO2+Frac_AN_ES*EF_min_fert_AN_CO2)/'Forage, input data per ha'!C35</f>
        <v>2.1225258539773455E-2</v>
      </c>
      <c r="G118" s="4">
        <f>EF_capital_goods_CO2</f>
        <v>2.7E-2</v>
      </c>
      <c r="H118" s="4"/>
      <c r="I118" s="4"/>
      <c r="J118" s="4">
        <f>'Forage, input data per ha'!H35*EF_diesel_CO2*Heating_value_diesel/'Forage, input data per ha'!C35</f>
        <v>2.150288478884789E-2</v>
      </c>
      <c r="K118" s="4"/>
      <c r="L118" s="4">
        <f>'Forage, input data per ha'!I35*'Parameters, general'!$B$17/'Forage, input data per ha'!C35</f>
        <v>3.1197990049793402E-3</v>
      </c>
      <c r="M118" s="4"/>
      <c r="N118" s="4"/>
      <c r="O118" s="4">
        <f>'Parameters, general'!$B$20</f>
        <v>4.6700000000000005E-2</v>
      </c>
      <c r="P118" s="4"/>
    </row>
    <row r="119" spans="1:19" x14ac:dyDescent="0.3">
      <c r="B119" t="s">
        <v>362</v>
      </c>
      <c r="C119" t="s">
        <v>92</v>
      </c>
      <c r="D119" t="s">
        <v>57</v>
      </c>
      <c r="E119" s="4">
        <f t="shared" si="16"/>
        <v>8.6189578605677685E-4</v>
      </c>
      <c r="F119" s="4">
        <f>'Forage, input data per ha'!D35*(Frac_BAT_ES*EF_min_fert_BAT_CH4+Frac_AN_ES*EF_min_fert_AN_CH4)/'Forage, input data per ha'!C35</f>
        <v>3.8936683186619176E-5</v>
      </c>
      <c r="G119" s="4">
        <f>EF_capital_goods_CH4</f>
        <v>9.5000000000000005E-5</v>
      </c>
      <c r="H119" s="4"/>
      <c r="I119" s="4"/>
      <c r="J119" s="4">
        <f>'Forage, input data per ha'!H35*EF_diesel_CH4*Heating_value_diesel/'Forage, input data per ha'!C35</f>
        <v>9.5250528905289057E-6</v>
      </c>
      <c r="K119" s="4"/>
      <c r="L119" s="4">
        <f>'Forage, input data per ha'!I35*'Parameters, general'!$C$17/'Forage, input data per ha'!C35</f>
        <v>1.0434049979628758E-5</v>
      </c>
      <c r="M119" s="4"/>
      <c r="N119" s="4"/>
      <c r="O119" s="4">
        <f>'Parameters, general'!$C$20</f>
        <v>7.0799999999999997E-4</v>
      </c>
      <c r="P119" s="4"/>
    </row>
    <row r="120" spans="1:19" x14ac:dyDescent="0.3">
      <c r="B120" t="s">
        <v>362</v>
      </c>
      <c r="C120" t="s">
        <v>311</v>
      </c>
      <c r="D120" t="s">
        <v>57</v>
      </c>
      <c r="E120" s="4">
        <f t="shared" si="16"/>
        <v>0</v>
      </c>
      <c r="F120" s="4"/>
      <c r="G120" s="4"/>
      <c r="H120" s="4"/>
      <c r="I120" s="4"/>
      <c r="J120" s="4"/>
      <c r="K120" s="4"/>
      <c r="L120" s="4"/>
      <c r="M120" s="4"/>
      <c r="N120" s="4"/>
      <c r="O120" s="4"/>
      <c r="P120" s="4"/>
    </row>
    <row r="121" spans="1:19" x14ac:dyDescent="0.3">
      <c r="B121" t="s">
        <v>362</v>
      </c>
      <c r="C121" t="s">
        <v>94</v>
      </c>
      <c r="D121" t="s">
        <v>57</v>
      </c>
      <c r="E121" s="4">
        <f t="shared" si="16"/>
        <v>2.9117874840573556E-4</v>
      </c>
      <c r="F121" s="4">
        <f>'Forage, input data per ha'!D35*(Frac_BAT_ES*EF_min_fert_BAT_N2O+Frac_AN_ES*EF_min_fert_AN_N2O)/'Forage, input data per ha'!C35</f>
        <v>4.6635822372013562E-5</v>
      </c>
      <c r="G121" s="4">
        <f>EF_capital_goods_N2O</f>
        <v>1.1000000000000001E-6</v>
      </c>
      <c r="H121" s="4">
        <f>('Forage, input data per ha'!D35*'Parameters SH, country spec'!K78+'Forage, input data per ha'!F35*'Parameters SH, country spec'!K79)*44/28/'Forage, input data per ha'!C35</f>
        <v>1.58760658585603E-4</v>
      </c>
      <c r="I121" s="4">
        <f>H121*0.1</f>
        <v>1.58760658585603E-5</v>
      </c>
      <c r="J121" s="4">
        <f>'Forage, input data per ha'!H35*EF_diesel_N2O*Heating_value_diesel/'Forage, input data per ha'!C35</f>
        <v>5.7779089790897923E-7</v>
      </c>
      <c r="K121" s="4"/>
      <c r="L121" s="4">
        <f>'Forage, input data per ha'!I35*'Parameters, general'!$D$17/'Forage, input data per ha'!C35</f>
        <v>1.2841069164971677E-7</v>
      </c>
      <c r="M121" s="4"/>
      <c r="N121" s="4"/>
      <c r="O121" s="4">
        <f>'Parameters, general'!$D$20</f>
        <v>6.8099999999999988E-5</v>
      </c>
      <c r="P121" s="4"/>
    </row>
    <row r="122" spans="1:19" x14ac:dyDescent="0.3">
      <c r="A122" s="155"/>
      <c r="B122" s="155" t="s">
        <v>362</v>
      </c>
      <c r="C122" s="155" t="s">
        <v>95</v>
      </c>
      <c r="D122" s="155" t="s">
        <v>57</v>
      </c>
      <c r="E122" s="345">
        <f>SUM(F122:P122)</f>
        <v>0.22472423507285846</v>
      </c>
      <c r="F122" s="345">
        <f>SUMPRODUCT(F118:F121,'Parameters, general'!$B$23:$B$26)</f>
        <v>3.5117151206294411E-2</v>
      </c>
      <c r="G122" s="345">
        <f>SUMPRODUCT(G118:G121,'Parameters, general'!$B$23:$B$26)</f>
        <v>3.01313E-2</v>
      </c>
      <c r="H122" s="345">
        <f>SUMPRODUCT(H118:H121,'Parameters, general'!$B$23:$B$26)</f>
        <v>4.334165979386962E-2</v>
      </c>
      <c r="I122" s="345">
        <f>SUMPRODUCT(I118:I121,'Parameters, general'!$B$23:$B$26)</f>
        <v>4.3341659793869614E-3</v>
      </c>
      <c r="J122" s="345">
        <f>SUMPRODUCT(J118:J121,'Parameters, general'!$B$23:$B$26)</f>
        <v>2.1944468280114801E-2</v>
      </c>
      <c r="K122" s="345">
        <f>SUMPRODUCT(K118:K121,'Parameters, general'!$B$23:$B$26)</f>
        <v>0</v>
      </c>
      <c r="L122" s="345">
        <f>SUMPRODUCT(L118:L121,'Parameters, general'!$B$23:$B$26)</f>
        <v>3.4657898131926499E-3</v>
      </c>
      <c r="M122" s="345">
        <f>SUMPRODUCT(M118:M121,'Parameters, general'!$B$23:$B$26)</f>
        <v>0</v>
      </c>
      <c r="N122" s="345">
        <f>SUMPRODUCT(N118:N121,'Parameters, general'!$B$23:$B$26)</f>
        <v>0</v>
      </c>
      <c r="O122" s="345">
        <f>SUMPRODUCT(O118:O121,'Parameters, general'!$B$23:$B$26)</f>
        <v>8.6389700000000014E-2</v>
      </c>
      <c r="P122" s="345"/>
    </row>
    <row r="123" spans="1:19" x14ac:dyDescent="0.3">
      <c r="B123" t="s">
        <v>362</v>
      </c>
      <c r="C123" t="s">
        <v>91</v>
      </c>
      <c r="D123" t="s">
        <v>59</v>
      </c>
      <c r="E123" s="4">
        <f t="shared" ref="E123:E126" si="17">SUM(F123:P123)</f>
        <v>0.11295481232387967</v>
      </c>
      <c r="F123" s="4">
        <f>'Forage, input data per ha'!D36*(Frac_BAT_SE*EF_min_fert_BAT_CO2+Frac_AN_SE*EF_min_fert_AN_CO2)/'Forage, input data per ha'!C36</f>
        <v>2.0076143571985575E-2</v>
      </c>
      <c r="G123" s="4">
        <f>EF_capital_goods_CO2</f>
        <v>2.7E-2</v>
      </c>
      <c r="H123" s="4"/>
      <c r="I123" s="4"/>
      <c r="J123" s="4">
        <f>'Forage, input data per ha'!H36*EF_diesel_CO2*Heating_value_diesel/'Forage, input data per ha'!C36</f>
        <v>1.9178668751894105E-2</v>
      </c>
      <c r="K123" s="4"/>
      <c r="L123" s="4">
        <f>'Forage, input data per ha'!I36*'Parameters, general'!$B$17/'Forage, input data per ha'!C36</f>
        <v>0</v>
      </c>
      <c r="M123" s="4"/>
      <c r="N123" s="276"/>
      <c r="O123" s="4">
        <f>'Parameters, general'!$B$20</f>
        <v>4.6700000000000005E-2</v>
      </c>
      <c r="P123" s="4"/>
    </row>
    <row r="124" spans="1:19" x14ac:dyDescent="0.3">
      <c r="B124" t="s">
        <v>362</v>
      </c>
      <c r="C124" t="s">
        <v>92</v>
      </c>
      <c r="D124" t="s">
        <v>59</v>
      </c>
      <c r="E124" s="4">
        <f t="shared" si="17"/>
        <v>8.367522838024818E-4</v>
      </c>
      <c r="F124" s="4">
        <f>'Forage, input data per ha'!D36*(Frac_BAT_SE*EF_min_fert_BAT_CH4+Frac_AN_SE*EF_min_fert_AN_CH4)/'Forage, input data per ha'!C36</f>
        <v>2.5256780244444398E-5</v>
      </c>
      <c r="G124" s="4">
        <f>EF_capital_goods_CH4</f>
        <v>9.5000000000000005E-5</v>
      </c>
      <c r="H124" s="4"/>
      <c r="I124" s="4"/>
      <c r="J124" s="4">
        <f>'Forage, input data per ha'!H36*EF_diesel_CH4*Heating_value_diesel/'Forage, input data per ha'!C36</f>
        <v>8.4955035580373929E-6</v>
      </c>
      <c r="K124" s="4"/>
      <c r="L124" s="4">
        <f>'Forage, input data per ha'!I36*'Parameters, general'!$C$17/'Forage, input data per ha'!C36</f>
        <v>0</v>
      </c>
      <c r="M124" s="4"/>
      <c r="N124" s="4"/>
      <c r="O124" s="4">
        <f>'Parameters, general'!$C$20</f>
        <v>7.0799999999999997E-4</v>
      </c>
      <c r="P124" s="4"/>
    </row>
    <row r="125" spans="1:19" x14ac:dyDescent="0.3">
      <c r="B125" t="s">
        <v>362</v>
      </c>
      <c r="C125" t="s">
        <v>311</v>
      </c>
      <c r="D125" t="s">
        <v>59</v>
      </c>
      <c r="E125" s="4">
        <f t="shared" si="17"/>
        <v>0</v>
      </c>
      <c r="F125" s="4"/>
      <c r="G125" s="4"/>
      <c r="H125" s="4"/>
      <c r="I125" s="4"/>
      <c r="J125" s="4"/>
      <c r="K125" s="4"/>
      <c r="L125" s="4"/>
      <c r="M125" s="4"/>
      <c r="N125" s="4"/>
      <c r="O125" s="4"/>
      <c r="P125" s="4"/>
    </row>
    <row r="126" spans="1:19" x14ac:dyDescent="0.3">
      <c r="B126" t="s">
        <v>362</v>
      </c>
      <c r="C126" t="s">
        <v>94</v>
      </c>
      <c r="D126" t="s">
        <v>59</v>
      </c>
      <c r="E126" s="4">
        <f t="shared" si="17"/>
        <v>3.0764156365863278E-4</v>
      </c>
      <c r="F126" s="4">
        <f>'Forage, input data per ha'!D36*(Frac_BAT_SE*EF_min_fert_BAT_N2O+Frac_AN_SE*EF_min_fert_AN_N2O)/'Forage, input data per ha'!C36</f>
        <v>4.2215528572113299E-5</v>
      </c>
      <c r="G126" s="4">
        <f>EF_capital_goods_N2O</f>
        <v>1.1000000000000001E-6</v>
      </c>
      <c r="H126" s="4">
        <f>('Forage, input data per ha'!D36*'Parameters SH, country spec'!L78+'Forage, input data per ha'!F36*'Parameters SH, country spec'!L79)*44/28/'Forage, input data per ha'!C36</f>
        <v>1.7791881525427124E-4</v>
      </c>
      <c r="I126" s="4">
        <f>H126*0.1</f>
        <v>1.7791881525427124E-5</v>
      </c>
      <c r="J126" s="4">
        <f>'Forage, input data per ha'!H36*EF_diesel_N2O*Heating_value_diesel/'Forage, input data per ha'!C36</f>
        <v>5.1533830682117992E-7</v>
      </c>
      <c r="K126" s="4"/>
      <c r="L126" s="4">
        <f>'Forage, input data per ha'!I36*'Parameters, general'!$D$17/'Forage, input data per ha'!C36</f>
        <v>0</v>
      </c>
      <c r="M126" s="4"/>
      <c r="N126" s="4"/>
      <c r="O126" s="4">
        <f>'Parameters, general'!$D$20</f>
        <v>6.8099999999999988E-5</v>
      </c>
      <c r="P126" s="4"/>
    </row>
    <row r="127" spans="1:19" x14ac:dyDescent="0.3">
      <c r="A127" s="155"/>
      <c r="B127" s="155" t="s">
        <v>362</v>
      </c>
      <c r="C127" s="155" t="s">
        <v>95</v>
      </c>
      <c r="D127" s="155" t="s">
        <v>59</v>
      </c>
      <c r="E127" s="345">
        <f>SUM(F127:P127)</f>
        <v>0.22187617726000042</v>
      </c>
      <c r="F127" s="345">
        <f>SUMPRODUCT(F123:F126,'Parameters, general'!$B$23:$B$26)</f>
        <v>3.2353634923456949E-2</v>
      </c>
      <c r="G127" s="345">
        <f>SUMPRODUCT(G123:G126,'Parameters, general'!$B$23:$B$26)</f>
        <v>3.01313E-2</v>
      </c>
      <c r="H127" s="345">
        <f>SUMPRODUCT(H123:H126,'Parameters, general'!$B$23:$B$26)</f>
        <v>4.8571836564416049E-2</v>
      </c>
      <c r="I127" s="345">
        <f>SUMPRODUCT(I123:I126,'Parameters, general'!$B$23:$B$26)</f>
        <v>4.8571836564416044E-3</v>
      </c>
      <c r="J127" s="345">
        <f>SUMPRODUCT(J123:J126,'Parameters, general'!$B$23:$B$26)</f>
        <v>1.95725221156858E-2</v>
      </c>
      <c r="K127" s="345">
        <f>SUMPRODUCT(K123:K126,'Parameters, general'!$B$23:$B$26)</f>
        <v>0</v>
      </c>
      <c r="L127" s="345">
        <f>SUMPRODUCT(L123:L126,'Parameters, general'!$B$23:$B$26)</f>
        <v>0</v>
      </c>
      <c r="M127" s="345">
        <f>SUMPRODUCT(M123:M126,'Parameters, general'!$B$23:$B$26)</f>
        <v>0</v>
      </c>
      <c r="N127" s="345">
        <f>SUMPRODUCT(N123:N126,'Parameters, general'!$B$23:$B$26)</f>
        <v>0</v>
      </c>
      <c r="O127" s="345">
        <f>SUMPRODUCT(O123:O126,'Parameters, general'!$B$23:$B$26)</f>
        <v>8.6389700000000014E-2</v>
      </c>
      <c r="P127" s="345"/>
    </row>
    <row r="128" spans="1:19" x14ac:dyDescent="0.3">
      <c r="B128" t="s">
        <v>362</v>
      </c>
      <c r="C128" t="s">
        <v>91</v>
      </c>
      <c r="D128" t="s">
        <v>556</v>
      </c>
      <c r="E128" s="4">
        <f t="shared" ref="E128:E131" si="18">SUM(F128:P128)</f>
        <v>7.2645027559058523E-2</v>
      </c>
      <c r="F128" s="4">
        <f>'Forage, input data per ha'!D37*(Frac_BAT_GB*EF_min_fert_BAT_CO2+Frac_AN_GB*EF_min_fert_AN_CO2)/'Forage, input data per ha'!C37</f>
        <v>3.2650334455802711E-2</v>
      </c>
      <c r="G128" s="4">
        <f>EF_capital_goods_CO2</f>
        <v>2.7E-2</v>
      </c>
      <c r="H128" s="4"/>
      <c r="I128" s="4"/>
      <c r="J128" s="4">
        <f>'Forage, input data per ha'!H37*EF_diesel_CO2*Heating_value_diesel/'Forage, input data per ha'!C37</f>
        <v>1.2994693103255812E-2</v>
      </c>
      <c r="K128" s="4"/>
      <c r="L128" s="4">
        <f>'Forage, input data per ha'!I37*'Parameters, general'!$B$17/'Forage, input data per ha'!C37</f>
        <v>0</v>
      </c>
      <c r="M128" s="4"/>
      <c r="N128" s="276"/>
      <c r="O128" s="4"/>
      <c r="P128" s="4"/>
    </row>
    <row r="129" spans="1:19" x14ac:dyDescent="0.3">
      <c r="B129" t="s">
        <v>362</v>
      </c>
      <c r="C129" t="s">
        <v>92</v>
      </c>
      <c r="D129" t="s">
        <v>556</v>
      </c>
      <c r="E129" s="4">
        <f t="shared" si="18"/>
        <v>1.6065162869061049E-4</v>
      </c>
      <c r="F129" s="4">
        <f>'Forage, input data per ha'!D37*(Frac_BAT_GB*EF_min_fert_BAT_CH4+Frac_AN_GB*EF_min_fert_AN_CH4)/'Forage, input data per ha'!C37</f>
        <v>5.989541782308556E-5</v>
      </c>
      <c r="G129" s="4">
        <f>EF_capital_goods_CH4</f>
        <v>9.5000000000000005E-5</v>
      </c>
      <c r="H129" s="4"/>
      <c r="I129" s="4"/>
      <c r="J129" s="4">
        <f>'Forage, input data per ha'!H37*EF_diesel_CH4*Heating_value_diesel/'Forage, input data per ha'!C37</f>
        <v>5.756210867524934E-6</v>
      </c>
      <c r="K129" s="4"/>
      <c r="L129" s="4">
        <f>'Forage, input data per ha'!I37*'Parameters, general'!$C$17/'Forage, input data per ha'!C37</f>
        <v>0</v>
      </c>
      <c r="M129" s="4"/>
      <c r="N129" s="4"/>
      <c r="O129" s="4"/>
      <c r="P129" s="4"/>
    </row>
    <row r="130" spans="1:19" x14ac:dyDescent="0.3">
      <c r="B130" t="s">
        <v>362</v>
      </c>
      <c r="C130" t="s">
        <v>311</v>
      </c>
      <c r="D130" t="s">
        <v>556</v>
      </c>
      <c r="E130" s="4">
        <f t="shared" si="18"/>
        <v>0</v>
      </c>
      <c r="F130" s="4"/>
      <c r="G130" s="4"/>
      <c r="H130" s="4"/>
      <c r="I130" s="4"/>
      <c r="J130" s="4"/>
      <c r="K130" s="4"/>
      <c r="L130" s="4"/>
      <c r="M130" s="4"/>
      <c r="N130" s="4"/>
      <c r="O130" s="4"/>
      <c r="P130" s="4"/>
    </row>
    <row r="131" spans="1:19" x14ac:dyDescent="0.3">
      <c r="B131" t="s">
        <v>362</v>
      </c>
      <c r="C131" t="s">
        <v>94</v>
      </c>
      <c r="D131" t="s">
        <v>556</v>
      </c>
      <c r="E131" s="4">
        <f t="shared" si="18"/>
        <v>3.317522318830343E-4</v>
      </c>
      <c r="F131" s="4">
        <f>'Forage, input data per ha'!D37*(Frac_BAT_GB*EF_min_fert_BAT_N2O+Frac_AN_GB*EF_min_fert_AN_N2O)/'Forage, input data per ha'!C37</f>
        <v>7.1738829245087782E-5</v>
      </c>
      <c r="G131" s="4">
        <f>EF_capital_goods_N2O</f>
        <v>1.1000000000000001E-6</v>
      </c>
      <c r="H131" s="4">
        <f>('Forage, input data per ha'!D37*'Parameters SH, country spec'!$M$78+'Forage, input data per ha'!F37*'Parameters SH, country spec'!$M$79)*44/28/'Forage, input data per ha'!C37</f>
        <v>2.3505839106167088E-4</v>
      </c>
      <c r="I131" s="4">
        <f>H131*0.1</f>
        <v>2.350583910616709E-5</v>
      </c>
      <c r="J131" s="4">
        <f>'Forage, input data per ha'!H37*EF_diesel_N2O*Heating_value_diesel/'Forage, input data per ha'!C37</f>
        <v>3.4917247010855983E-7</v>
      </c>
      <c r="K131" s="4"/>
      <c r="L131" s="4">
        <f>'Forage, input data per ha'!I37*'Parameters, general'!$D$17/'Forage, input data per ha'!C37</f>
        <v>0</v>
      </c>
      <c r="M131" s="4"/>
      <c r="N131" s="4"/>
      <c r="O131" s="4"/>
      <c r="P131" s="4"/>
    </row>
    <row r="132" spans="1:19" ht="15" customHeight="1" x14ac:dyDescent="0.3">
      <c r="A132" s="155"/>
      <c r="B132" s="155" t="s">
        <v>362</v>
      </c>
      <c r="C132" s="155" t="s">
        <v>95</v>
      </c>
      <c r="D132" s="155" t="s">
        <v>556</v>
      </c>
      <c r="E132" s="345">
        <f>SUM(F132:P132)</f>
        <v>0.16800080539810708</v>
      </c>
      <c r="F132" s="345">
        <f>SUMPRODUCT(F128:F131,'Parameters, general'!$B$23:$B$26)</f>
        <v>5.4019918290839623E-2</v>
      </c>
      <c r="G132" s="345">
        <f>SUMPRODUCT(G128:G131,'Parameters, general'!$B$23:$B$26)</f>
        <v>3.01313E-2</v>
      </c>
      <c r="H132" s="345">
        <f>SUMPRODUCT(H128:H131,'Parameters, general'!$B$23:$B$26)</f>
        <v>6.4170940759836148E-2</v>
      </c>
      <c r="I132" s="345">
        <f>SUMPRODUCT(I128:I131,'Parameters, general'!$B$23:$B$26)</f>
        <v>6.417094075983616E-3</v>
      </c>
      <c r="J132" s="345">
        <f>SUMPRODUCT(J128:J131,'Parameters, general'!$B$23:$B$26)</f>
        <v>1.3261552271447692E-2</v>
      </c>
      <c r="K132" s="345">
        <f>SUMPRODUCT(K128:K131,'Parameters, general'!$B$23:$B$26)</f>
        <v>0</v>
      </c>
      <c r="L132" s="345">
        <f>SUMPRODUCT(L128:L131,'Parameters, general'!$B$23:$B$26)</f>
        <v>0</v>
      </c>
      <c r="M132" s="345">
        <f>SUMPRODUCT(M128:M131,'Parameters, general'!$B$23:$B$26)</f>
        <v>0</v>
      </c>
      <c r="N132" s="345">
        <f>SUMPRODUCT(N128:N131,'Parameters, general'!$B$23:$B$26)</f>
        <v>0</v>
      </c>
      <c r="O132" s="345">
        <f>SUMPRODUCT(O128:O131,'Parameters, general'!$B$23:$B$26)</f>
        <v>0</v>
      </c>
      <c r="P132" s="345"/>
      <c r="R132" s="124"/>
      <c r="S132" s="6"/>
    </row>
    <row r="133" spans="1:19" x14ac:dyDescent="0.3">
      <c r="E133" s="4"/>
      <c r="F133" s="4"/>
      <c r="G133" s="4"/>
      <c r="H133" s="4"/>
      <c r="I133" s="4"/>
      <c r="J133" s="4"/>
      <c r="K133" s="4"/>
      <c r="L133" s="4"/>
      <c r="M133" s="4"/>
      <c r="N133" s="4"/>
      <c r="O133" s="4"/>
      <c r="P133" s="4"/>
    </row>
    <row r="134" spans="1:19" ht="18" x14ac:dyDescent="0.35">
      <c r="A134" s="265" t="s">
        <v>395</v>
      </c>
      <c r="B134" s="109"/>
      <c r="C134" s="109"/>
      <c r="D134" s="109"/>
      <c r="E134" s="109"/>
      <c r="F134" s="109"/>
      <c r="G134" s="109"/>
      <c r="H134" s="109"/>
      <c r="I134" s="109"/>
      <c r="J134" s="109"/>
      <c r="K134" s="109"/>
      <c r="L134" s="109"/>
      <c r="M134" s="109"/>
      <c r="N134" s="109"/>
      <c r="O134" s="109"/>
      <c r="P134" s="109"/>
    </row>
    <row r="136" spans="1:19" x14ac:dyDescent="0.3">
      <c r="A136" s="266" t="s">
        <v>224</v>
      </c>
      <c r="B136" s="267"/>
      <c r="C136" s="267"/>
      <c r="D136" s="267"/>
      <c r="E136" s="268" t="s">
        <v>65</v>
      </c>
      <c r="F136" s="268" t="s">
        <v>66</v>
      </c>
      <c r="G136" s="269"/>
      <c r="H136" s="268" t="s">
        <v>67</v>
      </c>
      <c r="I136" s="270"/>
      <c r="J136" s="271" t="s">
        <v>68</v>
      </c>
      <c r="K136" s="270"/>
      <c r="L136" s="270"/>
      <c r="M136" s="270"/>
      <c r="N136" s="271" t="s">
        <v>69</v>
      </c>
      <c r="O136" s="271" t="s">
        <v>305</v>
      </c>
      <c r="P136" s="271" t="s">
        <v>70</v>
      </c>
    </row>
    <row r="137" spans="1:19" ht="43.2" x14ac:dyDescent="0.3">
      <c r="A137" s="272" t="s">
        <v>19</v>
      </c>
      <c r="B137" s="272" t="s">
        <v>224</v>
      </c>
      <c r="C137" s="272" t="s">
        <v>74</v>
      </c>
      <c r="D137" s="273" t="s">
        <v>306</v>
      </c>
      <c r="E137" s="274"/>
      <c r="F137" s="46" t="s">
        <v>227</v>
      </c>
      <c r="G137" s="46" t="s">
        <v>76</v>
      </c>
      <c r="H137" s="46" t="s">
        <v>228</v>
      </c>
      <c r="I137" s="46" t="s">
        <v>229</v>
      </c>
      <c r="J137" s="46" t="s">
        <v>77</v>
      </c>
      <c r="K137" s="46" t="s">
        <v>78</v>
      </c>
      <c r="L137" s="46" t="s">
        <v>79</v>
      </c>
      <c r="M137" s="46" t="s">
        <v>80</v>
      </c>
      <c r="N137" s="46" t="s">
        <v>81</v>
      </c>
      <c r="O137" s="46"/>
      <c r="P137" s="46"/>
    </row>
    <row r="138" spans="1:19" x14ac:dyDescent="0.3">
      <c r="B138" t="s">
        <v>395</v>
      </c>
      <c r="C138" t="s">
        <v>91</v>
      </c>
      <c r="D138" t="s">
        <v>90</v>
      </c>
      <c r="E138" s="4">
        <f t="shared" ref="E138:E141" si="19">SUM(F138:P138)</f>
        <v>9.1008428633357924E-2</v>
      </c>
      <c r="F138" s="4">
        <f>'Forage, input data per ha'!D44*(Frac_BAT_DK*EF_min_fert_BAT_CO2+Frac_AN_DK*EF_min_fert_AN_CO2)/'Forage, input data per ha'!C44</f>
        <v>7.1853792860260158E-3</v>
      </c>
      <c r="G138" s="4">
        <f>EF_capital_goods_CO2</f>
        <v>2.7E-2</v>
      </c>
      <c r="H138" s="4"/>
      <c r="I138" s="4"/>
      <c r="J138" s="4">
        <f>'Forage, input data per ha'!H44*EF_diesel_CO2*Heating_value_diesel/'Forage, input data per ha'!C44</f>
        <v>1.012304934733191E-2</v>
      </c>
      <c r="K138" s="4"/>
      <c r="L138" s="4">
        <f>'Forage, input data per ha'!I44*'Parameters, general'!$B$17/'Forage, input data per ha'!C44</f>
        <v>0</v>
      </c>
      <c r="M138" s="4"/>
      <c r="N138" s="4"/>
      <c r="O138" s="4">
        <f>'Parameters, general'!$B$20</f>
        <v>4.6700000000000005E-2</v>
      </c>
      <c r="P138" s="4"/>
    </row>
    <row r="139" spans="1:19" x14ac:dyDescent="0.3">
      <c r="B139" t="s">
        <v>395</v>
      </c>
      <c r="C139" t="s">
        <v>92</v>
      </c>
      <c r="D139" t="s">
        <v>90</v>
      </c>
      <c r="E139" s="4">
        <f t="shared" si="19"/>
        <v>8.1652373156744355E-4</v>
      </c>
      <c r="F139" s="4">
        <f>'Forage, input data per ha'!D44*(Frac_BAT_DK*EF_min_fert_BAT_CH4+Frac_AN_DK*EF_min_fert_AN_CH4)/'Forage, input data per ha'!C44</f>
        <v>9.0395620528127703E-6</v>
      </c>
      <c r="G139" s="4">
        <f>EF_capital_goods_CH4</f>
        <v>9.5000000000000005E-5</v>
      </c>
      <c r="H139" s="4"/>
      <c r="I139" s="4"/>
      <c r="J139" s="4">
        <f>'Forage, input data per ha'!H44*EF_diesel_CH4*Heating_value_diesel/'Forage, input data per ha'!C44</f>
        <v>4.4841695146308248E-6</v>
      </c>
      <c r="K139" s="4"/>
      <c r="L139" s="4">
        <f>'Forage, input data per ha'!I44*'Parameters, general'!$C$17/'Forage, input data per ha'!C44</f>
        <v>0</v>
      </c>
      <c r="M139" s="4"/>
      <c r="N139" s="4"/>
      <c r="O139" s="4">
        <f>'Parameters, general'!$C$20</f>
        <v>7.0799999999999997E-4</v>
      </c>
      <c r="P139" s="4"/>
    </row>
    <row r="140" spans="1:19" x14ac:dyDescent="0.3">
      <c r="B140" t="s">
        <v>395</v>
      </c>
      <c r="C140" t="s">
        <v>311</v>
      </c>
      <c r="D140" t="s">
        <v>90</v>
      </c>
      <c r="E140" s="4">
        <f t="shared" si="19"/>
        <v>0</v>
      </c>
      <c r="F140" s="4"/>
      <c r="G140" s="4"/>
      <c r="H140" s="4"/>
      <c r="I140" s="4"/>
      <c r="J140" s="4"/>
      <c r="K140" s="4"/>
      <c r="L140" s="4"/>
      <c r="M140" s="4"/>
      <c r="N140" s="4"/>
      <c r="O140" s="4"/>
      <c r="P140" s="4"/>
    </row>
    <row r="141" spans="1:19" x14ac:dyDescent="0.3">
      <c r="B141" t="s">
        <v>395</v>
      </c>
      <c r="C141" t="s">
        <v>94</v>
      </c>
      <c r="D141" t="s">
        <v>90</v>
      </c>
      <c r="E141" s="4">
        <f t="shared" si="19"/>
        <v>1.7962725257467365E-4</v>
      </c>
      <c r="F141" s="4">
        <f>'Forage, input data per ha'!D44*(Frac_BAT_DK*EF_min_fert_BAT_N2O+Frac_AN_DK*EF_min_fert_AN_N2O)/'Forage, input data per ha'!C44</f>
        <v>1.5109205782627397E-5</v>
      </c>
      <c r="G141" s="4">
        <f>EF_capital_goods_N2O</f>
        <v>1.1000000000000001E-6</v>
      </c>
      <c r="H141" s="4">
        <f>('Forage, input data per ha'!D44*'Parameters SH, country spec'!B78+'Forage, input data per ha'!F44*'Parameters SH, country spec'!B79)*44/28/'Forage, input data per ha'!C44</f>
        <v>8.6405487735697828E-5</v>
      </c>
      <c r="I141" s="4">
        <f>H141*0.1</f>
        <v>8.6405487735697824E-6</v>
      </c>
      <c r="J141" s="4">
        <f>'Forage, input data per ha'!H44*EF_diesel_N2O*Heating_value_diesel/'Forage, input data per ha'!C44</f>
        <v>2.720102827786762E-7</v>
      </c>
      <c r="K141" s="4"/>
      <c r="L141" s="4">
        <f>'Forage, input data per ha'!I44*'Parameters, general'!$D$17/'Forage, input data per ha'!C44</f>
        <v>0</v>
      </c>
      <c r="M141" s="4"/>
      <c r="N141" s="4"/>
      <c r="O141" s="4">
        <f>'Parameters, general'!$D$20</f>
        <v>6.8099999999999988E-5</v>
      </c>
      <c r="P141" s="4"/>
    </row>
    <row r="142" spans="1:19" x14ac:dyDescent="0.3">
      <c r="A142" s="155"/>
      <c r="B142" s="155" t="s">
        <v>395</v>
      </c>
      <c r="C142" s="155" t="s">
        <v>95</v>
      </c>
      <c r="D142" s="155" t="s">
        <v>90</v>
      </c>
      <c r="E142" s="345">
        <f>SUM(F142:P142)</f>
        <v>0.16437907578695365</v>
      </c>
      <c r="F142" s="345">
        <f>SUMPRODUCT(F138:F141,'Parameters, general'!$B$23:$B$26)</f>
        <v>1.1579571413857116E-2</v>
      </c>
      <c r="G142" s="345">
        <f>SUMPRODUCT(G138:G141,'Parameters, general'!$B$23:$B$26)</f>
        <v>3.01313E-2</v>
      </c>
      <c r="H142" s="345">
        <f>SUMPRODUCT(H138:H141,'Parameters, general'!$B$23:$B$26)</f>
        <v>2.3588698151845507E-2</v>
      </c>
      <c r="I142" s="345">
        <f>SUMPRODUCT(I138:I141,'Parameters, general'!$B$23:$B$26)</f>
        <v>2.3588698151845505E-3</v>
      </c>
      <c r="J142" s="345">
        <f>SUMPRODUCT(J138:J141,'Parameters, general'!$B$23:$B$26)</f>
        <v>1.0330936406066488E-2</v>
      </c>
      <c r="K142" s="345">
        <f>SUMPRODUCT(K138:K141,'Parameters, general'!$B$23:$B$26)</f>
        <v>0</v>
      </c>
      <c r="L142" s="345">
        <f>SUMPRODUCT(L138:L141,'Parameters, general'!$B$23:$B$26)</f>
        <v>0</v>
      </c>
      <c r="M142" s="345">
        <f>SUMPRODUCT(M138:M141,'Parameters, general'!$B$23:$B$26)</f>
        <v>0</v>
      </c>
      <c r="N142" s="345">
        <f>SUMPRODUCT(N138:N141,'Parameters, general'!$B$23:$B$26)</f>
        <v>0</v>
      </c>
      <c r="O142" s="345">
        <f>SUMPRODUCT(O138:O141,'Parameters, general'!$B$23:$B$26)</f>
        <v>8.6389700000000014E-2</v>
      </c>
      <c r="P142" s="345">
        <f>SUMPRODUCT(P138:P141,'Parameters, general'!$B$23:$B$26)</f>
        <v>0</v>
      </c>
    </row>
    <row r="143" spans="1:19" x14ac:dyDescent="0.3">
      <c r="B143" t="s">
        <v>395</v>
      </c>
      <c r="C143" t="s">
        <v>91</v>
      </c>
      <c r="D143" t="s">
        <v>41</v>
      </c>
      <c r="E143" s="4">
        <f t="shared" ref="E143:E151" si="20">SUM(F143:P143)</f>
        <v>0.10538003361745663</v>
      </c>
      <c r="F143" s="4">
        <f>'Forage, input data per ha'!D45*(Frac_BAT_FR*EF_min_fert_BAT_CO2+Frac_AN_FR*EF_min_fert_AN_CO2)/'Forage, input data per ha'!C45</f>
        <v>1.8033196435898471E-2</v>
      </c>
      <c r="G143" s="4">
        <f>EF_capital_goods_CO2</f>
        <v>2.7E-2</v>
      </c>
      <c r="H143" s="4"/>
      <c r="I143" s="4"/>
      <c r="J143" s="4">
        <f>'Forage, input data per ha'!H45*EF_diesel_CO2*Heating_value_diesel/'Forage, input data per ha'!C45</f>
        <v>1.3104747288322258E-2</v>
      </c>
      <c r="K143" s="4"/>
      <c r="L143" s="4">
        <f>'Forage, input data per ha'!I45*'Parameters, general'!$B$17/'Forage, input data per ha'!C45</f>
        <v>5.4208989323589914E-4</v>
      </c>
      <c r="M143" s="4"/>
      <c r="N143" s="276"/>
      <c r="O143" s="4">
        <f>'Parameters, general'!$B$20</f>
        <v>4.6700000000000005E-2</v>
      </c>
      <c r="P143" s="4"/>
    </row>
    <row r="144" spans="1:19" x14ac:dyDescent="0.3">
      <c r="B144" t="s">
        <v>395</v>
      </c>
      <c r="C144" t="s">
        <v>92</v>
      </c>
      <c r="D144" t="s">
        <v>41</v>
      </c>
      <c r="E144" s="4">
        <f t="shared" si="20"/>
        <v>8.4369896404948492E-4</v>
      </c>
      <c r="F144" s="4">
        <f>'Forage, input data per ha'!D45*(Frac_BAT_FR*EF_min_fert_BAT_CH4+Frac_AN_FR*EF_min_fert_AN_CH4)/'Forage, input data per ha'!C45</f>
        <v>3.3081003708430824E-5</v>
      </c>
      <c r="G144" s="4">
        <f>EF_capital_goods_CH4</f>
        <v>9.5000000000000005E-5</v>
      </c>
      <c r="H144" s="4"/>
      <c r="I144" s="4"/>
      <c r="J144" s="4">
        <f>'Forage, input data per ha'!H45*EF_diesel_CH4*Heating_value_diesel/'Forage, input data per ha'!C45</f>
        <v>5.8049611605147208E-6</v>
      </c>
      <c r="K144" s="4"/>
      <c r="L144" s="4">
        <f>'Forage, input data per ha'!I45*'Parameters, general'!$C$17/'Forage, input data per ha'!C45</f>
        <v>1.8129991805393392E-6</v>
      </c>
      <c r="M144" s="4"/>
      <c r="N144" s="4"/>
      <c r="O144" s="4">
        <f>'Parameters, general'!$C$20</f>
        <v>7.0799999999999997E-4</v>
      </c>
      <c r="P144" s="4"/>
    </row>
    <row r="145" spans="1:16" x14ac:dyDescent="0.3">
      <c r="B145" t="s">
        <v>395</v>
      </c>
      <c r="C145" t="s">
        <v>311</v>
      </c>
      <c r="D145" t="s">
        <v>41</v>
      </c>
      <c r="E145" s="4">
        <f t="shared" si="20"/>
        <v>0</v>
      </c>
      <c r="F145" s="4"/>
      <c r="G145" s="4"/>
      <c r="H145" s="4"/>
      <c r="I145" s="4"/>
      <c r="J145" s="4"/>
      <c r="K145" s="4"/>
      <c r="L145" s="4"/>
      <c r="M145" s="4"/>
      <c r="N145" s="4"/>
      <c r="O145" s="4"/>
      <c r="P145" s="4"/>
    </row>
    <row r="146" spans="1:16" x14ac:dyDescent="0.3">
      <c r="B146" t="s">
        <v>395</v>
      </c>
      <c r="C146" t="s">
        <v>94</v>
      </c>
      <c r="D146" t="s">
        <v>41</v>
      </c>
      <c r="E146" s="4">
        <f t="shared" si="20"/>
        <v>2.7336606903337259E-4</v>
      </c>
      <c r="F146" s="4">
        <f>'Forage, input data per ha'!D45*(Frac_BAT_FR*EF_min_fert_BAT_N2O+Frac_AN_FR*EF_min_fert_AN_N2O)/'Forage, input data per ha'!C45</f>
        <v>3.9622270994168309E-5</v>
      </c>
      <c r="G146" s="4">
        <f>EF_capital_goods_N2O</f>
        <v>1.1000000000000001E-6</v>
      </c>
      <c r="H146" s="4">
        <f>('Forage, input data per ha'!D45*'Parameters SH, country spec'!C78+'Forage, input data per ha'!F45*'Parameters SH, country spec'!C79)*44/28/'Forage, input data per ha'!C45</f>
        <v>1.492448690828462E-4</v>
      </c>
      <c r="I146" s="4">
        <f>H146*0.1</f>
        <v>1.4924486908284621E-5</v>
      </c>
      <c r="J146" s="4">
        <f>'Forage, input data per ha'!H45*EF_diesel_N2O*Heating_value_diesel/'Forage, input data per ha'!C45</f>
        <v>3.521296689696708E-7</v>
      </c>
      <c r="K146" s="4"/>
      <c r="L146" s="4">
        <f>'Forage, input data per ha'!I45*'Parameters, general'!$D$17/'Forage, input data per ha'!C45</f>
        <v>2.231237910379547E-8</v>
      </c>
      <c r="M146" s="4"/>
      <c r="N146" s="4"/>
      <c r="O146" s="4">
        <f>'Parameters, general'!$D$20</f>
        <v>6.8099999999999988E-5</v>
      </c>
      <c r="P146" s="4"/>
    </row>
    <row r="147" spans="1:16" x14ac:dyDescent="0.3">
      <c r="A147" s="155"/>
      <c r="B147" s="155" t="s">
        <v>395</v>
      </c>
      <c r="C147" s="155" t="s">
        <v>95</v>
      </c>
      <c r="D147" s="155" t="s">
        <v>41</v>
      </c>
      <c r="E147" s="345">
        <f>SUM(F147:P147)</f>
        <v>0.20515119959224201</v>
      </c>
      <c r="F147" s="345">
        <f>SUMPRODUCT(F143:F146,'Parameters, general'!$B$23:$B$26)</f>
        <v>2.9835890327817659E-2</v>
      </c>
      <c r="G147" s="345">
        <f>SUMPRODUCT(G143:G146,'Parameters, general'!$B$23:$B$26)</f>
        <v>3.01313E-2</v>
      </c>
      <c r="H147" s="345">
        <f>SUMPRODUCT(H143:H146,'Parameters, general'!$B$23:$B$26)</f>
        <v>4.0743849259617014E-2</v>
      </c>
      <c r="I147" s="345">
        <f>SUMPRODUCT(I143:I146,'Parameters, general'!$B$23:$B$26)</f>
        <v>4.0743849259617018E-3</v>
      </c>
      <c r="J147" s="345">
        <f>SUMPRODUCT(J143:J146,'Parameters, general'!$B$23:$B$26)</f>
        <v>1.3373866530534318E-2</v>
      </c>
      <c r="K147" s="345">
        <f>SUMPRODUCT(K143:K146,'Parameters, general'!$B$23:$B$26)</f>
        <v>0</v>
      </c>
      <c r="L147" s="345">
        <f>SUMPRODUCT(L143:L146,'Parameters, general'!$B$23:$B$26)</f>
        <v>6.0220854831130751E-4</v>
      </c>
      <c r="M147" s="345">
        <f>SUMPRODUCT(M143:M146,'Parameters, general'!$B$23:$B$26)</f>
        <v>0</v>
      </c>
      <c r="N147" s="345">
        <f>SUMPRODUCT(N143:N146,'Parameters, general'!$B$23:$B$26)</f>
        <v>0</v>
      </c>
      <c r="O147" s="345">
        <f>SUMPRODUCT(O143:O146,'Parameters, general'!$B$23:$B$26)</f>
        <v>8.6389700000000014E-2</v>
      </c>
      <c r="P147" s="345">
        <f>SUMPRODUCT(P143:P146,'Parameters, general'!$B$23:$B$26)</f>
        <v>0</v>
      </c>
    </row>
    <row r="148" spans="1:16" x14ac:dyDescent="0.3">
      <c r="B148" t="s">
        <v>395</v>
      </c>
      <c r="C148" t="s">
        <v>91</v>
      </c>
      <c r="D148" t="s">
        <v>43</v>
      </c>
      <c r="E148" s="4">
        <f t="shared" si="20"/>
        <v>0.10800537187069849</v>
      </c>
      <c r="F148" s="4">
        <f>'Forage, input data per ha'!D46*(Frac_BAT_DE*EF_min_fert_BAT_CO2+Frac_AN_DE*EF_min_fert_AN_CO2)/'Forage, input data per ha'!C46</f>
        <v>2.1132412362766816E-2</v>
      </c>
      <c r="G148" s="4">
        <f>EF_capital_goods_CO2</f>
        <v>2.7E-2</v>
      </c>
      <c r="H148" s="4"/>
      <c r="I148" s="4"/>
      <c r="J148" s="4">
        <f>'Forage, input data per ha'!H46*EF_diesel_CO2*Heating_value_diesel/'Forage, input data per ha'!C46</f>
        <v>1.3163101311885569E-2</v>
      </c>
      <c r="K148" s="4"/>
      <c r="L148" s="4">
        <f>'Forage, input data per ha'!I46*'Parameters, general'!$B$17/'Forage, input data per ha'!C46</f>
        <v>9.8581960460988964E-6</v>
      </c>
      <c r="M148" s="4"/>
      <c r="N148" s="4"/>
      <c r="O148" s="4">
        <f>'Parameters, general'!$B$20</f>
        <v>4.6700000000000005E-2</v>
      </c>
      <c r="P148" s="4"/>
    </row>
    <row r="149" spans="1:16" x14ac:dyDescent="0.3">
      <c r="B149" t="s">
        <v>395</v>
      </c>
      <c r="C149" t="s">
        <v>92</v>
      </c>
      <c r="D149" t="s">
        <v>43</v>
      </c>
      <c r="E149" s="4">
        <f t="shared" si="20"/>
        <v>8.4763014187344782E-4</v>
      </c>
      <c r="F149" s="4">
        <f>'Forage, input data per ha'!D46*(Frac_BAT_DE*EF_min_fert_BAT_CH4+Frac_AN_DE*EF_min_fert_AN_CH4)/'Forage, input data per ha'!C46</f>
        <v>3.8766361483709314E-5</v>
      </c>
      <c r="G149" s="4">
        <f>EF_capital_goods_CH4</f>
        <v>9.5000000000000005E-5</v>
      </c>
      <c r="H149" s="4"/>
      <c r="I149" s="4"/>
      <c r="J149" s="4">
        <f>'Forage, input data per ha'!H46*EF_diesel_CH4*Heating_value_diesel/'Forage, input data per ha'!C46</f>
        <v>5.8308100252728102E-6</v>
      </c>
      <c r="K149" s="4"/>
      <c r="L149" s="4">
        <f>'Forage, input data per ha'!I46*'Parameters, general'!$C$17/'Forage, input data per ha'!C46</f>
        <v>3.2970364465724827E-8</v>
      </c>
      <c r="M149" s="4"/>
      <c r="N149" s="4"/>
      <c r="O149" s="4">
        <f>'Parameters, general'!$C$20</f>
        <v>7.0799999999999997E-4</v>
      </c>
      <c r="P149" s="4"/>
    </row>
    <row r="150" spans="1:16" x14ac:dyDescent="0.3">
      <c r="B150" t="s">
        <v>395</v>
      </c>
      <c r="C150" t="s">
        <v>311</v>
      </c>
      <c r="D150" t="s">
        <v>43</v>
      </c>
      <c r="E150" s="4">
        <f t="shared" si="20"/>
        <v>0</v>
      </c>
      <c r="F150" s="4"/>
      <c r="G150" s="4"/>
      <c r="H150" s="4"/>
      <c r="I150" s="4"/>
      <c r="J150" s="4"/>
      <c r="K150" s="4"/>
      <c r="L150" s="4"/>
      <c r="M150" s="4"/>
      <c r="N150" s="4"/>
      <c r="O150" s="4"/>
      <c r="P150" s="4"/>
    </row>
    <row r="151" spans="1:16" x14ac:dyDescent="0.3">
      <c r="B151" t="s">
        <v>395</v>
      </c>
      <c r="C151" t="s">
        <v>94</v>
      </c>
      <c r="D151" t="s">
        <v>43</v>
      </c>
      <c r="E151" s="4">
        <f t="shared" si="20"/>
        <v>3.0292182282842833E-4</v>
      </c>
      <c r="F151" s="4">
        <f>'Forage, input data per ha'!D46*(Frac_BAT_DE*EF_min_fert_BAT_N2O+Frac_AN_DE*EF_min_fert_AN_N2O)/'Forage, input data per ha'!C46</f>
        <v>4.6431822132832091E-5</v>
      </c>
      <c r="G151" s="4">
        <f>EF_capital_goods_N2O</f>
        <v>1.1000000000000001E-6</v>
      </c>
      <c r="H151" s="4">
        <f>('Forage, input data per ha'!D46*'Parameters SH, country spec'!D78+'Forage, input data per ha'!F46*'Parameters SH, country spec'!D79)*44/28/'Forage, input data per ha'!C46</f>
        <v>1.6994172478968788E-4</v>
      </c>
      <c r="I151" s="4">
        <f>H151*0.1</f>
        <v>1.6994172478968787E-5</v>
      </c>
      <c r="J151" s="4">
        <f>'Forage, input data per ha'!H46*EF_diesel_N2O*Heating_value_diesel/'Forage, input data per ha'!C46</f>
        <v>3.5369766433412225E-7</v>
      </c>
      <c r="K151" s="4"/>
      <c r="L151" s="4">
        <f>'Forage, input data per ha'!I46*'Parameters, general'!$D$17/'Forage, input data per ha'!C46</f>
        <v>4.0576260543632219E-10</v>
      </c>
      <c r="M151" s="4"/>
      <c r="N151" s="4"/>
      <c r="O151" s="4">
        <f>'Parameters, general'!$D$20</f>
        <v>6.8099999999999988E-5</v>
      </c>
      <c r="P151" s="4"/>
    </row>
    <row r="152" spans="1:16" x14ac:dyDescent="0.3">
      <c r="A152" s="155"/>
      <c r="B152" s="155" t="s">
        <v>395</v>
      </c>
      <c r="C152" s="155" t="s">
        <v>95</v>
      </c>
      <c r="D152" s="155" t="s">
        <v>43</v>
      </c>
      <c r="E152" s="345">
        <f>SUM(F152:P152)</f>
        <v>0.21596240773068817</v>
      </c>
      <c r="F152" s="345">
        <f>SUMPRODUCT(F148:F151,'Parameters, general'!$B$23:$B$26)</f>
        <v>3.4963537377244516E-2</v>
      </c>
      <c r="G152" s="345">
        <f>SUMPRODUCT(G148:G151,'Parameters, general'!$B$23:$B$26)</f>
        <v>3.01313E-2</v>
      </c>
      <c r="H152" s="345">
        <f>SUMPRODUCT(H148:H151,'Parameters, general'!$B$23:$B$26)</f>
        <v>4.6394090867584795E-2</v>
      </c>
      <c r="I152" s="345">
        <f>SUMPRODUCT(I148:I151,'Parameters, general'!$B$23:$B$26)</f>
        <v>4.6394090867584786E-3</v>
      </c>
      <c r="J152" s="345">
        <f>SUMPRODUCT(J148:J151,'Parameters, general'!$B$23:$B$26)</f>
        <v>1.3433418913001914E-2</v>
      </c>
      <c r="K152" s="345">
        <f>SUMPRODUCT(K148:K151,'Parameters, general'!$B$23:$B$26)</f>
        <v>0</v>
      </c>
      <c r="L152" s="345">
        <f>SUMPRODUCT(L148:L151,'Parameters, general'!$B$23:$B$26)</f>
        <v>1.0951486098461612E-5</v>
      </c>
      <c r="M152" s="345">
        <f>SUMPRODUCT(M148:M151,'Parameters, general'!$B$23:$B$26)</f>
        <v>0</v>
      </c>
      <c r="N152" s="345">
        <f>SUMPRODUCT(N148:N151,'Parameters, general'!$B$23:$B$26)</f>
        <v>0</v>
      </c>
      <c r="O152" s="345">
        <f>SUMPRODUCT(O148:O151,'Parameters, general'!$B$23:$B$26)</f>
        <v>8.6389700000000014E-2</v>
      </c>
      <c r="P152" s="345">
        <f>SUMPRODUCT(P148:P151,'Parameters, general'!$B$23:$B$26)</f>
        <v>0</v>
      </c>
    </row>
    <row r="153" spans="1:16" x14ac:dyDescent="0.3">
      <c r="B153" t="s">
        <v>395</v>
      </c>
      <c r="C153" t="s">
        <v>91</v>
      </c>
      <c r="D153" t="s">
        <v>45</v>
      </c>
      <c r="E153" s="4">
        <f t="shared" ref="E153:E161" si="21">SUM(F153:P153)</f>
        <v>0.13099435528848741</v>
      </c>
      <c r="F153" s="4">
        <f>'Forage, input data per ha'!D47*(Frac_BAT_GR*EF_min_fert_BAT_CO2+Frac_AN_GR*EF_min_fert_AN_CO2)/'Forage, input data per ha'!C47</f>
        <v>2.175109426324023E-2</v>
      </c>
      <c r="G153" s="4">
        <f>EF_capital_goods_CO2</f>
        <v>2.7E-2</v>
      </c>
      <c r="H153" s="4"/>
      <c r="I153" s="4"/>
      <c r="J153" s="4">
        <f>'Forage, input data per ha'!H47*EF_diesel_CO2*Heating_value_diesel/'Forage, input data per ha'!C47</f>
        <v>3.241698856182381E-2</v>
      </c>
      <c r="K153" s="4"/>
      <c r="L153" s="4">
        <f>'Forage, input data per ha'!I47*'Parameters, general'!$B$17/'Forage, input data per ha'!C47</f>
        <v>3.1262724634233347E-3</v>
      </c>
      <c r="M153" s="4"/>
      <c r="N153" s="276"/>
      <c r="O153" s="4">
        <f>'Parameters, general'!$B$20</f>
        <v>4.6700000000000005E-2</v>
      </c>
      <c r="P153" s="4"/>
    </row>
    <row r="154" spans="1:16" x14ac:dyDescent="0.3">
      <c r="B154" t="s">
        <v>395</v>
      </c>
      <c r="C154" t="s">
        <v>92</v>
      </c>
      <c r="D154" t="s">
        <v>45</v>
      </c>
      <c r="E154" s="4">
        <f t="shared" si="21"/>
        <v>8.6771663577783883E-4</v>
      </c>
      <c r="F154" s="4">
        <f>'Forage, input data per ha'!D47*(Frac_BAT_GR*EF_min_fert_BAT_CH4+Frac_AN_GR*EF_min_fert_AN_CH4)/'Forage, input data per ha'!C47</f>
        <v>3.9901302719260733E-5</v>
      </c>
      <c r="G154" s="4">
        <f>EF_capital_goods_CH4</f>
        <v>9.5000000000000005E-5</v>
      </c>
      <c r="H154" s="4"/>
      <c r="I154" s="4"/>
      <c r="J154" s="4">
        <f>'Forage, input data per ha'!H47*EF_diesel_CH4*Heating_value_diesel/'Forage, input data per ha'!C47</f>
        <v>1.4359632841598194E-5</v>
      </c>
      <c r="K154" s="4"/>
      <c r="L154" s="4">
        <f>'Forage, input data per ha'!I47*'Parameters, general'!$C$17/'Forage, input data per ha'!C47</f>
        <v>1.0455700216979909E-5</v>
      </c>
      <c r="M154" s="4"/>
      <c r="N154" s="4"/>
      <c r="O154" s="4">
        <f>'Parameters, general'!$C$20</f>
        <v>7.0799999999999997E-4</v>
      </c>
      <c r="P154" s="4"/>
    </row>
    <row r="155" spans="1:16" x14ac:dyDescent="0.3">
      <c r="B155" t="s">
        <v>395</v>
      </c>
      <c r="C155" t="s">
        <v>311</v>
      </c>
      <c r="D155" t="s">
        <v>45</v>
      </c>
      <c r="E155" s="4">
        <f t="shared" si="21"/>
        <v>0</v>
      </c>
      <c r="F155" s="4"/>
      <c r="G155" s="4"/>
      <c r="H155" s="4"/>
      <c r="I155" s="4"/>
      <c r="J155" s="4"/>
      <c r="K155" s="4"/>
      <c r="L155" s="4"/>
      <c r="M155" s="4"/>
      <c r="N155" s="4"/>
      <c r="O155" s="4"/>
      <c r="P155" s="4"/>
    </row>
    <row r="156" spans="1:16" x14ac:dyDescent="0.3">
      <c r="B156" t="s">
        <v>395</v>
      </c>
      <c r="C156" t="s">
        <v>94</v>
      </c>
      <c r="D156" t="s">
        <v>45</v>
      </c>
      <c r="E156" s="4">
        <f t="shared" si="21"/>
        <v>3.0947158990018053E-4</v>
      </c>
      <c r="F156" s="4">
        <f>'Forage, input data per ha'!D47*(Frac_BAT_GR*EF_min_fert_BAT_N2O+Frac_AN_GR*EF_min_fert_AN_N2O)/'Forage, input data per ha'!C47</f>
        <v>4.7791180802654265E-5</v>
      </c>
      <c r="G156" s="4">
        <f>EF_capital_goods_N2O</f>
        <v>1.1000000000000001E-6</v>
      </c>
      <c r="H156" s="4">
        <f>('Forage, input data per ha'!D47*'Parameters SH, country spec'!E78+'Forage, input data per ha'!F47*'Parameters SH, country spec'!E79)*44/28/'Forage, input data per ha'!C47</f>
        <v>1.7407334076117382E-4</v>
      </c>
      <c r="I156" s="4">
        <f>H156*0.1</f>
        <v>1.7407334076117384E-5</v>
      </c>
      <c r="J156" s="4">
        <f>'Forage, input data per ha'!H47*EF_diesel_N2O*Heating_value_diesel/'Forage, input data per ha'!C47</f>
        <v>8.7105712152424362E-7</v>
      </c>
      <c r="K156" s="4"/>
      <c r="L156" s="4">
        <f>'Forage, input data per ha'!I47*'Parameters, general'!$D$17/'Forage, input data per ha'!C47</f>
        <v>1.2867713871083588E-7</v>
      </c>
      <c r="M156" s="4"/>
      <c r="N156" s="4"/>
      <c r="O156" s="4">
        <f>'Parameters, general'!$D$20</f>
        <v>6.8099999999999988E-5</v>
      </c>
      <c r="P156" s="4"/>
    </row>
    <row r="157" spans="1:16" x14ac:dyDescent="0.3">
      <c r="A157" s="155"/>
      <c r="B157" s="155" t="s">
        <v>395</v>
      </c>
      <c r="C157" s="155" t="s">
        <v>95</v>
      </c>
      <c r="D157" s="155" t="s">
        <v>45</v>
      </c>
      <c r="E157" s="345">
        <f>SUM(F157:P157)</f>
        <v>0.24133805507741626</v>
      </c>
      <c r="F157" s="345">
        <f>SUMPRODUCT(F153:F156,'Parameters, general'!$B$23:$B$26)</f>
        <v>3.5987145443398816E-2</v>
      </c>
      <c r="G157" s="345">
        <f>SUMPRODUCT(G153:G156,'Parameters, general'!$B$23:$B$26)</f>
        <v>3.01313E-2</v>
      </c>
      <c r="H157" s="345">
        <f>SUMPRODUCT(H153:H156,'Parameters, general'!$B$23:$B$26)</f>
        <v>4.7522022027800453E-2</v>
      </c>
      <c r="I157" s="345">
        <f>SUMPRODUCT(I153:I156,'Parameters, general'!$B$23:$B$26)</f>
        <v>4.7522022027800459E-3</v>
      </c>
      <c r="J157" s="345">
        <f>SUMPRODUCT(J153:J156,'Parameters, general'!$B$23:$B$26)</f>
        <v>3.3082704214679549E-2</v>
      </c>
      <c r="K157" s="345">
        <f>SUMPRODUCT(K153:K156,'Parameters, general'!$B$23:$B$26)</f>
        <v>0</v>
      </c>
      <c r="L157" s="345">
        <f>SUMPRODUCT(L153:L156,'Parameters, general'!$B$23:$B$26)</f>
        <v>3.4729811887573938E-3</v>
      </c>
      <c r="M157" s="345">
        <f>SUMPRODUCT(M153:M156,'Parameters, general'!$B$23:$B$26)</f>
        <v>0</v>
      </c>
      <c r="N157" s="345">
        <f>SUMPRODUCT(N153:N156,'Parameters, general'!$B$23:$B$26)</f>
        <v>0</v>
      </c>
      <c r="O157" s="345">
        <f>SUMPRODUCT(O153:O156,'Parameters, general'!$B$23:$B$26)</f>
        <v>8.6389700000000014E-2</v>
      </c>
      <c r="P157" s="345">
        <f>SUMPRODUCT(P153:P156,'Parameters, general'!$B$23:$B$26)</f>
        <v>0</v>
      </c>
    </row>
    <row r="158" spans="1:16" x14ac:dyDescent="0.3">
      <c r="B158" t="s">
        <v>395</v>
      </c>
      <c r="C158" t="s">
        <v>91</v>
      </c>
      <c r="D158" t="s">
        <v>96</v>
      </c>
      <c r="E158" s="4">
        <f t="shared" si="21"/>
        <v>0.14415785053383001</v>
      </c>
      <c r="F158" s="4">
        <f>'Forage, input data per ha'!D48*(Frac_BAT_HU*EF_min_fert_BAT_CO2+Frac_AN_HU*EF_min_fert_AN_CO2)/'Forage, input data per ha'!C48</f>
        <v>2.1751094263240234E-2</v>
      </c>
      <c r="G158" s="4">
        <f>EF_capital_goods_CO2</f>
        <v>2.7E-2</v>
      </c>
      <c r="H158" s="4"/>
      <c r="I158" s="4"/>
      <c r="J158" s="4">
        <f>'Forage, input data per ha'!H48*EF_diesel_CO2*Heating_value_diesel/'Forage, input data per ha'!C48</f>
        <v>4.869818254347158E-2</v>
      </c>
      <c r="K158" s="4"/>
      <c r="L158" s="4">
        <f>'Forage, input data per ha'!I48*'Parameters, general'!$B$17/'Forage, input data per ha'!C48</f>
        <v>8.5737271182102421E-6</v>
      </c>
      <c r="M158" s="4"/>
      <c r="N158" s="4"/>
      <c r="O158" s="4">
        <f>'Parameters, general'!$B$20</f>
        <v>4.6700000000000005E-2</v>
      </c>
      <c r="P158" s="4"/>
    </row>
    <row r="159" spans="1:16" x14ac:dyDescent="0.3">
      <c r="B159" t="s">
        <v>395</v>
      </c>
      <c r="C159" t="s">
        <v>92</v>
      </c>
      <c r="D159" t="s">
        <v>96</v>
      </c>
      <c r="E159" s="4">
        <f t="shared" si="21"/>
        <v>8.6450163000430496E-4</v>
      </c>
      <c r="F159" s="4">
        <f>'Forage, input data per ha'!D48*(Frac_BAT_HU*EF_min_fert_BAT_CH4+Frac_AN_HU*EF_min_fert_AN_CH4)/'Forage, input data per ha'!C48</f>
        <v>3.9901302719260733E-5</v>
      </c>
      <c r="G159" s="4">
        <f>EF_capital_goods_CH4</f>
        <v>9.5000000000000005E-5</v>
      </c>
      <c r="H159" s="4"/>
      <c r="I159" s="4"/>
      <c r="J159" s="4">
        <f>'Forage, input data per ha'!H48*EF_diesel_CH4*Heating_value_diesel/'Forage, input data per ha'!C48</f>
        <v>2.1571652778410818E-5</v>
      </c>
      <c r="K159" s="4"/>
      <c r="L159" s="4">
        <f>'Forage, input data per ha'!I48*'Parameters, general'!$C$17/'Forage, input data per ha'!C48</f>
        <v>2.8674506633383747E-8</v>
      </c>
      <c r="M159" s="4"/>
      <c r="N159" s="4"/>
      <c r="O159" s="4">
        <f>'Parameters, general'!$C$20</f>
        <v>7.0799999999999997E-4</v>
      </c>
      <c r="P159" s="4"/>
    </row>
    <row r="160" spans="1:16" x14ac:dyDescent="0.3">
      <c r="B160" t="s">
        <v>395</v>
      </c>
      <c r="C160" t="s">
        <v>311</v>
      </c>
      <c r="D160" t="s">
        <v>96</v>
      </c>
      <c r="E160" s="4">
        <f t="shared" si="21"/>
        <v>0</v>
      </c>
      <c r="F160" s="4"/>
      <c r="G160" s="4"/>
      <c r="H160" s="4"/>
      <c r="I160" s="4"/>
      <c r="J160" s="4"/>
      <c r="K160" s="4"/>
      <c r="L160" s="4"/>
      <c r="M160" s="4"/>
      <c r="N160" s="4"/>
      <c r="O160" s="4"/>
      <c r="P160" s="4"/>
    </row>
    <row r="161" spans="1:16" x14ac:dyDescent="0.3">
      <c r="B161" t="s">
        <v>395</v>
      </c>
      <c r="C161" t="s">
        <v>94</v>
      </c>
      <c r="D161" t="s">
        <v>96</v>
      </c>
      <c r="E161" s="4">
        <f t="shared" si="21"/>
        <v>3.0978074768549637E-4</v>
      </c>
      <c r="F161" s="4">
        <f>'Forage, input data per ha'!D48*(Frac_BAT_HU*EF_min_fert_BAT_N2O+Frac_AN_HU*EF_min_fert_AN_N2O)/'Forage, input data per ha'!C48</f>
        <v>4.7791180802654265E-5</v>
      </c>
      <c r="G161" s="4">
        <f>EF_capital_goods_N2O</f>
        <v>1.1000000000000001E-6</v>
      </c>
      <c r="H161" s="4">
        <f>('Forage, input data per ha'!D48*'Parameters SH, country spec'!F78+'Forage, input data per ha'!F48*'Parameters SH, country spec'!F79)*44/28/'Forage, input data per ha'!C48</f>
        <v>1.7407334076117385E-4</v>
      </c>
      <c r="I161" s="4">
        <f>H161*0.1</f>
        <v>1.7407334076117384E-5</v>
      </c>
      <c r="J161" s="4">
        <f>'Forage, input data per ha'!H48*EF_diesel_N2O*Heating_value_diesel/'Forage, input data per ha'!C48</f>
        <v>1.3085391515895945E-6</v>
      </c>
      <c r="K161" s="4"/>
      <c r="L161" s="4">
        <f>'Forage, input data per ha'!I48*'Parameters, general'!$D$17/'Forage, input data per ha'!C48</f>
        <v>3.5289396128023986E-10</v>
      </c>
      <c r="M161" s="4"/>
      <c r="N161" s="4"/>
      <c r="O161" s="4">
        <f>'Parameters, general'!$D$20</f>
        <v>6.8099999999999988E-5</v>
      </c>
      <c r="P161" s="4"/>
    </row>
    <row r="162" spans="1:16" x14ac:dyDescent="0.3">
      <c r="A162" s="155"/>
      <c r="B162" s="155" t="s">
        <v>395</v>
      </c>
      <c r="C162" s="155" t="s">
        <v>95</v>
      </c>
      <c r="D162" s="155" t="s">
        <v>96</v>
      </c>
      <c r="E162" s="345">
        <f>SUM(F162:P162)</f>
        <v>0.25449014322609881</v>
      </c>
      <c r="F162" s="345">
        <f>SUMPRODUCT(F158:F161,'Parameters, general'!$B$23:$B$26)</f>
        <v>3.5987145443398816E-2</v>
      </c>
      <c r="G162" s="345">
        <f>SUMPRODUCT(G158:G161,'Parameters, general'!$B$23:$B$26)</f>
        <v>3.01313E-2</v>
      </c>
      <c r="H162" s="345">
        <f>SUMPRODUCT(H158:H161,'Parameters, general'!$B$23:$B$26)</f>
        <v>4.752202202780046E-2</v>
      </c>
      <c r="I162" s="345">
        <f>SUMPRODUCT(I158:I161,'Parameters, general'!$B$23:$B$26)</f>
        <v>4.7522022027800459E-3</v>
      </c>
      <c r="J162" s="345">
        <f>SUMPRODUCT(J158:J161,'Parameters, general'!$B$23:$B$26)</f>
        <v>4.969824898465218E-2</v>
      </c>
      <c r="K162" s="345">
        <f>SUMPRODUCT(K158:K161,'Parameters, general'!$B$23:$B$26)</f>
        <v>0</v>
      </c>
      <c r="L162" s="345">
        <f>SUMPRODUCT(L158:L161,'Parameters, general'!$B$23:$B$26)</f>
        <v>9.5245674673145822E-6</v>
      </c>
      <c r="M162" s="345">
        <f>SUMPRODUCT(M158:M161,'Parameters, general'!$B$23:$B$26)</f>
        <v>0</v>
      </c>
      <c r="N162" s="345">
        <f>SUMPRODUCT(N158:N161,'Parameters, general'!$B$23:$B$26)</f>
        <v>0</v>
      </c>
      <c r="O162" s="345">
        <f>SUMPRODUCT(O158:O161,'Parameters, general'!$B$23:$B$26)</f>
        <v>8.6389700000000014E-2</v>
      </c>
      <c r="P162" s="345">
        <f>SUMPRODUCT(P158:P161,'Parameters, general'!$B$23:$B$26)</f>
        <v>0</v>
      </c>
    </row>
    <row r="163" spans="1:16" x14ac:dyDescent="0.3">
      <c r="B163" t="s">
        <v>395</v>
      </c>
      <c r="C163" t="s">
        <v>91</v>
      </c>
      <c r="D163" t="s">
        <v>49</v>
      </c>
      <c r="E163" s="4">
        <f t="shared" ref="E163:E171" si="22">SUM(F163:P163)</f>
        <v>0.11016260413463343</v>
      </c>
      <c r="F163" s="4">
        <f>'Forage, input data per ha'!D49*(Frac_BAT_IE*EF_min_fert_BAT_CO2+Frac_AN_IE*EF_min_fert_AN_CO2)/'Forage, input data per ha'!C49</f>
        <v>2.1751094263240234E-2</v>
      </c>
      <c r="G163" s="4">
        <f>EF_capital_goods_CO2</f>
        <v>2.7E-2</v>
      </c>
      <c r="H163" s="4"/>
      <c r="I163" s="4"/>
      <c r="J163" s="4">
        <f>'Forage, input data per ha'!H49*EF_diesel_CO2*Heating_value_diesel/'Forage, input data per ha'!C49</f>
        <v>1.4711509871393188E-2</v>
      </c>
      <c r="K163" s="4"/>
      <c r="L163" s="4">
        <f>'Forage, input data per ha'!I49*'Parameters, general'!$B$17/'Forage, input data per ha'!C49</f>
        <v>0</v>
      </c>
      <c r="M163" s="4"/>
      <c r="N163" s="276"/>
      <c r="O163" s="4">
        <f>'Parameters, general'!$B$20</f>
        <v>4.6700000000000005E-2</v>
      </c>
      <c r="P163" s="4"/>
    </row>
    <row r="164" spans="1:16" x14ac:dyDescent="0.3">
      <c r="B164" t="s">
        <v>395</v>
      </c>
      <c r="C164" t="s">
        <v>92</v>
      </c>
      <c r="D164" t="s">
        <v>49</v>
      </c>
      <c r="E164" s="4">
        <f t="shared" si="22"/>
        <v>8.4941800552451564E-4</v>
      </c>
      <c r="F164" s="4">
        <f>'Forage, input data per ha'!D49*(Frac_BAT_IE*EF_min_fert_BAT_CH4+Frac_AN_IE*EF_min_fert_AN_CH4)/'Forage, input data per ha'!C49</f>
        <v>3.9901302719260733E-5</v>
      </c>
      <c r="G164" s="4">
        <f>EF_capital_goods_CH4</f>
        <v>9.5000000000000005E-5</v>
      </c>
      <c r="H164" s="4"/>
      <c r="I164" s="4"/>
      <c r="J164" s="4">
        <f>'Forage, input data per ha'!H49*EF_diesel_CH4*Heating_value_diesel/'Forage, input data per ha'!C49</f>
        <v>6.5167028052549126E-6</v>
      </c>
      <c r="K164" s="4"/>
      <c r="L164" s="4">
        <f>'Forage, input data per ha'!I49*'Parameters, general'!$C$17/'Forage, input data per ha'!C49</f>
        <v>0</v>
      </c>
      <c r="M164" s="4"/>
      <c r="N164" s="4"/>
      <c r="O164" s="4">
        <f>'Parameters, general'!$C$20</f>
        <v>7.0799999999999997E-4</v>
      </c>
      <c r="P164" s="4"/>
    </row>
    <row r="165" spans="1:16" x14ac:dyDescent="0.3">
      <c r="B165" t="s">
        <v>395</v>
      </c>
      <c r="C165" t="s">
        <v>311</v>
      </c>
      <c r="D165" t="s">
        <v>49</v>
      </c>
      <c r="E165" s="4">
        <f t="shared" si="22"/>
        <v>0</v>
      </c>
      <c r="F165" s="4"/>
      <c r="G165" s="4"/>
      <c r="H165" s="4"/>
      <c r="I165" s="4"/>
      <c r="J165" s="4"/>
      <c r="K165" s="4"/>
      <c r="L165" s="4"/>
      <c r="M165" s="4"/>
      <c r="N165" s="4"/>
      <c r="O165" s="4"/>
      <c r="P165" s="4"/>
    </row>
    <row r="166" spans="1:16" x14ac:dyDescent="0.3">
      <c r="B166" t="s">
        <v>395</v>
      </c>
      <c r="C166" t="s">
        <v>94</v>
      </c>
      <c r="D166" t="s">
        <v>49</v>
      </c>
      <c r="E166" s="4">
        <f t="shared" si="22"/>
        <v>3.0886715964597341E-4</v>
      </c>
      <c r="F166" s="4">
        <f>'Forage, input data per ha'!D49*(Frac_BAT_IE*EF_min_fert_BAT_N2O+Frac_AN_IE*EF_min_fert_AN_N2O)/'Forage, input data per ha'!C49</f>
        <v>4.7791180802654258E-5</v>
      </c>
      <c r="G166" s="4">
        <f>EF_capital_goods_N2O</f>
        <v>1.1000000000000001E-6</v>
      </c>
      <c r="H166" s="4">
        <f>('Forage, input data per ha'!D49*'Parameters SH, country spec'!G78+'Forage, input data per ha'!F49*'Parameters SH, country spec'!G79)*44/28/'Forage, input data per ha'!C49</f>
        <v>1.7407334076117385E-4</v>
      </c>
      <c r="I166" s="4">
        <f>H166*0.1</f>
        <v>1.7407334076117384E-5</v>
      </c>
      <c r="J166" s="4">
        <f>'Forage, input data per ha'!H49*EF_diesel_N2O*Heating_value_diesel/'Forage, input data per ha'!C49</f>
        <v>3.9530400602795185E-7</v>
      </c>
      <c r="K166" s="4"/>
      <c r="L166" s="4">
        <f>'Forage, input data per ha'!I49*'Parameters, general'!$D$17/'Forage, input data per ha'!C49</f>
        <v>0</v>
      </c>
      <c r="M166" s="4"/>
      <c r="N166" s="4"/>
      <c r="O166" s="4">
        <f>'Parameters, general'!$D$20</f>
        <v>6.8099999999999988E-5</v>
      </c>
      <c r="P166" s="4"/>
    </row>
    <row r="167" spans="1:16" x14ac:dyDescent="0.3">
      <c r="A167" s="155"/>
      <c r="B167" s="155" t="s">
        <v>395</v>
      </c>
      <c r="C167" s="155" t="s">
        <v>95</v>
      </c>
      <c r="D167" s="155" t="s">
        <v>49</v>
      </c>
      <c r="E167" s="345">
        <f>SUM(F167:P167)</f>
        <v>0.21979599528261473</v>
      </c>
      <c r="F167" s="345">
        <f>SUMPRODUCT(F163:F166,'Parameters, general'!$B$23:$B$26)</f>
        <v>3.5987145443398816E-2</v>
      </c>
      <c r="G167" s="345">
        <f>SUMPRODUCT(G163:G166,'Parameters, general'!$B$23:$B$26)</f>
        <v>3.01313E-2</v>
      </c>
      <c r="H167" s="345">
        <f>SUMPRODUCT(H163:H166,'Parameters, general'!$B$23:$B$26)</f>
        <v>4.752202202780046E-2</v>
      </c>
      <c r="I167" s="345">
        <f>SUMPRODUCT(I163:I166,'Parameters, general'!$B$23:$B$26)</f>
        <v>4.7522022027800459E-3</v>
      </c>
      <c r="J167" s="345">
        <f>SUMPRODUCT(J163:J166,'Parameters, general'!$B$23:$B$26)</f>
        <v>1.5013625608635414E-2</v>
      </c>
      <c r="K167" s="345">
        <f>SUMPRODUCT(K163:K166,'Parameters, general'!$B$23:$B$26)</f>
        <v>0</v>
      </c>
      <c r="L167" s="345">
        <f>SUMPRODUCT(L163:L166,'Parameters, general'!$B$23:$B$26)</f>
        <v>0</v>
      </c>
      <c r="M167" s="345">
        <f>SUMPRODUCT(M163:M166,'Parameters, general'!$B$23:$B$26)</f>
        <v>0</v>
      </c>
      <c r="N167" s="345">
        <f>SUMPRODUCT(N163:N166,'Parameters, general'!$B$23:$B$26)</f>
        <v>0</v>
      </c>
      <c r="O167" s="345">
        <f>SUMPRODUCT(O163:O166,'Parameters, general'!$B$23:$B$26)</f>
        <v>8.6389700000000014E-2</v>
      </c>
      <c r="P167" s="345">
        <f>SUMPRODUCT(P163:P166,'Parameters, general'!$B$23:$B$26)</f>
        <v>0</v>
      </c>
    </row>
    <row r="168" spans="1:16" x14ac:dyDescent="0.3">
      <c r="B168" t="s">
        <v>395</v>
      </c>
      <c r="C168" t="s">
        <v>91</v>
      </c>
      <c r="D168" t="s">
        <v>51</v>
      </c>
      <c r="E168" s="4">
        <f t="shared" si="22"/>
        <v>0.10799307753401768</v>
      </c>
      <c r="F168" s="4">
        <f>'Forage, input data per ha'!D50*(Frac_BAT_IT*EF_min_fert_BAT_CO2+Frac_AN_IT*EF_min_fert_AN_CO2)/'Forage, input data per ha'!C50</f>
        <v>2.175109426324023E-2</v>
      </c>
      <c r="G168" s="4">
        <f>EF_capital_goods_CO2</f>
        <v>2.7E-2</v>
      </c>
      <c r="H168" s="4"/>
      <c r="I168" s="4"/>
      <c r="J168" s="4">
        <f>'Forage, input data per ha'!H50*EF_diesel_CO2*Heating_value_diesel/'Forage, input data per ha'!C50</f>
        <v>1.2125602631526086E-2</v>
      </c>
      <c r="K168" s="4"/>
      <c r="L168" s="4">
        <f>'Forage, input data per ha'!I50*'Parameters, general'!$B$17/'Forage, input data per ha'!C50</f>
        <v>4.1638063925135904E-4</v>
      </c>
      <c r="M168" s="4"/>
      <c r="N168" s="4"/>
      <c r="O168" s="4">
        <f>'Parameters, general'!$B$20</f>
        <v>4.6700000000000005E-2</v>
      </c>
      <c r="P168" s="4"/>
    </row>
    <row r="169" spans="1:16" x14ac:dyDescent="0.3">
      <c r="B169" t="s">
        <v>395</v>
      </c>
      <c r="C169" t="s">
        <v>92</v>
      </c>
      <c r="D169" t="s">
        <v>51</v>
      </c>
      <c r="E169" s="4">
        <f t="shared" si="22"/>
        <v>8.4966510514020643E-4</v>
      </c>
      <c r="F169" s="4">
        <f>'Forage, input data per ha'!D50*(Frac_BAT_IT*EF_min_fert_BAT_CH4+Frac_AN_IT*EF_min_fert_AN_CH4)/'Forage, input data per ha'!C50</f>
        <v>3.9901302719260733E-5</v>
      </c>
      <c r="G169" s="4">
        <f>EF_capital_goods_CH4</f>
        <v>9.5000000000000005E-5</v>
      </c>
      <c r="H169" s="4"/>
      <c r="I169" s="4"/>
      <c r="J169" s="4">
        <f>'Forage, input data per ha'!H50*EF_diesel_CH4*Heating_value_diesel/'Forage, input data per ha'!C50</f>
        <v>5.371233094022949E-6</v>
      </c>
      <c r="K169" s="4"/>
      <c r="L169" s="4">
        <f>'Forage, input data per ha'!I50*'Parameters, general'!$C$17/'Forage, input data per ha'!C50</f>
        <v>1.3925693269227845E-6</v>
      </c>
      <c r="M169" s="4"/>
      <c r="N169" s="4"/>
      <c r="O169" s="4">
        <f>'Parameters, general'!$C$20</f>
        <v>7.0799999999999997E-4</v>
      </c>
      <c r="P169" s="4"/>
    </row>
    <row r="170" spans="1:16" x14ac:dyDescent="0.3">
      <c r="B170" t="s">
        <v>395</v>
      </c>
      <c r="C170" t="s">
        <v>311</v>
      </c>
      <c r="D170" t="s">
        <v>51</v>
      </c>
      <c r="E170" s="4">
        <f t="shared" si="22"/>
        <v>0</v>
      </c>
      <c r="F170" s="4"/>
      <c r="G170" s="4"/>
      <c r="H170" s="4"/>
      <c r="I170" s="4"/>
      <c r="J170" s="4"/>
      <c r="K170" s="4"/>
      <c r="L170" s="4"/>
      <c r="M170" s="4"/>
      <c r="N170" s="4"/>
      <c r="O170" s="4"/>
      <c r="P170" s="4"/>
    </row>
    <row r="171" spans="1:16" x14ac:dyDescent="0.3">
      <c r="B171" t="s">
        <v>395</v>
      </c>
      <c r="C171" t="s">
        <v>94</v>
      </c>
      <c r="D171" t="s">
        <v>51</v>
      </c>
      <c r="E171" s="4">
        <f t="shared" si="22"/>
        <v>3.0881481350592888E-4</v>
      </c>
      <c r="F171" s="4">
        <f>'Forage, input data per ha'!D50*(Frac_BAT_IT*EF_min_fert_BAT_N2O+Frac_AN_IT*EF_min_fert_AN_N2O)/'Forage, input data per ha'!C50</f>
        <v>4.7791180802654258E-5</v>
      </c>
      <c r="G171" s="4">
        <f>EF_capital_goods_N2O</f>
        <v>1.1000000000000001E-6</v>
      </c>
      <c r="H171" s="4">
        <f>('Forage, input data per ha'!D50*'Parameters SH, country spec'!H78+'Forage, input data per ha'!F50*'Parameters SH, country spec'!H79)*44/28/'Forage, input data per ha'!C50</f>
        <v>1.7407334076117382E-4</v>
      </c>
      <c r="I171" s="4">
        <f>H171*0.1</f>
        <v>1.7407334076117384E-5</v>
      </c>
      <c r="J171" s="4">
        <f>'Forage, input data per ha'!H50*EF_diesel_N2O*Heating_value_diesel/'Forage, input data per ha'!C50</f>
        <v>3.2581967028863559E-7</v>
      </c>
      <c r="K171" s="4"/>
      <c r="L171" s="4">
        <f>'Forage, input data per ha'!I50*'Parameters, general'!$D$17/'Forage, input data per ha'!C50</f>
        <v>1.7138195694812812E-8</v>
      </c>
      <c r="M171" s="4"/>
      <c r="N171" s="4"/>
      <c r="O171" s="4">
        <f>'Parameters, general'!$D$20</f>
        <v>6.8099999999999988E-5</v>
      </c>
      <c r="P171" s="4"/>
    </row>
    <row r="172" spans="1:16" x14ac:dyDescent="0.3">
      <c r="A172" s="155"/>
      <c r="B172" s="155" t="s">
        <v>395</v>
      </c>
      <c r="C172" s="155" t="s">
        <v>95</v>
      </c>
      <c r="D172" s="155" t="s">
        <v>51</v>
      </c>
      <c r="E172" s="345">
        <f>SUM(F172:P172)</f>
        <v>0.21761954175431444</v>
      </c>
      <c r="F172" s="345">
        <f>SUMPRODUCT(F168:F171,'Parameters, general'!$B$23:$B$26)</f>
        <v>3.5987145443398816E-2</v>
      </c>
      <c r="G172" s="345">
        <f>SUMPRODUCT(G168:G171,'Parameters, general'!$B$23:$B$26)</f>
        <v>3.01313E-2</v>
      </c>
      <c r="H172" s="345">
        <f>SUMPRODUCT(H168:H171,'Parameters, general'!$B$23:$B$26)</f>
        <v>4.7522022027800453E-2</v>
      </c>
      <c r="I172" s="345">
        <f>SUMPRODUCT(I168:I171,'Parameters, general'!$B$23:$B$26)</f>
        <v>4.7522022027800459E-3</v>
      </c>
      <c r="J172" s="345">
        <f>SUMPRODUCT(J168:J171,'Parameters, general'!$B$23:$B$26)</f>
        <v>1.2374614147716767E-2</v>
      </c>
      <c r="K172" s="345">
        <f>SUMPRODUCT(K168:K171,'Parameters, general'!$B$23:$B$26)</f>
        <v>0</v>
      </c>
      <c r="L172" s="345">
        <f>SUMPRODUCT(L168:L171,'Parameters, general'!$B$23:$B$26)</f>
        <v>4.6255793261834192E-4</v>
      </c>
      <c r="M172" s="345">
        <f>SUMPRODUCT(M168:M171,'Parameters, general'!$B$23:$B$26)</f>
        <v>0</v>
      </c>
      <c r="N172" s="345">
        <f>SUMPRODUCT(N168:N171,'Parameters, general'!$B$23:$B$26)</f>
        <v>0</v>
      </c>
      <c r="O172" s="345">
        <f>SUMPRODUCT(O168:O171,'Parameters, general'!$B$23:$B$26)</f>
        <v>8.6389700000000014E-2</v>
      </c>
      <c r="P172" s="345">
        <f>SUMPRODUCT(P168:P171,'Parameters, general'!$B$23:$B$26)</f>
        <v>0</v>
      </c>
    </row>
    <row r="173" spans="1:16" x14ac:dyDescent="0.3">
      <c r="B173" t="s">
        <v>395</v>
      </c>
      <c r="C173" t="s">
        <v>91</v>
      </c>
      <c r="D173" t="s">
        <v>53</v>
      </c>
      <c r="E173" s="4">
        <f t="shared" ref="E173:E176" si="23">SUM(F173:P173)</f>
        <v>0.19157727946271469</v>
      </c>
      <c r="F173" s="4">
        <f>'Forage, input data per ha'!D51*(Frac_BAT_NL*EF_min_fert_BAT_CO2+Frac_AN_NL*EF_min_fert_AN_CO2)/'Forage, input data per ha'!C51</f>
        <v>9.7200179188847394E-2</v>
      </c>
      <c r="G173" s="4">
        <f>EF_capital_goods_CO2</f>
        <v>2.7E-2</v>
      </c>
      <c r="H173" s="4"/>
      <c r="I173" s="4"/>
      <c r="J173" s="4">
        <f>'Forage, input data per ha'!H51*EF_diesel_CO2*Heating_value_diesel/'Forage, input data per ha'!C51</f>
        <v>2.0602019827343845E-2</v>
      </c>
      <c r="K173" s="4"/>
      <c r="L173" s="4">
        <f>'Forage, input data per ha'!I51*'Parameters, general'!$B$17/'Forage, input data per ha'!C51</f>
        <v>7.5080446523445883E-5</v>
      </c>
      <c r="M173" s="4"/>
      <c r="N173" s="276"/>
      <c r="O173" s="4">
        <f>'Parameters, general'!$B$20</f>
        <v>4.6700000000000005E-2</v>
      </c>
      <c r="P173" s="4"/>
    </row>
    <row r="174" spans="1:16" x14ac:dyDescent="0.3">
      <c r="B174" t="s">
        <v>395</v>
      </c>
      <c r="C174" t="s">
        <v>92</v>
      </c>
      <c r="D174" t="s">
        <v>53</v>
      </c>
      <c r="E174" s="4">
        <f t="shared" si="23"/>
        <v>9.9068600759209943E-4</v>
      </c>
      <c r="F174" s="4">
        <f>'Forage, input data per ha'!D51*(Frac_BAT_NL*EF_min_fert_BAT_CH4+Frac_AN_NL*EF_min_fert_AN_CH4)/'Forage, input data per ha'!C51</f>
        <v>1.7830890378398945E-4</v>
      </c>
      <c r="G174" s="4">
        <f>EF_capital_goods_CH4</f>
        <v>9.5000000000000005E-5</v>
      </c>
      <c r="H174" s="4"/>
      <c r="I174" s="4"/>
      <c r="J174" s="4">
        <f>'Forage, input data per ha'!H51*EF_diesel_CH4*Heating_value_diesel/'Forage, input data per ha'!C51</f>
        <v>9.1260000894833206E-6</v>
      </c>
      <c r="K174" s="4"/>
      <c r="L174" s="4">
        <f>'Forage, input data per ha'!I51*'Parameters, general'!$C$17/'Forage, input data per ha'!C51</f>
        <v>2.5110371862679221E-7</v>
      </c>
      <c r="M174" s="4"/>
      <c r="N174" s="4"/>
      <c r="O174" s="4">
        <f>'Parameters, general'!$C$20</f>
        <v>7.0799999999999997E-4</v>
      </c>
      <c r="P174" s="4"/>
    </row>
    <row r="175" spans="1:16" x14ac:dyDescent="0.3">
      <c r="B175" t="s">
        <v>395</v>
      </c>
      <c r="C175" t="s">
        <v>311</v>
      </c>
      <c r="D175" t="s">
        <v>53</v>
      </c>
      <c r="E175" s="4">
        <f t="shared" si="23"/>
        <v>0</v>
      </c>
      <c r="F175" s="4"/>
      <c r="G175" s="4"/>
      <c r="H175" s="4"/>
      <c r="I175" s="4"/>
      <c r="J175" s="4"/>
      <c r="K175" s="4"/>
      <c r="L175" s="4"/>
      <c r="M175" s="4"/>
      <c r="N175" s="4"/>
      <c r="O175" s="4"/>
      <c r="P175" s="4"/>
    </row>
    <row r="176" spans="1:16" x14ac:dyDescent="0.3">
      <c r="B176" t="s">
        <v>395</v>
      </c>
      <c r="C176" t="s">
        <v>94</v>
      </c>
      <c r="D176" t="s">
        <v>53</v>
      </c>
      <c r="E176" s="4">
        <f t="shared" si="23"/>
        <v>1.0290458382190728E-3</v>
      </c>
      <c r="F176" s="4">
        <f>'Forage, input data per ha'!D51*(Frac_BAT_NL*EF_min_fert_BAT_N2O+Frac_AN_NL*EF_min_fert_AN_N2O)/'Forage, input data per ha'!C51</f>
        <v>2.1356678801743158E-4</v>
      </c>
      <c r="G176" s="4">
        <f>EF_capital_goods_N2O</f>
        <v>1.1000000000000001E-6</v>
      </c>
      <c r="H176" s="4">
        <f>('Forage, input data per ha'!D51*'Parameters SH, country spec'!I78+'Forage, input data per ha'!F51*'Parameters SH, country spec'!I79)*44/28/'Forage, input data per ha'!C51</f>
        <v>6.7792943235542443E-4</v>
      </c>
      <c r="I176" s="4">
        <f>H176*0.1</f>
        <v>6.7792943235542451E-5</v>
      </c>
      <c r="J176" s="4">
        <f>'Forage, input data per ha'!H51*EF_diesel_N2O*Heating_value_diesel/'Forage, input data per ha'!C51</f>
        <v>5.5358430516045113E-7</v>
      </c>
      <c r="K176" s="4"/>
      <c r="L176" s="4">
        <f>'Forage, input data per ha'!I51*'Parameters, general'!$D$17/'Forage, input data per ha'!C51</f>
        <v>3.0903055139313702E-9</v>
      </c>
      <c r="M176" s="4"/>
      <c r="N176" s="4"/>
      <c r="O176" s="4">
        <f>'Parameters, general'!$D$20</f>
        <v>6.8099999999999988E-5</v>
      </c>
      <c r="P176" s="4"/>
    </row>
    <row r="177" spans="1:16" x14ac:dyDescent="0.3">
      <c r="A177" s="155"/>
      <c r="B177" s="155" t="s">
        <v>395</v>
      </c>
      <c r="C177" s="155" t="s">
        <v>95</v>
      </c>
      <c r="D177" s="155" t="s">
        <v>53</v>
      </c>
      <c r="E177" s="345">
        <f>SUM(F177:P177)</f>
        <v>0.50202923632276619</v>
      </c>
      <c r="F177" s="345">
        <f>SUMPRODUCT(F173:F176,'Parameters, general'!$B$23:$B$26)</f>
        <v>0.16081751765036911</v>
      </c>
      <c r="G177" s="345">
        <f>SUMPRODUCT(G173:G176,'Parameters, general'!$B$23:$B$26)</f>
        <v>3.01313E-2</v>
      </c>
      <c r="H177" s="345">
        <f>SUMPRODUCT(H173:H176,'Parameters, general'!$B$23:$B$26)</f>
        <v>0.18507473503303087</v>
      </c>
      <c r="I177" s="345">
        <f>SUMPRODUCT(I173:I176,'Parameters, general'!$B$23:$B$26)</f>
        <v>1.850747350330309E-2</v>
      </c>
      <c r="J177" s="345">
        <f>SUMPRODUCT(J173:J176,'Parameters, general'!$B$23:$B$26)</f>
        <v>2.1025103145319253E-2</v>
      </c>
      <c r="K177" s="345">
        <f>SUMPRODUCT(K173:K176,'Parameters, general'!$B$23:$B$26)</f>
        <v>0</v>
      </c>
      <c r="L177" s="345">
        <f>SUMPRODUCT(L173:L176,'Parameters, general'!$B$23:$B$26)</f>
        <v>8.3406990743827548E-5</v>
      </c>
      <c r="M177" s="345">
        <f>SUMPRODUCT(M173:M176,'Parameters, general'!$B$23:$B$26)</f>
        <v>0</v>
      </c>
      <c r="N177" s="345">
        <f>SUMPRODUCT(N173:N176,'Parameters, general'!$B$23:$B$26)</f>
        <v>0</v>
      </c>
      <c r="O177" s="345">
        <f>SUMPRODUCT(O173:O176,'Parameters, general'!$B$23:$B$26)</f>
        <v>8.6389700000000014E-2</v>
      </c>
      <c r="P177" s="345">
        <f>SUMPRODUCT(P173:P176,'Parameters, general'!$B$23:$B$26)</f>
        <v>0</v>
      </c>
    </row>
    <row r="178" spans="1:16" x14ac:dyDescent="0.3">
      <c r="B178" t="s">
        <v>395</v>
      </c>
      <c r="C178" t="s">
        <v>91</v>
      </c>
      <c r="D178" t="s">
        <v>55</v>
      </c>
      <c r="E178" s="4">
        <f t="shared" ref="E178:E186" si="24">SUM(F178:P178)</f>
        <v>0.11069169315202591</v>
      </c>
      <c r="F178" s="4">
        <f>'Forage, input data per ha'!D52*(Frac_BAT_PL*EF_min_fert_BAT_CO2+Frac_AN_PL*EF_min_fert_AN_CO2)/'Forage, input data per ha'!C52</f>
        <v>2.1751094263240234E-2</v>
      </c>
      <c r="G178" s="4">
        <f>EF_capital_goods_CO2</f>
        <v>2.7E-2</v>
      </c>
      <c r="H178" s="4"/>
      <c r="I178" s="4"/>
      <c r="J178" s="4">
        <f>'Forage, input data per ha'!H52*EF_diesel_CO2*Heating_value_diesel/'Forage, input data per ha'!C52</f>
        <v>1.5222817539100278E-2</v>
      </c>
      <c r="K178" s="4"/>
      <c r="L178" s="4">
        <f>'Forage, input data per ha'!I52*'Parameters, general'!$B$17/'Forage, input data per ha'!C52</f>
        <v>1.7781349685403136E-5</v>
      </c>
      <c r="M178" s="4"/>
      <c r="N178" s="276"/>
      <c r="O178" s="4">
        <f>'Parameters, general'!$B$20</f>
        <v>4.6700000000000005E-2</v>
      </c>
      <c r="P178" s="4"/>
    </row>
    <row r="179" spans="1:16" x14ac:dyDescent="0.3">
      <c r="B179" t="s">
        <v>395</v>
      </c>
      <c r="C179" t="s">
        <v>92</v>
      </c>
      <c r="D179" t="s">
        <v>55</v>
      </c>
      <c r="E179" s="4">
        <f t="shared" si="24"/>
        <v>8.4970396663282841E-4</v>
      </c>
      <c r="F179" s="4">
        <f>'Forage, input data per ha'!D52*(Frac_BAT_PL*EF_min_fert_BAT_CH4+Frac_AN_PL*EF_min_fert_AN_CH4)/'Forage, input data per ha'!C52</f>
        <v>3.9901302719260733E-5</v>
      </c>
      <c r="G179" s="4">
        <f>EF_capital_goods_CH4</f>
        <v>9.5000000000000005E-5</v>
      </c>
      <c r="H179" s="4"/>
      <c r="I179" s="4"/>
      <c r="J179" s="4">
        <f>'Forage, input data per ha'!H52*EF_diesel_CH4*Heating_value_diesel/'Forage, input data per ha'!C52</f>
        <v>6.7431948609054584E-6</v>
      </c>
      <c r="K179" s="4"/>
      <c r="L179" s="4">
        <f>'Forage, input data per ha'!I52*'Parameters, general'!$C$17/'Forage, input data per ha'!C52</f>
        <v>5.9469052662250286E-8</v>
      </c>
      <c r="M179" s="4"/>
      <c r="N179" s="4"/>
      <c r="O179" s="4">
        <f>'Parameters, general'!$C$20</f>
        <v>7.0799999999999997E-4</v>
      </c>
      <c r="P179" s="4"/>
    </row>
    <row r="180" spans="1:16" x14ac:dyDescent="0.3">
      <c r="B180" t="s">
        <v>395</v>
      </c>
      <c r="C180" t="s">
        <v>311</v>
      </c>
      <c r="D180" t="s">
        <v>55</v>
      </c>
      <c r="E180" s="4">
        <f t="shared" si="24"/>
        <v>0</v>
      </c>
      <c r="F180" s="4"/>
      <c r="G180" s="4"/>
      <c r="H180" s="4"/>
      <c r="I180" s="4"/>
      <c r="J180" s="4"/>
      <c r="K180" s="4"/>
      <c r="L180" s="4"/>
      <c r="M180" s="4"/>
      <c r="N180" s="4"/>
      <c r="O180" s="4"/>
      <c r="P180" s="4"/>
    </row>
    <row r="181" spans="1:16" x14ac:dyDescent="0.3">
      <c r="B181" t="s">
        <v>395</v>
      </c>
      <c r="C181" t="s">
        <v>94</v>
      </c>
      <c r="D181" t="s">
        <v>55</v>
      </c>
      <c r="E181" s="4">
        <f t="shared" si="24"/>
        <v>3.0888163056136685E-4</v>
      </c>
      <c r="F181" s="4">
        <f>'Forage, input data per ha'!D52*(Frac_BAT_PL*EF_min_fert_BAT_N2O+Frac_AN_PL*EF_min_fert_AN_N2O)/'Forage, input data per ha'!C52</f>
        <v>4.7791180802654265E-5</v>
      </c>
      <c r="G181" s="4">
        <f>EF_capital_goods_N2O</f>
        <v>1.1000000000000001E-6</v>
      </c>
      <c r="H181" s="4">
        <f>('Forage, input data per ha'!D52*'Parameters SH, country spec'!J78+'Forage, input data per ha'!F52*'Parameters SH, country spec'!J79)*44/28/'Forage, input data per ha'!C52</f>
        <v>1.7407334076117385E-4</v>
      </c>
      <c r="I181" s="4">
        <f>H181*0.1</f>
        <v>1.7407334076117384E-5</v>
      </c>
      <c r="J181" s="4">
        <f>'Forage, input data per ha'!H52*EF_diesel_N2O*Heating_value_diesel/'Forage, input data per ha'!C52</f>
        <v>4.0904304240996531E-7</v>
      </c>
      <c r="K181" s="4"/>
      <c r="L181" s="4">
        <f>'Forage, input data per ha'!I52*'Parameters, general'!$D$17/'Forage, input data per ha'!C52</f>
        <v>7.3187901141189401E-10</v>
      </c>
      <c r="M181" s="4"/>
      <c r="N181" s="4"/>
      <c r="O181" s="4">
        <f>'Parameters, general'!$D$20</f>
        <v>6.8099999999999988E-5</v>
      </c>
      <c r="P181" s="4"/>
    </row>
    <row r="182" spans="1:16" x14ac:dyDescent="0.3">
      <c r="A182" s="155"/>
      <c r="B182" s="155" t="s">
        <v>395</v>
      </c>
      <c r="C182" s="155" t="s">
        <v>95</v>
      </c>
      <c r="D182" s="155" t="s">
        <v>55</v>
      </c>
      <c r="E182" s="345">
        <f>SUM(F182:P182)</f>
        <v>0.22033755650093736</v>
      </c>
      <c r="F182" s="345">
        <f>SUMPRODUCT(F178:F181,'Parameters, general'!$B$23:$B$26)</f>
        <v>3.5987145443398816E-2</v>
      </c>
      <c r="G182" s="345">
        <f>SUMPRODUCT(G178:G181,'Parameters, general'!$B$23:$B$26)</f>
        <v>3.01313E-2</v>
      </c>
      <c r="H182" s="345">
        <f>SUMPRODUCT(H178:H181,'Parameters, general'!$B$23:$B$26)</f>
        <v>4.752202202780046E-2</v>
      </c>
      <c r="I182" s="345">
        <f>SUMPRODUCT(I178:I181,'Parameters, general'!$B$23:$B$26)</f>
        <v>4.7522022027800459E-3</v>
      </c>
      <c r="J182" s="345">
        <f>SUMPRODUCT(J178:J181,'Parameters, general'!$B$23:$B$26)</f>
        <v>1.553543349653318E-2</v>
      </c>
      <c r="K182" s="345">
        <f>SUMPRODUCT(K178:K181,'Parameters, general'!$B$23:$B$26)</f>
        <v>0</v>
      </c>
      <c r="L182" s="345">
        <f>SUMPRODUCT(L178:L181,'Parameters, general'!$B$23:$B$26)</f>
        <v>1.9753330424853642E-5</v>
      </c>
      <c r="M182" s="345">
        <f>SUMPRODUCT(M178:M181,'Parameters, general'!$B$23:$B$26)</f>
        <v>0</v>
      </c>
      <c r="N182" s="345">
        <f>SUMPRODUCT(N178:N181,'Parameters, general'!$B$23:$B$26)</f>
        <v>0</v>
      </c>
      <c r="O182" s="345">
        <f>SUMPRODUCT(O178:O181,'Parameters, general'!$B$23:$B$26)</f>
        <v>8.6389700000000014E-2</v>
      </c>
      <c r="P182" s="345">
        <f>SUMPRODUCT(P178:P181,'Parameters, general'!$B$23:$B$26)</f>
        <v>0</v>
      </c>
    </row>
    <row r="183" spans="1:16" x14ac:dyDescent="0.3">
      <c r="B183" t="s">
        <v>395</v>
      </c>
      <c r="C183" t="s">
        <v>91</v>
      </c>
      <c r="D183" t="s">
        <v>57</v>
      </c>
      <c r="E183" s="4">
        <f t="shared" si="24"/>
        <v>0.12049000647995767</v>
      </c>
      <c r="F183" s="4">
        <f>'Forage, input data per ha'!D53*(Frac_BAT_ES*EF_min_fert_BAT_CO2+Frac_AN_ES*EF_min_fert_AN_CO2)/'Forage, input data per ha'!C53</f>
        <v>2.1751094263240234E-2</v>
      </c>
      <c r="G183" s="4">
        <f>EF_capital_goods_CO2</f>
        <v>2.7E-2</v>
      </c>
      <c r="H183" s="4"/>
      <c r="I183" s="4"/>
      <c r="J183" s="4">
        <f>'Forage, input data per ha'!H53*EF_diesel_CO2*Heating_value_diesel/'Forage, input data per ha'!C53</f>
        <v>2.1919113211738082E-2</v>
      </c>
      <c r="K183" s="4"/>
      <c r="L183" s="4">
        <f>'Forage, input data per ha'!I53*'Parameters, general'!$B$17/'Forage, input data per ha'!C53</f>
        <v>3.1197990049793398E-3</v>
      </c>
      <c r="M183" s="4"/>
      <c r="N183" s="4"/>
      <c r="O183" s="4">
        <f>'Parameters, general'!$B$20</f>
        <v>4.6700000000000005E-2</v>
      </c>
      <c r="P183" s="4"/>
    </row>
    <row r="184" spans="1:16" x14ac:dyDescent="0.3">
      <c r="B184" t="s">
        <v>395</v>
      </c>
      <c r="C184" t="s">
        <v>92</v>
      </c>
      <c r="D184" t="s">
        <v>57</v>
      </c>
      <c r="E184" s="4">
        <f t="shared" si="24"/>
        <v>8.6304478074565908E-4</v>
      </c>
      <c r="F184" s="4">
        <f>'Forage, input data per ha'!D53*(Frac_BAT_ES*EF_min_fert_BAT_CH4+Frac_AN_ES*EF_min_fert_AN_CH4)/'Forage, input data per ha'!C53</f>
        <v>3.9901302719260733E-5</v>
      </c>
      <c r="G184" s="4">
        <f>EF_capital_goods_CH4</f>
        <v>9.5000000000000005E-5</v>
      </c>
      <c r="H184" s="4"/>
      <c r="I184" s="4"/>
      <c r="J184" s="4">
        <f>'Forage, input data per ha'!H53*EF_diesel_CH4*Heating_value_diesel/'Forage, input data per ha'!C53</f>
        <v>9.7094280467696498E-6</v>
      </c>
      <c r="K184" s="4"/>
      <c r="L184" s="4">
        <f>'Forage, input data per ha'!I53*'Parameters, general'!$C$17/'Forage, input data per ha'!C53</f>
        <v>1.0434049979628758E-5</v>
      </c>
      <c r="M184" s="4"/>
      <c r="N184" s="4"/>
      <c r="O184" s="4">
        <f>'Parameters, general'!$C$20</f>
        <v>7.0799999999999997E-4</v>
      </c>
      <c r="P184" s="4"/>
    </row>
    <row r="185" spans="1:16" x14ac:dyDescent="0.3">
      <c r="B185" t="s">
        <v>395</v>
      </c>
      <c r="C185" t="s">
        <v>311</v>
      </c>
      <c r="D185" t="s">
        <v>57</v>
      </c>
      <c r="E185" s="4">
        <f t="shared" si="24"/>
        <v>0</v>
      </c>
      <c r="F185" s="4"/>
      <c r="G185" s="4"/>
      <c r="H185" s="4"/>
      <c r="I185" s="4"/>
      <c r="J185" s="4"/>
      <c r="K185" s="4"/>
      <c r="L185" s="4"/>
      <c r="M185" s="4"/>
      <c r="N185" s="4"/>
      <c r="O185" s="4"/>
      <c r="P185" s="4"/>
    </row>
    <row r="186" spans="1:16" x14ac:dyDescent="0.3">
      <c r="B186" t="s">
        <v>395</v>
      </c>
      <c r="C186" t="s">
        <v>94</v>
      </c>
      <c r="D186" t="s">
        <v>57</v>
      </c>
      <c r="E186" s="4">
        <f t="shared" si="24"/>
        <v>3.0918924144950809E-4</v>
      </c>
      <c r="F186" s="4">
        <f>'Forage, input data per ha'!D53*(Frac_BAT_ES*EF_min_fert_BAT_N2O+Frac_AN_ES*EF_min_fert_AN_N2O)/'Forage, input data per ha'!C53</f>
        <v>4.7791180802654265E-5</v>
      </c>
      <c r="G186" s="4">
        <f>EF_capital_goods_N2O</f>
        <v>1.1000000000000001E-6</v>
      </c>
      <c r="H186" s="4">
        <f>('Forage, input data per ha'!D53*'Parameters SH, country spec'!K78+'Forage, input data per ha'!F53*'Parameters SH, country spec'!K79)*44/28/'Forage, input data per ha'!C53</f>
        <v>1.7407334076117385E-4</v>
      </c>
      <c r="I186" s="4">
        <f>H186*0.1</f>
        <v>1.7407334076117384E-5</v>
      </c>
      <c r="J186" s="4">
        <f>'Forage, input data per ha'!H53*EF_diesel_N2O*Heating_value_diesel/'Forage, input data per ha'!C53</f>
        <v>5.8897511791287795E-7</v>
      </c>
      <c r="K186" s="4"/>
      <c r="L186" s="4">
        <f>'Forage, input data per ha'!I53*'Parameters, general'!$D$17/'Forage, input data per ha'!C53</f>
        <v>1.2841069164971674E-7</v>
      </c>
      <c r="M186" s="4"/>
      <c r="N186" s="4"/>
      <c r="O186" s="4">
        <f>'Parameters, general'!$D$20</f>
        <v>6.8099999999999988E-5</v>
      </c>
      <c r="P186" s="4"/>
    </row>
    <row r="187" spans="1:16" x14ac:dyDescent="0.3">
      <c r="A187" s="155"/>
      <c r="B187" s="155" t="s">
        <v>395</v>
      </c>
      <c r="C187" s="155" t="s">
        <v>95</v>
      </c>
      <c r="D187" s="155" t="s">
        <v>57</v>
      </c>
      <c r="E187" s="345">
        <f>SUM(F187:P187)</f>
        <v>0.230617403861894</v>
      </c>
      <c r="F187" s="345">
        <f>SUMPRODUCT(F183:F186,'Parameters, general'!$B$23:$B$26)</f>
        <v>3.5987145443398816E-2</v>
      </c>
      <c r="G187" s="345">
        <f>SUMPRODUCT(G183:G186,'Parameters, general'!$B$23:$B$26)</f>
        <v>3.01313E-2</v>
      </c>
      <c r="H187" s="345">
        <f>SUMPRODUCT(H183:H186,'Parameters, general'!$B$23:$B$26)</f>
        <v>4.752202202780046E-2</v>
      </c>
      <c r="I187" s="345">
        <f>SUMPRODUCT(I183:I186,'Parameters, general'!$B$23:$B$26)</f>
        <v>4.7522022027800459E-3</v>
      </c>
      <c r="J187" s="345">
        <f>SUMPRODUCT(J183:J186,'Parameters, general'!$B$23:$B$26)</f>
        <v>2.2369244374722035E-2</v>
      </c>
      <c r="K187" s="345">
        <f>SUMPRODUCT(K183:K186,'Parameters, general'!$B$23:$B$26)</f>
        <v>0</v>
      </c>
      <c r="L187" s="345">
        <f>SUMPRODUCT(L183:L186,'Parameters, general'!$B$23:$B$26)</f>
        <v>3.4657898131926494E-3</v>
      </c>
      <c r="M187" s="345">
        <f>SUMPRODUCT(M183:M186,'Parameters, general'!$B$23:$B$26)</f>
        <v>0</v>
      </c>
      <c r="N187" s="345">
        <f>SUMPRODUCT(N183:N186,'Parameters, general'!$B$23:$B$26)</f>
        <v>0</v>
      </c>
      <c r="O187" s="345">
        <f>SUMPRODUCT(O183:O186,'Parameters, general'!$B$23:$B$26)</f>
        <v>8.6389700000000014E-2</v>
      </c>
      <c r="P187" s="345">
        <f>SUMPRODUCT(P183:P186,'Parameters, general'!$B$23:$B$26)</f>
        <v>0</v>
      </c>
    </row>
    <row r="188" spans="1:16" x14ac:dyDescent="0.3">
      <c r="B188" t="s">
        <v>395</v>
      </c>
      <c r="C188" t="s">
        <v>91</v>
      </c>
      <c r="D188" t="s">
        <v>59</v>
      </c>
      <c r="E188" s="4">
        <f t="shared" ref="E188:E191" si="25">SUM(F188:P188)</f>
        <v>0.11689406606260437</v>
      </c>
      <c r="F188" s="4">
        <f>'Forage, input data per ha'!D54*(Frac_BAT_SE*EF_min_fert_BAT_CO2+Frac_AN_SE*EF_min_fert_AN_CO2)/'Forage, input data per ha'!C54</f>
        <v>2.173729912496242E-2</v>
      </c>
      <c r="G188" s="4">
        <f>EF_capital_goods_CO2</f>
        <v>2.7E-2</v>
      </c>
      <c r="H188" s="4"/>
      <c r="I188" s="4"/>
      <c r="J188" s="4">
        <f>'Forage, input data per ha'!H54*EF_diesel_CO2*Heating_value_diesel/'Forage, input data per ha'!C54</f>
        <v>2.1456766937641942E-2</v>
      </c>
      <c r="K188" s="4"/>
      <c r="L188" s="4">
        <f>'Forage, input data per ha'!I54*'Parameters, general'!$B$17/'Forage, input data per ha'!C54</f>
        <v>0</v>
      </c>
      <c r="M188" s="4"/>
      <c r="N188" s="276"/>
      <c r="O188" s="4">
        <f>'Parameters, general'!$B$20</f>
        <v>4.6700000000000005E-2</v>
      </c>
      <c r="P188" s="4"/>
    </row>
    <row r="189" spans="1:16" x14ac:dyDescent="0.3">
      <c r="B189" t="s">
        <v>395</v>
      </c>
      <c r="C189" t="s">
        <v>92</v>
      </c>
      <c r="D189" t="s">
        <v>59</v>
      </c>
      <c r="E189" s="4">
        <f t="shared" si="25"/>
        <v>8.3985122021789185E-4</v>
      </c>
      <c r="F189" s="4">
        <f>'Forage, input data per ha'!D54*(Frac_BAT_SE*EF_min_fert_BAT_CH4+Frac_AN_SE*EF_min_fert_AN_CH4)/'Forage, input data per ha'!C54</f>
        <v>2.734659598036689E-5</v>
      </c>
      <c r="G189" s="4">
        <f>EF_capital_goods_CH4</f>
        <v>9.5000000000000005E-5</v>
      </c>
      <c r="H189" s="4"/>
      <c r="I189" s="4"/>
      <c r="J189" s="4">
        <f>'Forage, input data per ha'!H54*EF_diesel_CH4*Heating_value_diesel/'Forage, input data per ha'!C54</f>
        <v>9.5046242375250073E-6</v>
      </c>
      <c r="K189" s="4"/>
      <c r="L189" s="4">
        <f>'Forage, input data per ha'!I54*'Parameters, general'!$C$17/'Forage, input data per ha'!C54</f>
        <v>0</v>
      </c>
      <c r="M189" s="4"/>
      <c r="N189" s="4"/>
      <c r="O189" s="4">
        <f>'Parameters, general'!$C$20</f>
        <v>7.0799999999999997E-4</v>
      </c>
      <c r="P189" s="4"/>
    </row>
    <row r="190" spans="1:16" x14ac:dyDescent="0.3">
      <c r="B190" t="s">
        <v>395</v>
      </c>
      <c r="C190" t="s">
        <v>311</v>
      </c>
      <c r="D190" t="s">
        <v>59</v>
      </c>
      <c r="E190" s="4">
        <f t="shared" si="25"/>
        <v>0</v>
      </c>
      <c r="F190" s="4"/>
      <c r="G190" s="4"/>
      <c r="H190" s="4"/>
      <c r="I190" s="4"/>
      <c r="J190" s="4"/>
      <c r="K190" s="4"/>
      <c r="L190" s="4"/>
      <c r="M190" s="4"/>
      <c r="N190" s="4"/>
      <c r="O190" s="4"/>
      <c r="P190" s="4"/>
    </row>
    <row r="191" spans="1:16" x14ac:dyDescent="0.3">
      <c r="B191" t="s">
        <v>395</v>
      </c>
      <c r="C191" t="s">
        <v>94</v>
      </c>
      <c r="D191" t="s">
        <v>59</v>
      </c>
      <c r="E191" s="4">
        <f t="shared" si="25"/>
        <v>3.3882188091616353E-4</v>
      </c>
      <c r="F191" s="4">
        <f>'Forage, input data per ha'!D54*(Frac_BAT_SE*EF_min_fert_BAT_N2O+Frac_AN_SE*EF_min_fert_AN_N2O)/'Forage, input data per ha'!C54</f>
        <v>4.5708557970810855E-5</v>
      </c>
      <c r="G191" s="4">
        <f>EF_capital_goods_N2O</f>
        <v>1.1000000000000001E-6</v>
      </c>
      <c r="H191" s="4">
        <f>('Forage, input data per ha'!D54*'Parameters SH, country spec'!L78+'Forage, input data per ha'!F54*'Parameters SH, country spec'!L79)*44/28/'Forage, input data per ha'!C54</f>
        <v>2.0303342841098746E-4</v>
      </c>
      <c r="I191" s="4">
        <f>H191*0.1</f>
        <v>2.0303342841098747E-5</v>
      </c>
      <c r="J191" s="4">
        <f>'Forage, input data per ha'!H54*EF_diesel_N2O*Heating_value_diesel/'Forage, input data per ha'!C54</f>
        <v>5.7655169326645889E-7</v>
      </c>
      <c r="K191" s="4"/>
      <c r="L191" s="4">
        <f>'Forage, input data per ha'!I54*'Parameters, general'!$D$17/'Forage, input data per ha'!C54</f>
        <v>0</v>
      </c>
      <c r="M191" s="4"/>
      <c r="N191" s="4"/>
      <c r="O191" s="4">
        <f>'Parameters, general'!$D$20</f>
        <v>6.8099999999999988E-5</v>
      </c>
      <c r="P191" s="4"/>
    </row>
    <row r="192" spans="1:16" x14ac:dyDescent="0.3">
      <c r="A192" s="155"/>
      <c r="B192" s="155" t="s">
        <v>395</v>
      </c>
      <c r="C192" s="155" t="s">
        <v>95</v>
      </c>
      <c r="D192" s="155" t="s">
        <v>59</v>
      </c>
      <c r="E192" s="345">
        <f>SUM(F192:P192)</f>
        <v>0.2344200059152102</v>
      </c>
      <c r="F192" s="345">
        <f>SUMPRODUCT(F188:F191,'Parameters, general'!$B$23:$B$26)</f>
        <v>3.5030664011208718E-2</v>
      </c>
      <c r="G192" s="345">
        <f>SUMPRODUCT(G188:G191,'Parameters, general'!$B$23:$B$26)</f>
        <v>3.01313E-2</v>
      </c>
      <c r="H192" s="345">
        <f>SUMPRODUCT(H188:H191,'Parameters, general'!$B$23:$B$26)</f>
        <v>5.542812595619958E-2</v>
      </c>
      <c r="I192" s="345">
        <f>SUMPRODUCT(I188:I191,'Parameters, general'!$B$23:$B$26)</f>
        <v>5.5428125956199581E-3</v>
      </c>
      <c r="J192" s="345">
        <f>SUMPRODUCT(J188:J191,'Parameters, general'!$B$23:$B$26)</f>
        <v>2.1897403352181932E-2</v>
      </c>
      <c r="K192" s="345">
        <f>SUMPRODUCT(K188:K191,'Parameters, general'!$B$23:$B$26)</f>
        <v>0</v>
      </c>
      <c r="L192" s="345">
        <f>SUMPRODUCT(L188:L191,'Parameters, general'!$B$23:$B$26)</f>
        <v>0</v>
      </c>
      <c r="M192" s="345">
        <f>SUMPRODUCT(M188:M191,'Parameters, general'!$B$23:$B$26)</f>
        <v>0</v>
      </c>
      <c r="N192" s="345">
        <f>SUMPRODUCT(N188:N191,'Parameters, general'!$B$23:$B$26)</f>
        <v>0</v>
      </c>
      <c r="O192" s="345">
        <f>SUMPRODUCT(O188:O191,'Parameters, general'!$B$23:$B$26)</f>
        <v>8.6389700000000014E-2</v>
      </c>
      <c r="P192" s="345">
        <f>SUMPRODUCT(P188:P191,'Parameters, general'!$B$23:$B$26)</f>
        <v>0</v>
      </c>
    </row>
    <row r="193" spans="1:19" x14ac:dyDescent="0.3">
      <c r="B193" t="s">
        <v>395</v>
      </c>
      <c r="C193" t="s">
        <v>91</v>
      </c>
      <c r="D193" t="s">
        <v>556</v>
      </c>
      <c r="E193" s="4">
        <f t="shared" ref="E193:E196" si="26">SUM(F193:P193)</f>
        <v>6.3462604134633421E-2</v>
      </c>
      <c r="F193" s="4">
        <f>'Forage, input data per ha'!D55*(Frac_BAT_GB*EF_min_fert_BAT_CO2+Frac_AN_GB*EF_min_fert_AN_CO2)/'Forage, input data per ha'!C55</f>
        <v>2.1751094263240234E-2</v>
      </c>
      <c r="G193" s="4">
        <f>EF_capital_goods_CO2</f>
        <v>2.7E-2</v>
      </c>
      <c r="H193" s="4"/>
      <c r="I193" s="4"/>
      <c r="J193" s="4">
        <f>'Forage, input data per ha'!H55*EF_diesel_CO2*Heating_value_diesel/'Forage, input data per ha'!C55</f>
        <v>1.4711509871393188E-2</v>
      </c>
      <c r="K193" s="4"/>
      <c r="L193" s="4">
        <f>'Forage, input data per ha'!I55*'Parameters, general'!$B$17/'Forage, input data per ha'!C55</f>
        <v>0</v>
      </c>
      <c r="M193" s="4"/>
      <c r="N193" s="276"/>
      <c r="O193" s="4"/>
      <c r="P193" s="4"/>
    </row>
    <row r="194" spans="1:19" x14ac:dyDescent="0.3">
      <c r="B194" t="s">
        <v>395</v>
      </c>
      <c r="C194" t="s">
        <v>92</v>
      </c>
      <c r="D194" t="s">
        <v>556</v>
      </c>
      <c r="E194" s="4">
        <f t="shared" si="26"/>
        <v>1.4141800552451564E-4</v>
      </c>
      <c r="F194" s="4">
        <f>'Forage, input data per ha'!D55*(Frac_BAT_GB*EF_min_fert_BAT_CH4+Frac_AN_GB*EF_min_fert_AN_CH4)/'Forage, input data per ha'!C55</f>
        <v>3.9901302719260733E-5</v>
      </c>
      <c r="G194" s="4">
        <f>EF_capital_goods_CH4</f>
        <v>9.5000000000000005E-5</v>
      </c>
      <c r="H194" s="4"/>
      <c r="I194" s="4"/>
      <c r="J194" s="4">
        <f>'Forage, input data per ha'!H55*EF_diesel_CH4*Heating_value_diesel/'Forage, input data per ha'!C55</f>
        <v>6.5167028052549126E-6</v>
      </c>
      <c r="K194" s="4"/>
      <c r="L194" s="4">
        <f>'Forage, input data per ha'!I55*'Parameters, general'!$C$17/'Forage, input data per ha'!C55</f>
        <v>0</v>
      </c>
      <c r="M194" s="4"/>
      <c r="N194" s="4"/>
      <c r="O194" s="4"/>
      <c r="P194" s="4"/>
    </row>
    <row r="195" spans="1:19" x14ac:dyDescent="0.3">
      <c r="B195" t="s">
        <v>395</v>
      </c>
      <c r="C195" t="s">
        <v>311</v>
      </c>
      <c r="D195" t="s">
        <v>556</v>
      </c>
      <c r="E195" s="4">
        <f t="shared" si="26"/>
        <v>0</v>
      </c>
      <c r="F195" s="4"/>
      <c r="G195" s="4"/>
      <c r="H195" s="4"/>
      <c r="I195" s="4"/>
      <c r="J195" s="4"/>
      <c r="K195" s="4"/>
      <c r="L195" s="4"/>
      <c r="M195" s="4"/>
      <c r="N195" s="4"/>
      <c r="O195" s="4"/>
      <c r="P195" s="4"/>
    </row>
    <row r="196" spans="1:19" x14ac:dyDescent="0.3">
      <c r="B196" t="s">
        <v>395</v>
      </c>
      <c r="C196" t="s">
        <v>94</v>
      </c>
      <c r="D196" t="s">
        <v>556</v>
      </c>
      <c r="E196" s="4">
        <f t="shared" si="26"/>
        <v>2.4076715964597344E-4</v>
      </c>
      <c r="F196" s="4">
        <f>'Forage, input data per ha'!D55*(Frac_BAT_GB*EF_min_fert_BAT_N2O+Frac_AN_GB*EF_min_fert_AN_N2O)/'Forage, input data per ha'!C55</f>
        <v>4.7791180802654258E-5</v>
      </c>
      <c r="G196" s="4">
        <f>EF_capital_goods_N2O</f>
        <v>1.1000000000000001E-6</v>
      </c>
      <c r="H196" s="4">
        <f>('Forage, input data per ha'!D55*'Parameters SH, country spec'!$M$78+'Forage, input data per ha'!F55*'Parameters SH, country spec'!$M$79)*44/28/'Forage, input data per ha'!C55</f>
        <v>1.7407334076117385E-4</v>
      </c>
      <c r="I196" s="4">
        <f>H196*0.1</f>
        <v>1.7407334076117384E-5</v>
      </c>
      <c r="J196" s="4">
        <f>'Forage, input data per ha'!H55*EF_diesel_N2O*Heating_value_diesel/'Forage, input data per ha'!C55</f>
        <v>3.9530400602795185E-7</v>
      </c>
      <c r="K196" s="4"/>
      <c r="L196" s="4">
        <f>'Forage, input data per ha'!I55*'Parameters, general'!$D$17/'Forage, input data per ha'!C55</f>
        <v>0</v>
      </c>
      <c r="M196" s="4"/>
      <c r="N196" s="4"/>
      <c r="O196" s="4"/>
      <c r="P196" s="4"/>
    </row>
    <row r="197" spans="1:19" ht="15" customHeight="1" x14ac:dyDescent="0.3">
      <c r="A197" s="155"/>
      <c r="B197" s="155" t="s">
        <v>395</v>
      </c>
      <c r="C197" s="155" t="s">
        <v>95</v>
      </c>
      <c r="D197" s="155" t="s">
        <v>556</v>
      </c>
      <c r="E197" s="345">
        <f>SUM(F197:P197)</f>
        <v>0.13340629528261472</v>
      </c>
      <c r="F197" s="345">
        <f>SUMPRODUCT(F193:F196,'Parameters, general'!$B$23:$B$26)</f>
        <v>3.5987145443398816E-2</v>
      </c>
      <c r="G197" s="345">
        <f>SUMPRODUCT(G193:G196,'Parameters, general'!$B$23:$B$26)</f>
        <v>3.01313E-2</v>
      </c>
      <c r="H197" s="345">
        <f>SUMPRODUCT(H193:H196,'Parameters, general'!$B$23:$B$26)</f>
        <v>4.752202202780046E-2</v>
      </c>
      <c r="I197" s="345">
        <f>SUMPRODUCT(I193:I196,'Parameters, general'!$B$23:$B$26)</f>
        <v>4.7522022027800459E-3</v>
      </c>
      <c r="J197" s="345">
        <f>SUMPRODUCT(J193:J196,'Parameters, general'!$B$23:$B$26)</f>
        <v>1.5013625608635414E-2</v>
      </c>
      <c r="K197" s="345">
        <f>SUMPRODUCT(K193:K196,'Parameters, general'!$B$23:$B$26)</f>
        <v>0</v>
      </c>
      <c r="L197" s="345">
        <f>SUMPRODUCT(L193:L196,'Parameters, general'!$B$23:$B$26)</f>
        <v>0</v>
      </c>
      <c r="M197" s="345">
        <f>SUMPRODUCT(M193:M196,'Parameters, general'!$B$23:$B$26)</f>
        <v>0</v>
      </c>
      <c r="N197" s="345">
        <f>SUMPRODUCT(N193:N196,'Parameters, general'!$B$23:$B$26)</f>
        <v>0</v>
      </c>
      <c r="O197" s="345">
        <f>SUMPRODUCT(O193:O196,'Parameters, general'!$B$23:$B$26)</f>
        <v>0</v>
      </c>
      <c r="P197" s="345"/>
      <c r="R197" s="124"/>
      <c r="S197" s="6"/>
    </row>
    <row r="198" spans="1:19" x14ac:dyDescent="0.3">
      <c r="E198" s="4"/>
      <c r="F198" s="4"/>
      <c r="G198" s="4"/>
      <c r="H198" s="4"/>
      <c r="I198" s="4"/>
      <c r="J198" s="4"/>
      <c r="K198" s="4"/>
      <c r="L198" s="4"/>
      <c r="M198" s="4"/>
      <c r="N198" s="4"/>
      <c r="O198" s="4"/>
      <c r="P198" s="4"/>
    </row>
    <row r="199" spans="1:19" ht="18" x14ac:dyDescent="0.35">
      <c r="A199" s="265" t="s">
        <v>441</v>
      </c>
      <c r="B199" s="109"/>
      <c r="C199" s="109"/>
      <c r="D199" s="109"/>
      <c r="E199" s="109"/>
      <c r="F199" s="109"/>
      <c r="G199" s="109"/>
      <c r="H199" s="109"/>
      <c r="I199" s="109"/>
      <c r="J199" s="109"/>
      <c r="K199" s="109"/>
      <c r="L199" s="109"/>
      <c r="M199" s="109"/>
      <c r="N199" s="109"/>
      <c r="O199" s="109"/>
      <c r="P199" s="109"/>
    </row>
    <row r="201" spans="1:19" x14ac:dyDescent="0.3">
      <c r="A201" s="266" t="s">
        <v>224</v>
      </c>
      <c r="B201" s="267"/>
      <c r="C201" s="267"/>
      <c r="D201" s="267"/>
      <c r="E201" s="268" t="s">
        <v>65</v>
      </c>
      <c r="F201" s="268" t="s">
        <v>66</v>
      </c>
      <c r="G201" s="269"/>
      <c r="H201" s="268" t="s">
        <v>67</v>
      </c>
      <c r="I201" s="270"/>
      <c r="J201" s="271" t="s">
        <v>68</v>
      </c>
      <c r="K201" s="270"/>
      <c r="L201" s="270"/>
      <c r="M201" s="270"/>
      <c r="N201" s="271" t="s">
        <v>69</v>
      </c>
      <c r="O201" s="271" t="s">
        <v>305</v>
      </c>
      <c r="P201" s="271" t="s">
        <v>70</v>
      </c>
    </row>
    <row r="202" spans="1:19" ht="43.2" x14ac:dyDescent="0.3">
      <c r="A202" s="272" t="s">
        <v>19</v>
      </c>
      <c r="B202" s="272" t="s">
        <v>224</v>
      </c>
      <c r="C202" s="272" t="s">
        <v>74</v>
      </c>
      <c r="D202" s="273" t="s">
        <v>306</v>
      </c>
      <c r="E202" s="274"/>
      <c r="F202" s="46" t="s">
        <v>227</v>
      </c>
      <c r="G202" s="46" t="s">
        <v>76</v>
      </c>
      <c r="H202" s="46" t="s">
        <v>228</v>
      </c>
      <c r="I202" s="46" t="s">
        <v>229</v>
      </c>
      <c r="J202" s="46" t="s">
        <v>77</v>
      </c>
      <c r="K202" s="46" t="s">
        <v>78</v>
      </c>
      <c r="L202" s="46" t="s">
        <v>79</v>
      </c>
      <c r="M202" s="46" t="s">
        <v>80</v>
      </c>
      <c r="N202" s="46" t="s">
        <v>81</v>
      </c>
      <c r="O202" s="46"/>
      <c r="P202" s="46"/>
    </row>
    <row r="203" spans="1:19" x14ac:dyDescent="0.3">
      <c r="B203" t="s">
        <v>441</v>
      </c>
      <c r="C203" t="s">
        <v>91</v>
      </c>
      <c r="D203" t="s">
        <v>90</v>
      </c>
      <c r="E203" s="4">
        <f t="shared" ref="E203:E206" si="27">SUM(F203:P203)</f>
        <v>8.3589177669726011E-2</v>
      </c>
      <c r="F203" s="4">
        <f>'Forage, input data per ha'!D62*(Frac_BAT_DK*EF_min_fert_BAT_CO2+Frac_AN_DK*EF_min_fert_AN_CO2)/'Forage, input data per ha'!C62</f>
        <v>0</v>
      </c>
      <c r="G203" s="4">
        <f>EF_capital_goods_CO2</f>
        <v>2.7E-2</v>
      </c>
      <c r="H203" s="4"/>
      <c r="I203" s="4"/>
      <c r="J203" s="4">
        <f>'Forage, input data per ha'!H62*EF_diesel_CO2*Heating_value_diesel/'Forage, input data per ha'!C62</f>
        <v>9.8891776697260011E-3</v>
      </c>
      <c r="K203" s="4"/>
      <c r="L203" s="4">
        <f>'Forage, input data per ha'!I62*'Parameters, general'!$B$17/'Forage, input data per ha'!C62</f>
        <v>0</v>
      </c>
      <c r="M203" s="4"/>
      <c r="N203" s="4"/>
      <c r="O203" s="4">
        <f>'Parameters, general'!$B$20</f>
        <v>4.6700000000000005E-2</v>
      </c>
      <c r="P203" s="4"/>
    </row>
    <row r="204" spans="1:19" x14ac:dyDescent="0.3">
      <c r="B204" t="s">
        <v>441</v>
      </c>
      <c r="C204" t="s">
        <v>92</v>
      </c>
      <c r="D204" t="s">
        <v>90</v>
      </c>
      <c r="E204" s="4">
        <f t="shared" si="27"/>
        <v>8.0738057224753539E-4</v>
      </c>
      <c r="F204" s="4">
        <f>'Forage, input data per ha'!D62*(Frac_BAT_DK*EF_min_fert_BAT_CH4+Frac_AN_DK*EF_min_fert_AN_CH4)/'Forage, input data per ha'!C62</f>
        <v>0</v>
      </c>
      <c r="G204" s="4">
        <f>EF_capital_goods_CH4</f>
        <v>9.5000000000000005E-5</v>
      </c>
      <c r="H204" s="4"/>
      <c r="I204" s="4"/>
      <c r="J204" s="4">
        <f>'Forage, input data per ha'!H62*EF_diesel_CH4*Heating_value_diesel/'Forage, input data per ha'!C62</f>
        <v>4.3805722475353729E-6</v>
      </c>
      <c r="K204" s="4"/>
      <c r="L204" s="4">
        <f>'Forage, input data per ha'!I62*'Parameters, general'!$C$17/'Forage, input data per ha'!C62</f>
        <v>0</v>
      </c>
      <c r="M204" s="4"/>
      <c r="N204" s="4"/>
      <c r="O204" s="4">
        <f>'Parameters, general'!$C$20</f>
        <v>7.0799999999999997E-4</v>
      </c>
      <c r="P204" s="4"/>
    </row>
    <row r="205" spans="1:19" x14ac:dyDescent="0.3">
      <c r="B205" t="s">
        <v>441</v>
      </c>
      <c r="C205" t="s">
        <v>311</v>
      </c>
      <c r="D205" t="s">
        <v>90</v>
      </c>
      <c r="E205" s="4">
        <f t="shared" si="27"/>
        <v>0</v>
      </c>
      <c r="F205" s="4"/>
      <c r="G205" s="4"/>
      <c r="H205" s="4"/>
      <c r="I205" s="4"/>
      <c r="J205" s="4"/>
      <c r="K205" s="4"/>
      <c r="L205" s="4"/>
      <c r="M205" s="4"/>
      <c r="N205" s="4"/>
      <c r="O205" s="4"/>
      <c r="P205" s="4"/>
    </row>
    <row r="206" spans="1:19" x14ac:dyDescent="0.3">
      <c r="B206" t="s">
        <v>441</v>
      </c>
      <c r="C206" t="s">
        <v>94</v>
      </c>
      <c r="D206" t="s">
        <v>90</v>
      </c>
      <c r="E206" s="4">
        <f t="shared" si="27"/>
        <v>1.0116496034533285E-4</v>
      </c>
      <c r="F206" s="4">
        <f>'Forage, input data per ha'!D62*(Frac_BAT_DK*EF_min_fert_BAT_N2O+Frac_AN_DK*EF_min_fert_AN_N2O)/'Forage, input data per ha'!C62</f>
        <v>0</v>
      </c>
      <c r="G206" s="4">
        <f>EF_capital_goods_N2O</f>
        <v>1.1000000000000001E-6</v>
      </c>
      <c r="H206" s="4">
        <f>('Forage, input data per ha'!D62*'Parameters SH, country spec'!B78+'Forage, input data per ha'!F62*'Parameters SH, country spec'!B79)*44/28/'Forage, input data per ha'!C62</f>
        <v>2.8817485714285719E-5</v>
      </c>
      <c r="I206" s="4">
        <f>H206*0.1</f>
        <v>2.881748571428572E-6</v>
      </c>
      <c r="J206" s="4">
        <f>'Forage, input data per ha'!H62*EF_diesel_N2O*Heating_value_diesel/'Forage, input data per ha'!C62</f>
        <v>2.6572605961855961E-7</v>
      </c>
      <c r="K206" s="4"/>
      <c r="L206" s="4">
        <f>'Forage, input data per ha'!I62*'Parameters, general'!$D$17/'Forage, input data per ha'!C62</f>
        <v>0</v>
      </c>
      <c r="M206" s="4"/>
      <c r="N206" s="4"/>
      <c r="O206" s="4">
        <f>'Parameters, general'!$D$20</f>
        <v>6.8099999999999988E-5</v>
      </c>
      <c r="P206" s="4"/>
    </row>
    <row r="207" spans="1:19" x14ac:dyDescent="0.3">
      <c r="A207" s="155"/>
      <c r="B207" s="155" t="s">
        <v>441</v>
      </c>
      <c r="C207" s="155" t="s">
        <v>95</v>
      </c>
      <c r="D207" s="155" t="s">
        <v>90</v>
      </c>
      <c r="E207" s="345">
        <f>SUM(F207:P207)</f>
        <v>0.13526715289697844</v>
      </c>
      <c r="F207" s="345">
        <f>SUMPRODUCT(F203:F206,'Parameters, general'!$B$23:$B$26)</f>
        <v>0</v>
      </c>
      <c r="G207" s="345">
        <f>SUMPRODUCT(G203:G206,'Parameters, general'!$B$23:$B$26)</f>
        <v>3.01313E-2</v>
      </c>
      <c r="H207" s="345">
        <f>SUMPRODUCT(H203:H206,'Parameters, general'!$B$23:$B$26)</f>
        <v>7.8671736000000009E-3</v>
      </c>
      <c r="I207" s="345">
        <f>SUMPRODUCT(I203:I206,'Parameters, general'!$B$23:$B$26)</f>
        <v>7.8671736000000012E-4</v>
      </c>
      <c r="J207" s="345">
        <f>SUMPRODUCT(J203:J206,'Parameters, general'!$B$23:$B$26)</f>
        <v>1.0092261936978422E-2</v>
      </c>
      <c r="K207" s="345">
        <f>SUMPRODUCT(K203:K206,'Parameters, general'!$B$23:$B$26)</f>
        <v>0</v>
      </c>
      <c r="L207" s="345">
        <f>SUMPRODUCT(L203:L206,'Parameters, general'!$B$23:$B$26)</f>
        <v>0</v>
      </c>
      <c r="M207" s="345">
        <f>SUMPRODUCT(M203:M206,'Parameters, general'!$B$23:$B$26)</f>
        <v>0</v>
      </c>
      <c r="N207" s="345">
        <f>SUMPRODUCT(N203:N206,'Parameters, general'!$B$23:$B$26)</f>
        <v>0</v>
      </c>
      <c r="O207" s="345">
        <f>SUMPRODUCT(O203:O206,'Parameters, general'!$B$23:$B$26)</f>
        <v>8.6389700000000014E-2</v>
      </c>
      <c r="P207" s="345">
        <f>SUMPRODUCT(P203:P206,'Parameters, general'!$B$23:$B$26)</f>
        <v>0</v>
      </c>
    </row>
    <row r="208" spans="1:19" x14ac:dyDescent="0.3">
      <c r="B208" t="s">
        <v>441</v>
      </c>
      <c r="C208" t="s">
        <v>91</v>
      </c>
      <c r="D208" t="s">
        <v>41</v>
      </c>
      <c r="E208" s="4">
        <f t="shared" ref="E208:E211" si="28">SUM(F208:P208)</f>
        <v>8.7070012427041571E-2</v>
      </c>
      <c r="F208" s="4">
        <f>'Forage, input data per ha'!D63*(Frac_BAT_FR*EF_min_fert_BAT_CO2+Frac_AN_FR*EF_min_fert_AN_CO2)/'Forage, input data per ha'!C63</f>
        <v>0</v>
      </c>
      <c r="G208" s="4">
        <f>EF_capital_goods_CO2</f>
        <v>2.7E-2</v>
      </c>
      <c r="H208" s="4"/>
      <c r="I208" s="4"/>
      <c r="J208" s="4">
        <f>'Forage, input data per ha'!H63*EF_diesel_CO2*Heating_value_diesel/'Forage, input data per ha'!C63</f>
        <v>1.2827922533805672E-2</v>
      </c>
      <c r="K208" s="4"/>
      <c r="L208" s="4">
        <f>'Forage, input data per ha'!I63*'Parameters, general'!$B$17/'Forage, input data per ha'!C63</f>
        <v>5.4208989323589903E-4</v>
      </c>
      <c r="M208" s="4"/>
      <c r="N208" s="276"/>
      <c r="O208" s="4">
        <f>'Parameters, general'!$B$20</f>
        <v>4.6700000000000005E-2</v>
      </c>
      <c r="P208" s="4"/>
    </row>
    <row r="209" spans="1:16" x14ac:dyDescent="0.3">
      <c r="B209" t="s">
        <v>441</v>
      </c>
      <c r="C209" t="s">
        <v>92</v>
      </c>
      <c r="D209" t="s">
        <v>41</v>
      </c>
      <c r="E209" s="4">
        <f t="shared" si="28"/>
        <v>8.104953363092522E-4</v>
      </c>
      <c r="F209" s="4">
        <f>'Forage, input data per ha'!D63*(Frac_BAT_FR*EF_min_fert_BAT_CH4+Frac_AN_FR*EF_min_fert_AN_CH4)/'Forage, input data per ha'!C63</f>
        <v>0</v>
      </c>
      <c r="G209" s="4">
        <f>EF_capital_goods_CH4</f>
        <v>9.5000000000000005E-5</v>
      </c>
      <c r="H209" s="4"/>
      <c r="I209" s="4"/>
      <c r="J209" s="4">
        <f>'Forage, input data per ha'!H63*EF_diesel_CH4*Heating_value_diesel/'Forage, input data per ha'!C63</f>
        <v>5.6823371287129186E-6</v>
      </c>
      <c r="K209" s="4"/>
      <c r="L209" s="4">
        <f>'Forage, input data per ha'!I63*'Parameters, general'!$C$17/'Forage, input data per ha'!C63</f>
        <v>1.8129991805393387E-6</v>
      </c>
      <c r="M209" s="4"/>
      <c r="N209" s="4"/>
      <c r="O209" s="4">
        <f>'Parameters, general'!$C$20</f>
        <v>7.0799999999999997E-4</v>
      </c>
      <c r="P209" s="4"/>
    </row>
    <row r="210" spans="1:16" x14ac:dyDescent="0.3">
      <c r="B210" t="s">
        <v>441</v>
      </c>
      <c r="C210" t="s">
        <v>311</v>
      </c>
      <c r="D210" t="s">
        <v>41</v>
      </c>
      <c r="E210" s="4">
        <f t="shared" si="28"/>
        <v>0</v>
      </c>
      <c r="F210" s="4"/>
      <c r="G210" s="4"/>
      <c r="H210" s="4"/>
      <c r="I210" s="4"/>
      <c r="J210" s="4"/>
      <c r="K210" s="4"/>
      <c r="L210" s="4"/>
      <c r="M210" s="4"/>
      <c r="N210" s="4"/>
      <c r="O210" s="4"/>
      <c r="P210" s="4"/>
    </row>
    <row r="211" spans="1:16" x14ac:dyDescent="0.3">
      <c r="B211" t="s">
        <v>441</v>
      </c>
      <c r="C211" t="s">
        <v>94</v>
      </c>
      <c r="D211" t="s">
        <v>41</v>
      </c>
      <c r="E211" s="4">
        <f t="shared" si="28"/>
        <v>1.0126623794470431E-4</v>
      </c>
      <c r="F211" s="4">
        <f>'Forage, input data per ha'!D63*(Frac_BAT_FR*EF_min_fert_BAT_N2O+Frac_AN_FR*EF_min_fert_AN_N2O)/'Forage, input data per ha'!C63</f>
        <v>0</v>
      </c>
      <c r="G211" s="4">
        <f>EF_capital_goods_N2O</f>
        <v>1.1000000000000001E-6</v>
      </c>
      <c r="H211" s="4">
        <f>('Forage, input data per ha'!D63*'Parameters SH, country spec'!C78+'Forage, input data per ha'!F63*'Parameters SH, country spec'!C79)*44/28/'Forage, input data per ha'!C63</f>
        <v>2.8817485714285722E-5</v>
      </c>
      <c r="I211" s="4">
        <f>H211*0.1</f>
        <v>2.8817485714285724E-6</v>
      </c>
      <c r="J211" s="4">
        <f>'Forage, input data per ha'!H63*EF_diesel_N2O*Heating_value_diesel/'Forage, input data per ha'!C63</f>
        <v>3.4469127988624303E-7</v>
      </c>
      <c r="K211" s="4"/>
      <c r="L211" s="4">
        <f>'Forage, input data per ha'!I63*'Parameters, general'!$D$17/'Forage, input data per ha'!C63</f>
        <v>2.2312379103795467E-8</v>
      </c>
      <c r="M211" s="4"/>
      <c r="N211" s="4"/>
      <c r="O211" s="4">
        <f>'Parameters, general'!$D$20</f>
        <v>6.8099999999999988E-5</v>
      </c>
      <c r="P211" s="4"/>
    </row>
    <row r="212" spans="1:16" x14ac:dyDescent="0.3">
      <c r="A212" s="155"/>
      <c r="B212" s="155" t="s">
        <v>441</v>
      </c>
      <c r="C212" s="155" t="s">
        <v>95</v>
      </c>
      <c r="D212" s="155" t="s">
        <v>41</v>
      </c>
      <c r="E212" s="345">
        <f>SUM(F212:P212)</f>
        <v>0.13886845640796158</v>
      </c>
      <c r="F212" s="345">
        <f>SUMPRODUCT(F208:F211,'Parameters, general'!$B$23:$B$26)</f>
        <v>0</v>
      </c>
      <c r="G212" s="345">
        <f>SUMPRODUCT(G208:G211,'Parameters, general'!$B$23:$B$26)</f>
        <v>3.01313E-2</v>
      </c>
      <c r="H212" s="345">
        <f>SUMPRODUCT(H208:H211,'Parameters, general'!$B$23:$B$26)</f>
        <v>7.8671736000000027E-3</v>
      </c>
      <c r="I212" s="345">
        <f>SUMPRODUCT(I208:I211,'Parameters, general'!$B$23:$B$26)</f>
        <v>7.8671736000000022E-4</v>
      </c>
      <c r="J212" s="345">
        <f>SUMPRODUCT(J208:J211,'Parameters, general'!$B$23:$B$26)</f>
        <v>1.3091356899650261E-2</v>
      </c>
      <c r="K212" s="345">
        <f>SUMPRODUCT(K208:K211,'Parameters, general'!$B$23:$B$26)</f>
        <v>0</v>
      </c>
      <c r="L212" s="345">
        <f>SUMPRODUCT(L208:L211,'Parameters, general'!$B$23:$B$26)</f>
        <v>6.022085483113074E-4</v>
      </c>
      <c r="M212" s="345">
        <f>SUMPRODUCT(M208:M211,'Parameters, general'!$B$23:$B$26)</f>
        <v>0</v>
      </c>
      <c r="N212" s="345">
        <f>SUMPRODUCT(N208:N211,'Parameters, general'!$B$23:$B$26)</f>
        <v>0</v>
      </c>
      <c r="O212" s="345">
        <f>SUMPRODUCT(O208:O211,'Parameters, general'!$B$23:$B$26)</f>
        <v>8.6389700000000014E-2</v>
      </c>
      <c r="P212" s="345">
        <f>SUMPRODUCT(P208:P211,'Parameters, general'!$B$23:$B$26)</f>
        <v>0</v>
      </c>
    </row>
    <row r="213" spans="1:16" x14ac:dyDescent="0.3">
      <c r="B213" t="s">
        <v>441</v>
      </c>
      <c r="C213" t="s">
        <v>91</v>
      </c>
      <c r="D213" t="s">
        <v>43</v>
      </c>
      <c r="E213" s="4">
        <f t="shared" ref="E213:E216" si="29">SUM(F213:P213)</f>
        <v>9.0608006032071461E-2</v>
      </c>
      <c r="F213" s="4">
        <f>'Forage, input data per ha'!D64*(Frac_BAT_DE*EF_min_fert_BAT_CO2+Frac_AN_DE*EF_min_fert_AN_CO2)/'Forage, input data per ha'!C64</f>
        <v>0</v>
      </c>
      <c r="G213" s="4">
        <f>EF_capital_goods_CO2</f>
        <v>2.7E-2</v>
      </c>
      <c r="H213" s="4"/>
      <c r="I213" s="4"/>
      <c r="J213" s="4">
        <f>'Forage, input data per ha'!H64*EF_diesel_CO2*Heating_value_diesel/'Forage, input data per ha'!C64</f>
        <v>1.6898147836025362E-2</v>
      </c>
      <c r="K213" s="4"/>
      <c r="L213" s="4">
        <f>'Forage, input data per ha'!I64*'Parameters, general'!$B$17/'Forage, input data per ha'!C64</f>
        <v>9.8581960460988964E-6</v>
      </c>
      <c r="M213" s="4"/>
      <c r="N213" s="4"/>
      <c r="O213" s="4">
        <f>'Parameters, general'!$B$20</f>
        <v>4.6700000000000005E-2</v>
      </c>
      <c r="P213" s="4"/>
    </row>
    <row r="214" spans="1:16" x14ac:dyDescent="0.3">
      <c r="B214" t="s">
        <v>441</v>
      </c>
      <c r="C214" t="s">
        <v>92</v>
      </c>
      <c r="D214" t="s">
        <v>43</v>
      </c>
      <c r="E214" s="4">
        <f t="shared" si="29"/>
        <v>8.1051828005526563E-4</v>
      </c>
      <c r="F214" s="4">
        <f>'Forage, input data per ha'!D64*(Frac_BAT_DE*EF_min_fert_BAT_CH4+Frac_AN_DE*EF_min_fert_AN_CH4)/'Forage, input data per ha'!C64</f>
        <v>0</v>
      </c>
      <c r="G214" s="4">
        <f>EF_capital_goods_CH4</f>
        <v>9.5000000000000005E-5</v>
      </c>
      <c r="H214" s="4"/>
      <c r="I214" s="4"/>
      <c r="J214" s="4">
        <f>'Forage, input data per ha'!H64*EF_diesel_CH4*Heating_value_diesel/'Forage, input data per ha'!C64</f>
        <v>7.4853096907999611E-6</v>
      </c>
      <c r="K214" s="4"/>
      <c r="L214" s="4">
        <f>'Forage, input data per ha'!I64*'Parameters, general'!$C$17/'Forage, input data per ha'!C64</f>
        <v>3.2970364465724827E-8</v>
      </c>
      <c r="M214" s="4"/>
      <c r="N214" s="4"/>
      <c r="O214" s="4">
        <f>'Parameters, general'!$C$20</f>
        <v>7.0799999999999997E-4</v>
      </c>
      <c r="P214" s="4"/>
    </row>
    <row r="215" spans="1:16" x14ac:dyDescent="0.3">
      <c r="B215" t="s">
        <v>441</v>
      </c>
      <c r="C215" t="s">
        <v>311</v>
      </c>
      <c r="D215" t="s">
        <v>43</v>
      </c>
      <c r="E215" s="4">
        <f t="shared" si="29"/>
        <v>0</v>
      </c>
      <c r="F215" s="4"/>
      <c r="G215" s="4"/>
      <c r="H215" s="4"/>
      <c r="I215" s="4"/>
      <c r="J215" s="4"/>
      <c r="K215" s="4"/>
      <c r="L215" s="4"/>
      <c r="M215" s="4"/>
      <c r="N215" s="4"/>
      <c r="O215" s="4"/>
      <c r="P215" s="4"/>
    </row>
    <row r="216" spans="1:16" x14ac:dyDescent="0.3">
      <c r="B216" t="s">
        <v>441</v>
      </c>
      <c r="C216" t="s">
        <v>94</v>
      </c>
      <c r="D216" t="s">
        <v>43</v>
      </c>
      <c r="E216" s="4">
        <f t="shared" si="29"/>
        <v>1.0135369986899268E-4</v>
      </c>
      <c r="F216" s="4">
        <f>'Forage, input data per ha'!D64*(Frac_BAT_DE*EF_min_fert_BAT_N2O+Frac_AN_DE*EF_min_fert_AN_N2O)/'Forage, input data per ha'!C64</f>
        <v>0</v>
      </c>
      <c r="G216" s="4">
        <f>EF_capital_goods_N2O</f>
        <v>1.1000000000000001E-6</v>
      </c>
      <c r="H216" s="4">
        <f>('Forage, input data per ha'!D64*'Parameters SH, country spec'!D78+'Forage, input data per ha'!F64*'Parameters SH, country spec'!D79)*44/28/'Forage, input data per ha'!C64</f>
        <v>2.8817485714285716E-5</v>
      </c>
      <c r="I216" s="4">
        <f>H216*0.1</f>
        <v>2.8817485714285716E-6</v>
      </c>
      <c r="J216" s="4">
        <f>'Forage, input data per ha'!H64*EF_diesel_N2O*Heating_value_diesel/'Forage, input data per ha'!C64</f>
        <v>4.5405982067296817E-7</v>
      </c>
      <c r="K216" s="4"/>
      <c r="L216" s="4">
        <f>'Forage, input data per ha'!I64*'Parameters, general'!$D$17/'Forage, input data per ha'!C64</f>
        <v>4.0576260543632214E-10</v>
      </c>
      <c r="M216" s="4"/>
      <c r="N216" s="4"/>
      <c r="O216" s="4">
        <f>'Parameters, general'!$D$20</f>
        <v>6.8099999999999988E-5</v>
      </c>
      <c r="P216" s="4"/>
    </row>
    <row r="217" spans="1:16" x14ac:dyDescent="0.3">
      <c r="A217" s="155"/>
      <c r="B217" s="155" t="s">
        <v>441</v>
      </c>
      <c r="C217" s="155" t="s">
        <v>95</v>
      </c>
      <c r="D217" s="155" t="s">
        <v>43</v>
      </c>
      <c r="E217" s="345">
        <f>SUM(F217:P217)</f>
        <v>0.14243101084195339</v>
      </c>
      <c r="F217" s="345">
        <f>SUMPRODUCT(F213:F216,'Parameters, general'!$B$23:$B$26)</f>
        <v>0</v>
      </c>
      <c r="G217" s="345">
        <f>SUMPRODUCT(G213:G216,'Parameters, general'!$B$23:$B$26)</f>
        <v>3.01313E-2</v>
      </c>
      <c r="H217" s="345">
        <f>SUMPRODUCT(H213:H216,'Parameters, general'!$B$23:$B$26)</f>
        <v>7.8671736000000009E-3</v>
      </c>
      <c r="I217" s="345">
        <f>SUMPRODUCT(I213:I216,'Parameters, general'!$B$23:$B$26)</f>
        <v>7.8671736000000001E-4</v>
      </c>
      <c r="J217" s="345">
        <f>SUMPRODUCT(J213:J216,'Parameters, general'!$B$23:$B$26)</f>
        <v>1.7245168395854923E-2</v>
      </c>
      <c r="K217" s="345">
        <f>SUMPRODUCT(K213:K216,'Parameters, general'!$B$23:$B$26)</f>
        <v>0</v>
      </c>
      <c r="L217" s="345">
        <f>SUMPRODUCT(L213:L216,'Parameters, general'!$B$23:$B$26)</f>
        <v>1.0951486098461612E-5</v>
      </c>
      <c r="M217" s="345">
        <f>SUMPRODUCT(M213:M216,'Parameters, general'!$B$23:$B$26)</f>
        <v>0</v>
      </c>
      <c r="N217" s="345">
        <f>SUMPRODUCT(N213:N216,'Parameters, general'!$B$23:$B$26)</f>
        <v>0</v>
      </c>
      <c r="O217" s="345">
        <f>SUMPRODUCT(O213:O216,'Parameters, general'!$B$23:$B$26)</f>
        <v>8.6389700000000014E-2</v>
      </c>
      <c r="P217" s="345">
        <f>SUMPRODUCT(P213:P216,'Parameters, general'!$B$23:$B$26)</f>
        <v>0</v>
      </c>
    </row>
    <row r="218" spans="1:16" x14ac:dyDescent="0.3">
      <c r="B218" t="s">
        <v>441</v>
      </c>
      <c r="C218" t="s">
        <v>91</v>
      </c>
      <c r="D218" t="s">
        <v>45</v>
      </c>
      <c r="E218" s="4">
        <f t="shared" ref="E218:E221" si="30">SUM(F218:P218)</f>
        <v>0.10318964667009284</v>
      </c>
      <c r="F218" s="4">
        <f>'Forage, input data per ha'!D65*(Frac_BAT_GR*EF_min_fert_BAT_CO2+Frac_AN_GR*EF_min_fert_AN_CO2)/'Forage, input data per ha'!C65</f>
        <v>0</v>
      </c>
      <c r="G218" s="4">
        <f>EF_capital_goods_CO2</f>
        <v>2.7E-2</v>
      </c>
      <c r="H218" s="4"/>
      <c r="I218" s="4"/>
      <c r="J218" s="4">
        <f>'Forage, input data per ha'!H65*EF_diesel_CO2*Heating_value_diesel/'Forage, input data per ha'!C65</f>
        <v>2.6363374206669506E-2</v>
      </c>
      <c r="K218" s="4"/>
      <c r="L218" s="4">
        <f>'Forage, input data per ha'!I65*'Parameters, general'!$B$17/'Forage, input data per ha'!C65</f>
        <v>3.1262724634233351E-3</v>
      </c>
      <c r="M218" s="4"/>
      <c r="N218" s="276"/>
      <c r="O218" s="4">
        <f>'Parameters, general'!$B$20</f>
        <v>4.6700000000000005E-2</v>
      </c>
      <c r="P218" s="4"/>
    </row>
    <row r="219" spans="1:16" x14ac:dyDescent="0.3">
      <c r="B219" t="s">
        <v>441</v>
      </c>
      <c r="C219" t="s">
        <v>92</v>
      </c>
      <c r="D219" t="s">
        <v>45</v>
      </c>
      <c r="E219" s="4">
        <f t="shared" si="30"/>
        <v>8.2513378602533469E-4</v>
      </c>
      <c r="F219" s="4">
        <f>'Forage, input data per ha'!D65*(Frac_BAT_GR*EF_min_fert_BAT_CH4+Frac_AN_GR*EF_min_fert_AN_CH4)/'Forage, input data per ha'!C65</f>
        <v>0</v>
      </c>
      <c r="G219" s="4">
        <f>EF_capital_goods_CH4</f>
        <v>9.5000000000000005E-5</v>
      </c>
      <c r="H219" s="4"/>
      <c r="I219" s="4"/>
      <c r="J219" s="4">
        <f>'Forage, input data per ha'!H65*EF_diesel_CH4*Heating_value_diesel/'Forage, input data per ha'!C65</f>
        <v>1.167808580835479E-5</v>
      </c>
      <c r="K219" s="4"/>
      <c r="L219" s="4">
        <f>'Forage, input data per ha'!I65*'Parameters, general'!$C$17/'Forage, input data per ha'!C65</f>
        <v>1.0455700216979913E-5</v>
      </c>
      <c r="M219" s="4"/>
      <c r="N219" s="4"/>
      <c r="O219" s="4">
        <f>'Parameters, general'!$C$20</f>
        <v>7.0799999999999997E-4</v>
      </c>
      <c r="P219" s="4"/>
    </row>
    <row r="220" spans="1:16" x14ac:dyDescent="0.3">
      <c r="B220" t="s">
        <v>441</v>
      </c>
      <c r="C220" t="s">
        <v>311</v>
      </c>
      <c r="D220" t="s">
        <v>45</v>
      </c>
      <c r="E220" s="4">
        <f t="shared" si="30"/>
        <v>0</v>
      </c>
      <c r="F220" s="4"/>
      <c r="G220" s="4"/>
      <c r="H220" s="4"/>
      <c r="I220" s="4"/>
      <c r="J220" s="4"/>
      <c r="K220" s="4"/>
      <c r="L220" s="4"/>
      <c r="M220" s="4"/>
      <c r="N220" s="4"/>
      <c r="O220" s="4"/>
      <c r="P220" s="4"/>
    </row>
    <row r="221" spans="1:16" x14ac:dyDescent="0.3">
      <c r="B221" t="s">
        <v>441</v>
      </c>
      <c r="C221" t="s">
        <v>94</v>
      </c>
      <c r="D221" t="s">
        <v>45</v>
      </c>
      <c r="E221" s="4">
        <f t="shared" si="30"/>
        <v>1.0173630556801846E-4</v>
      </c>
      <c r="F221" s="4">
        <f>'Forage, input data per ha'!D65*(Frac_BAT_GR*EF_min_fert_BAT_N2O+Frac_AN_GR*EF_min_fert_AN_N2O)/'Forage, input data per ha'!C65</f>
        <v>0</v>
      </c>
      <c r="G221" s="4">
        <f>EF_capital_goods_N2O</f>
        <v>1.1000000000000001E-6</v>
      </c>
      <c r="H221" s="4">
        <f>('Forage, input data per ha'!D65*'Parameters SH, country spec'!E78+'Forage, input data per ha'!F65*'Parameters SH, country spec'!E79)*44/28/'Forage, input data per ha'!C65</f>
        <v>2.8817485714285719E-5</v>
      </c>
      <c r="I221" s="4">
        <f>H221*0.1</f>
        <v>2.881748571428572E-6</v>
      </c>
      <c r="J221" s="4">
        <f>'Forage, input data per ha'!H65*EF_diesel_N2O*Heating_value_diesel/'Forage, input data per ha'!C65</f>
        <v>7.0839414359333239E-7</v>
      </c>
      <c r="K221" s="4"/>
      <c r="L221" s="4">
        <f>'Forage, input data per ha'!I65*'Parameters, general'!$D$17/'Forage, input data per ha'!C65</f>
        <v>1.2867713871083588E-7</v>
      </c>
      <c r="M221" s="4"/>
      <c r="N221" s="4"/>
      <c r="O221" s="4">
        <f>'Parameters, general'!$D$20</f>
        <v>6.8099999999999988E-5</v>
      </c>
      <c r="P221" s="4"/>
    </row>
    <row r="222" spans="1:16" x14ac:dyDescent="0.3">
      <c r="A222" s="155"/>
      <c r="B222" s="155" t="s">
        <v>441</v>
      </c>
      <c r="C222" s="155" t="s">
        <v>95</v>
      </c>
      <c r="D222" s="155" t="s">
        <v>45</v>
      </c>
      <c r="E222" s="345">
        <f>SUM(F222:P222)</f>
        <v>0.15555264491371687</v>
      </c>
      <c r="F222" s="345">
        <f>SUMPRODUCT(F218:F221,'Parameters, general'!$B$23:$B$26)</f>
        <v>0</v>
      </c>
      <c r="G222" s="345">
        <f>SUMPRODUCT(G218:G221,'Parameters, general'!$B$23:$B$26)</f>
        <v>3.01313E-2</v>
      </c>
      <c r="H222" s="345">
        <f>SUMPRODUCT(H218:H221,'Parameters, general'!$B$23:$B$26)</f>
        <v>7.8671736000000009E-3</v>
      </c>
      <c r="I222" s="345">
        <f>SUMPRODUCT(I218:I221,'Parameters, general'!$B$23:$B$26)</f>
        <v>7.8671736000000012E-4</v>
      </c>
      <c r="J222" s="345">
        <f>SUMPRODUCT(J218:J221,'Parameters, general'!$B$23:$B$26)</f>
        <v>2.6904772764959457E-2</v>
      </c>
      <c r="K222" s="345">
        <f>SUMPRODUCT(K218:K221,'Parameters, general'!$B$23:$B$26)</f>
        <v>0</v>
      </c>
      <c r="L222" s="345">
        <f>SUMPRODUCT(L218:L221,'Parameters, general'!$B$23:$B$26)</f>
        <v>3.4729811887573947E-3</v>
      </c>
      <c r="M222" s="345">
        <f>SUMPRODUCT(M218:M221,'Parameters, general'!$B$23:$B$26)</f>
        <v>0</v>
      </c>
      <c r="N222" s="345">
        <f>SUMPRODUCT(N218:N221,'Parameters, general'!$B$23:$B$26)</f>
        <v>0</v>
      </c>
      <c r="O222" s="345">
        <f>SUMPRODUCT(O218:O221,'Parameters, general'!$B$23:$B$26)</f>
        <v>8.6389700000000014E-2</v>
      </c>
      <c r="P222" s="345">
        <f>SUMPRODUCT(P218:P221,'Parameters, general'!$B$23:$B$26)</f>
        <v>0</v>
      </c>
    </row>
    <row r="223" spans="1:16" x14ac:dyDescent="0.3">
      <c r="B223" t="s">
        <v>441</v>
      </c>
      <c r="C223" t="s">
        <v>91</v>
      </c>
      <c r="D223" t="s">
        <v>96</v>
      </c>
      <c r="E223" s="4">
        <f t="shared" ref="E223:E226" si="31">SUM(F223:P223)</f>
        <v>0.10132594614635053</v>
      </c>
      <c r="F223" s="4">
        <f>'Forage, input data per ha'!D66*(Frac_BAT_HU*EF_min_fert_BAT_CO2+Frac_AN_HU*EF_min_fert_AN_CO2)/'Forage, input data per ha'!C66</f>
        <v>0</v>
      </c>
      <c r="G223" s="4">
        <f>EF_capital_goods_CO2</f>
        <v>2.7E-2</v>
      </c>
      <c r="H223" s="4"/>
      <c r="I223" s="4"/>
      <c r="J223" s="4">
        <f>'Forage, input data per ha'!H66*EF_diesel_CO2*Heating_value_diesel/'Forage, input data per ha'!C66</f>
        <v>2.7617372419232313E-2</v>
      </c>
      <c r="K223" s="4"/>
      <c r="L223" s="4">
        <f>'Forage, input data per ha'!I66*'Parameters, general'!$B$17/'Forage, input data per ha'!C66</f>
        <v>8.5737271182102438E-6</v>
      </c>
      <c r="M223" s="4"/>
      <c r="N223" s="4"/>
      <c r="O223" s="4">
        <f>'Parameters, general'!$B$20</f>
        <v>4.6700000000000005E-2</v>
      </c>
      <c r="P223" s="4"/>
    </row>
    <row r="224" spans="1:16" x14ac:dyDescent="0.3">
      <c r="B224" t="s">
        <v>441</v>
      </c>
      <c r="C224" t="s">
        <v>92</v>
      </c>
      <c r="D224" t="s">
        <v>96</v>
      </c>
      <c r="E224" s="4">
        <f t="shared" si="31"/>
        <v>8.1526223923870369E-4</v>
      </c>
      <c r="F224" s="4">
        <f>'Forage, input data per ha'!D66*(Frac_BAT_HU*EF_min_fert_BAT_CH4+Frac_AN_HU*EF_min_fert_AN_CH4)/'Forage, input data per ha'!C66</f>
        <v>0</v>
      </c>
      <c r="G224" s="4">
        <f>EF_capital_goods_CH4</f>
        <v>9.5000000000000005E-5</v>
      </c>
      <c r="H224" s="4"/>
      <c r="I224" s="4"/>
      <c r="J224" s="4">
        <f>'Forage, input data per ha'!H66*EF_diesel_CH4*Heating_value_diesel/'Forage, input data per ha'!C66</f>
        <v>1.2233564732070374E-5</v>
      </c>
      <c r="K224" s="4"/>
      <c r="L224" s="4">
        <f>'Forage, input data per ha'!I66*'Parameters, general'!$C$17/'Forage, input data per ha'!C66</f>
        <v>2.8674506633383754E-8</v>
      </c>
      <c r="M224" s="4"/>
      <c r="N224" s="4"/>
      <c r="O224" s="4">
        <f>'Parameters, general'!$C$20</f>
        <v>7.0799999999999997E-4</v>
      </c>
      <c r="P224" s="4"/>
    </row>
    <row r="225" spans="1:16" x14ac:dyDescent="0.3">
      <c r="B225" t="s">
        <v>441</v>
      </c>
      <c r="C225" t="s">
        <v>311</v>
      </c>
      <c r="D225" t="s">
        <v>96</v>
      </c>
      <c r="E225" s="4">
        <f t="shared" si="31"/>
        <v>0</v>
      </c>
      <c r="F225" s="4"/>
      <c r="G225" s="4"/>
      <c r="H225" s="4"/>
      <c r="I225" s="4"/>
      <c r="J225" s="4"/>
      <c r="K225" s="4"/>
      <c r="L225" s="4"/>
      <c r="M225" s="4"/>
      <c r="N225" s="4"/>
      <c r="O225" s="4"/>
      <c r="P225" s="4"/>
    </row>
    <row r="226" spans="1:16" x14ac:dyDescent="0.3">
      <c r="B226" t="s">
        <v>441</v>
      </c>
      <c r="C226" t="s">
        <v>94</v>
      </c>
      <c r="D226" t="s">
        <v>96</v>
      </c>
      <c r="E226" s="4">
        <f t="shared" si="31"/>
        <v>1.0164167674415439E-4</v>
      </c>
      <c r="F226" s="4">
        <f>'Forage, input data per ha'!D66*(Frac_BAT_HU*EF_min_fert_BAT_N2O+Frac_AN_HU*EF_min_fert_AN_N2O)/'Forage, input data per ha'!C66</f>
        <v>0</v>
      </c>
      <c r="G226" s="4">
        <f>EF_capital_goods_N2O</f>
        <v>1.1000000000000001E-6</v>
      </c>
      <c r="H226" s="4">
        <f>('Forage, input data per ha'!D66*'Parameters SH, country spec'!F78+'Forage, input data per ha'!F66*'Parameters SH, country spec'!F79)*44/28/'Forage, input data per ha'!C66</f>
        <v>2.8817485714285716E-5</v>
      </c>
      <c r="I226" s="4">
        <f>H226*0.1</f>
        <v>2.8817485714285716E-6</v>
      </c>
      <c r="J226" s="4">
        <f>'Forage, input data per ha'!H66*EF_diesel_N2O*Heating_value_diesel/'Forage, input data per ha'!C66</f>
        <v>7.4208956447884509E-7</v>
      </c>
      <c r="K226" s="4"/>
      <c r="L226" s="4">
        <f>'Forage, input data per ha'!I66*'Parameters, general'!$D$17/'Forage, input data per ha'!C66</f>
        <v>3.5289396128023997E-10</v>
      </c>
      <c r="M226" s="4"/>
      <c r="N226" s="4"/>
      <c r="O226" s="4">
        <f>'Parameters, general'!$D$20</f>
        <v>6.8099999999999988E-5</v>
      </c>
      <c r="P226" s="4"/>
    </row>
    <row r="227" spans="1:16" x14ac:dyDescent="0.3">
      <c r="A227" s="155"/>
      <c r="B227" s="155" t="s">
        <v>441</v>
      </c>
      <c r="C227" s="155" t="s">
        <v>95</v>
      </c>
      <c r="D227" s="155" t="s">
        <v>96</v>
      </c>
      <c r="E227" s="345">
        <f>SUM(F227:P227)</f>
        <v>0.15336893862681805</v>
      </c>
      <c r="F227" s="345">
        <f>SUMPRODUCT(F223:F226,'Parameters, general'!$B$23:$B$26)</f>
        <v>0</v>
      </c>
      <c r="G227" s="345">
        <f>SUMPRODUCT(G223:G226,'Parameters, general'!$B$23:$B$26)</f>
        <v>3.01313E-2</v>
      </c>
      <c r="H227" s="345">
        <f>SUMPRODUCT(H223:H226,'Parameters, general'!$B$23:$B$26)</f>
        <v>7.8671736000000009E-3</v>
      </c>
      <c r="I227" s="345">
        <f>SUMPRODUCT(I223:I226,'Parameters, general'!$B$23:$B$26)</f>
        <v>7.8671736000000001E-4</v>
      </c>
      <c r="J227" s="345">
        <f>SUMPRODUCT(J223:J226,'Parameters, general'!$B$23:$B$26)</f>
        <v>2.8184523099350735E-2</v>
      </c>
      <c r="K227" s="345">
        <f>SUMPRODUCT(K223:K226,'Parameters, general'!$B$23:$B$26)</f>
        <v>0</v>
      </c>
      <c r="L227" s="345">
        <f>SUMPRODUCT(L223:L226,'Parameters, general'!$B$23:$B$26)</f>
        <v>9.5245674673145839E-6</v>
      </c>
      <c r="M227" s="345">
        <f>SUMPRODUCT(M223:M226,'Parameters, general'!$B$23:$B$26)</f>
        <v>0</v>
      </c>
      <c r="N227" s="345">
        <f>SUMPRODUCT(N223:N226,'Parameters, general'!$B$23:$B$26)</f>
        <v>0</v>
      </c>
      <c r="O227" s="345">
        <f>SUMPRODUCT(O223:O226,'Parameters, general'!$B$23:$B$26)</f>
        <v>8.6389700000000014E-2</v>
      </c>
      <c r="P227" s="345">
        <f>SUMPRODUCT(P223:P226,'Parameters, general'!$B$23:$B$26)</f>
        <v>0</v>
      </c>
    </row>
    <row r="228" spans="1:16" x14ac:dyDescent="0.3">
      <c r="B228" t="s">
        <v>441</v>
      </c>
      <c r="C228" t="s">
        <v>91</v>
      </c>
      <c r="D228" t="s">
        <v>49</v>
      </c>
      <c r="E228" s="4">
        <f t="shared" ref="E228:E231" si="32">SUM(F228:P228)</f>
        <v>8.8642518733221057E-2</v>
      </c>
      <c r="F228" s="4">
        <f>'Forage, input data per ha'!D67*(Frac_BAT_IE*EF_min_fert_BAT_CO2+Frac_AN_IE*EF_min_fert_AN_CO2)/'Forage, input data per ha'!C67</f>
        <v>0</v>
      </c>
      <c r="G228" s="4">
        <f>EF_capital_goods_CO2</f>
        <v>2.7E-2</v>
      </c>
      <c r="H228" s="4"/>
      <c r="I228" s="4"/>
      <c r="J228" s="4">
        <f>'Forage, input data per ha'!H67*EF_diesel_CO2*Heating_value_diesel/'Forage, input data per ha'!C67</f>
        <v>1.4942518733221052E-2</v>
      </c>
      <c r="K228" s="4"/>
      <c r="L228" s="4">
        <f>'Forage, input data per ha'!I67*'Parameters, general'!$B$17/'Forage, input data per ha'!C67</f>
        <v>0</v>
      </c>
      <c r="M228" s="4"/>
      <c r="N228" s="276"/>
      <c r="O228" s="4">
        <f>'Parameters, general'!$B$20</f>
        <v>4.6700000000000005E-2</v>
      </c>
      <c r="P228" s="4"/>
    </row>
    <row r="229" spans="1:16" x14ac:dyDescent="0.3">
      <c r="B229" t="s">
        <v>441</v>
      </c>
      <c r="C229" t="s">
        <v>92</v>
      </c>
      <c r="D229" t="s">
        <v>49</v>
      </c>
      <c r="E229" s="4">
        <f t="shared" si="32"/>
        <v>8.0961903194149397E-4</v>
      </c>
      <c r="F229" s="4">
        <f>'Forage, input data per ha'!D67*(Frac_BAT_IE*EF_min_fert_BAT_CH4+Frac_AN_IE*EF_min_fert_AN_CH4)/'Forage, input data per ha'!C67</f>
        <v>0</v>
      </c>
      <c r="G229" s="4">
        <f>EF_capital_goods_CH4</f>
        <v>9.5000000000000005E-5</v>
      </c>
      <c r="H229" s="4"/>
      <c r="I229" s="4"/>
      <c r="J229" s="4">
        <f>'Forage, input data per ha'!H67*EF_diesel_CH4*Heating_value_diesel/'Forage, input data per ha'!C67</f>
        <v>6.6190319414939941E-6</v>
      </c>
      <c r="K229" s="4"/>
      <c r="L229" s="4">
        <f>'Forage, input data per ha'!I67*'Parameters, general'!$C$17/'Forage, input data per ha'!C67</f>
        <v>0</v>
      </c>
      <c r="M229" s="4"/>
      <c r="N229" s="4"/>
      <c r="O229" s="4">
        <f>'Parameters, general'!$C$20</f>
        <v>7.0799999999999997E-4</v>
      </c>
      <c r="P229" s="4"/>
    </row>
    <row r="230" spans="1:16" x14ac:dyDescent="0.3">
      <c r="B230" t="s">
        <v>441</v>
      </c>
      <c r="C230" t="s">
        <v>311</v>
      </c>
      <c r="D230" t="s">
        <v>49</v>
      </c>
      <c r="E230" s="4">
        <f t="shared" si="32"/>
        <v>0</v>
      </c>
      <c r="F230" s="4"/>
      <c r="G230" s="4"/>
      <c r="H230" s="4"/>
      <c r="I230" s="4"/>
      <c r="J230" s="4"/>
      <c r="K230" s="4"/>
      <c r="L230" s="4"/>
      <c r="M230" s="4"/>
      <c r="N230" s="4"/>
      <c r="O230" s="4"/>
      <c r="P230" s="4"/>
    </row>
    <row r="231" spans="1:16" x14ac:dyDescent="0.3">
      <c r="B231" t="s">
        <v>441</v>
      </c>
      <c r="C231" t="s">
        <v>94</v>
      </c>
      <c r="D231" t="s">
        <v>49</v>
      </c>
      <c r="E231" s="4">
        <f t="shared" si="32"/>
        <v>1.0130074558992622E-4</v>
      </c>
      <c r="F231" s="4">
        <f>'Forage, input data per ha'!D67*(Frac_BAT_IE*EF_min_fert_BAT_N2O+Frac_AN_IE*EF_min_fert_AN_N2O)/'Forage, input data per ha'!C67</f>
        <v>0</v>
      </c>
      <c r="G231" s="4">
        <f>EF_capital_goods_N2O</f>
        <v>1.1000000000000001E-6</v>
      </c>
      <c r="H231" s="4">
        <f>('Forage, input data per ha'!D67*'Parameters SH, country spec'!G78+'Forage, input data per ha'!F67*'Parameters SH, country spec'!G79)*44/28/'Forage, input data per ha'!C67</f>
        <v>2.8817485714285716E-5</v>
      </c>
      <c r="I231" s="4">
        <f>H231*0.1</f>
        <v>2.8817485714285716E-6</v>
      </c>
      <c r="J231" s="4">
        <f>'Forage, input data per ha'!H67*EF_diesel_N2O*Heating_value_diesel/'Forage, input data per ha'!C67</f>
        <v>4.0151130421194609E-7</v>
      </c>
      <c r="K231" s="4"/>
      <c r="L231" s="4">
        <f>'Forage, input data per ha'!I67*'Parameters, general'!$D$17/'Forage, input data per ha'!C67</f>
        <v>0</v>
      </c>
      <c r="M231" s="4"/>
      <c r="N231" s="4"/>
      <c r="O231" s="4">
        <f>'Parameters, general'!$D$20</f>
        <v>6.8099999999999988E-5</v>
      </c>
      <c r="P231" s="4"/>
    </row>
    <row r="232" spans="1:16" x14ac:dyDescent="0.3">
      <c r="A232" s="155"/>
      <c r="B232" s="155" t="s">
        <v>441</v>
      </c>
      <c r="C232" s="155" t="s">
        <v>95</v>
      </c>
      <c r="D232" s="155" t="s">
        <v>49</v>
      </c>
      <c r="E232" s="345">
        <f>SUM(F232:P232)</f>
        <v>0.14042426943112746</v>
      </c>
      <c r="F232" s="345">
        <f>SUMPRODUCT(F228:F231,'Parameters, general'!$B$23:$B$26)</f>
        <v>0</v>
      </c>
      <c r="G232" s="345">
        <f>SUMPRODUCT(G228:G231,'Parameters, general'!$B$23:$B$26)</f>
        <v>3.01313E-2</v>
      </c>
      <c r="H232" s="345">
        <f>SUMPRODUCT(H228:H231,'Parameters, general'!$B$23:$B$26)</f>
        <v>7.8671736000000009E-3</v>
      </c>
      <c r="I232" s="345">
        <f>SUMPRODUCT(I228:I231,'Parameters, general'!$B$23:$B$26)</f>
        <v>7.8671736000000001E-4</v>
      </c>
      <c r="J232" s="345">
        <f>SUMPRODUCT(J228:J231,'Parameters, general'!$B$23:$B$26)</f>
        <v>1.5249378471127435E-2</v>
      </c>
      <c r="K232" s="345">
        <f>SUMPRODUCT(K228:K231,'Parameters, general'!$B$23:$B$26)</f>
        <v>0</v>
      </c>
      <c r="L232" s="345">
        <f>SUMPRODUCT(L228:L231,'Parameters, general'!$B$23:$B$26)</f>
        <v>0</v>
      </c>
      <c r="M232" s="345">
        <f>SUMPRODUCT(M228:M231,'Parameters, general'!$B$23:$B$26)</f>
        <v>0</v>
      </c>
      <c r="N232" s="345">
        <f>SUMPRODUCT(N228:N231,'Parameters, general'!$B$23:$B$26)</f>
        <v>0</v>
      </c>
      <c r="O232" s="345">
        <f>SUMPRODUCT(O228:O231,'Parameters, general'!$B$23:$B$26)</f>
        <v>8.6389700000000014E-2</v>
      </c>
      <c r="P232" s="345">
        <f>SUMPRODUCT(P228:P231,'Parameters, general'!$B$23:$B$26)</f>
        <v>0</v>
      </c>
    </row>
    <row r="233" spans="1:16" x14ac:dyDescent="0.3">
      <c r="B233" t="s">
        <v>441</v>
      </c>
      <c r="C233" t="s">
        <v>91</v>
      </c>
      <c r="D233" t="s">
        <v>51</v>
      </c>
      <c r="E233" s="4">
        <f t="shared" ref="E233:E236" si="33">SUM(F233:P233)</f>
        <v>8.9930925235844839E-2</v>
      </c>
      <c r="F233" s="4">
        <f>'Forage, input data per ha'!D68*(Frac_BAT_IT*EF_min_fert_BAT_CO2+Frac_AN_IT*EF_min_fert_AN_CO2)/'Forage, input data per ha'!C68</f>
        <v>0</v>
      </c>
      <c r="G233" s="4">
        <f>EF_capital_goods_CO2</f>
        <v>2.7E-2</v>
      </c>
      <c r="H233" s="4"/>
      <c r="I233" s="4"/>
      <c r="J233" s="4">
        <f>'Forage, input data per ha'!H68*EF_diesel_CO2*Heating_value_diesel/'Forage, input data per ha'!C68</f>
        <v>1.5814544596593462E-2</v>
      </c>
      <c r="K233" s="4"/>
      <c r="L233" s="4">
        <f>'Forage, input data per ha'!I68*'Parameters, general'!$B$17/'Forage, input data per ha'!C68</f>
        <v>4.1638063925135909E-4</v>
      </c>
      <c r="M233" s="4"/>
      <c r="N233" s="4"/>
      <c r="O233" s="4">
        <f>'Parameters, general'!$B$20</f>
        <v>4.6700000000000005E-2</v>
      </c>
      <c r="P233" s="4"/>
    </row>
    <row r="234" spans="1:16" x14ac:dyDescent="0.3">
      <c r="B234" t="s">
        <v>441</v>
      </c>
      <c r="C234" t="s">
        <v>92</v>
      </c>
      <c r="D234" t="s">
        <v>51</v>
      </c>
      <c r="E234" s="4">
        <f t="shared" si="33"/>
        <v>8.1139787932143592E-4</v>
      </c>
      <c r="F234" s="4">
        <f>'Forage, input data per ha'!D68*(Frac_BAT_IT*EF_min_fert_BAT_CH4+Frac_AN_IT*EF_min_fert_AN_CH4)/'Forage, input data per ha'!C68</f>
        <v>0</v>
      </c>
      <c r="G234" s="4">
        <f>EF_capital_goods_CH4</f>
        <v>9.5000000000000005E-5</v>
      </c>
      <c r="H234" s="4"/>
      <c r="I234" s="4"/>
      <c r="J234" s="4">
        <f>'Forage, input data per ha'!H68*EF_diesel_CH4*Heating_value_diesel/'Forage, input data per ha'!C68</f>
        <v>7.0053099945131471E-6</v>
      </c>
      <c r="K234" s="4"/>
      <c r="L234" s="4">
        <f>'Forage, input data per ha'!I68*'Parameters, general'!$C$17/'Forage, input data per ha'!C68</f>
        <v>1.3925693269227845E-6</v>
      </c>
      <c r="M234" s="4"/>
      <c r="N234" s="4"/>
      <c r="O234" s="4">
        <f>'Parameters, general'!$C$20</f>
        <v>7.0799999999999997E-4</v>
      </c>
      <c r="P234" s="4"/>
    </row>
    <row r="235" spans="1:16" x14ac:dyDescent="0.3">
      <c r="B235" t="s">
        <v>441</v>
      </c>
      <c r="C235" t="s">
        <v>311</v>
      </c>
      <c r="D235" t="s">
        <v>51</v>
      </c>
      <c r="E235" s="4">
        <f t="shared" si="33"/>
        <v>0</v>
      </c>
      <c r="F235" s="4"/>
      <c r="G235" s="4"/>
      <c r="H235" s="4"/>
      <c r="I235" s="4"/>
      <c r="J235" s="4"/>
      <c r="K235" s="4"/>
      <c r="L235" s="4"/>
      <c r="M235" s="4"/>
      <c r="N235" s="4"/>
      <c r="O235" s="4"/>
      <c r="P235" s="4"/>
    </row>
    <row r="236" spans="1:16" x14ac:dyDescent="0.3">
      <c r="B236" t="s">
        <v>441</v>
      </c>
      <c r="C236" t="s">
        <v>94</v>
      </c>
      <c r="D236" t="s">
        <v>51</v>
      </c>
      <c r="E236" s="4">
        <f t="shared" si="33"/>
        <v>1.0134131546055887E-4</v>
      </c>
      <c r="F236" s="4">
        <f>'Forage, input data per ha'!D68*(Frac_BAT_IT*EF_min_fert_BAT_N2O+Frac_AN_IT*EF_min_fert_AN_N2O)/'Forage, input data per ha'!C68</f>
        <v>0</v>
      </c>
      <c r="G236" s="4">
        <f>EF_capital_goods_N2O</f>
        <v>1.1000000000000001E-6</v>
      </c>
      <c r="H236" s="4">
        <f>('Forage, input data per ha'!D68*'Parameters SH, country spec'!H78+'Forage, input data per ha'!F68*'Parameters SH, country spec'!H79)*44/28/'Forage, input data per ha'!C68</f>
        <v>2.8817485714285719E-5</v>
      </c>
      <c r="I236" s="4">
        <f>H236*0.1</f>
        <v>2.881748571428572E-6</v>
      </c>
      <c r="J236" s="4">
        <f>'Forage, input data per ha'!H68*EF_diesel_N2O*Heating_value_diesel/'Forage, input data per ha'!C68</f>
        <v>4.2494297914977162E-7</v>
      </c>
      <c r="K236" s="4"/>
      <c r="L236" s="4">
        <f>'Forage, input data per ha'!I68*'Parameters, general'!$D$17/'Forage, input data per ha'!C68</f>
        <v>1.7138195694812815E-8</v>
      </c>
      <c r="M236" s="4"/>
      <c r="N236" s="4"/>
      <c r="O236" s="4">
        <f>'Parameters, general'!$D$20</f>
        <v>6.8099999999999988E-5</v>
      </c>
      <c r="P236" s="4"/>
    </row>
    <row r="237" spans="1:16" x14ac:dyDescent="0.3">
      <c r="A237" s="155"/>
      <c r="B237" s="155" t="s">
        <v>441</v>
      </c>
      <c r="C237" s="155" t="s">
        <v>95</v>
      </c>
      <c r="D237" s="155" t="s">
        <v>51</v>
      </c>
      <c r="E237" s="345">
        <f>SUM(F237:P237)</f>
        <v>0.1417767611603562</v>
      </c>
      <c r="F237" s="345">
        <f>SUMPRODUCT(F233:F236,'Parameters, general'!$B$23:$B$26)</f>
        <v>0</v>
      </c>
      <c r="G237" s="345">
        <f>SUMPRODUCT(G233:G236,'Parameters, general'!$B$23:$B$26)</f>
        <v>3.01313E-2</v>
      </c>
      <c r="H237" s="345">
        <f>SUMPRODUCT(H233:H236,'Parameters, general'!$B$23:$B$26)</f>
        <v>7.8671736000000009E-3</v>
      </c>
      <c r="I237" s="345">
        <f>SUMPRODUCT(I233:I236,'Parameters, general'!$B$23:$B$26)</f>
        <v>7.8671736000000012E-4</v>
      </c>
      <c r="J237" s="345">
        <f>SUMPRODUCT(J233:J236,'Parameters, general'!$B$23:$B$26)</f>
        <v>1.6139312267737842E-2</v>
      </c>
      <c r="K237" s="345">
        <f>SUMPRODUCT(K233:K236,'Parameters, general'!$B$23:$B$26)</f>
        <v>0</v>
      </c>
      <c r="L237" s="345">
        <f>SUMPRODUCT(L233:L236,'Parameters, general'!$B$23:$B$26)</f>
        <v>4.6255793261834198E-4</v>
      </c>
      <c r="M237" s="345">
        <f>SUMPRODUCT(M233:M236,'Parameters, general'!$B$23:$B$26)</f>
        <v>0</v>
      </c>
      <c r="N237" s="345">
        <f>SUMPRODUCT(N233:N236,'Parameters, general'!$B$23:$B$26)</f>
        <v>0</v>
      </c>
      <c r="O237" s="345">
        <f>SUMPRODUCT(O233:O236,'Parameters, general'!$B$23:$B$26)</f>
        <v>8.6389700000000014E-2</v>
      </c>
      <c r="P237" s="345">
        <f>SUMPRODUCT(P233:P236,'Parameters, general'!$B$23:$B$26)</f>
        <v>0</v>
      </c>
    </row>
    <row r="238" spans="1:16" x14ac:dyDescent="0.3">
      <c r="B238" t="s">
        <v>441</v>
      </c>
      <c r="C238" t="s">
        <v>91</v>
      </c>
      <c r="D238" t="s">
        <v>53</v>
      </c>
      <c r="E238" s="4">
        <f t="shared" ref="E238:E241" si="34">SUM(F238:P238)</f>
        <v>9.0117272656622463E-2</v>
      </c>
      <c r="F238" s="4">
        <f>'Forage, input data per ha'!D69*(Frac_BAT_NL*EF_min_fert_BAT_CO2+Frac_AN_NL*EF_min_fert_AN_CO2)/'Forage, input data per ha'!C69</f>
        <v>0</v>
      </c>
      <c r="G238" s="4">
        <f>EF_capital_goods_CO2</f>
        <v>2.7E-2</v>
      </c>
      <c r="H238" s="4"/>
      <c r="I238" s="4"/>
      <c r="J238" s="4">
        <f>'Forage, input data per ha'!H69*EF_diesel_CO2*Heating_value_diesel/'Forage, input data per ha'!C69</f>
        <v>1.6342192210099006E-2</v>
      </c>
      <c r="K238" s="4"/>
      <c r="L238" s="4">
        <f>'Forage, input data per ha'!I69*'Parameters, general'!$B$17/'Forage, input data per ha'!C69</f>
        <v>7.5080446523445869E-5</v>
      </c>
      <c r="M238" s="4"/>
      <c r="N238" s="276"/>
      <c r="O238" s="4">
        <f>'Parameters, general'!$B$20</f>
        <v>4.6700000000000005E-2</v>
      </c>
      <c r="P238" s="4"/>
    </row>
    <row r="239" spans="1:16" x14ac:dyDescent="0.3">
      <c r="B239" t="s">
        <v>441</v>
      </c>
      <c r="C239" t="s">
        <v>92</v>
      </c>
      <c r="D239" t="s">
        <v>53</v>
      </c>
      <c r="E239" s="4">
        <f t="shared" si="34"/>
        <v>8.1049014381380101E-4</v>
      </c>
      <c r="F239" s="4">
        <f>'Forage, input data per ha'!D69*(Frac_BAT_NL*EF_min_fert_BAT_CH4+Frac_AN_NL*EF_min_fert_AN_CH4)/'Forage, input data per ha'!C69</f>
        <v>0</v>
      </c>
      <c r="G239" s="4">
        <f>EF_capital_goods_CH4</f>
        <v>9.5000000000000005E-5</v>
      </c>
      <c r="H239" s="4"/>
      <c r="I239" s="4"/>
      <c r="J239" s="4">
        <f>'Forage, input data per ha'!H69*EF_diesel_CH4*Heating_value_diesel/'Forage, input data per ha'!C69</f>
        <v>7.2390400951742575E-6</v>
      </c>
      <c r="K239" s="4"/>
      <c r="L239" s="4">
        <f>'Forage, input data per ha'!I69*'Parameters, general'!$C$17/'Forage, input data per ha'!C69</f>
        <v>2.5110371862679221E-7</v>
      </c>
      <c r="M239" s="4"/>
      <c r="N239" s="4"/>
      <c r="O239" s="4">
        <f>'Parameters, general'!$C$20</f>
        <v>7.0799999999999997E-4</v>
      </c>
      <c r="P239" s="4"/>
    </row>
    <row r="240" spans="1:16" x14ac:dyDescent="0.3">
      <c r="B240" t="s">
        <v>441</v>
      </c>
      <c r="C240" t="s">
        <v>311</v>
      </c>
      <c r="D240" t="s">
        <v>53</v>
      </c>
      <c r="E240" s="4">
        <f t="shared" si="34"/>
        <v>0</v>
      </c>
      <c r="F240" s="4"/>
      <c r="G240" s="4"/>
      <c r="H240" s="4"/>
      <c r="I240" s="4"/>
      <c r="J240" s="4"/>
      <c r="K240" s="4"/>
      <c r="L240" s="4"/>
      <c r="M240" s="4"/>
      <c r="N240" s="4"/>
      <c r="O240" s="4"/>
      <c r="P240" s="4"/>
    </row>
    <row r="241" spans="1:16" x14ac:dyDescent="0.3">
      <c r="B241" t="s">
        <v>441</v>
      </c>
      <c r="C241" t="s">
        <v>94</v>
      </c>
      <c r="D241" t="s">
        <v>53</v>
      </c>
      <c r="E241" s="4">
        <f t="shared" si="34"/>
        <v>1.013414456674743E-4</v>
      </c>
      <c r="F241" s="4">
        <f>'Forage, input data per ha'!D69*(Frac_BAT_NL*EF_min_fert_BAT_N2O+Frac_AN_NL*EF_min_fert_AN_N2O)/'Forage, input data per ha'!C69</f>
        <v>0</v>
      </c>
      <c r="G241" s="4">
        <f>EF_capital_goods_N2O</f>
        <v>1.1000000000000001E-6</v>
      </c>
      <c r="H241" s="4">
        <f>('Forage, input data per ha'!D69*'Parameters SH, country spec'!I78+'Forage, input data per ha'!F69*'Parameters SH, country spec'!I79)*44/28/'Forage, input data per ha'!C69</f>
        <v>2.8817485714285722E-5</v>
      </c>
      <c r="I241" s="4">
        <f>H241*0.1</f>
        <v>2.8817485714285724E-6</v>
      </c>
      <c r="J241" s="4">
        <f>'Forage, input data per ha'!H69*EF_diesel_N2O*Heating_value_diesel/'Forage, input data per ha'!C69</f>
        <v>4.3912107624607442E-7</v>
      </c>
      <c r="K241" s="4"/>
      <c r="L241" s="4">
        <f>'Forage, input data per ha'!I69*'Parameters, general'!$D$17/'Forage, input data per ha'!C69</f>
        <v>3.0903055139313702E-9</v>
      </c>
      <c r="M241" s="4"/>
      <c r="N241" s="4"/>
      <c r="O241" s="4">
        <f>'Parameters, general'!$D$20</f>
        <v>6.8099999999999988E-5</v>
      </c>
      <c r="P241" s="4"/>
    </row>
    <row r="242" spans="1:16" x14ac:dyDescent="0.3">
      <c r="A242" s="155"/>
      <c r="B242" s="155" t="s">
        <v>441</v>
      </c>
      <c r="C242" s="155" t="s">
        <v>95</v>
      </c>
      <c r="D242" s="155" t="s">
        <v>53</v>
      </c>
      <c r="E242" s="345">
        <f>SUM(F242:P242)</f>
        <v>0.14193609360949422</v>
      </c>
      <c r="F242" s="345">
        <f>SUMPRODUCT(F238:F241,'Parameters, general'!$B$23:$B$26)</f>
        <v>0</v>
      </c>
      <c r="G242" s="345">
        <f>SUMPRODUCT(G238:G241,'Parameters, general'!$B$23:$B$26)</f>
        <v>3.01313E-2</v>
      </c>
      <c r="H242" s="345">
        <f>SUMPRODUCT(H238:H241,'Parameters, general'!$B$23:$B$26)</f>
        <v>7.8671736000000027E-3</v>
      </c>
      <c r="I242" s="345">
        <f>SUMPRODUCT(I238:I241,'Parameters, general'!$B$23:$B$26)</f>
        <v>7.8671736000000022E-4</v>
      </c>
      <c r="J242" s="345">
        <f>SUMPRODUCT(J238:J241,'Parameters, general'!$B$23:$B$26)</f>
        <v>1.6677795658750376E-2</v>
      </c>
      <c r="K242" s="345">
        <f>SUMPRODUCT(K238:K241,'Parameters, general'!$B$23:$B$26)</f>
        <v>0</v>
      </c>
      <c r="L242" s="345">
        <f>SUMPRODUCT(L238:L241,'Parameters, general'!$B$23:$B$26)</f>
        <v>8.3406990743827535E-5</v>
      </c>
      <c r="M242" s="345">
        <f>SUMPRODUCT(M238:M241,'Parameters, general'!$B$23:$B$26)</f>
        <v>0</v>
      </c>
      <c r="N242" s="345">
        <f>SUMPRODUCT(N238:N241,'Parameters, general'!$B$23:$B$26)</f>
        <v>0</v>
      </c>
      <c r="O242" s="345">
        <f>SUMPRODUCT(O238:O241,'Parameters, general'!$B$23:$B$26)</f>
        <v>8.6389700000000014E-2</v>
      </c>
      <c r="P242" s="345">
        <f>SUMPRODUCT(P238:P241,'Parameters, general'!$B$23:$B$26)</f>
        <v>0</v>
      </c>
    </row>
    <row r="243" spans="1:16" x14ac:dyDescent="0.3">
      <c r="B243" t="s">
        <v>441</v>
      </c>
      <c r="C243" t="s">
        <v>91</v>
      </c>
      <c r="D243" t="s">
        <v>55</v>
      </c>
      <c r="E243" s="4">
        <f t="shared" ref="E243:E246" si="35">SUM(F243:P243)</f>
        <v>8.844210170218185E-2</v>
      </c>
      <c r="F243" s="4">
        <f>'Forage, input data per ha'!D70*(Frac_BAT_PL*EF_min_fert_BAT_CO2+Frac_AN_PL*EF_min_fert_AN_CO2)/'Forage, input data per ha'!C70</f>
        <v>0</v>
      </c>
      <c r="G243" s="4">
        <f>EF_capital_goods_CO2</f>
        <v>2.7E-2</v>
      </c>
      <c r="H243" s="4"/>
      <c r="I243" s="4"/>
      <c r="J243" s="4">
        <f>'Forage, input data per ha'!H70*EF_diesel_CO2*Heating_value_diesel/'Forage, input data per ha'!C70</f>
        <v>1.4724320352496441E-2</v>
      </c>
      <c r="K243" s="4"/>
      <c r="L243" s="4">
        <f>'Forage, input data per ha'!I70*'Parameters, general'!$B$17/'Forage, input data per ha'!C70</f>
        <v>1.7781349685403136E-5</v>
      </c>
      <c r="M243" s="4"/>
      <c r="N243" s="276"/>
      <c r="O243" s="4">
        <f>'Parameters, general'!$B$20</f>
        <v>4.6700000000000005E-2</v>
      </c>
      <c r="P243" s="4"/>
    </row>
    <row r="244" spans="1:16" x14ac:dyDescent="0.3">
      <c r="B244" t="s">
        <v>441</v>
      </c>
      <c r="C244" t="s">
        <v>92</v>
      </c>
      <c r="D244" t="s">
        <v>55</v>
      </c>
      <c r="E244" s="4">
        <f t="shared" si="35"/>
        <v>8.0958184646908024E-4</v>
      </c>
      <c r="F244" s="4">
        <f>'Forage, input data per ha'!D70*(Frac_BAT_PL*EF_min_fert_BAT_CH4+Frac_AN_PL*EF_min_fert_AN_CH4)/'Forage, input data per ha'!C70</f>
        <v>0</v>
      </c>
      <c r="G244" s="4">
        <f>EF_capital_goods_CH4</f>
        <v>9.5000000000000005E-5</v>
      </c>
      <c r="H244" s="4"/>
      <c r="I244" s="4"/>
      <c r="J244" s="4">
        <f>'Forage, input data per ha'!H70*EF_diesel_CH4*Heating_value_diesel/'Forage, input data per ha'!C70</f>
        <v>6.5223774164180114E-6</v>
      </c>
      <c r="K244" s="4"/>
      <c r="L244" s="4">
        <f>'Forage, input data per ha'!I70*'Parameters, general'!$C$17/'Forage, input data per ha'!C70</f>
        <v>5.9469052662250279E-8</v>
      </c>
      <c r="M244" s="4"/>
      <c r="N244" s="4"/>
      <c r="O244" s="4">
        <f>'Parameters, general'!$C$20</f>
        <v>7.0799999999999997E-4</v>
      </c>
      <c r="P244" s="4"/>
    </row>
    <row r="245" spans="1:16" x14ac:dyDescent="0.3">
      <c r="B245" t="s">
        <v>441</v>
      </c>
      <c r="C245" t="s">
        <v>311</v>
      </c>
      <c r="D245" t="s">
        <v>55</v>
      </c>
      <c r="E245" s="4">
        <f t="shared" si="35"/>
        <v>0</v>
      </c>
      <c r="F245" s="4"/>
      <c r="G245" s="4"/>
      <c r="H245" s="4"/>
      <c r="I245" s="4"/>
      <c r="J245" s="4"/>
      <c r="K245" s="4"/>
      <c r="L245" s="4"/>
      <c r="M245" s="4"/>
      <c r="N245" s="4"/>
      <c r="O245" s="4"/>
      <c r="P245" s="4"/>
    </row>
    <row r="246" spans="1:16" x14ac:dyDescent="0.3">
      <c r="B246" t="s">
        <v>441</v>
      </c>
      <c r="C246" t="s">
        <v>94</v>
      </c>
      <c r="D246" t="s">
        <v>55</v>
      </c>
      <c r="E246" s="4">
        <f t="shared" si="35"/>
        <v>1.0129561439337549E-4</v>
      </c>
      <c r="F246" s="4">
        <f>'Forage, input data per ha'!D70*(Frac_BAT_PL*EF_min_fert_BAT_N2O+Frac_AN_PL*EF_min_fert_AN_N2O)/'Forage, input data per ha'!C70</f>
        <v>0</v>
      </c>
      <c r="G246" s="4">
        <f>EF_capital_goods_N2O</f>
        <v>1.1000000000000001E-6</v>
      </c>
      <c r="H246" s="4">
        <f>('Forage, input data per ha'!D70*'Parameters SH, country spec'!J78+'Forage, input data per ha'!F70*'Parameters SH, country spec'!J79)*44/28/'Forage, input data per ha'!C70</f>
        <v>2.8817485714285719E-5</v>
      </c>
      <c r="I246" s="4">
        <f>H246*0.1</f>
        <v>2.881748571428572E-6</v>
      </c>
      <c r="J246" s="4">
        <f>'Forage, input data per ha'!H70*EF_diesel_N2O*Heating_value_diesel/'Forage, input data per ha'!C70</f>
        <v>3.9564822864979905E-7</v>
      </c>
      <c r="K246" s="4"/>
      <c r="L246" s="4">
        <f>'Forage, input data per ha'!I70*'Parameters, general'!$D$17/'Forage, input data per ha'!C70</f>
        <v>7.3187901141189411E-10</v>
      </c>
      <c r="M246" s="4"/>
      <c r="N246" s="4"/>
      <c r="O246" s="4">
        <f>'Parameters, general'!$D$20</f>
        <v>6.8099999999999988E-5</v>
      </c>
      <c r="P246" s="4"/>
    </row>
    <row r="247" spans="1:16" x14ac:dyDescent="0.3">
      <c r="A247" s="155"/>
      <c r="B247" s="155" t="s">
        <v>441</v>
      </c>
      <c r="C247" s="155" t="s">
        <v>95</v>
      </c>
      <c r="D247" s="155" t="s">
        <v>55</v>
      </c>
      <c r="E247" s="345">
        <f>SUM(F247:P247)</f>
        <v>0.14022134345635195</v>
      </c>
      <c r="F247" s="345">
        <f>SUMPRODUCT(F243:F246,'Parameters, general'!$B$23:$B$26)</f>
        <v>0</v>
      </c>
      <c r="G247" s="345">
        <f>SUMPRODUCT(G243:G246,'Parameters, general'!$B$23:$B$26)</f>
        <v>3.01313E-2</v>
      </c>
      <c r="H247" s="345">
        <f>SUMPRODUCT(H243:H246,'Parameters, general'!$B$23:$B$26)</f>
        <v>7.8671736000000009E-3</v>
      </c>
      <c r="I247" s="345">
        <f>SUMPRODUCT(I243:I246,'Parameters, general'!$B$23:$B$26)</f>
        <v>7.8671736000000012E-4</v>
      </c>
      <c r="J247" s="345">
        <f>SUMPRODUCT(J243:J246,'Parameters, general'!$B$23:$B$26)</f>
        <v>1.5026699165927094E-2</v>
      </c>
      <c r="K247" s="345">
        <f>SUMPRODUCT(K243:K246,'Parameters, general'!$B$23:$B$26)</f>
        <v>0</v>
      </c>
      <c r="L247" s="345">
        <f>SUMPRODUCT(L243:L246,'Parameters, general'!$B$23:$B$26)</f>
        <v>1.9753330424853642E-5</v>
      </c>
      <c r="M247" s="345">
        <f>SUMPRODUCT(M243:M246,'Parameters, general'!$B$23:$B$26)</f>
        <v>0</v>
      </c>
      <c r="N247" s="345">
        <f>SUMPRODUCT(N243:N246,'Parameters, general'!$B$23:$B$26)</f>
        <v>0</v>
      </c>
      <c r="O247" s="345">
        <f>SUMPRODUCT(O243:O246,'Parameters, general'!$B$23:$B$26)</f>
        <v>8.6389700000000014E-2</v>
      </c>
      <c r="P247" s="345">
        <f>SUMPRODUCT(P243:P246,'Parameters, general'!$B$23:$B$26)</f>
        <v>0</v>
      </c>
    </row>
    <row r="248" spans="1:16" x14ac:dyDescent="0.3">
      <c r="B248" t="s">
        <v>441</v>
      </c>
      <c r="C248" t="s">
        <v>91</v>
      </c>
      <c r="D248" t="s">
        <v>57</v>
      </c>
      <c r="E248" s="4">
        <f t="shared" ref="E248:E251" si="36">SUM(F248:P248)</f>
        <v>9.0267570755150545E-2</v>
      </c>
      <c r="F248" s="4">
        <f>'Forage, input data per ha'!D71*(Frac_BAT_ES*EF_min_fert_BAT_CO2+Frac_AN_ES*EF_min_fert_AN_CO2)/'Forage, input data per ha'!C71</f>
        <v>0</v>
      </c>
      <c r="G248" s="4">
        <f>EF_capital_goods_CO2</f>
        <v>2.7E-2</v>
      </c>
      <c r="H248" s="4"/>
      <c r="I248" s="4"/>
      <c r="J248" s="4">
        <f>'Forage, input data per ha'!H71*EF_diesel_CO2*Heating_value_diesel/'Forage, input data per ha'!C71</f>
        <v>1.3447771750171205E-2</v>
      </c>
      <c r="K248" s="4"/>
      <c r="L248" s="4">
        <f>'Forage, input data per ha'!I71*'Parameters, general'!$B$17/'Forage, input data per ha'!C71</f>
        <v>3.1197990049793402E-3</v>
      </c>
      <c r="M248" s="4"/>
      <c r="N248" s="4"/>
      <c r="O248" s="4">
        <f>'Parameters, general'!$B$20</f>
        <v>4.6700000000000005E-2</v>
      </c>
      <c r="P248" s="4"/>
    </row>
    <row r="249" spans="1:16" x14ac:dyDescent="0.3">
      <c r="B249" t="s">
        <v>441</v>
      </c>
      <c r="C249" t="s">
        <v>92</v>
      </c>
      <c r="D249" t="s">
        <v>57</v>
      </c>
      <c r="E249" s="4">
        <f t="shared" si="36"/>
        <v>8.1939095941005891E-4</v>
      </c>
      <c r="F249" s="4">
        <f>'Forage, input data per ha'!D71*(Frac_BAT_ES*EF_min_fert_BAT_CH4+Frac_AN_ES*EF_min_fert_AN_CH4)/'Forage, input data per ha'!C71</f>
        <v>0</v>
      </c>
      <c r="G249" s="4">
        <f>EF_capital_goods_CH4</f>
        <v>9.5000000000000005E-5</v>
      </c>
      <c r="H249" s="4"/>
      <c r="I249" s="4"/>
      <c r="J249" s="4">
        <f>'Forage, input data per ha'!H71*EF_diesel_CH4*Heating_value_diesel/'Forage, input data per ha'!C71</f>
        <v>5.95690943043016E-6</v>
      </c>
      <c r="K249" s="4"/>
      <c r="L249" s="4">
        <f>'Forage, input data per ha'!I71*'Parameters, general'!$C$17/'Forage, input data per ha'!C71</f>
        <v>1.0434049979628758E-5</v>
      </c>
      <c r="M249" s="4"/>
      <c r="N249" s="4"/>
      <c r="O249" s="4">
        <f>'Parameters, general'!$C$20</f>
        <v>7.0799999999999997E-4</v>
      </c>
      <c r="P249" s="4"/>
    </row>
    <row r="250" spans="1:16" x14ac:dyDescent="0.3">
      <c r="B250" t="s">
        <v>441</v>
      </c>
      <c r="C250" t="s">
        <v>311</v>
      </c>
      <c r="D250" t="s">
        <v>57</v>
      </c>
      <c r="E250" s="4">
        <f t="shared" si="36"/>
        <v>0</v>
      </c>
      <c r="F250" s="4"/>
      <c r="G250" s="4"/>
      <c r="H250" s="4"/>
      <c r="I250" s="4"/>
      <c r="J250" s="4"/>
      <c r="K250" s="4"/>
      <c r="L250" s="4"/>
      <c r="M250" s="4"/>
      <c r="N250" s="4"/>
      <c r="O250" s="4"/>
      <c r="P250" s="4"/>
    </row>
    <row r="251" spans="1:16" x14ac:dyDescent="0.3">
      <c r="B251" t="s">
        <v>441</v>
      </c>
      <c r="C251" t="s">
        <v>94</v>
      </c>
      <c r="D251" t="s">
        <v>57</v>
      </c>
      <c r="E251" s="4">
        <f t="shared" si="36"/>
        <v>1.0138899184736333E-4</v>
      </c>
      <c r="F251" s="4">
        <f>'Forage, input data per ha'!D71*(Frac_BAT_ES*EF_min_fert_BAT_N2O+Frac_AN_ES*EF_min_fert_AN_N2O)/'Forage, input data per ha'!C71</f>
        <v>0</v>
      </c>
      <c r="G251" s="4">
        <f>EF_capital_goods_N2O</f>
        <v>1.1000000000000001E-6</v>
      </c>
      <c r="H251" s="4">
        <f>('Forage, input data per ha'!D71*'Parameters SH, country spec'!K78+'Forage, input data per ha'!F71*'Parameters SH, country spec'!K79)*44/28/'Forage, input data per ha'!C71</f>
        <v>2.8817485714285722E-5</v>
      </c>
      <c r="I251" s="4">
        <f>H251*0.1</f>
        <v>2.8817485714285724E-6</v>
      </c>
      <c r="J251" s="4">
        <f>'Forage, input data per ha'!H71*EF_diesel_N2O*Heating_value_diesel/'Forage, input data per ha'!C71</f>
        <v>3.6134686999933171E-7</v>
      </c>
      <c r="K251" s="4"/>
      <c r="L251" s="4">
        <f>'Forage, input data per ha'!I71*'Parameters, general'!$D$17/'Forage, input data per ha'!C71</f>
        <v>1.2841069164971677E-7</v>
      </c>
      <c r="M251" s="4"/>
      <c r="N251" s="4"/>
      <c r="O251" s="4">
        <f>'Parameters, general'!$D$20</f>
        <v>6.8099999999999988E-5</v>
      </c>
      <c r="P251" s="4"/>
    </row>
    <row r="252" spans="1:16" x14ac:dyDescent="0.3">
      <c r="A252" s="155"/>
      <c r="B252" s="155" t="s">
        <v>441</v>
      </c>
      <c r="C252" s="155" t="s">
        <v>95</v>
      </c>
      <c r="D252" s="155" t="s">
        <v>57</v>
      </c>
      <c r="E252" s="345">
        <f>SUM(F252:P252)</f>
        <v>0.14236461611990051</v>
      </c>
      <c r="F252" s="345">
        <f>SUMPRODUCT(F248:F251,'Parameters, general'!$B$23:$B$26)</f>
        <v>0</v>
      </c>
      <c r="G252" s="345">
        <f>SUMPRODUCT(G248:G251,'Parameters, general'!$B$23:$B$26)</f>
        <v>3.01313E-2</v>
      </c>
      <c r="H252" s="345">
        <f>SUMPRODUCT(H248:H251,'Parameters, general'!$B$23:$B$26)</f>
        <v>7.8671736000000027E-3</v>
      </c>
      <c r="I252" s="345">
        <f>SUMPRODUCT(I248:I251,'Parameters, general'!$B$23:$B$26)</f>
        <v>7.8671736000000022E-4</v>
      </c>
      <c r="J252" s="345">
        <f>SUMPRODUCT(J248:J251,'Parameters, general'!$B$23:$B$26)</f>
        <v>1.3723935346707841E-2</v>
      </c>
      <c r="K252" s="345">
        <f>SUMPRODUCT(K248:K251,'Parameters, general'!$B$23:$B$26)</f>
        <v>0</v>
      </c>
      <c r="L252" s="345">
        <f>SUMPRODUCT(L248:L251,'Parameters, general'!$B$23:$B$26)</f>
        <v>3.4657898131926499E-3</v>
      </c>
      <c r="M252" s="345">
        <f>SUMPRODUCT(M248:M251,'Parameters, general'!$B$23:$B$26)</f>
        <v>0</v>
      </c>
      <c r="N252" s="345">
        <f>SUMPRODUCT(N248:N251,'Parameters, general'!$B$23:$B$26)</f>
        <v>0</v>
      </c>
      <c r="O252" s="345">
        <f>SUMPRODUCT(O248:O251,'Parameters, general'!$B$23:$B$26)</f>
        <v>8.6389700000000014E-2</v>
      </c>
      <c r="P252" s="345">
        <f>SUMPRODUCT(P248:P251,'Parameters, general'!$B$23:$B$26)</f>
        <v>0</v>
      </c>
    </row>
    <row r="253" spans="1:16" x14ac:dyDescent="0.3">
      <c r="B253" t="s">
        <v>441</v>
      </c>
      <c r="C253" t="s">
        <v>91</v>
      </c>
      <c r="D253" t="s">
        <v>59</v>
      </c>
      <c r="E253" s="4">
        <f t="shared" ref="E253:E256" si="37">SUM(F253:P253)</f>
        <v>0.10364084681465427</v>
      </c>
      <c r="F253" s="4">
        <f>'Forage, input data per ha'!D72*(Frac_BAT_SE*EF_min_fert_BAT_CO2+Frac_AN_SE*EF_min_fert_AN_CO2)/'Forage, input data per ha'!C72</f>
        <v>0</v>
      </c>
      <c r="G253" s="4">
        <f>EF_capital_goods_CO2</f>
        <v>2.7E-2</v>
      </c>
      <c r="H253" s="4"/>
      <c r="I253" s="4"/>
      <c r="J253" s="4">
        <f>'Forage, input data per ha'!H72*EF_diesel_CO2*Heating_value_diesel/'Forage, input data per ha'!C72</f>
        <v>2.9940846814654261E-2</v>
      </c>
      <c r="K253" s="4"/>
      <c r="L253" s="4">
        <f>'Forage, input data per ha'!I72*'Parameters, general'!$B$17/'Forage, input data per ha'!C72</f>
        <v>0</v>
      </c>
      <c r="M253" s="4"/>
      <c r="N253" s="276"/>
      <c r="O253" s="4">
        <f>'Parameters, general'!$B$20</f>
        <v>4.6700000000000005E-2</v>
      </c>
      <c r="P253" s="4"/>
    </row>
    <row r="254" spans="1:16" x14ac:dyDescent="0.3">
      <c r="B254" t="s">
        <v>441</v>
      </c>
      <c r="C254" t="s">
        <v>92</v>
      </c>
      <c r="D254" t="s">
        <v>59</v>
      </c>
      <c r="E254" s="4">
        <f t="shared" si="37"/>
        <v>8.1626278554237117E-4</v>
      </c>
      <c r="F254" s="4">
        <f>'Forage, input data per ha'!D72*(Frac_BAT_SE*EF_min_fert_BAT_CH4+Frac_AN_SE*EF_min_fert_AN_CH4)/'Forage, input data per ha'!C72</f>
        <v>0</v>
      </c>
      <c r="G254" s="4">
        <f>EF_capital_goods_CH4</f>
        <v>9.5000000000000005E-5</v>
      </c>
      <c r="H254" s="4"/>
      <c r="I254" s="4"/>
      <c r="J254" s="4">
        <f>'Forage, input data per ha'!H72*EF_diesel_CH4*Heating_value_diesel/'Forage, input data per ha'!C72</f>
        <v>1.3262785542371219E-5</v>
      </c>
      <c r="K254" s="4"/>
      <c r="L254" s="4">
        <f>'Forage, input data per ha'!I72*'Parameters, general'!$C$17/'Forage, input data per ha'!C72</f>
        <v>0</v>
      </c>
      <c r="M254" s="4"/>
      <c r="N254" s="4"/>
      <c r="O254" s="4">
        <f>'Parameters, general'!$C$20</f>
        <v>7.0799999999999997E-4</v>
      </c>
      <c r="P254" s="4"/>
    </row>
    <row r="255" spans="1:16" x14ac:dyDescent="0.3">
      <c r="B255" t="s">
        <v>441</v>
      </c>
      <c r="C255" t="s">
        <v>311</v>
      </c>
      <c r="D255" t="s">
        <v>59</v>
      </c>
      <c r="E255" s="4">
        <f t="shared" si="37"/>
        <v>0</v>
      </c>
      <c r="F255" s="4"/>
      <c r="G255" s="4"/>
      <c r="H255" s="4"/>
      <c r="I255" s="4"/>
      <c r="J255" s="4"/>
      <c r="K255" s="4"/>
      <c r="L255" s="4"/>
      <c r="M255" s="4"/>
      <c r="N255" s="4"/>
      <c r="O255" s="4"/>
      <c r="P255" s="4"/>
    </row>
    <row r="256" spans="1:16" x14ac:dyDescent="0.3">
      <c r="B256" t="s">
        <v>441</v>
      </c>
      <c r="C256" t="s">
        <v>94</v>
      </c>
      <c r="D256" t="s">
        <v>59</v>
      </c>
      <c r="E256" s="4">
        <f t="shared" si="37"/>
        <v>1.0170375651308381E-4</v>
      </c>
      <c r="F256" s="4">
        <f>'Forage, input data per ha'!D72*(Frac_BAT_SE*EF_min_fert_BAT_N2O+Frac_AN_SE*EF_min_fert_AN_N2O)/'Forage, input data per ha'!C72</f>
        <v>0</v>
      </c>
      <c r="G256" s="4">
        <f>EF_capital_goods_N2O</f>
        <v>1.1000000000000001E-6</v>
      </c>
      <c r="H256" s="4">
        <f>('Forage, input data per ha'!D72*'Parameters SH, country spec'!L78+'Forage, input data per ha'!F72*'Parameters SH, country spec'!L79)*44/28/'Forage, input data per ha'!C72</f>
        <v>2.8817485714285719E-5</v>
      </c>
      <c r="I256" s="4">
        <f>H256*0.1</f>
        <v>2.881748571428572E-6</v>
      </c>
      <c r="J256" s="4">
        <f>'Forage, input data per ha'!H72*EF_diesel_N2O*Heating_value_diesel/'Forage, input data per ha'!C72</f>
        <v>8.045222273695297E-7</v>
      </c>
      <c r="K256" s="4"/>
      <c r="L256" s="4">
        <f>'Forage, input data per ha'!I72*'Parameters, general'!$D$17/'Forage, input data per ha'!C72</f>
        <v>0</v>
      </c>
      <c r="M256" s="4"/>
      <c r="N256" s="4"/>
      <c r="O256" s="4">
        <f>'Parameters, general'!$D$20</f>
        <v>6.8099999999999988E-5</v>
      </c>
      <c r="P256" s="4"/>
    </row>
    <row r="257" spans="1:19" x14ac:dyDescent="0.3">
      <c r="A257" s="155"/>
      <c r="B257" s="155" t="s">
        <v>441</v>
      </c>
      <c r="C257" s="155" t="s">
        <v>95</v>
      </c>
      <c r="D257" s="155" t="s">
        <v>59</v>
      </c>
      <c r="E257" s="345">
        <f>SUM(F257:P257)</f>
        <v>0.15573060335188882</v>
      </c>
      <c r="F257" s="345">
        <f>SUMPRODUCT(F253:F256,'Parameters, general'!$B$23:$B$26)</f>
        <v>0</v>
      </c>
      <c r="G257" s="345">
        <f>SUMPRODUCT(G253:G256,'Parameters, general'!$B$23:$B$26)</f>
        <v>3.01313E-2</v>
      </c>
      <c r="H257" s="345">
        <f>SUMPRODUCT(H253:H256,'Parameters, general'!$B$23:$B$26)</f>
        <v>7.8671736000000009E-3</v>
      </c>
      <c r="I257" s="345">
        <f>SUMPRODUCT(I253:I256,'Parameters, general'!$B$23:$B$26)</f>
        <v>7.8671736000000012E-4</v>
      </c>
      <c r="J257" s="345">
        <f>SUMPRODUCT(J253:J256,'Parameters, general'!$B$23:$B$26)</f>
        <v>3.0555712391888805E-2</v>
      </c>
      <c r="K257" s="345">
        <f>SUMPRODUCT(K253:K256,'Parameters, general'!$B$23:$B$26)</f>
        <v>0</v>
      </c>
      <c r="L257" s="345">
        <f>SUMPRODUCT(L253:L256,'Parameters, general'!$B$23:$B$26)</f>
        <v>0</v>
      </c>
      <c r="M257" s="345">
        <f>SUMPRODUCT(M253:M256,'Parameters, general'!$B$23:$B$26)</f>
        <v>0</v>
      </c>
      <c r="N257" s="345">
        <f>SUMPRODUCT(N253:N256,'Parameters, general'!$B$23:$B$26)</f>
        <v>0</v>
      </c>
      <c r="O257" s="345">
        <f>SUMPRODUCT(O253:O256,'Parameters, general'!$B$23:$B$26)</f>
        <v>8.6389700000000014E-2</v>
      </c>
      <c r="P257" s="345">
        <f>SUMPRODUCT(P253:P256,'Parameters, general'!$B$23:$B$26)</f>
        <v>0</v>
      </c>
    </row>
    <row r="258" spans="1:19" x14ac:dyDescent="0.3">
      <c r="B258" t="s">
        <v>441</v>
      </c>
      <c r="C258" t="s">
        <v>91</v>
      </c>
      <c r="D258" t="s">
        <v>556</v>
      </c>
      <c r="E258" s="4">
        <f t="shared" ref="E258:E261" si="38">SUM(F258:P258)</f>
        <v>4.1942518733221051E-2</v>
      </c>
      <c r="F258" s="4">
        <f>'Forage, input data per ha'!D73*(Frac_BAT_GB*EF_min_fert_BAT_CO2+Frac_AN_GB*EF_min_fert_AN_CO2)/'Forage, input data per ha'!C73</f>
        <v>0</v>
      </c>
      <c r="G258" s="4">
        <f>EF_capital_goods_CO2</f>
        <v>2.7E-2</v>
      </c>
      <c r="H258" s="4"/>
      <c r="I258" s="4"/>
      <c r="J258" s="4">
        <f>'Forage, input data per ha'!H73*EF_diesel_CO2*Heating_value_diesel/'Forage, input data per ha'!C73</f>
        <v>1.4942518733221052E-2</v>
      </c>
      <c r="K258" s="4"/>
      <c r="L258" s="4">
        <f>'Forage, input data per ha'!I73*'Parameters, general'!$B$17/'Forage, input data per ha'!C73</f>
        <v>0</v>
      </c>
      <c r="M258" s="4"/>
      <c r="N258" s="276"/>
      <c r="O258" s="4"/>
      <c r="P258" s="4"/>
    </row>
    <row r="259" spans="1:19" x14ac:dyDescent="0.3">
      <c r="B259" t="s">
        <v>441</v>
      </c>
      <c r="C259" t="s">
        <v>92</v>
      </c>
      <c r="D259" t="s">
        <v>556</v>
      </c>
      <c r="E259" s="4">
        <f t="shared" si="38"/>
        <v>1.01619031941494E-4</v>
      </c>
      <c r="F259" s="4">
        <f>'Forage, input data per ha'!D73*(Frac_BAT_GB*EF_min_fert_BAT_CH4+Frac_AN_GB*EF_min_fert_AN_CH4)/'Forage, input data per ha'!C73</f>
        <v>0</v>
      </c>
      <c r="G259" s="4">
        <f>EF_capital_goods_CH4</f>
        <v>9.5000000000000005E-5</v>
      </c>
      <c r="H259" s="4"/>
      <c r="I259" s="4"/>
      <c r="J259" s="4">
        <f>'Forage, input data per ha'!H73*EF_diesel_CH4*Heating_value_diesel/'Forage, input data per ha'!C73</f>
        <v>6.6190319414939941E-6</v>
      </c>
      <c r="K259" s="4"/>
      <c r="L259" s="4">
        <f>'Forage, input data per ha'!I73*'Parameters, general'!$C$17/'Forage, input data per ha'!C73</f>
        <v>0</v>
      </c>
      <c r="M259" s="4"/>
      <c r="N259" s="4"/>
      <c r="O259" s="4"/>
      <c r="P259" s="4"/>
    </row>
    <row r="260" spans="1:19" x14ac:dyDescent="0.3">
      <c r="B260" t="s">
        <v>441</v>
      </c>
      <c r="C260" t="s">
        <v>311</v>
      </c>
      <c r="D260" t="s">
        <v>556</v>
      </c>
      <c r="E260" s="4">
        <f t="shared" si="38"/>
        <v>0</v>
      </c>
      <c r="F260" s="4"/>
      <c r="G260" s="4"/>
      <c r="H260" s="4"/>
      <c r="I260" s="4"/>
      <c r="J260" s="4"/>
      <c r="K260" s="4"/>
      <c r="L260" s="4"/>
      <c r="M260" s="4"/>
      <c r="N260" s="4"/>
      <c r="O260" s="4"/>
      <c r="P260" s="4"/>
    </row>
    <row r="261" spans="1:19" x14ac:dyDescent="0.3">
      <c r="B261" t="s">
        <v>441</v>
      </c>
      <c r="C261" t="s">
        <v>94</v>
      </c>
      <c r="D261" t="s">
        <v>556</v>
      </c>
      <c r="E261" s="4">
        <f t="shared" si="38"/>
        <v>3.3200745589926232E-5</v>
      </c>
      <c r="F261" s="4">
        <f>'Forage, input data per ha'!D73*(Frac_BAT_GB*EF_min_fert_BAT_N2O+Frac_AN_GB*EF_min_fert_AN_N2O)/'Forage, input data per ha'!C73</f>
        <v>0</v>
      </c>
      <c r="G261" s="4">
        <f>EF_capital_goods_N2O</f>
        <v>1.1000000000000001E-6</v>
      </c>
      <c r="H261" s="4">
        <f>('Forage, input data per ha'!D73*'Parameters SH, country spec'!$M$78+'Forage, input data per ha'!F73*'Parameters SH, country spec'!$M$79)*44/28/'Forage, input data per ha'!C73</f>
        <v>2.8817485714285716E-5</v>
      </c>
      <c r="I261" s="4">
        <f>H261*0.1</f>
        <v>2.8817485714285716E-6</v>
      </c>
      <c r="J261" s="4">
        <f>'Forage, input data per ha'!H73*EF_diesel_N2O*Heating_value_diesel/'Forage, input data per ha'!C73</f>
        <v>4.0151130421194609E-7</v>
      </c>
      <c r="K261" s="4"/>
      <c r="L261" s="4">
        <f>'Forage, input data per ha'!I73*'Parameters, general'!$D$17/'Forage, input data per ha'!C73</f>
        <v>0</v>
      </c>
      <c r="M261" s="4"/>
      <c r="N261" s="4"/>
      <c r="O261" s="4"/>
      <c r="P261" s="4"/>
    </row>
    <row r="262" spans="1:19" ht="15" customHeight="1" x14ac:dyDescent="0.3">
      <c r="A262" s="155"/>
      <c r="B262" s="155" t="s">
        <v>441</v>
      </c>
      <c r="C262" s="155" t="s">
        <v>95</v>
      </c>
      <c r="D262" s="155" t="s">
        <v>556</v>
      </c>
      <c r="E262" s="345">
        <f>SUM(F262:P262)</f>
        <v>5.4034569431127437E-2</v>
      </c>
      <c r="F262" s="345">
        <f>SUMPRODUCT(F258:F261,'Parameters, general'!$B$23:$B$26)</f>
        <v>0</v>
      </c>
      <c r="G262" s="345">
        <f>SUMPRODUCT(G258:G261,'Parameters, general'!$B$23:$B$26)</f>
        <v>3.01313E-2</v>
      </c>
      <c r="H262" s="345">
        <f>SUMPRODUCT(H258:H261,'Parameters, general'!$B$23:$B$26)</f>
        <v>7.8671736000000009E-3</v>
      </c>
      <c r="I262" s="345">
        <f>SUMPRODUCT(I258:I261,'Parameters, general'!$B$23:$B$26)</f>
        <v>7.8671736000000001E-4</v>
      </c>
      <c r="J262" s="345">
        <f>SUMPRODUCT(J258:J261,'Parameters, general'!$B$23:$B$26)</f>
        <v>1.5249378471127435E-2</v>
      </c>
      <c r="K262" s="345">
        <f>SUMPRODUCT(K258:K261,'Parameters, general'!$B$23:$B$26)</f>
        <v>0</v>
      </c>
      <c r="L262" s="345">
        <f>SUMPRODUCT(L258:L261,'Parameters, general'!$B$23:$B$26)</f>
        <v>0</v>
      </c>
      <c r="M262" s="345">
        <f>SUMPRODUCT(M258:M261,'Parameters, general'!$B$23:$B$26)</f>
        <v>0</v>
      </c>
      <c r="N262" s="345">
        <f>SUMPRODUCT(N258:N261,'Parameters, general'!$B$23:$B$26)</f>
        <v>0</v>
      </c>
      <c r="O262" s="345">
        <f>SUMPRODUCT(O258:O261,'Parameters, general'!$B$23:$B$26)</f>
        <v>0</v>
      </c>
      <c r="P262" s="345"/>
      <c r="R262" s="124"/>
      <c r="S262" s="6"/>
    </row>
  </sheetData>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5D1C5-6441-4F5C-A9A8-DE7B309E0B29}">
  <dimension ref="A2:P88"/>
  <sheetViews>
    <sheetView topLeftCell="A41" zoomScale="80" zoomScaleNormal="80" workbookViewId="0">
      <selection activeCell="F19" sqref="F19"/>
    </sheetView>
  </sheetViews>
  <sheetFormatPr defaultColWidth="8.6640625" defaultRowHeight="14.4" x14ac:dyDescent="0.3"/>
  <cols>
    <col min="1" max="1" width="15.33203125" customWidth="1"/>
    <col min="2" max="2" width="18.33203125" customWidth="1"/>
    <col min="3" max="3" width="12.44140625" customWidth="1"/>
    <col min="4" max="4" width="16.6640625" customWidth="1"/>
    <col min="5" max="5" width="12.33203125" customWidth="1"/>
    <col min="6" max="7" width="14.6640625" customWidth="1"/>
    <col min="8" max="8" width="11.33203125" customWidth="1"/>
    <col min="9" max="9" width="12.33203125" customWidth="1"/>
    <col min="10" max="10" width="14.33203125" customWidth="1"/>
    <col min="11" max="11" width="12" customWidth="1"/>
    <col min="12" max="12" width="14.6640625" customWidth="1"/>
    <col min="13" max="13" width="14.33203125" customWidth="1"/>
    <col min="14" max="14" width="15" customWidth="1"/>
    <col min="15" max="15" width="15.44140625" customWidth="1"/>
    <col min="16" max="16" width="15" customWidth="1"/>
    <col min="17" max="17" width="17.6640625" customWidth="1"/>
    <col min="18" max="18" width="24.6640625" customWidth="1"/>
    <col min="20" max="24" width="10.6640625" customWidth="1"/>
    <col min="25" max="25" width="13.6640625" customWidth="1"/>
    <col min="36" max="36" width="30.44140625" customWidth="1"/>
    <col min="37" max="37" width="32.44140625" customWidth="1"/>
  </cols>
  <sheetData>
    <row r="2" spans="1:16" ht="21" x14ac:dyDescent="0.4">
      <c r="A2" s="2" t="s">
        <v>442</v>
      </c>
    </row>
    <row r="4" spans="1:16" ht="18" x14ac:dyDescent="0.35">
      <c r="A4" s="265" t="s">
        <v>299</v>
      </c>
      <c r="B4" s="109"/>
      <c r="C4" s="109"/>
      <c r="D4" s="109"/>
      <c r="E4" s="109"/>
      <c r="F4" s="109"/>
      <c r="G4" s="109"/>
      <c r="H4" s="109"/>
      <c r="I4" s="109"/>
      <c r="J4" s="109"/>
      <c r="K4" s="109"/>
      <c r="L4" s="109"/>
      <c r="M4" s="109"/>
      <c r="N4" s="109"/>
      <c r="O4" s="109"/>
      <c r="P4" s="109"/>
    </row>
    <row r="6" spans="1:16" x14ac:dyDescent="0.3">
      <c r="A6" s="156" t="s">
        <v>224</v>
      </c>
      <c r="B6" s="157"/>
      <c r="C6" s="157"/>
      <c r="D6" s="157"/>
      <c r="E6" s="157"/>
      <c r="F6" s="158" t="s">
        <v>12</v>
      </c>
      <c r="G6" s="158" t="s">
        <v>247</v>
      </c>
      <c r="H6" s="158" t="s">
        <v>13</v>
      </c>
      <c r="I6" s="158" t="s">
        <v>14</v>
      </c>
      <c r="J6" s="159" t="s">
        <v>15</v>
      </c>
      <c r="K6" s="159" t="s">
        <v>16</v>
      </c>
      <c r="L6" s="159" t="s">
        <v>17</v>
      </c>
      <c r="M6" s="285"/>
      <c r="N6" s="286"/>
      <c r="O6" s="286"/>
      <c r="P6" s="287"/>
    </row>
    <row r="7" spans="1:16" ht="43.2" x14ac:dyDescent="0.3">
      <c r="A7" s="160" t="s">
        <v>19</v>
      </c>
      <c r="B7" s="160" t="s">
        <v>224</v>
      </c>
      <c r="C7" s="160" t="s">
        <v>226</v>
      </c>
      <c r="D7" s="160" t="s">
        <v>22</v>
      </c>
      <c r="E7" s="149" t="s">
        <v>23</v>
      </c>
      <c r="F7" s="165" t="s">
        <v>557</v>
      </c>
      <c r="G7" s="165" t="s">
        <v>248</v>
      </c>
      <c r="H7" s="165" t="s">
        <v>249</v>
      </c>
      <c r="I7" s="166" t="s">
        <v>33</v>
      </c>
      <c r="J7" s="167" t="s">
        <v>34</v>
      </c>
      <c r="K7" s="168" t="s">
        <v>35</v>
      </c>
      <c r="L7" s="168" t="s">
        <v>36</v>
      </c>
      <c r="M7" s="286"/>
    </row>
    <row r="8" spans="1:16" x14ac:dyDescent="0.3">
      <c r="B8" s="15" t="s">
        <v>299</v>
      </c>
      <c r="C8" s="15" t="s">
        <v>397</v>
      </c>
      <c r="D8" t="s">
        <v>39</v>
      </c>
      <c r="E8" t="s">
        <v>40</v>
      </c>
      <c r="F8" s="10">
        <f>1/'Forage, input data per ha'!C8*10000</f>
        <v>1.7618706912145321</v>
      </c>
      <c r="G8" s="100">
        <f>('Forage, input data per ha'!D8+'Forage, input data per ha'!E8)/'Forage, input data per ha'!C8</f>
        <v>1.0762098565245551E-2</v>
      </c>
      <c r="H8" s="314">
        <f>'Forage, input data per ha'!G8/'Forage, input data per ha'!C8</f>
        <v>3.8463374244824279E-5</v>
      </c>
      <c r="I8" s="4">
        <f>'Forage, input data per ha'!I8/'Forage, input data per ha'!C8</f>
        <v>0</v>
      </c>
      <c r="J8" s="42">
        <f>'Forage, input data per ha'!J8/'Forage, input data per ha'!C8</f>
        <v>0</v>
      </c>
      <c r="K8" s="42">
        <f>1/'Forage, input data per ha'!C8*SUM('Forage, input data per ha'!R8:V8)*10000/(No_species/1000000)</f>
        <v>6.7547362020899446E-11</v>
      </c>
      <c r="L8" s="100">
        <f>'Forage, input data per ha'!D8/'Forage, input data per ha'!C8*EF_NH3*N_to_NH3</f>
        <v>1.3924589728241983E-4</v>
      </c>
    </row>
    <row r="9" spans="1:16" x14ac:dyDescent="0.3">
      <c r="B9" s="15" t="s">
        <v>299</v>
      </c>
      <c r="C9" s="15" t="s">
        <v>397</v>
      </c>
      <c r="D9" t="s">
        <v>41</v>
      </c>
      <c r="E9" t="s">
        <v>42</v>
      </c>
      <c r="F9" s="10">
        <f>1/'Forage, input data per ha'!C9*10000</f>
        <v>2.2808216547075846</v>
      </c>
      <c r="G9" s="100">
        <f>('Forage, input data per ha'!D9+'Forage, input data per ha'!E9)/'Forage, input data per ha'!C9</f>
        <v>1.3261392141552593E-2</v>
      </c>
      <c r="H9" s="314">
        <f>'Forage, input data per ha'!G9/'Forage, input data per ha'!C9</f>
        <v>2.9377625397606846E-4</v>
      </c>
      <c r="I9" s="4">
        <f>'Forage, input data per ha'!I9/'Forage, input data per ha'!C9</f>
        <v>7.2251532547729629E-3</v>
      </c>
      <c r="J9" s="42">
        <f>'Forage, input data per ha'!J9/'Forage, input data per ha'!C9</f>
        <v>0</v>
      </c>
      <c r="K9" s="42">
        <f>1/'Forage, input data per ha'!C9*SUM('Forage, input data per ha'!R9:V9)*10000/(No_species/1000000)</f>
        <v>7.3644655086134701E-10</v>
      </c>
      <c r="L9" s="100">
        <f>'Forage, input data per ha'!D9/'Forage, input data per ha'!C9*EF_NH3*N_to_NH3</f>
        <v>2.9118945728129586E-4</v>
      </c>
    </row>
    <row r="10" spans="1:16" x14ac:dyDescent="0.3">
      <c r="B10" s="15" t="s">
        <v>299</v>
      </c>
      <c r="C10" s="15" t="s">
        <v>397</v>
      </c>
      <c r="D10" t="s">
        <v>43</v>
      </c>
      <c r="E10" t="s">
        <v>44</v>
      </c>
      <c r="F10" s="10">
        <f>1/'Forage, input data per ha'!C10*10000</f>
        <v>2.2909779070682172</v>
      </c>
      <c r="G10" s="100">
        <f>('Forage, input data per ha'!D10+'Forage, input data per ha'!E10)/'Forage, input data per ha'!C10</f>
        <v>1.4084562538983799E-2</v>
      </c>
      <c r="H10" s="314">
        <f>'Forage, input data per ha'!G10/'Forage, input data per ha'!C10</f>
        <v>1.5004291926573534E-4</v>
      </c>
      <c r="I10" s="4">
        <f>'Forage, input data per ha'!I10/'Forage, input data per ha'!C10</f>
        <v>1.3139329498191888E-4</v>
      </c>
      <c r="J10" s="42">
        <f>'Forage, input data per ha'!J10/'Forage, input data per ha'!C10</f>
        <v>0</v>
      </c>
      <c r="K10" s="42">
        <f>1/'Forage, input data per ha'!C10*SUM('Forage, input data per ha'!R10:V10)*10000/(No_species/1000000)</f>
        <v>6.6901157317801859E-11</v>
      </c>
      <c r="L10" s="100">
        <f>'Forage, input data per ha'!D10/'Forage, input data per ha'!C10*EF_NH3*N_to_NH3</f>
        <v>3.4123377454641629E-4</v>
      </c>
    </row>
    <row r="11" spans="1:16" x14ac:dyDescent="0.3">
      <c r="B11" s="15" t="s">
        <v>299</v>
      </c>
      <c r="C11" s="15" t="s">
        <v>397</v>
      </c>
      <c r="D11" t="s">
        <v>45</v>
      </c>
      <c r="E11" t="s">
        <v>46</v>
      </c>
      <c r="F11" s="10">
        <f>1/'Forage, input data per ha'!C11*10000</f>
        <v>5.6420294009104612</v>
      </c>
      <c r="G11" s="100">
        <f>('Forage, input data per ha'!D11+'Forage, input data per ha'!E11)/'Forage, input data per ha'!C11</f>
        <v>1.4248888174213355E-2</v>
      </c>
      <c r="H11" s="314">
        <f>'Forage, input data per ha'!G11/'Forage, input data per ha'!C11</f>
        <v>2.3847872238080535E-4</v>
      </c>
      <c r="I11" s="4">
        <f>'Forage, input data per ha'!I11/'Forage, input data per ha'!C11</f>
        <v>4.1667992608341718E-2</v>
      </c>
      <c r="J11" s="42">
        <f>'Forage, input data per ha'!J11/'Forage, input data per ha'!C11</f>
        <v>0</v>
      </c>
      <c r="K11" s="42">
        <f>1/'Forage, input data per ha'!C11*SUM('Forage, input data per ha'!R11:V11)*10000/(No_species/1000000)</f>
        <v>8.1248780444874649E-9</v>
      </c>
      <c r="L11" s="100">
        <f>'Forage, input data per ha'!D11/'Forage, input data per ha'!C11*EF_NH3*N_to_NH3</f>
        <v>3.5122388625340054E-4</v>
      </c>
    </row>
    <row r="12" spans="1:16" x14ac:dyDescent="0.3">
      <c r="B12" s="15" t="s">
        <v>299</v>
      </c>
      <c r="C12" s="15" t="s">
        <v>397</v>
      </c>
      <c r="D12" t="s">
        <v>47</v>
      </c>
      <c r="E12" t="s">
        <v>48</v>
      </c>
      <c r="F12" s="10">
        <f>1/'Forage, input data per ha'!C12*10000</f>
        <v>8.4756971535826438</v>
      </c>
      <c r="G12" s="100">
        <f>('Forage, input data per ha'!D12+'Forage, input data per ha'!E12)/'Forage, input data per ha'!C12</f>
        <v>1.4248888174213355E-2</v>
      </c>
      <c r="H12" s="314">
        <f>'Forage, input data per ha'!G12/'Forage, input data per ha'!C12</f>
        <v>2.3847872238080535E-4</v>
      </c>
      <c r="I12" s="4">
        <f>'Forage, input data per ha'!I12/'Forage, input data per ha'!C12</f>
        <v>1.1427346860111067E-4</v>
      </c>
      <c r="J12" s="42">
        <f>'Forage, input data per ha'!J12/'Forage, input data per ha'!C12</f>
        <v>0</v>
      </c>
      <c r="K12" s="42">
        <f>1/'Forage, input data per ha'!C12*SUM('Forage, input data per ha'!R12:V12)*10000/(No_species/1000000)</f>
        <v>2.820042632306057E-10</v>
      </c>
      <c r="L12" s="100">
        <f>'Forage, input data per ha'!D12/'Forage, input data per ha'!C12*EF_NH3*N_to_NH3</f>
        <v>3.5122388625340054E-4</v>
      </c>
    </row>
    <row r="13" spans="1:16" x14ac:dyDescent="0.3">
      <c r="B13" s="15" t="s">
        <v>299</v>
      </c>
      <c r="C13" s="15" t="s">
        <v>397</v>
      </c>
      <c r="D13" t="s">
        <v>49</v>
      </c>
      <c r="E13" t="s">
        <v>50</v>
      </c>
      <c r="F13" s="10">
        <f>1/'Forage, input data per ha'!C13*10000</f>
        <v>2.5604713734555182</v>
      </c>
      <c r="G13" s="100">
        <f>('Forage, input data per ha'!D13+'Forage, input data per ha'!E13)/'Forage, input data per ha'!C13</f>
        <v>1.4248888174213353E-2</v>
      </c>
      <c r="H13" s="314">
        <f>'Forage, input data per ha'!G13/'Forage, input data per ha'!C13</f>
        <v>2.3847872238080538E-4</v>
      </c>
      <c r="I13" s="4">
        <f>'Forage, input data per ha'!I13/'Forage, input data per ha'!C13</f>
        <v>0</v>
      </c>
      <c r="J13" s="42">
        <f>'Forage, input data per ha'!J13/'Forage, input data per ha'!C13</f>
        <v>0</v>
      </c>
      <c r="K13" s="42">
        <f>1/'Forage, input data per ha'!C13*SUM('Forage, input data per ha'!R13:V13)*10000/(No_species/1000000)</f>
        <v>1.2490051424446902E-11</v>
      </c>
      <c r="L13" s="100">
        <f>'Forage, input data per ha'!D13/'Forage, input data per ha'!C13*EF_NH3*N_to_NH3</f>
        <v>3.5122388625340054E-4</v>
      </c>
    </row>
    <row r="14" spans="1:16" x14ac:dyDescent="0.3">
      <c r="B14" s="15" t="s">
        <v>299</v>
      </c>
      <c r="C14" s="15" t="s">
        <v>397</v>
      </c>
      <c r="D14" t="s">
        <v>51</v>
      </c>
      <c r="E14" t="s">
        <v>52</v>
      </c>
      <c r="F14" s="10">
        <f>1/'Forage, input data per ha'!C14*10000</f>
        <v>2.1104059811217226</v>
      </c>
      <c r="G14" s="100">
        <f>('Forage, input data per ha'!D14+'Forage, input data per ha'!E14)/'Forage, input data per ha'!C14</f>
        <v>1.4248888174213353E-2</v>
      </c>
      <c r="H14" s="314">
        <f>'Forage, input data per ha'!G14/'Forage, input data per ha'!C14</f>
        <v>2.3847872238080535E-4</v>
      </c>
      <c r="I14" s="4">
        <f>'Forage, input data per ha'!I14/'Forage, input data per ha'!C14</f>
        <v>5.5496587714507417E-3</v>
      </c>
      <c r="J14" s="42">
        <f>'Forage, input data per ha'!J14/'Forage, input data per ha'!C14</f>
        <v>0</v>
      </c>
      <c r="K14" s="42">
        <f>1/'Forage, input data per ha'!C14*SUM('Forage, input data per ha'!R14:V14)*10000/(No_species/1000000)</f>
        <v>2.1426370103250188E-9</v>
      </c>
      <c r="L14" s="100">
        <f>'Forage, input data per ha'!D14/'Forage, input data per ha'!C14*EF_NH3*N_to_NH3</f>
        <v>3.5122388625340054E-4</v>
      </c>
    </row>
    <row r="15" spans="1:16" x14ac:dyDescent="0.3">
      <c r="B15" s="15" t="s">
        <v>299</v>
      </c>
      <c r="C15" s="15" t="s">
        <v>397</v>
      </c>
      <c r="D15" t="s">
        <v>53</v>
      </c>
      <c r="E15" t="s">
        <v>54</v>
      </c>
      <c r="F15" s="10">
        <f>1/'Forage, input data per ha'!C15*10000</f>
        <v>3.5856878365593201</v>
      </c>
      <c r="G15" s="100">
        <f>('Forage, input data per ha'!D15+'Forage, input data per ha'!E15)/'Forage, input data per ha'!C15</f>
        <v>3.4288619089893765E-2</v>
      </c>
      <c r="H15" s="314">
        <f>'Forage, input data per ha'!G15/'Forage, input data per ha'!C15</f>
        <v>0</v>
      </c>
      <c r="I15" s="4">
        <f>'Forage, input data per ha'!I15/'Forage, input data per ha'!C15</f>
        <v>1.0006970049386602E-3</v>
      </c>
      <c r="J15" s="42">
        <f>'Forage, input data per ha'!J15/'Forage, input data per ha'!C15</f>
        <v>0</v>
      </c>
      <c r="K15" s="42">
        <f>1/'Forage, input data per ha'!C15*SUM('Forage, input data per ha'!R15:V15)*10000/(No_species/1000000)</f>
        <v>8.2930933826806023E-11</v>
      </c>
      <c r="L15" s="100">
        <f>'Forage, input data per ha'!D15/'Forage, input data per ha'!C15*EF_NH3*N_to_NH3</f>
        <v>1.5695313654600586E-3</v>
      </c>
    </row>
    <row r="16" spans="1:16" x14ac:dyDescent="0.3">
      <c r="B16" s="15" t="s">
        <v>299</v>
      </c>
      <c r="C16" s="15" t="s">
        <v>397</v>
      </c>
      <c r="D16" t="s">
        <v>55</v>
      </c>
      <c r="E16" t="s">
        <v>56</v>
      </c>
      <c r="F16" s="10">
        <f>1/'Forage, input data per ha'!C16*10000</f>
        <v>2.6494621471855524</v>
      </c>
      <c r="G16" s="100">
        <f>('Forage, input data per ha'!D16+'Forage, input data per ha'!E16)/'Forage, input data per ha'!C16</f>
        <v>1.4248888174213353E-2</v>
      </c>
      <c r="H16" s="314">
        <f>'Forage, input data per ha'!G16/'Forage, input data per ha'!C16</f>
        <v>2.3847872238080535E-4</v>
      </c>
      <c r="I16" s="4">
        <f>'Forage, input data per ha'!I16/'Forage, input data per ha'!C16</f>
        <v>2.3699570524521766E-4</v>
      </c>
      <c r="J16" s="42">
        <f>'Forage, input data per ha'!J16/'Forage, input data per ha'!C16</f>
        <v>0</v>
      </c>
      <c r="K16" s="42">
        <f>1/'Forage, input data per ha'!C16*SUM('Forage, input data per ha'!R16:V16)*10000/(No_species/1000000)</f>
        <v>1.023700413544696E-10</v>
      </c>
      <c r="L16" s="100">
        <f>'Forage, input data per ha'!D16/'Forage, input data per ha'!C16*EF_NH3*N_to_NH3</f>
        <v>3.5122388625340054E-4</v>
      </c>
    </row>
    <row r="17" spans="1:16" x14ac:dyDescent="0.3">
      <c r="B17" s="15" t="s">
        <v>299</v>
      </c>
      <c r="C17" s="15" t="s">
        <v>397</v>
      </c>
      <c r="D17" t="s">
        <v>57</v>
      </c>
      <c r="E17" t="s">
        <v>58</v>
      </c>
      <c r="F17" s="10">
        <f>1/'Forage, input data per ha'!C17*10000</f>
        <v>3.8149219489237312</v>
      </c>
      <c r="G17" s="100">
        <f>('Forage, input data per ha'!D17+'Forage, input data per ha'!E17)/'Forage, input data per ha'!C17</f>
        <v>1.4248888174213355E-2</v>
      </c>
      <c r="H17" s="314">
        <f>'Forage, input data per ha'!G17/'Forage, input data per ha'!C17</f>
        <v>2.3847872238080535E-4</v>
      </c>
      <c r="I17" s="4">
        <f>'Forage, input data per ha'!I17/'Forage, input data per ha'!C17</f>
        <v>4.1581712214757781E-2</v>
      </c>
      <c r="J17" s="42">
        <f>'Forage, input data per ha'!J17/'Forage, input data per ha'!C17</f>
        <v>0</v>
      </c>
      <c r="K17" s="42">
        <f>1/'Forage, input data per ha'!C17*SUM('Forage, input data per ha'!R17:V17)*10000/(No_species/1000000)</f>
        <v>6.3047082974254232E-9</v>
      </c>
      <c r="L17" s="100">
        <f>'Forage, input data per ha'!D17/'Forage, input data per ha'!C17*EF_NH3*N_to_NH3</f>
        <v>3.5122388625340054E-4</v>
      </c>
    </row>
    <row r="18" spans="1:16" x14ac:dyDescent="0.3">
      <c r="B18" s="15" t="s">
        <v>299</v>
      </c>
      <c r="C18" s="15" t="s">
        <v>397</v>
      </c>
      <c r="D18" s="16" t="s">
        <v>59</v>
      </c>
      <c r="E18" t="s">
        <v>60</v>
      </c>
      <c r="F18" s="10">
        <f>1/'Forage, input data per ha'!C18*10000</f>
        <v>5.7504312823461756</v>
      </c>
      <c r="G18" s="100">
        <f>('Forage, input data per ha'!D18+'Forage, input data per ha'!E18)/'Forage, input data per ha'!C18</f>
        <v>1.3044946916826707E-2</v>
      </c>
      <c r="H18" s="314">
        <f>'Forage, input data per ha'!G18/'Forage, input data per ha'!C18</f>
        <v>0</v>
      </c>
      <c r="I18" s="4">
        <f>'Forage, input data per ha'!I18/'Forage, input data per ha'!C18</f>
        <v>0</v>
      </c>
      <c r="J18" s="42">
        <f>'Forage, input data per ha'!J18/'Forage, input data per ha'!C18</f>
        <v>0</v>
      </c>
      <c r="K18" s="42">
        <f>1/'Forage, input data per ha'!C18*SUM('Forage, input data per ha'!R18:V18)*10000/(No_species/1000000)</f>
        <v>-3.1981697689077777E-10</v>
      </c>
      <c r="L18" s="100">
        <f>'Forage, input data per ha'!D18/'Forage, input data per ha'!C18*EF_NH3*N_to_NH3</f>
        <v>0</v>
      </c>
    </row>
    <row r="19" spans="1:16" x14ac:dyDescent="0.3">
      <c r="A19" s="20"/>
      <c r="B19" s="15" t="s">
        <v>299</v>
      </c>
      <c r="C19" s="15" t="s">
        <v>397</v>
      </c>
      <c r="D19" s="16" t="s">
        <v>556</v>
      </c>
      <c r="E19" t="s">
        <v>560</v>
      </c>
      <c r="F19" s="10">
        <f>1/'Forage, input data per ha'!C19*10000</f>
        <v>2.5604713734555182</v>
      </c>
      <c r="G19" s="100">
        <f>('Forage, input data per ha'!D19+'Forage, input data per ha'!E19)/'Forage, input data per ha'!C19</f>
        <v>1.4248888174213353E-2</v>
      </c>
      <c r="H19" s="314">
        <f>'Forage, input data per ha'!G19/'Forage, input data per ha'!C19</f>
        <v>2.3847872238080538E-4</v>
      </c>
      <c r="I19" s="4">
        <f>'Forage, input data per ha'!I19/'Forage, input data per ha'!C19</f>
        <v>0</v>
      </c>
      <c r="J19" s="42">
        <f>'Forage, input data per ha'!J19/'Forage, input data per ha'!C19</f>
        <v>0</v>
      </c>
      <c r="K19" s="42">
        <f>1/'Forage, input data per ha'!C19*SUM('Forage, input data per ha'!R19:V19)*10000/(No_species/1000000)</f>
        <v>1.0782534831875403E-10</v>
      </c>
      <c r="L19" s="100">
        <f>'Forage, input data per ha'!D19/'Forage, input data per ha'!C19*EF_NH3*N_to_NH3</f>
        <v>3.5122388625340054E-4</v>
      </c>
    </row>
    <row r="21" spans="1:16" ht="18" x14ac:dyDescent="0.35">
      <c r="A21" s="265" t="s">
        <v>396</v>
      </c>
      <c r="B21" s="109"/>
      <c r="C21" s="109"/>
      <c r="D21" s="109"/>
      <c r="E21" s="109"/>
      <c r="F21" s="109"/>
      <c r="G21" s="109"/>
      <c r="H21" s="109"/>
      <c r="I21" s="109"/>
      <c r="J21" s="109"/>
      <c r="K21" s="109"/>
      <c r="L21" s="109"/>
      <c r="M21" s="109"/>
      <c r="N21" s="109"/>
      <c r="O21" s="109"/>
      <c r="P21" s="109"/>
    </row>
    <row r="23" spans="1:16" x14ac:dyDescent="0.3">
      <c r="A23" s="156" t="s">
        <v>224</v>
      </c>
      <c r="B23" s="157"/>
      <c r="C23" s="157"/>
      <c r="D23" s="157"/>
      <c r="E23" s="157"/>
      <c r="F23" s="158" t="s">
        <v>12</v>
      </c>
      <c r="G23" s="158" t="s">
        <v>247</v>
      </c>
      <c r="H23" s="158" t="s">
        <v>13</v>
      </c>
      <c r="I23" s="158" t="s">
        <v>14</v>
      </c>
      <c r="J23" s="159" t="s">
        <v>15</v>
      </c>
      <c r="K23" s="159" t="s">
        <v>16</v>
      </c>
      <c r="L23" s="159" t="s">
        <v>17</v>
      </c>
      <c r="M23" s="285"/>
      <c r="N23" s="286"/>
      <c r="O23" s="286"/>
      <c r="P23" s="287"/>
    </row>
    <row r="24" spans="1:16" ht="43.2" x14ac:dyDescent="0.3">
      <c r="A24" s="160" t="s">
        <v>19</v>
      </c>
      <c r="B24" s="160" t="s">
        <v>224</v>
      </c>
      <c r="C24" s="160" t="s">
        <v>226</v>
      </c>
      <c r="D24" s="160" t="s">
        <v>22</v>
      </c>
      <c r="E24" s="149" t="s">
        <v>23</v>
      </c>
      <c r="F24" s="165" t="s">
        <v>30</v>
      </c>
      <c r="G24" s="165" t="s">
        <v>248</v>
      </c>
      <c r="H24" s="165" t="s">
        <v>249</v>
      </c>
      <c r="I24" s="166" t="s">
        <v>33</v>
      </c>
      <c r="J24" s="167" t="s">
        <v>34</v>
      </c>
      <c r="K24" s="168" t="s">
        <v>35</v>
      </c>
      <c r="L24" s="168" t="s">
        <v>36</v>
      </c>
      <c r="M24" s="286"/>
    </row>
    <row r="25" spans="1:16" x14ac:dyDescent="0.3">
      <c r="A25" s="71"/>
      <c r="B25" s="15" t="s">
        <v>362</v>
      </c>
      <c r="C25" s="15" t="s">
        <v>397</v>
      </c>
      <c r="D25" t="s">
        <v>39</v>
      </c>
      <c r="E25" t="s">
        <v>40</v>
      </c>
      <c r="F25" s="10">
        <f>1/'Forage, input data per ha'!C26*10000</f>
        <v>0.75224590731520991</v>
      </c>
      <c r="G25" s="100">
        <f>('Forage, input data per ha'!D26+'Forage, input data per ha'!E26)/'Forage, input data per ha'!C26</f>
        <v>3.0089836292608398E-3</v>
      </c>
      <c r="H25" s="314">
        <f>'Forage, input data per ha'!G26/'Forage, input data per ha'!C26</f>
        <v>3.9413447538205363E-4</v>
      </c>
      <c r="I25" s="4">
        <f>'Forage, input data per ha'!I26/'Forage, input data per ha'!C26</f>
        <v>0</v>
      </c>
      <c r="J25" s="42">
        <f>'Forage, input data per ha'!J26/'Forage, input data per ha'!C26</f>
        <v>2.5056963704554087E-5</v>
      </c>
      <c r="K25" s="42">
        <f>1/'Forage, input data per ha'!C26*SUM('Forage, input data per ha'!R26:V26)*10000/(No_species/1000000)</f>
        <v>3.3779715864976507E-11</v>
      </c>
      <c r="L25" s="100">
        <f>'Forage, input data per ha'!D26/'Forage, input data per ha'!C26*EF_NH3*N_to_NH3</f>
        <v>1.8292996426765674E-4</v>
      </c>
    </row>
    <row r="26" spans="1:16" x14ac:dyDescent="0.3">
      <c r="A26" s="71"/>
      <c r="B26" s="15" t="s">
        <v>362</v>
      </c>
      <c r="C26" s="15" t="s">
        <v>397</v>
      </c>
      <c r="D26" t="s">
        <v>41</v>
      </c>
      <c r="E26" t="s">
        <v>42</v>
      </c>
      <c r="F26" s="10">
        <f>1/'Forage, input data per ha'!C27*10000</f>
        <v>0.78354822784250244</v>
      </c>
      <c r="G26" s="100">
        <f>('Forage, input data per ha'!D27+'Forage, input data per ha'!E27)/'Forage, input data per ha'!C27</f>
        <v>4.8579990126235142E-3</v>
      </c>
      <c r="H26" s="314">
        <f>'Forage, input data per ha'!G27/'Forage, input data per ha'!C27</f>
        <v>6.5685620452374282E-4</v>
      </c>
      <c r="I26" s="4">
        <f>'Forage, input data per ha'!I27/'Forage, input data per ha'!C27</f>
        <v>7.2251532547729629E-3</v>
      </c>
      <c r="J26" s="42">
        <f>'Forage, input data per ha'!J27/'Forage, input data per ha'!C27</f>
        <v>6.7567011968587768E-5</v>
      </c>
      <c r="K26" s="42">
        <f>1/'Forage, input data per ha'!C27*SUM('Forage, input data per ha'!R27:V27)*10000/(No_species/1000000)</f>
        <v>2.6033325296098955E-10</v>
      </c>
      <c r="L26" s="100">
        <f>'Forage, input data per ha'!D27/'Forage, input data per ha'!C27*EF_NH3*N_to_NH3</f>
        <v>2.9534011988288379E-4</v>
      </c>
    </row>
    <row r="27" spans="1:16" x14ac:dyDescent="0.3">
      <c r="A27" s="20"/>
      <c r="B27" s="15" t="s">
        <v>362</v>
      </c>
      <c r="C27" s="15" t="s">
        <v>397</v>
      </c>
      <c r="D27" t="s">
        <v>43</v>
      </c>
      <c r="E27" t="s">
        <v>44</v>
      </c>
      <c r="F27" s="10">
        <f>1/'Forage, input data per ha'!C28*10000</f>
        <v>0.63803221792873233</v>
      </c>
      <c r="G27" s="100">
        <f>('Forage, input data per ha'!D28+'Forage, input data per ha'!E28)/'Forage, input data per ha'!C28</f>
        <v>3.2539643114365352E-3</v>
      </c>
      <c r="H27" s="314">
        <f>'Forage, input data per ha'!G28/'Forage, input data per ha'!C28</f>
        <v>2.2286195781172623E-4</v>
      </c>
      <c r="I27" s="4">
        <f>'Forage, input data per ha'!I28/'Forage, input data per ha'!C28</f>
        <v>1.3139329498191888E-4</v>
      </c>
      <c r="J27" s="42">
        <f>'Forage, input data per ha'!J28/'Forage, input data per ha'!C28</f>
        <v>1.0479214179139297E-4</v>
      </c>
      <c r="K27" s="42">
        <f>1/'Forage, input data per ha'!C28*SUM('Forage, input data per ha'!R28:V28)*10000/(No_species/1000000)</f>
        <v>2.1264268742411393E-11</v>
      </c>
      <c r="L27" s="100">
        <f>'Forage, input data per ha'!D28/'Forage, input data per ha'!C28*EF_NH3*N_to_NH3</f>
        <v>1.9782346750937254E-4</v>
      </c>
    </row>
    <row r="28" spans="1:16" x14ac:dyDescent="0.3">
      <c r="A28" s="20"/>
      <c r="B28" s="15" t="s">
        <v>362</v>
      </c>
      <c r="C28" s="15" t="s">
        <v>397</v>
      </c>
      <c r="D28" t="s">
        <v>45</v>
      </c>
      <c r="E28" t="s">
        <v>46</v>
      </c>
      <c r="F28" s="10">
        <f>1/'Forage, input data per ha'!C29*10000</f>
        <v>1.4743513961474723</v>
      </c>
      <c r="G28" s="100">
        <f>('Forage, input data per ha'!D29+'Forage, input data per ha'!E29)/'Forage, input data per ha'!C29</f>
        <v>2.6538325130654503E-2</v>
      </c>
      <c r="H28" s="314">
        <f>'Forage, input data per ha'!G29/'Forage, input data per ha'!C29</f>
        <v>1.4162079608064451E-3</v>
      </c>
      <c r="I28" s="4">
        <f>'Forage, input data per ha'!I29/'Forage, input data per ha'!C29</f>
        <v>4.1667992608341725E-2</v>
      </c>
      <c r="J28" s="42">
        <f>'Forage, input data per ha'!J29/'Forage, input data per ha'!C29</f>
        <v>6.7567011968587768E-5</v>
      </c>
      <c r="K28" s="42">
        <f>1/'Forage, input data per ha'!C29*SUM('Forage, input data per ha'!R29:V29)*10000/(No_species/1000000)</f>
        <v>2.4318490145488241E-9</v>
      </c>
      <c r="L28" s="100">
        <f>'Forage, input data per ha'!D29/'Forage, input data per ha'!C29*EF_NH3*N_to_NH3</f>
        <v>1.6133869326057572E-3</v>
      </c>
    </row>
    <row r="29" spans="1:16" x14ac:dyDescent="0.3">
      <c r="A29" s="20"/>
      <c r="B29" s="15" t="s">
        <v>362</v>
      </c>
      <c r="C29" s="15" t="s">
        <v>397</v>
      </c>
      <c r="D29" t="s">
        <v>47</v>
      </c>
      <c r="E29" t="s">
        <v>48</v>
      </c>
      <c r="F29" s="10">
        <f>1/'Forage, input data per ha'!C30*10000</f>
        <v>1.0253586201655651</v>
      </c>
      <c r="G29" s="100">
        <f>('Forage, input data per ha'!D30+'Forage, input data per ha'!E30)/'Forage, input data per ha'!C30</f>
        <v>1.2271227357465341E-2</v>
      </c>
      <c r="H29" s="314">
        <f>'Forage, input data per ha'!G30/'Forage, input data per ha'!C30</f>
        <v>1.3430753757098248E-4</v>
      </c>
      <c r="I29" s="4">
        <f>'Forage, input data per ha'!I30/'Forage, input data per ha'!C30</f>
        <v>1.1427346860111068E-4</v>
      </c>
      <c r="J29" s="42">
        <f>'Forage, input data per ha'!J30/'Forage, input data per ha'!C30</f>
        <v>1.0479214179139297E-4</v>
      </c>
      <c r="K29" s="42">
        <f>1/'Forage, input data per ha'!C30*SUM('Forage, input data per ha'!R30:V30)*10000/(No_species/1000000)</f>
        <v>3.9009083364158449E-11</v>
      </c>
      <c r="L29" s="100">
        <f>'Forage, input data per ha'!D30/'Forage, input data per ha'!C30*EF_NH3*N_to_NH3</f>
        <v>7.4602439182191841E-4</v>
      </c>
    </row>
    <row r="30" spans="1:16" x14ac:dyDescent="0.3">
      <c r="A30" s="20"/>
      <c r="B30" s="15" t="s">
        <v>362</v>
      </c>
      <c r="C30" s="15" t="s">
        <v>397</v>
      </c>
      <c r="D30" t="s">
        <v>49</v>
      </c>
      <c r="E30" t="s">
        <v>50</v>
      </c>
      <c r="F30" s="10">
        <f>1/'Forage, input data per ha'!C31*10000</f>
        <v>0.61943752006156494</v>
      </c>
      <c r="G30" s="100">
        <f>('Forage, input data per ha'!D31+'Forage, input data per ha'!E31)/'Forage, input data per ha'!C31</f>
        <v>8.6721252808619094E-3</v>
      </c>
      <c r="H30" s="314">
        <f>'Forage, input data per ha'!G31/'Forage, input data per ha'!C31</f>
        <v>2.2919188242277906E-3</v>
      </c>
      <c r="I30" s="4">
        <f>'Forage, input data per ha'!I31/'Forage, input data per ha'!C31</f>
        <v>0</v>
      </c>
      <c r="J30" s="42">
        <f>'Forage, input data per ha'!J31/'Forage, input data per ha'!C31</f>
        <v>1.3255962929317492E-4</v>
      </c>
      <c r="K30" s="42">
        <f>1/'Forage, input data per ha'!C31*SUM('Forage, input data per ha'!R31:V31)*10000/(No_species/1000000)</f>
        <v>2.1969414141312867E-11</v>
      </c>
      <c r="L30" s="100">
        <f>'Forage, input data per ha'!D31/'Forage, input data per ha'!C31*EF_NH3*N_to_NH3</f>
        <v>5.2721841100292416E-4</v>
      </c>
    </row>
    <row r="31" spans="1:16" x14ac:dyDescent="0.3">
      <c r="A31" s="20"/>
      <c r="B31" s="15" t="s">
        <v>362</v>
      </c>
      <c r="C31" s="15" t="s">
        <v>397</v>
      </c>
      <c r="D31" t="s">
        <v>51</v>
      </c>
      <c r="E31" t="s">
        <v>52</v>
      </c>
      <c r="F31" s="10">
        <f>1/'Forage, input data per ha'!C32*10000</f>
        <v>0.51445196317795561</v>
      </c>
      <c r="G31" s="100">
        <f>('Forage, input data per ha'!D32+'Forage, input data per ha'!E32)/'Forage, input data per ha'!C32</f>
        <v>7.6719017232218913E-3</v>
      </c>
      <c r="H31" s="314">
        <f>'Forage, input data per ha'!G32/'Forage, input data per ha'!C32</f>
        <v>1.3477192274802781E-4</v>
      </c>
      <c r="I31" s="4">
        <f>'Forage, input data per ha'!I32/'Forage, input data per ha'!C32</f>
        <v>5.5496587714507425E-3</v>
      </c>
      <c r="J31" s="42">
        <f>'Forage, input data per ha'!J32/'Forage, input data per ha'!C32</f>
        <v>6.7567011968587768E-5</v>
      </c>
      <c r="K31" s="42">
        <f>1/'Forage, input data per ha'!C32*SUM('Forage, input data per ha'!R32:V32)*10000/(No_species/1000000)</f>
        <v>6.050074120144133E-10</v>
      </c>
      <c r="L31" s="100">
        <f>'Forage, input data per ha'!D32/'Forage, input data per ha'!C32*EF_NH3*N_to_NH3</f>
        <v>4.6641021720636829E-4</v>
      </c>
    </row>
    <row r="32" spans="1:16" x14ac:dyDescent="0.3">
      <c r="A32" s="20"/>
      <c r="B32" s="15" t="s">
        <v>362</v>
      </c>
      <c r="C32" s="15" t="s">
        <v>397</v>
      </c>
      <c r="D32" t="s">
        <v>53</v>
      </c>
      <c r="E32" t="s">
        <v>54</v>
      </c>
      <c r="F32" s="10">
        <f>1/'Forage, input data per ha'!C33*10000</f>
        <v>0.61500988697347925</v>
      </c>
      <c r="G32" s="100">
        <f>('Forage, input data per ha'!D33+'Forage, input data per ha'!E33)/'Forage, input data per ha'!C33</f>
        <v>3.1365504235647443E-4</v>
      </c>
      <c r="H32" s="314">
        <f>'Forage, input data per ha'!G33/'Forage, input data per ha'!C33</f>
        <v>8.458551473656372E-5</v>
      </c>
      <c r="I32" s="4">
        <f>'Forage, input data per ha'!I33/'Forage, input data per ha'!C33</f>
        <v>1.0006970049386602E-3</v>
      </c>
      <c r="J32" s="42">
        <f>'Forage, input data per ha'!J33/'Forage, input data per ha'!C33</f>
        <v>7.1677920029331065E-5</v>
      </c>
      <c r="K32" s="42">
        <f>1/'Forage, input data per ha'!C33*SUM('Forage, input data per ha'!R33:V33)*10000/(No_species/1000000)</f>
        <v>1.8981028633078485E-11</v>
      </c>
      <c r="L32" s="100">
        <f>'Forage, input data per ha'!D33/'Forage, input data per ha'!C33*EF_NH3*N_to_NH3</f>
        <v>1.9068533684490312E-5</v>
      </c>
    </row>
    <row r="33" spans="1:16" x14ac:dyDescent="0.3">
      <c r="A33" s="20"/>
      <c r="B33" s="15" t="s">
        <v>362</v>
      </c>
      <c r="C33" s="15" t="s">
        <v>397</v>
      </c>
      <c r="D33" t="s">
        <v>55</v>
      </c>
      <c r="E33" t="s">
        <v>56</v>
      </c>
      <c r="F33" s="10">
        <f>1/'Forage, input data per ha'!C34*10000</f>
        <v>0.6336182502296176</v>
      </c>
      <c r="G33" s="100">
        <f>('Forage, input data per ha'!D34+'Forage, input data per ha'!E34)/'Forage, input data per ha'!C34</f>
        <v>7.983589952893182E-3</v>
      </c>
      <c r="H33" s="314">
        <f>'Forage, input data per ha'!G34/'Forage, input data per ha'!C34</f>
        <v>1.3832511096562076E-3</v>
      </c>
      <c r="I33" s="4">
        <f>'Forage, input data per ha'!I34/'Forage, input data per ha'!C34</f>
        <v>2.3699570524521768E-4</v>
      </c>
      <c r="J33" s="42">
        <f>'Forage, input data per ha'!J34/'Forage, input data per ha'!C34</f>
        <v>1.0479214179139297E-4</v>
      </c>
      <c r="K33" s="42">
        <f>1/'Forage, input data per ha'!C34*SUM('Forage, input data per ha'!R34:V34)*10000/(No_species/1000000)</f>
        <v>2.8677079889189967E-11</v>
      </c>
      <c r="L33" s="100">
        <f>'Forage, input data per ha'!D34/'Forage, input data per ha'!C34*EF_NH3*N_to_NH3</f>
        <v>4.8535917929508023E-4</v>
      </c>
    </row>
    <row r="34" spans="1:16" x14ac:dyDescent="0.3">
      <c r="A34" s="20"/>
      <c r="B34" s="15" t="s">
        <v>362</v>
      </c>
      <c r="C34" s="15" t="s">
        <v>397</v>
      </c>
      <c r="D34" t="s">
        <v>57</v>
      </c>
      <c r="E34" t="s">
        <v>58</v>
      </c>
      <c r="F34" s="10">
        <f>1/'Forage, input data per ha'!C35*10000</f>
        <v>1.0250102501025009</v>
      </c>
      <c r="G34" s="100">
        <f>('Forage, input data per ha'!D35+'Forage, input data per ha'!E35)/'Forage, input data per ha'!C35</f>
        <v>5.6375563755637556E-3</v>
      </c>
      <c r="H34" s="314">
        <f>'Forage, input data per ha'!G35/'Forage, input data per ha'!C35</f>
        <v>1.3426190599934167E-3</v>
      </c>
      <c r="I34" s="4">
        <f>'Forage, input data per ha'!I35/'Forage, input data per ha'!C35</f>
        <v>4.1581712214757788E-2</v>
      </c>
      <c r="J34" s="42">
        <f>'Forage, input data per ha'!J35/'Forage, input data per ha'!C35</f>
        <v>6.7567011968587768E-5</v>
      </c>
      <c r="K34" s="42">
        <f>1/'Forage, input data per ha'!C35*SUM('Forage, input data per ha'!R35:V35)*10000/(No_species/1000000)</f>
        <v>2.0012100108206573E-9</v>
      </c>
      <c r="L34" s="100">
        <f>'Forage, input data per ha'!D35/'Forage, input data per ha'!C35*EF_NH3*N_to_NH3</f>
        <v>3.427330000436436E-4</v>
      </c>
    </row>
    <row r="35" spans="1:16" x14ac:dyDescent="0.3">
      <c r="A35" s="20"/>
      <c r="B35" s="15" t="s">
        <v>362</v>
      </c>
      <c r="C35" s="15" t="s">
        <v>397</v>
      </c>
      <c r="D35" s="16" t="s">
        <v>59</v>
      </c>
      <c r="E35" t="s">
        <v>60</v>
      </c>
      <c r="F35" s="10">
        <f>1/'Forage, input data per ha'!C36*10000</f>
        <v>0.91421835939926821</v>
      </c>
      <c r="G35" s="100">
        <f>('Forage, input data per ha'!D36+'Forage, input data per ha'!E36)/'Forage, input data per ha'!C36</f>
        <v>6.399528515794878E-3</v>
      </c>
      <c r="H35" s="314">
        <f>'Forage, input data per ha'!G36/'Forage, input data per ha'!C36</f>
        <v>5.4853101563956093E-4</v>
      </c>
      <c r="I35" s="4">
        <f>'Forage, input data per ha'!I36/'Forage, input data per ha'!C36</f>
        <v>0</v>
      </c>
      <c r="J35" s="42">
        <f>'Forage, input data per ha'!J36/'Forage, input data per ha'!C36</f>
        <v>9.1421835939926832E-6</v>
      </c>
      <c r="K35" s="42">
        <f>1/'Forage, input data per ha'!C36*SUM('Forage, input data per ha'!R36:V36)*10000/(No_species/1000000)</f>
        <v>7.4525395075970689E-12</v>
      </c>
      <c r="L35" s="100">
        <f>'Forage, input data per ha'!D36/'Forage, input data per ha'!C36*EF_NH3*N_to_NH3</f>
        <v>3.8905679357643523E-4</v>
      </c>
    </row>
    <row r="36" spans="1:16" x14ac:dyDescent="0.3">
      <c r="A36" s="20"/>
      <c r="B36" s="15" t="s">
        <v>362</v>
      </c>
      <c r="C36" s="15" t="s">
        <v>397</v>
      </c>
      <c r="D36" s="16" t="s">
        <v>556</v>
      </c>
      <c r="E36" t="s">
        <v>560</v>
      </c>
      <c r="F36" s="10">
        <f>1/'Forage, input data per ha'!C37*10000</f>
        <v>0.61943752006156494</v>
      </c>
      <c r="G36" s="100">
        <f>('Forage, input data per ha'!D37+'Forage, input data per ha'!E37)/'Forage, input data per ha'!C37</f>
        <v>8.6721252808619094E-3</v>
      </c>
      <c r="H36" s="314">
        <f>'Forage, input data per ha'!G37/'Forage, input data per ha'!C37</f>
        <v>2.2919188242277906E-3</v>
      </c>
      <c r="I36" s="4">
        <f>'Forage, input data per ha'!I37/'Forage, input data per ha'!C37</f>
        <v>0</v>
      </c>
      <c r="J36" s="42">
        <f>'Forage, input data per ha'!J37/'Forage, input data per ha'!C37</f>
        <v>1.3255962929317492E-4</v>
      </c>
      <c r="K36" s="42">
        <f>1/'Forage, input data per ha'!C37*SUM('Forage, input data per ha'!R37:V37)*10000/(No_species/1000000)</f>
        <v>3.0193479168640394E-11</v>
      </c>
      <c r="L36" s="100">
        <f>'Forage, input data per ha'!D36/'Forage, input data per ha'!C37*EF_NH3*N_to_NH3</f>
        <v>2.6360920550146208E-4</v>
      </c>
    </row>
    <row r="37" spans="1:16" x14ac:dyDescent="0.3">
      <c r="A37" s="20"/>
      <c r="B37" s="15"/>
      <c r="C37" s="15"/>
    </row>
    <row r="38" spans="1:16" ht="18" x14ac:dyDescent="0.35">
      <c r="A38" s="265" t="s">
        <v>395</v>
      </c>
      <c r="B38" s="109"/>
      <c r="C38" s="109"/>
      <c r="D38" s="109"/>
      <c r="E38" s="109"/>
      <c r="F38" s="109"/>
      <c r="G38" s="109"/>
      <c r="H38" s="109"/>
      <c r="I38" s="109"/>
      <c r="J38" s="109"/>
      <c r="K38" s="109"/>
      <c r="L38" s="109"/>
      <c r="M38" s="109"/>
      <c r="N38" s="109"/>
      <c r="O38" s="109"/>
      <c r="P38" s="109"/>
    </row>
    <row r="40" spans="1:16" x14ac:dyDescent="0.3">
      <c r="A40" s="156" t="s">
        <v>224</v>
      </c>
      <c r="B40" s="157"/>
      <c r="C40" s="157"/>
      <c r="D40" s="157"/>
      <c r="E40" s="157"/>
      <c r="F40" s="158" t="s">
        <v>12</v>
      </c>
      <c r="G40" s="158" t="s">
        <v>247</v>
      </c>
      <c r="H40" s="158" t="s">
        <v>13</v>
      </c>
      <c r="I40" s="158" t="s">
        <v>14</v>
      </c>
      <c r="J40" s="159" t="s">
        <v>15</v>
      </c>
      <c r="K40" s="159" t="s">
        <v>16</v>
      </c>
      <c r="L40" s="159" t="s">
        <v>17</v>
      </c>
      <c r="M40" s="285"/>
      <c r="N40" s="286"/>
      <c r="O40" s="286"/>
      <c r="P40" s="287"/>
    </row>
    <row r="41" spans="1:16" ht="43.2" x14ac:dyDescent="0.3">
      <c r="A41" s="160" t="s">
        <v>19</v>
      </c>
      <c r="B41" s="160" t="s">
        <v>224</v>
      </c>
      <c r="C41" s="160" t="s">
        <v>226</v>
      </c>
      <c r="D41" s="160" t="s">
        <v>22</v>
      </c>
      <c r="E41" s="149" t="s">
        <v>23</v>
      </c>
      <c r="F41" s="165" t="s">
        <v>30</v>
      </c>
      <c r="G41" s="165" t="s">
        <v>248</v>
      </c>
      <c r="H41" s="165" t="s">
        <v>249</v>
      </c>
      <c r="I41" s="166" t="s">
        <v>33</v>
      </c>
      <c r="J41" s="167" t="s">
        <v>34</v>
      </c>
      <c r="K41" s="168" t="s">
        <v>35</v>
      </c>
      <c r="L41" s="168" t="s">
        <v>36</v>
      </c>
      <c r="M41" s="286"/>
    </row>
    <row r="42" spans="1:16" x14ac:dyDescent="0.3">
      <c r="A42" s="71"/>
      <c r="B42" s="15" t="s">
        <v>395</v>
      </c>
      <c r="C42" s="15" t="s">
        <v>397</v>
      </c>
      <c r="D42" t="s">
        <v>39</v>
      </c>
      <c r="E42" t="s">
        <v>40</v>
      </c>
      <c r="F42" s="10">
        <f>1/'Forage, input data per ha'!C44*10000</f>
        <v>0.88093534560726605</v>
      </c>
      <c r="G42" s="100">
        <f>('Forage, input data per ha'!D44+'Forage, input data per ha'!E44)/'Forage, input data per ha'!C44</f>
        <v>1.0762098565245551E-2</v>
      </c>
      <c r="H42" s="314">
        <f>'Forage, input data per ha'!G44/'Forage, input data per ha'!C44</f>
        <v>3.8463374244824279E-5</v>
      </c>
      <c r="I42" s="4">
        <f>'Forage, input data per ha'!I44/'Forage, input data per ha'!C44</f>
        <v>0</v>
      </c>
      <c r="J42" s="42">
        <f>'Forage, input data per ha'!J44/'Forage, input data per ha'!C44</f>
        <v>4.4813432196435364E-5</v>
      </c>
      <c r="K42" s="42">
        <f>1/'Forage, input data per ha'!C44*SUM('Forage, input data per ha'!R44:V44)*10000/(No_species/1000000)</f>
        <v>3.0529283410908389E-11</v>
      </c>
      <c r="L42" s="100">
        <f>'Forage, input data per ha'!D44/'Forage, input data per ha'!C44*EF_NH3*N_to_NH3</f>
        <v>1.3924589728241983E-4</v>
      </c>
    </row>
    <row r="43" spans="1:16" x14ac:dyDescent="0.3">
      <c r="A43" s="71"/>
      <c r="B43" s="15" t="s">
        <v>395</v>
      </c>
      <c r="C43" s="15" t="s">
        <v>397</v>
      </c>
      <c r="D43" t="s">
        <v>41</v>
      </c>
      <c r="E43" t="s">
        <v>42</v>
      </c>
      <c r="F43" s="10">
        <f>1/'Forage, input data per ha'!C45*10000</f>
        <v>1.1404108273537923</v>
      </c>
      <c r="G43" s="100">
        <f>('Forage, input data per ha'!D45+'Forage, input data per ha'!E45)/'Forage, input data per ha'!C45</f>
        <v>1.3261392141552593E-2</v>
      </c>
      <c r="H43" s="314">
        <f>'Forage, input data per ha'!G45/'Forage, input data per ha'!C45</f>
        <v>2.9377625397606846E-4</v>
      </c>
      <c r="I43" s="4">
        <f>'Forage, input data per ha'!I45/'Forage, input data per ha'!C45</f>
        <v>7.2251532547729629E-3</v>
      </c>
      <c r="J43" s="42">
        <f>'Forage, input data per ha'!J45/'Forage, input data per ha'!C45</f>
        <v>4.4813432196435364E-5</v>
      </c>
      <c r="K43" s="42">
        <f>1/'Forage, input data per ha'!C45*SUM('Forage, input data per ha'!R45:V45)*10000/(No_species/1000000)</f>
        <v>3.0192020298683064E-10</v>
      </c>
      <c r="L43" s="100">
        <f>'Forage, input data per ha'!D45/'Forage, input data per ha'!C45*EF_NH3*N_to_NH3</f>
        <v>2.9118945728129586E-4</v>
      </c>
    </row>
    <row r="44" spans="1:16" x14ac:dyDescent="0.3">
      <c r="A44" s="20"/>
      <c r="B44" s="15" t="s">
        <v>395</v>
      </c>
      <c r="C44" s="15" t="s">
        <v>397</v>
      </c>
      <c r="D44" t="s">
        <v>43</v>
      </c>
      <c r="E44" t="s">
        <v>44</v>
      </c>
      <c r="F44" s="10">
        <f>1/'Forage, input data per ha'!C46*10000</f>
        <v>1.1454889535341086</v>
      </c>
      <c r="G44" s="100">
        <f>('Forage, input data per ha'!D46+'Forage, input data per ha'!E46)/'Forage, input data per ha'!C46</f>
        <v>1.4084562538983799E-2</v>
      </c>
      <c r="H44" s="314">
        <f>'Forage, input data per ha'!G46/'Forage, input data per ha'!C46</f>
        <v>1.5004291926573534E-4</v>
      </c>
      <c r="I44" s="4">
        <f>'Forage, input data per ha'!I46/'Forage, input data per ha'!C46</f>
        <v>1.3139329498191888E-4</v>
      </c>
      <c r="J44" s="42">
        <f>'Forage, input data per ha'!J46/'Forage, input data per ha'!C46</f>
        <v>4.4813432196435364E-5</v>
      </c>
      <c r="K44" s="42">
        <f>1/'Forage, input data per ha'!C46*SUM('Forage, input data per ha'!R46:V46)*10000/(No_species/1000000)</f>
        <v>3.0088667637320337E-11</v>
      </c>
      <c r="L44" s="100">
        <f>'Forage, input data per ha'!D46/'Forage, input data per ha'!C46*EF_NH3*N_to_NH3</f>
        <v>3.4123377454641629E-4</v>
      </c>
    </row>
    <row r="45" spans="1:16" x14ac:dyDescent="0.3">
      <c r="A45" s="20"/>
      <c r="B45" s="15" t="s">
        <v>395</v>
      </c>
      <c r="C45" s="15" t="s">
        <v>397</v>
      </c>
      <c r="D45" t="s">
        <v>45</v>
      </c>
      <c r="E45" t="s">
        <v>46</v>
      </c>
      <c r="F45" s="10">
        <f>1/'Forage, input data per ha'!C47*10000</f>
        <v>2.8210147004552306</v>
      </c>
      <c r="G45" s="100">
        <f>('Forage, input data per ha'!D47+'Forage, input data per ha'!E47)/'Forage, input data per ha'!C47</f>
        <v>1.4248888174213355E-2</v>
      </c>
      <c r="H45" s="314">
        <f>'Forage, input data per ha'!G47/'Forage, input data per ha'!C47</f>
        <v>2.3847872238080535E-4</v>
      </c>
      <c r="I45" s="4">
        <f>'Forage, input data per ha'!I47/'Forage, input data per ha'!C47</f>
        <v>4.1667992608341718E-2</v>
      </c>
      <c r="J45" s="42">
        <f>'Forage, input data per ha'!J47/'Forage, input data per ha'!C47</f>
        <v>4.4813432196435364E-5</v>
      </c>
      <c r="K45" s="42">
        <f>1/'Forage, input data per ha'!C47*SUM('Forage, input data per ha'!R47:V47)*10000/(No_species/1000000)</f>
        <v>3.831359970073921E-9</v>
      </c>
      <c r="L45" s="100">
        <f>'Forage, input data per ha'!D47/'Forage, input data per ha'!C47*EF_NH3*N_to_NH3</f>
        <v>3.5122388625340054E-4</v>
      </c>
    </row>
    <row r="46" spans="1:16" x14ac:dyDescent="0.3">
      <c r="A46" s="20"/>
      <c r="B46" s="15" t="s">
        <v>395</v>
      </c>
      <c r="C46" s="15" t="s">
        <v>397</v>
      </c>
      <c r="D46" t="s">
        <v>47</v>
      </c>
      <c r="E46" t="s">
        <v>48</v>
      </c>
      <c r="F46" s="10">
        <f>1/'Forage, input data per ha'!C48*10000</f>
        <v>4.2378485767913219</v>
      </c>
      <c r="G46" s="100">
        <f>('Forage, input data per ha'!D48+'Forage, input data per ha'!E48)/'Forage, input data per ha'!C48</f>
        <v>1.4248888174213355E-2</v>
      </c>
      <c r="H46" s="314">
        <f>'Forage, input data per ha'!G48/'Forage, input data per ha'!C48</f>
        <v>2.3847872238080535E-4</v>
      </c>
      <c r="I46" s="4">
        <f>'Forage, input data per ha'!I48/'Forage, input data per ha'!C48</f>
        <v>1.1427346860111067E-4</v>
      </c>
      <c r="J46" s="42">
        <f>'Forage, input data per ha'!J48/'Forage, input data per ha'!C48</f>
        <v>4.4813432196435364E-5</v>
      </c>
      <c r="K46" s="42">
        <f>1/'Forage, input data per ha'!C48*SUM('Forage, input data per ha'!R48:V48)*10000/(No_species/1000000)</f>
        <v>1.2647385738815316E-10</v>
      </c>
      <c r="L46" s="100">
        <f>'Forage, input data per ha'!D48/'Forage, input data per ha'!C48*EF_NH3*N_to_NH3</f>
        <v>3.5122388625340054E-4</v>
      </c>
    </row>
    <row r="47" spans="1:16" x14ac:dyDescent="0.3">
      <c r="A47" s="20"/>
      <c r="B47" s="15" t="s">
        <v>395</v>
      </c>
      <c r="C47" s="15" t="s">
        <v>397</v>
      </c>
      <c r="D47" t="s">
        <v>49</v>
      </c>
      <c r="E47" t="s">
        <v>50</v>
      </c>
      <c r="F47" s="10">
        <f>1/'Forage, input data per ha'!C49*10000</f>
        <v>1.2802356867277591</v>
      </c>
      <c r="G47" s="100">
        <f>('Forage, input data per ha'!D49+'Forage, input data per ha'!E49)/'Forage, input data per ha'!C49</f>
        <v>1.4248888174213353E-2</v>
      </c>
      <c r="H47" s="314">
        <f>'Forage, input data per ha'!G49/'Forage, input data per ha'!C49</f>
        <v>2.3847872238080538E-4</v>
      </c>
      <c r="I47" s="4">
        <f>'Forage, input data per ha'!I49/'Forage, input data per ha'!C49</f>
        <v>0</v>
      </c>
      <c r="J47" s="42">
        <f>'Forage, input data per ha'!J49/'Forage, input data per ha'!C49</f>
        <v>1.1522121180549831E-5</v>
      </c>
      <c r="K47" s="42">
        <f>1/'Forage, input data per ha'!C49*SUM('Forage, input data per ha'!R49:V49)*10000/(No_species/1000000)</f>
        <v>3.5519068743687059E-11</v>
      </c>
      <c r="L47" s="100">
        <f>'Forage, input data per ha'!D49/'Forage, input data per ha'!C49*EF_NH3*N_to_NH3</f>
        <v>3.5122388625340054E-4</v>
      </c>
    </row>
    <row r="48" spans="1:16" x14ac:dyDescent="0.3">
      <c r="A48" s="20"/>
      <c r="B48" s="15" t="s">
        <v>395</v>
      </c>
      <c r="C48" s="15" t="s">
        <v>397</v>
      </c>
      <c r="D48" t="s">
        <v>51</v>
      </c>
      <c r="E48" t="s">
        <v>52</v>
      </c>
      <c r="F48" s="10">
        <f>1/'Forage, input data per ha'!C50*10000</f>
        <v>1.0552029905608613</v>
      </c>
      <c r="G48" s="100">
        <f>('Forage, input data per ha'!D50+'Forage, input data per ha'!E50)/'Forage, input data per ha'!C50</f>
        <v>1.4248888174213353E-2</v>
      </c>
      <c r="H48" s="314">
        <f>'Forage, input data per ha'!G50/'Forage, input data per ha'!C50</f>
        <v>2.3847872238080535E-4</v>
      </c>
      <c r="I48" s="4">
        <f>'Forage, input data per ha'!I50/'Forage, input data per ha'!C50</f>
        <v>5.5496587714507417E-3</v>
      </c>
      <c r="J48" s="42">
        <f>'Forage, input data per ha'!J50/'Forage, input data per ha'!C50</f>
        <v>4.4813432196435364E-5</v>
      </c>
      <c r="K48" s="42">
        <f>1/'Forage, input data per ha'!C50*SUM('Forage, input data per ha'!R50:V50)*10000/(No_species/1000000)</f>
        <v>1.0105849039373795E-9</v>
      </c>
      <c r="L48" s="100">
        <f>'Forage, input data per ha'!D50/'Forage, input data per ha'!C50*EF_NH3*N_to_NH3</f>
        <v>3.5122388625340054E-4</v>
      </c>
    </row>
    <row r="49" spans="1:16" x14ac:dyDescent="0.3">
      <c r="A49" s="20"/>
      <c r="B49" s="15" t="s">
        <v>395</v>
      </c>
      <c r="C49" s="15" t="s">
        <v>397</v>
      </c>
      <c r="D49" t="s">
        <v>53</v>
      </c>
      <c r="E49" t="s">
        <v>54</v>
      </c>
      <c r="F49" s="10">
        <f>1/'Forage, input data per ha'!C51*10000</f>
        <v>1.7928439182796601</v>
      </c>
      <c r="G49" s="100">
        <f>('Forage, input data per ha'!D51+'Forage, input data per ha'!E51)/'Forage, input data per ha'!C51</f>
        <v>3.4288619089893765E-2</v>
      </c>
      <c r="H49" s="314">
        <f>'Forage, input data per ha'!G51/'Forage, input data per ha'!C51</f>
        <v>0</v>
      </c>
      <c r="I49" s="4">
        <f>'Forage, input data per ha'!I51/'Forage, input data per ha'!C51</f>
        <v>1.0006970049386602E-3</v>
      </c>
      <c r="J49" s="42">
        <f>'Forage, input data per ha'!J51/'Forage, input data per ha'!C51</f>
        <v>4.4813432196435364E-5</v>
      </c>
      <c r="K49" s="42">
        <f>1/'Forage, input data per ha'!C51*SUM('Forage, input data per ha'!R51:V51)*10000/(No_species/1000000)</f>
        <v>3.6587407433116379E-11</v>
      </c>
      <c r="L49" s="100">
        <f>'Forage, input data per ha'!D51/'Forage, input data per ha'!C51*EF_NH3*N_to_NH3</f>
        <v>1.5695313654600586E-3</v>
      </c>
    </row>
    <row r="50" spans="1:16" x14ac:dyDescent="0.3">
      <c r="A50" s="20"/>
      <c r="B50" s="15" t="s">
        <v>395</v>
      </c>
      <c r="C50" s="15" t="s">
        <v>397</v>
      </c>
      <c r="D50" t="s">
        <v>55</v>
      </c>
      <c r="E50" t="s">
        <v>56</v>
      </c>
      <c r="F50" s="10">
        <f>1/'Forage, input data per ha'!C52*10000</f>
        <v>1.3247310735927762</v>
      </c>
      <c r="G50" s="100">
        <f>('Forage, input data per ha'!D52+'Forage, input data per ha'!E52)/'Forage, input data per ha'!C52</f>
        <v>1.4248888174213353E-2</v>
      </c>
      <c r="H50" s="314">
        <f>'Forage, input data per ha'!G52/'Forage, input data per ha'!C52</f>
        <v>2.3847872238080535E-4</v>
      </c>
      <c r="I50" s="4">
        <f>'Forage, input data per ha'!I52/'Forage, input data per ha'!C52</f>
        <v>2.3699570524521766E-4</v>
      </c>
      <c r="J50" s="42">
        <f>'Forage, input data per ha'!J52/'Forage, input data per ha'!C52</f>
        <v>4.4813432196435364E-5</v>
      </c>
      <c r="K50" s="42">
        <f>1/'Forage, input data per ha'!C52*SUM('Forage, input data per ha'!R52:V52)*10000/(No_species/1000000)</f>
        <v>4.6590868628870505E-11</v>
      </c>
      <c r="L50" s="100">
        <f>'Forage, input data per ha'!D52/'Forage, input data per ha'!C52*EF_NH3*N_to_NH3</f>
        <v>3.5122388625340054E-4</v>
      </c>
    </row>
    <row r="51" spans="1:16" x14ac:dyDescent="0.3">
      <c r="A51" s="20"/>
      <c r="B51" s="15" t="s">
        <v>395</v>
      </c>
      <c r="C51" s="15" t="s">
        <v>397</v>
      </c>
      <c r="D51" t="s">
        <v>57</v>
      </c>
      <c r="E51" t="s">
        <v>58</v>
      </c>
      <c r="F51" s="10">
        <f>1/'Forage, input data per ha'!C53*10000</f>
        <v>1.9074609744618656</v>
      </c>
      <c r="G51" s="100">
        <f>('Forage, input data per ha'!D53+'Forage, input data per ha'!E53)/'Forage, input data per ha'!C53</f>
        <v>1.4248888174213355E-2</v>
      </c>
      <c r="H51" s="314">
        <f>'Forage, input data per ha'!G53/'Forage, input data per ha'!C53</f>
        <v>2.3847872238080535E-4</v>
      </c>
      <c r="I51" s="4">
        <f>'Forage, input data per ha'!I53/'Forage, input data per ha'!C53</f>
        <v>4.1581712214757781E-2</v>
      </c>
      <c r="J51" s="42">
        <f>'Forage, input data per ha'!J53/'Forage, input data per ha'!C53</f>
        <v>4.4813432196435364E-5</v>
      </c>
      <c r="K51" s="42">
        <f>1/'Forage, input data per ha'!C53*SUM('Forage, input data per ha'!R53:V53)*10000/(No_species/1000000)</f>
        <v>2.9584311670368688E-9</v>
      </c>
      <c r="L51" s="100">
        <f>'Forage, input data per ha'!D53/'Forage, input data per ha'!C53*EF_NH3*N_to_NH3</f>
        <v>3.5122388625340054E-4</v>
      </c>
    </row>
    <row r="52" spans="1:16" x14ac:dyDescent="0.3">
      <c r="A52" s="20"/>
      <c r="B52" s="15" t="s">
        <v>395</v>
      </c>
      <c r="C52" s="15" t="s">
        <v>397</v>
      </c>
      <c r="D52" s="16" t="s">
        <v>59</v>
      </c>
      <c r="E52" t="s">
        <v>60</v>
      </c>
      <c r="F52" s="10">
        <f>1/'Forage, input data per ha'!C54*10000</f>
        <v>1.8672263415181405</v>
      </c>
      <c r="G52" s="100">
        <f>('Forage, input data per ha'!D54+'Forage, input data per ha'!E54)/'Forage, input data per ha'!C54</f>
        <v>1.5400709842103667E-2</v>
      </c>
      <c r="H52" s="314">
        <f>'Forage, input data per ha'!G54/'Forage, input data per ha'!C54</f>
        <v>2.7161699390061233E-4</v>
      </c>
      <c r="I52" s="4">
        <f>'Forage, input data per ha'!I54/'Forage, input data per ha'!C54</f>
        <v>0</v>
      </c>
      <c r="J52" s="42">
        <f>'Forage, input data per ha'!J54/'Forage, input data per ha'!C54</f>
        <v>4.4813432196435364E-5</v>
      </c>
      <c r="K52" s="42">
        <f>1/'Forage, input data per ha'!C54*SUM('Forage, input data per ha'!R54:V54)*10000/(No_species/1000000)</f>
        <v>1.2386110991654396E-11</v>
      </c>
      <c r="L52" s="100">
        <f>'Forage, input data per ha'!D54/'Forage, input data per ha'!C54*EF_NH3*N_to_NH3</f>
        <v>4.2124842693248924E-4</v>
      </c>
    </row>
    <row r="53" spans="1:16" x14ac:dyDescent="0.3">
      <c r="A53" s="20"/>
      <c r="B53" s="15" t="s">
        <v>395</v>
      </c>
      <c r="C53" s="15" t="s">
        <v>397</v>
      </c>
      <c r="D53" s="16" t="s">
        <v>556</v>
      </c>
      <c r="E53" t="s">
        <v>560</v>
      </c>
      <c r="F53" s="10">
        <f>1/'Forage, input data per ha'!C55*10000</f>
        <v>1.2802356867277591</v>
      </c>
      <c r="G53" s="100">
        <f>('Forage, input data per ha'!D55+'Forage, input data per ha'!E55)/'Forage, input data per ha'!C55</f>
        <v>1.4248888174213353E-2</v>
      </c>
      <c r="H53" s="314">
        <f>'Forage, input data per ha'!G55/'Forage, input data per ha'!C55</f>
        <v>2.3847872238080538E-4</v>
      </c>
      <c r="I53" s="4">
        <f>'Forage, input data per ha'!I55/'Forage, input data per ha'!C55</f>
        <v>0</v>
      </c>
      <c r="J53" s="42">
        <f>'Forage, input data per ha'!J55/'Forage, input data per ha'!C55</f>
        <v>1.1522121180549831E-5</v>
      </c>
      <c r="K53" s="42">
        <f>1/'Forage, input data per ha'!C55*SUM('Forage, input data per ha'!R55:V55)*10000/(No_species/1000000)</f>
        <v>6.240301610132171E-11</v>
      </c>
      <c r="L53" s="100">
        <f>'Forage, input data per ha'!D55/'Forage, input data per ha'!C55*EF_NH3*N_to_NH3</f>
        <v>3.5122388625340054E-4</v>
      </c>
    </row>
    <row r="54" spans="1:16" x14ac:dyDescent="0.3">
      <c r="A54" s="20"/>
      <c r="B54" s="15"/>
      <c r="C54" s="15"/>
      <c r="D54" s="16"/>
      <c r="F54" s="10"/>
      <c r="G54" s="100"/>
      <c r="H54" s="314"/>
      <c r="I54" s="4"/>
      <c r="J54" s="42"/>
      <c r="K54" s="42"/>
      <c r="L54" s="100"/>
    </row>
    <row r="55" spans="1:16" ht="18" x14ac:dyDescent="0.35">
      <c r="A55" s="265" t="s">
        <v>441</v>
      </c>
      <c r="B55" s="109"/>
      <c r="C55" s="109"/>
      <c r="D55" s="109"/>
      <c r="E55" s="109"/>
      <c r="F55" s="109"/>
      <c r="G55" s="109"/>
      <c r="H55" s="109"/>
      <c r="I55" s="109"/>
      <c r="J55" s="109"/>
      <c r="K55" s="109"/>
      <c r="L55" s="109"/>
      <c r="M55" s="109"/>
      <c r="N55" s="109"/>
      <c r="O55" s="109"/>
      <c r="P55" s="109"/>
    </row>
    <row r="57" spans="1:16" x14ac:dyDescent="0.3">
      <c r="A57" s="156" t="s">
        <v>224</v>
      </c>
      <c r="B57" s="157"/>
      <c r="C57" s="157"/>
      <c r="D57" s="157"/>
      <c r="E57" s="157"/>
      <c r="F57" s="158" t="s">
        <v>12</v>
      </c>
      <c r="G57" s="158" t="s">
        <v>247</v>
      </c>
      <c r="H57" s="158" t="s">
        <v>13</v>
      </c>
      <c r="I57" s="158" t="s">
        <v>14</v>
      </c>
      <c r="J57" s="159" t="s">
        <v>15</v>
      </c>
      <c r="K57" s="159" t="s">
        <v>16</v>
      </c>
      <c r="L57" s="159" t="s">
        <v>17</v>
      </c>
      <c r="M57" s="285"/>
      <c r="N57" s="286"/>
      <c r="O57" s="286"/>
      <c r="P57" s="287"/>
    </row>
    <row r="58" spans="1:16" ht="43.2" x14ac:dyDescent="0.3">
      <c r="A58" s="160" t="s">
        <v>19</v>
      </c>
      <c r="B58" s="160" t="s">
        <v>224</v>
      </c>
      <c r="C58" s="160" t="s">
        <v>226</v>
      </c>
      <c r="D58" s="160" t="s">
        <v>22</v>
      </c>
      <c r="E58" s="149" t="s">
        <v>23</v>
      </c>
      <c r="F58" s="165" t="s">
        <v>30</v>
      </c>
      <c r="G58" s="165" t="s">
        <v>248</v>
      </c>
      <c r="H58" s="165" t="s">
        <v>249</v>
      </c>
      <c r="I58" s="166" t="s">
        <v>33</v>
      </c>
      <c r="J58" s="167" t="s">
        <v>34</v>
      </c>
      <c r="K58" s="168" t="s">
        <v>35</v>
      </c>
      <c r="L58" s="168" t="s">
        <v>36</v>
      </c>
      <c r="M58" s="286"/>
    </row>
    <row r="59" spans="1:16" x14ac:dyDescent="0.3">
      <c r="A59" s="71"/>
      <c r="B59" s="15" t="s">
        <v>441</v>
      </c>
      <c r="C59" s="15" t="s">
        <v>397</v>
      </c>
      <c r="D59" t="s">
        <v>39</v>
      </c>
      <c r="E59" t="s">
        <v>40</v>
      </c>
      <c r="F59" s="10">
        <f>1/'Forage, input data per ha'!C62*10000</f>
        <v>0.86058319478091305</v>
      </c>
      <c r="G59" s="100">
        <f>('Forage, input data per ha'!D62+'Forage, input data per ha'!E62)/'Forage, input data per ha'!C62</f>
        <v>4.5673333333333337E-2</v>
      </c>
      <c r="H59" s="314">
        <f>'Forage, input data per ha'!G62/'Forage, input data per ha'!C62</f>
        <v>4.5717683839384812E-3</v>
      </c>
      <c r="I59" s="4">
        <f>'Forage, input data per ha'!I62/'Forage, input data per ha'!C62</f>
        <v>0</v>
      </c>
      <c r="J59" s="42">
        <f>'Forage, input data per ha'!J62/'Forage, input data per ha'!C62</f>
        <v>6.2532818319357796E-5</v>
      </c>
      <c r="K59" s="42">
        <f>1/'Forage, input data per ha'!C62*SUM('Forage, input data per ha'!R62:V62)*10000/(No_species/1000000)</f>
        <v>2.9823968788561201E-11</v>
      </c>
      <c r="L59" s="100">
        <f>'Forage, input data per ha'!D62/'Forage, input data per ha'!C62*EF_NH3*N_to_NH3</f>
        <v>0</v>
      </c>
    </row>
    <row r="60" spans="1:16" x14ac:dyDescent="0.3">
      <c r="A60" s="71"/>
      <c r="B60" s="15" t="s">
        <v>441</v>
      </c>
      <c r="C60" s="15" t="s">
        <v>397</v>
      </c>
      <c r="D60" t="s">
        <v>41</v>
      </c>
      <c r="E60" t="s">
        <v>42</v>
      </c>
      <c r="F60" s="10">
        <f>1/'Forage, input data per ha'!C63*10000</f>
        <v>1.1163207827016843</v>
      </c>
      <c r="G60" s="100">
        <f>('Forage, input data per ha'!D63+'Forage, input data per ha'!E63)/'Forage, input data per ha'!C63</f>
        <v>4.5673333333333337E-2</v>
      </c>
      <c r="H60" s="314">
        <f>'Forage, input data per ha'!G63/'Forage, input data per ha'!C63</f>
        <v>3.3619718309859156E-3</v>
      </c>
      <c r="I60" s="4">
        <f>'Forage, input data per ha'!I63/'Forage, input data per ha'!C63</f>
        <v>7.2251532547729621E-3</v>
      </c>
      <c r="J60" s="42">
        <f>'Forage, input data per ha'!J63/'Forage, input data per ha'!C63</f>
        <v>6.2532818319357796E-5</v>
      </c>
      <c r="K60" s="42">
        <f>1/'Forage, input data per ha'!C63*SUM('Forage, input data per ha'!R63:V63)*10000/(No_species/1000000)</f>
        <v>2.9554243894174251E-10</v>
      </c>
      <c r="L60" s="100">
        <f>'Forage, input data per ha'!D63/'Forage, input data per ha'!C63*EF_NH3*N_to_NH3</f>
        <v>0</v>
      </c>
    </row>
    <row r="61" spans="1:16" x14ac:dyDescent="0.3">
      <c r="A61" s="20"/>
      <c r="B61" s="15" t="s">
        <v>441</v>
      </c>
      <c r="C61" s="15" t="s">
        <v>397</v>
      </c>
      <c r="D61" t="s">
        <v>43</v>
      </c>
      <c r="E61" t="s">
        <v>44</v>
      </c>
      <c r="F61" s="10">
        <f>1/'Forage, input data per ha'!C64*10000</f>
        <v>1.4705228823146224</v>
      </c>
      <c r="G61" s="100">
        <f>('Forage, input data per ha'!D64+'Forage, input data per ha'!E64)/'Forage, input data per ha'!C64</f>
        <v>4.567333333333333E-2</v>
      </c>
      <c r="H61" s="314">
        <f>'Forage, input data per ha'!G64/'Forage, input data per ha'!C64</f>
        <v>3.3619718309859151E-3</v>
      </c>
      <c r="I61" s="4">
        <f>'Forage, input data per ha'!I64/'Forage, input data per ha'!C64</f>
        <v>1.3139329498191888E-4</v>
      </c>
      <c r="J61" s="42">
        <f>'Forage, input data per ha'!J64/'Forage, input data per ha'!C64</f>
        <v>6.2532818319357796E-5</v>
      </c>
      <c r="K61" s="42">
        <f>1/'Forage, input data per ha'!C64*SUM('Forage, input data per ha'!R64:V64)*10000/(No_species/1000000)</f>
        <v>3.8626364857146143E-11</v>
      </c>
      <c r="L61" s="100">
        <f>'Forage, input data per ha'!D64/'Forage, input data per ha'!C64*EF_NH3*N_to_NH3</f>
        <v>0</v>
      </c>
    </row>
    <row r="62" spans="1:16" x14ac:dyDescent="0.3">
      <c r="A62" s="20"/>
      <c r="B62" s="15" t="s">
        <v>441</v>
      </c>
      <c r="C62" s="15" t="s">
        <v>397</v>
      </c>
      <c r="D62" t="s">
        <v>45</v>
      </c>
      <c r="E62" t="s">
        <v>46</v>
      </c>
      <c r="F62" s="10">
        <f>1/'Forage, input data per ha'!C65*10000</f>
        <v>2.2942126795269693</v>
      </c>
      <c r="G62" s="100">
        <f>('Forage, input data per ha'!D65+'Forage, input data per ha'!E65)/'Forage, input data per ha'!C65</f>
        <v>4.5673333333333323E-2</v>
      </c>
      <c r="H62" s="314">
        <f>'Forage, input data per ha'!G65/'Forage, input data per ha'!C65</f>
        <v>3.3619718309859156E-3</v>
      </c>
      <c r="I62" s="4">
        <f>'Forage, input data per ha'!I65/'Forage, input data per ha'!C65</f>
        <v>4.1667992608341725E-2</v>
      </c>
      <c r="J62" s="42">
        <f>'Forage, input data per ha'!J65/'Forage, input data per ha'!C65</f>
        <v>6.2532818319357796E-5</v>
      </c>
      <c r="K62" s="42">
        <f>1/'Forage, input data per ha'!C65*SUM('Forage, input data per ha'!R65:V65)*10000/(No_species/1000000)</f>
        <v>3.1158840192350696E-9</v>
      </c>
      <c r="L62" s="100">
        <f>'Forage, input data per ha'!D65/'Forage, input data per ha'!C65*EF_NH3*N_to_NH3</f>
        <v>0</v>
      </c>
    </row>
    <row r="63" spans="1:16" x14ac:dyDescent="0.3">
      <c r="A63" s="20"/>
      <c r="B63" s="15" t="s">
        <v>441</v>
      </c>
      <c r="C63" s="15" t="s">
        <v>397</v>
      </c>
      <c r="D63" t="s">
        <v>47</v>
      </c>
      <c r="E63" t="s">
        <v>48</v>
      </c>
      <c r="F63" s="10">
        <f>1/'Forage, input data per ha'!C66*10000</f>
        <v>2.4033390218840847</v>
      </c>
      <c r="G63" s="100">
        <f>('Forage, input data per ha'!D66+'Forage, input data per ha'!E66)/'Forage, input data per ha'!C66</f>
        <v>4.5673333333333344E-2</v>
      </c>
      <c r="H63" s="314">
        <f>'Forage, input data per ha'!G66/'Forage, input data per ha'!C66</f>
        <v>3.3619718309859156E-3</v>
      </c>
      <c r="I63" s="4">
        <f>'Forage, input data per ha'!I66/'Forage, input data per ha'!C66</f>
        <v>1.1427346860111068E-4</v>
      </c>
      <c r="J63" s="42">
        <f>'Forage, input data per ha'!J66/'Forage, input data per ha'!C66</f>
        <v>6.2532818319357796E-5</v>
      </c>
      <c r="K63" s="42">
        <f>1/'Forage, input data per ha'!C66*SUM('Forage, input data per ha'!R66:V66)*10000/(No_species/1000000)</f>
        <v>7.1724968743289439E-11</v>
      </c>
      <c r="L63" s="100">
        <f>'Forage, input data per ha'!D66/'Forage, input data per ha'!C66*EF_NH3*N_to_NH3</f>
        <v>0</v>
      </c>
    </row>
    <row r="64" spans="1:16" x14ac:dyDescent="0.3">
      <c r="A64" s="20"/>
      <c r="B64" s="15" t="s">
        <v>441</v>
      </c>
      <c r="C64" s="15" t="s">
        <v>397</v>
      </c>
      <c r="D64" t="s">
        <v>49</v>
      </c>
      <c r="E64" t="s">
        <v>50</v>
      </c>
      <c r="F64" s="10">
        <f>1/'Forage, input data per ha'!C67*10000</f>
        <v>1.3003387075222106</v>
      </c>
      <c r="G64" s="100">
        <f>('Forage, input data per ha'!D67+'Forage, input data per ha'!E67)/'Forage, input data per ha'!C67</f>
        <v>4.5673333333333337E-2</v>
      </c>
      <c r="H64" s="314">
        <f>'Forage, input data per ha'!G67/'Forage, input data per ha'!C67</f>
        <v>3.3619718309859156E-3</v>
      </c>
      <c r="I64" s="4">
        <f>'Forage, input data per ha'!I67/'Forage, input data per ha'!C67</f>
        <v>0</v>
      </c>
      <c r="J64" s="42">
        <f>'Forage, input data per ha'!J67/'Forage, input data per ha'!C67</f>
        <v>6.2532818319357796E-5</v>
      </c>
      <c r="K64" s="42">
        <f>1/'Forage, input data per ha'!C67*SUM('Forage, input data per ha'!R67:V67)*10000/(No_species/1000000)</f>
        <v>3.6076810247815059E-11</v>
      </c>
      <c r="L64" s="100">
        <f>'Forage, input data per ha'!D67/'Forage, input data per ha'!C67*EF_NH3*N_to_NH3</f>
        <v>0</v>
      </c>
    </row>
    <row r="65" spans="1:12" x14ac:dyDescent="0.3">
      <c r="A65" s="20"/>
      <c r="B65" s="15" t="s">
        <v>441</v>
      </c>
      <c r="C65" s="15" t="s">
        <v>397</v>
      </c>
      <c r="D65" t="s">
        <v>51</v>
      </c>
      <c r="E65" t="s">
        <v>52</v>
      </c>
      <c r="F65" s="10">
        <f>1/'Forage, input data per ha'!C68*10000</f>
        <v>1.3762247749482197</v>
      </c>
      <c r="G65" s="100">
        <f>('Forage, input data per ha'!D68+'Forage, input data per ha'!E68)/'Forage, input data per ha'!C68</f>
        <v>4.567333333333333E-2</v>
      </c>
      <c r="H65" s="314">
        <f>'Forage, input data per ha'!G68/'Forage, input data per ha'!C68</f>
        <v>3.3619718309859156E-3</v>
      </c>
      <c r="I65" s="4">
        <f>'Forage, input data per ha'!I68/'Forage, input data per ha'!C68</f>
        <v>5.5496587714507425E-3</v>
      </c>
      <c r="J65" s="42">
        <f>'Forage, input data per ha'!J68/'Forage, input data per ha'!C68</f>
        <v>6.2532818319357796E-5</v>
      </c>
      <c r="K65" s="42">
        <f>1/'Forage, input data per ha'!C68*SUM('Forage, input data per ha'!R68:V68)*10000/(No_species/1000000)</f>
        <v>1.3180326386755736E-9</v>
      </c>
      <c r="L65" s="100">
        <f>'Forage, input data per ha'!D68/'Forage, input data per ha'!C68*EF_NH3*N_to_NH3</f>
        <v>0</v>
      </c>
    </row>
    <row r="66" spans="1:12" x14ac:dyDescent="0.3">
      <c r="A66" s="20"/>
      <c r="B66" s="15" t="s">
        <v>441</v>
      </c>
      <c r="C66" s="15" t="s">
        <v>397</v>
      </c>
      <c r="D66" t="s">
        <v>53</v>
      </c>
      <c r="E66" t="s">
        <v>54</v>
      </c>
      <c r="F66" s="10">
        <f>1/'Forage, input data per ha'!C69*10000</f>
        <v>1.4221421084328052</v>
      </c>
      <c r="G66" s="100">
        <f>('Forage, input data per ha'!D69+'Forage, input data per ha'!E69)/'Forage, input data per ha'!C69</f>
        <v>4.5673333333333337E-2</v>
      </c>
      <c r="H66" s="314">
        <f>'Forage, input data per ha'!G69/'Forage, input data per ha'!C69</f>
        <v>4.5717683839384812E-3</v>
      </c>
      <c r="I66" s="4">
        <f>'Forage, input data per ha'!I69/'Forage, input data per ha'!C69</f>
        <v>1.0006970049386602E-3</v>
      </c>
      <c r="J66" s="42">
        <f>'Forage, input data per ha'!J69/'Forage, input data per ha'!C69</f>
        <v>6.2532818319357796E-5</v>
      </c>
      <c r="K66" s="42">
        <f>1/'Forage, input data per ha'!C69*SUM('Forage, input data per ha'!R69:V69)*10000/(No_species/1000000)</f>
        <v>2.9022321585556919E-11</v>
      </c>
      <c r="L66" s="100">
        <f>'Forage, input data per ha'!D69/'Forage, input data per ha'!C69*EF_NH3*N_to_NH3</f>
        <v>0</v>
      </c>
    </row>
    <row r="67" spans="1:12" x14ac:dyDescent="0.3">
      <c r="A67" s="20"/>
      <c r="B67" s="15" t="s">
        <v>441</v>
      </c>
      <c r="C67" s="15" t="s">
        <v>397</v>
      </c>
      <c r="D67" t="s">
        <v>55</v>
      </c>
      <c r="E67" t="s">
        <v>56</v>
      </c>
      <c r="F67" s="10">
        <f>1/'Forage, input data per ha'!C70*10000</f>
        <v>1.2813504897096357</v>
      </c>
      <c r="G67" s="100">
        <f>('Forage, input data per ha'!D70+'Forage, input data per ha'!E70)/'Forage, input data per ha'!C70</f>
        <v>4.5673333333333337E-2</v>
      </c>
      <c r="H67" s="314">
        <f>'Forage, input data per ha'!G70/'Forage, input data per ha'!C70</f>
        <v>3.3619718309859156E-3</v>
      </c>
      <c r="I67" s="4">
        <f>'Forage, input data per ha'!I70/'Forage, input data per ha'!C70</f>
        <v>2.3699570524521766E-4</v>
      </c>
      <c r="J67" s="42">
        <f>'Forage, input data per ha'!J70/'Forage, input data per ha'!C70</f>
        <v>6.2532818319357796E-5</v>
      </c>
      <c r="K67" s="42">
        <f>1/'Forage, input data per ha'!C70*SUM('Forage, input data per ha'!R70:V70)*10000/(No_species/1000000)</f>
        <v>4.5065170979715493E-11</v>
      </c>
      <c r="L67" s="100">
        <f>'Forage, input data per ha'!D70/'Forage, input data per ha'!C70*EF_NH3*N_to_NH3</f>
        <v>0</v>
      </c>
    </row>
    <row r="68" spans="1:12" x14ac:dyDescent="0.3">
      <c r="A68" s="20"/>
      <c r="B68" s="15" t="s">
        <v>441</v>
      </c>
      <c r="C68" s="15" t="s">
        <v>397</v>
      </c>
      <c r="D68" t="s">
        <v>57</v>
      </c>
      <c r="E68" t="s">
        <v>58</v>
      </c>
      <c r="F68" s="10">
        <f>1/'Forage, input data per ha'!C71*10000</f>
        <v>1.1702617509720095</v>
      </c>
      <c r="G68" s="100">
        <f>('Forage, input data per ha'!D71+'Forage, input data per ha'!E71)/'Forage, input data per ha'!C71</f>
        <v>4.5673333333333337E-2</v>
      </c>
      <c r="H68" s="314">
        <f>'Forage, input data per ha'!G71/'Forage, input data per ha'!C71</f>
        <v>3.3619718309859156E-3</v>
      </c>
      <c r="I68" s="4">
        <f>'Forage, input data per ha'!I71/'Forage, input data per ha'!C71</f>
        <v>4.1581712214757788E-2</v>
      </c>
      <c r="J68" s="42">
        <f>'Forage, input data per ha'!J71/'Forage, input data per ha'!C71</f>
        <v>6.2532818319357796E-5</v>
      </c>
      <c r="K68" s="42">
        <f>1/'Forage, input data per ha'!C71*SUM('Forage, input data per ha'!R71:V71)*10000/(No_species/1000000)</f>
        <v>1.8150509415499172E-9</v>
      </c>
      <c r="L68" s="100">
        <f>'Forage, input data per ha'!D71/'Forage, input data per ha'!C71*EF_NH3*N_to_NH3</f>
        <v>0</v>
      </c>
    </row>
    <row r="69" spans="1:12" x14ac:dyDescent="0.3">
      <c r="A69" s="20"/>
      <c r="B69" s="15" t="s">
        <v>441</v>
      </c>
      <c r="C69" s="15" t="s">
        <v>397</v>
      </c>
      <c r="D69" s="16" t="s">
        <v>59</v>
      </c>
      <c r="E69" t="s">
        <v>60</v>
      </c>
      <c r="F69" s="10">
        <f>1/'Forage, input data per ha'!C72*10000</f>
        <v>2.6055340966399085</v>
      </c>
      <c r="G69" s="100">
        <f>('Forage, input data per ha'!D72+'Forage, input data per ha'!E72)/'Forage, input data per ha'!C72</f>
        <v>4.5673333333333344E-2</v>
      </c>
      <c r="H69" s="314">
        <f>'Forage, input data per ha'!G72/'Forage, input data per ha'!C72</f>
        <v>3.3619718309859156E-3</v>
      </c>
      <c r="I69" s="4">
        <f>'Forage, input data per ha'!I72/'Forage, input data per ha'!C72</f>
        <v>0</v>
      </c>
      <c r="J69" s="42">
        <f>'Forage, input data per ha'!J72/'Forage, input data per ha'!C72</f>
        <v>6.2532818319357796E-5</v>
      </c>
      <c r="K69" s="42">
        <f>1/'Forage, input data per ha'!C72*SUM('Forage, input data per ha'!R72:V72)*10000/(No_species/1000000)</f>
        <v>1.7283622127611435E-11</v>
      </c>
      <c r="L69" s="100">
        <f>'Forage, input data per ha'!D72/'Forage, input data per ha'!C72*EF_NH3*N_to_NH3</f>
        <v>0</v>
      </c>
    </row>
    <row r="70" spans="1:12" x14ac:dyDescent="0.3">
      <c r="B70" s="15" t="s">
        <v>441</v>
      </c>
      <c r="C70" s="15" t="s">
        <v>397</v>
      </c>
      <c r="D70" s="16" t="s">
        <v>556</v>
      </c>
      <c r="E70" t="s">
        <v>560</v>
      </c>
      <c r="F70" s="10">
        <f>1/'Forage, input data per ha'!C73*10000</f>
        <v>1.3003387075222106</v>
      </c>
      <c r="G70" s="100">
        <f>('Forage, input data per ha'!D73+'Forage, input data per ha'!E73)/'Forage, input data per ha'!C73</f>
        <v>4.5673333333333337E-2</v>
      </c>
      <c r="H70" s="314">
        <f>'Forage, input data per ha'!G73/'Forage, input data per ha'!C73</f>
        <v>3.3619718309859156E-3</v>
      </c>
      <c r="I70" s="4">
        <f>'Forage, input data per ha'!I73/'Forage, input data per ha'!C73</f>
        <v>0</v>
      </c>
      <c r="J70" s="42">
        <f>'Forage, input data per ha'!J73/'Forage, input data per ha'!C73</f>
        <v>6.2532818319357796E-5</v>
      </c>
      <c r="K70" s="42">
        <f>1/'Forage, input data per ha'!C73*SUM('Forage, input data per ha'!R73:V73)*10000/(No_species/1000000)</f>
        <v>6.3382905307134884E-11</v>
      </c>
      <c r="L70" s="100">
        <f>'Forage, input data per ha'!D73/'Forage, input data per ha'!C73*EF_NH3*N_to_NH3</f>
        <v>0</v>
      </c>
    </row>
    <row r="71" spans="1:12" x14ac:dyDescent="0.3">
      <c r="I71" s="16"/>
    </row>
    <row r="72" spans="1:12" x14ac:dyDescent="0.3">
      <c r="I72" s="16"/>
    </row>
    <row r="73" spans="1:12" x14ac:dyDescent="0.3">
      <c r="I73" s="16"/>
    </row>
    <row r="74" spans="1:12" x14ac:dyDescent="0.3">
      <c r="I74" s="16"/>
    </row>
    <row r="75" spans="1:12" x14ac:dyDescent="0.3">
      <c r="I75" s="16"/>
    </row>
    <row r="76" spans="1:12" x14ac:dyDescent="0.3">
      <c r="I76" s="16"/>
    </row>
    <row r="77" spans="1:12" x14ac:dyDescent="0.3">
      <c r="I77" s="16"/>
    </row>
    <row r="78" spans="1:12" x14ac:dyDescent="0.3">
      <c r="I78" s="16"/>
    </row>
    <row r="79" spans="1:12" x14ac:dyDescent="0.3">
      <c r="I79" s="16"/>
    </row>
    <row r="80" spans="1:12" x14ac:dyDescent="0.3">
      <c r="I80" s="16"/>
    </row>
    <row r="81" spans="9:9" x14ac:dyDescent="0.3">
      <c r="I81" s="16"/>
    </row>
    <row r="82" spans="9:9" x14ac:dyDescent="0.3">
      <c r="I82" s="16"/>
    </row>
    <row r="83" spans="9:9" x14ac:dyDescent="0.3">
      <c r="I83" s="16"/>
    </row>
    <row r="84" spans="9:9" x14ac:dyDescent="0.3">
      <c r="I84" s="16"/>
    </row>
    <row r="85" spans="9:9" x14ac:dyDescent="0.3">
      <c r="I85" s="16"/>
    </row>
    <row r="86" spans="9:9" x14ac:dyDescent="0.3">
      <c r="I86" s="16"/>
    </row>
    <row r="87" spans="9:9" x14ac:dyDescent="0.3">
      <c r="I87" s="16"/>
    </row>
    <row r="88" spans="9:9" x14ac:dyDescent="0.3">
      <c r="I88" s="16"/>
    </row>
  </sheetData>
  <phoneticPr fontId="79" type="noConversion"/>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43B48-FC37-4C67-A5F8-D96386155467}">
  <dimension ref="A2:AY135"/>
  <sheetViews>
    <sheetView topLeftCell="F24" zoomScale="80" zoomScaleNormal="80" workbookViewId="0">
      <selection activeCell="I44" sqref="I44:I73"/>
    </sheetView>
  </sheetViews>
  <sheetFormatPr defaultColWidth="8.6640625" defaultRowHeight="14.4" x14ac:dyDescent="0.3"/>
  <cols>
    <col min="1" max="1" width="15.33203125" customWidth="1"/>
    <col min="2" max="2" width="18.33203125" customWidth="1"/>
    <col min="3" max="3" width="12.44140625" customWidth="1"/>
    <col min="4" max="4" width="16.6640625" customWidth="1"/>
    <col min="5" max="5" width="12.33203125" customWidth="1"/>
    <col min="6" max="7" width="14.6640625" customWidth="1"/>
    <col min="8" max="8" width="11.33203125" customWidth="1"/>
    <col min="9" max="9" width="12.33203125" customWidth="1"/>
    <col min="10" max="10" width="14.33203125" customWidth="1"/>
    <col min="11" max="11" width="12" customWidth="1"/>
    <col min="12" max="12" width="14.6640625" customWidth="1"/>
    <col min="13" max="13" width="14.33203125" customWidth="1"/>
    <col min="14" max="14" width="15" customWidth="1"/>
    <col min="15" max="15" width="15.44140625" customWidth="1"/>
    <col min="16" max="16" width="15" customWidth="1"/>
    <col min="17" max="17" width="17.6640625" customWidth="1"/>
    <col min="18" max="18" width="14" customWidth="1"/>
    <col min="19" max="19" width="8.88671875" bestFit="1" customWidth="1"/>
    <col min="20" max="24" width="10.6640625" customWidth="1"/>
    <col min="25" max="25" width="13.6640625" customWidth="1"/>
    <col min="36" max="36" width="30.44140625" customWidth="1"/>
    <col min="37" max="37" width="32.44140625" customWidth="1"/>
    <col min="47" max="47" width="12" bestFit="1" customWidth="1"/>
    <col min="49" max="49" width="9.21875" bestFit="1" customWidth="1"/>
  </cols>
  <sheetData>
    <row r="2" spans="1:38" ht="21" x14ac:dyDescent="0.4">
      <c r="A2" s="2" t="s">
        <v>443</v>
      </c>
    </row>
    <row r="4" spans="1:38" ht="18" x14ac:dyDescent="0.35">
      <c r="A4" s="265" t="s">
        <v>299</v>
      </c>
      <c r="B4" s="385" t="s">
        <v>545</v>
      </c>
      <c r="C4" s="109"/>
      <c r="D4" s="109"/>
      <c r="E4" s="109"/>
      <c r="F4" s="109"/>
      <c r="G4" s="109"/>
      <c r="H4" s="109"/>
      <c r="I4" s="109"/>
      <c r="J4" s="109"/>
      <c r="K4" s="109"/>
      <c r="L4" s="109"/>
      <c r="M4" s="109"/>
      <c r="N4" s="109"/>
      <c r="O4" s="109"/>
      <c r="P4" s="109"/>
      <c r="Q4" s="109"/>
      <c r="R4" s="109"/>
      <c r="S4" s="109"/>
      <c r="T4" s="109"/>
      <c r="U4" s="109"/>
      <c r="V4" s="109"/>
      <c r="W4" s="109"/>
      <c r="X4" s="109"/>
      <c r="Y4" s="109"/>
      <c r="Z4" s="109"/>
      <c r="AA4" s="109"/>
      <c r="AB4" s="109"/>
      <c r="AC4" s="109"/>
      <c r="AD4" s="109"/>
      <c r="AE4" s="109"/>
      <c r="AF4" s="109"/>
      <c r="AG4" s="109"/>
      <c r="AH4" s="109"/>
      <c r="AI4" s="109"/>
      <c r="AJ4" s="109"/>
    </row>
    <row r="5" spans="1:38" ht="18" x14ac:dyDescent="0.35">
      <c r="A5" s="1"/>
      <c r="Q5" s="6"/>
    </row>
    <row r="6" spans="1:38" x14ac:dyDescent="0.3">
      <c r="A6" s="386" t="s">
        <v>224</v>
      </c>
      <c r="B6" s="387"/>
      <c r="C6" s="388" t="s">
        <v>363</v>
      </c>
      <c r="D6" s="389" t="s">
        <v>364</v>
      </c>
      <c r="E6" s="390"/>
      <c r="F6" s="391"/>
      <c r="G6" s="391"/>
      <c r="H6" s="392" t="s">
        <v>365</v>
      </c>
      <c r="I6" s="392" t="s">
        <v>14</v>
      </c>
      <c r="J6" s="393" t="s">
        <v>15</v>
      </c>
      <c r="K6" s="394" t="s">
        <v>366</v>
      </c>
      <c r="L6" s="391"/>
      <c r="M6" s="391"/>
      <c r="N6" s="390"/>
      <c r="O6" s="395"/>
      <c r="P6" s="395"/>
      <c r="Q6" s="395"/>
      <c r="R6" s="393" t="s">
        <v>367</v>
      </c>
      <c r="S6" s="395"/>
      <c r="T6" s="395"/>
      <c r="U6" s="395"/>
      <c r="V6" s="395"/>
      <c r="W6" s="393" t="s">
        <v>18</v>
      </c>
      <c r="X6" s="396" t="s">
        <v>363</v>
      </c>
      <c r="Y6" s="397" t="s">
        <v>364</v>
      </c>
      <c r="Z6" s="398"/>
      <c r="AA6" s="399"/>
      <c r="AB6" s="399"/>
      <c r="AC6" s="400" t="s">
        <v>365</v>
      </c>
      <c r="AD6" s="400" t="s">
        <v>14</v>
      </c>
      <c r="AE6" s="401" t="s">
        <v>15</v>
      </c>
      <c r="AF6" s="402" t="s">
        <v>366</v>
      </c>
      <c r="AG6" s="399"/>
      <c r="AH6" s="399"/>
      <c r="AI6" s="401" t="s">
        <v>16</v>
      </c>
      <c r="AJ6" s="403"/>
    </row>
    <row r="7" spans="1:38" ht="57.6" x14ac:dyDescent="0.3">
      <c r="A7" s="404" t="s">
        <v>393</v>
      </c>
      <c r="B7" s="303" t="s">
        <v>22</v>
      </c>
      <c r="C7" s="302" t="s">
        <v>368</v>
      </c>
      <c r="D7" s="302" t="s">
        <v>369</v>
      </c>
      <c r="E7" s="304" t="s">
        <v>370</v>
      </c>
      <c r="F7" s="302" t="s">
        <v>371</v>
      </c>
      <c r="G7" s="304" t="s">
        <v>372</v>
      </c>
      <c r="H7" s="304" t="s">
        <v>373</v>
      </c>
      <c r="I7" s="405" t="s">
        <v>374</v>
      </c>
      <c r="J7" s="406" t="s">
        <v>375</v>
      </c>
      <c r="K7" s="305" t="s">
        <v>376</v>
      </c>
      <c r="L7" s="305" t="s">
        <v>377</v>
      </c>
      <c r="M7" s="305" t="s">
        <v>378</v>
      </c>
      <c r="N7" s="305" t="s">
        <v>379</v>
      </c>
      <c r="O7" s="305" t="s">
        <v>380</v>
      </c>
      <c r="P7" s="305" t="s">
        <v>381</v>
      </c>
      <c r="Q7" s="305" t="s">
        <v>382</v>
      </c>
      <c r="R7" s="306" t="s">
        <v>383</v>
      </c>
      <c r="S7" s="306" t="s">
        <v>384</v>
      </c>
      <c r="T7" s="306" t="s">
        <v>385</v>
      </c>
      <c r="U7" s="306" t="s">
        <v>386</v>
      </c>
      <c r="V7" s="306" t="s">
        <v>387</v>
      </c>
      <c r="W7" s="306" t="s">
        <v>388</v>
      </c>
      <c r="X7" s="307" t="s">
        <v>368</v>
      </c>
      <c r="Y7" s="307" t="s">
        <v>389</v>
      </c>
      <c r="Z7" s="308" t="s">
        <v>370</v>
      </c>
      <c r="AA7" s="307" t="s">
        <v>371</v>
      </c>
      <c r="AB7" s="308" t="s">
        <v>372</v>
      </c>
      <c r="AC7" s="308" t="s">
        <v>373</v>
      </c>
      <c r="AD7" s="309" t="s">
        <v>33</v>
      </c>
      <c r="AE7" s="310" t="s">
        <v>375</v>
      </c>
      <c r="AF7" s="311" t="s">
        <v>390</v>
      </c>
      <c r="AG7" s="311" t="s">
        <v>414</v>
      </c>
      <c r="AH7" s="311" t="s">
        <v>426</v>
      </c>
      <c r="AI7" s="312" t="s">
        <v>391</v>
      </c>
      <c r="AJ7" s="312"/>
    </row>
    <row r="8" spans="1:38" x14ac:dyDescent="0.3">
      <c r="A8" t="s">
        <v>299</v>
      </c>
      <c r="B8" t="s">
        <v>39</v>
      </c>
      <c r="C8" s="118">
        <f>C44/2</f>
        <v>5675.7854307154503</v>
      </c>
      <c r="D8" s="118">
        <f t="shared" ref="D8:I8" si="0">D44/2</f>
        <v>12.999999999999998</v>
      </c>
      <c r="E8" s="118">
        <f t="shared" si="0"/>
        <v>48.083362240544346</v>
      </c>
      <c r="F8" s="118">
        <f t="shared" si="0"/>
        <v>17.347470590438704</v>
      </c>
      <c r="G8" s="118">
        <f t="shared" si="0"/>
        <v>0.21830985915492954</v>
      </c>
      <c r="H8" s="118">
        <f t="shared" si="0"/>
        <v>21.5</v>
      </c>
      <c r="I8" s="118">
        <f t="shared" si="0"/>
        <v>0</v>
      </c>
      <c r="J8" s="118">
        <v>0</v>
      </c>
      <c r="R8" s="313">
        <v>7.2783580453291205E-13</v>
      </c>
      <c r="S8" s="313">
        <v>1.21762337776569E-12</v>
      </c>
      <c r="T8" s="313">
        <v>4.3992831002045999E-13</v>
      </c>
      <c r="U8" s="313">
        <v>4.4869782020447102E-14</v>
      </c>
      <c r="V8" s="313">
        <v>1.10772545697244E-11</v>
      </c>
      <c r="W8" s="121">
        <f>W44/2</f>
        <v>8.9649999999999999</v>
      </c>
      <c r="X8" s="6" t="s">
        <v>548</v>
      </c>
      <c r="AF8" t="s">
        <v>425</v>
      </c>
      <c r="AG8" t="s">
        <v>413</v>
      </c>
      <c r="AH8" t="s">
        <v>413</v>
      </c>
    </row>
    <row r="9" spans="1:38" x14ac:dyDescent="0.3">
      <c r="A9" t="s">
        <v>299</v>
      </c>
      <c r="B9" t="s">
        <v>41</v>
      </c>
      <c r="C9" s="118">
        <f t="shared" ref="C9:I9" si="1">C45/2</f>
        <v>4384.3848901382262</v>
      </c>
      <c r="D9" s="118">
        <f t="shared" si="1"/>
        <v>21</v>
      </c>
      <c r="E9" s="118">
        <f t="shared" si="1"/>
        <v>37.143047327620998</v>
      </c>
      <c r="F9" s="118">
        <f t="shared" si="1"/>
        <v>13.400433978218475</v>
      </c>
      <c r="G9" s="118">
        <f t="shared" si="1"/>
        <v>1.2880281690140845</v>
      </c>
      <c r="H9" s="118">
        <f t="shared" si="1"/>
        <v>21.5</v>
      </c>
      <c r="I9" s="118">
        <f t="shared" si="1"/>
        <v>31.677852759159606</v>
      </c>
      <c r="J9" s="118">
        <v>0</v>
      </c>
      <c r="R9" s="313">
        <v>1.9583117370612301E-12</v>
      </c>
      <c r="S9" s="313">
        <v>1.5320622583236101E-12</v>
      </c>
      <c r="T9" s="313">
        <v>2.6910971374667901E-12</v>
      </c>
      <c r="U9" s="313">
        <v>1.03622810658285E-12</v>
      </c>
      <c r="V9" s="313">
        <v>1.06542645679944E-10</v>
      </c>
      <c r="W9" s="121">
        <f t="shared" ref="W9:W19" si="2">W45/2</f>
        <v>13.56</v>
      </c>
      <c r="X9" s="6" t="s">
        <v>549</v>
      </c>
      <c r="AF9" t="s">
        <v>425</v>
      </c>
      <c r="AG9" t="s">
        <v>415</v>
      </c>
      <c r="AH9" t="s">
        <v>413</v>
      </c>
    </row>
    <row r="10" spans="1:38" x14ac:dyDescent="0.3">
      <c r="A10" t="s">
        <v>299</v>
      </c>
      <c r="B10" t="s">
        <v>43</v>
      </c>
      <c r="C10" s="118">
        <f t="shared" ref="C10:I10" si="3">C46/2</f>
        <v>4364.9482472736199</v>
      </c>
      <c r="D10" s="118">
        <f t="shared" si="3"/>
        <v>24.5</v>
      </c>
      <c r="E10" s="118">
        <f t="shared" si="3"/>
        <v>36.97838656815302</v>
      </c>
      <c r="F10" s="118">
        <f t="shared" si="3"/>
        <v>13.341027822967092</v>
      </c>
      <c r="G10" s="118">
        <f t="shared" si="3"/>
        <v>0.65492957746478875</v>
      </c>
      <c r="H10" s="118">
        <f t="shared" si="3"/>
        <v>21.5</v>
      </c>
      <c r="I10" s="118">
        <f t="shared" si="3"/>
        <v>0.57352493263483251</v>
      </c>
      <c r="J10" s="118">
        <v>0</v>
      </c>
      <c r="R10" s="313">
        <v>1.5006889857655799E-12</v>
      </c>
      <c r="S10" s="313">
        <v>1.13132824042424E-12</v>
      </c>
      <c r="T10" s="313">
        <v>6.3344314797778501E-13</v>
      </c>
      <c r="U10" s="313">
        <v>1.1435315968698701E-13</v>
      </c>
      <c r="V10" s="313">
        <v>6.9087258610292602E-12</v>
      </c>
      <c r="W10" s="121">
        <f t="shared" si="2"/>
        <v>15.31</v>
      </c>
      <c r="AF10" t="s">
        <v>425</v>
      </c>
      <c r="AG10" t="s">
        <v>416</v>
      </c>
      <c r="AH10" t="s">
        <v>413</v>
      </c>
    </row>
    <row r="11" spans="1:38" x14ac:dyDescent="0.3">
      <c r="A11" t="s">
        <v>299</v>
      </c>
      <c r="B11" t="s">
        <v>45</v>
      </c>
      <c r="C11" s="118">
        <f t="shared" ref="C11:I11" si="4">C47/2</f>
        <v>1772.4118910805903</v>
      </c>
      <c r="D11" s="118">
        <f t="shared" si="4"/>
        <v>10.239616097382282</v>
      </c>
      <c r="E11" s="118">
        <f t="shared" si="4"/>
        <v>15.01528273727107</v>
      </c>
      <c r="F11" s="118">
        <f t="shared" si="4"/>
        <v>5.4171997038987172</v>
      </c>
      <c r="G11" s="118">
        <f t="shared" si="4"/>
        <v>0.42268252331744632</v>
      </c>
      <c r="H11" s="118">
        <f t="shared" si="4"/>
        <v>21.5</v>
      </c>
      <c r="I11" s="118">
        <f t="shared" si="4"/>
        <v>73.852845576483006</v>
      </c>
      <c r="J11" s="118">
        <v>0</v>
      </c>
      <c r="R11" s="313">
        <v>7.4787588348072501E-12</v>
      </c>
      <c r="S11" s="313">
        <v>1.2285468439280101E-12</v>
      </c>
      <c r="T11" s="313">
        <v>7.8530917549720197E-12</v>
      </c>
      <c r="U11" s="313">
        <v>5.2759307943374198E-12</v>
      </c>
      <c r="V11" s="313">
        <v>4.8553100431474901E-10</v>
      </c>
      <c r="W11" s="121">
        <f t="shared" si="2"/>
        <v>10.06</v>
      </c>
      <c r="AF11" t="s">
        <v>425</v>
      </c>
      <c r="AG11" t="s">
        <v>417</v>
      </c>
      <c r="AH11" t="s">
        <v>413</v>
      </c>
    </row>
    <row r="12" spans="1:38" x14ac:dyDescent="0.3">
      <c r="A12" t="s">
        <v>299</v>
      </c>
      <c r="B12" t="s">
        <v>47</v>
      </c>
      <c r="C12" s="118">
        <f t="shared" ref="C12:I12" si="5">C48/2</f>
        <v>1179.8439489751045</v>
      </c>
      <c r="D12" s="118">
        <f t="shared" si="5"/>
        <v>6.8162198375677896</v>
      </c>
      <c r="E12" s="118">
        <f t="shared" si="5"/>
        <v>9.9952446544007607</v>
      </c>
      <c r="F12" s="118">
        <f t="shared" si="5"/>
        <v>3.6060750456475099</v>
      </c>
      <c r="G12" s="118">
        <f t="shared" si="5"/>
        <v>0.28136767756030701</v>
      </c>
      <c r="H12" s="118">
        <f t="shared" si="5"/>
        <v>21.5</v>
      </c>
      <c r="I12" s="118">
        <f t="shared" si="5"/>
        <v>0.13482486045741701</v>
      </c>
      <c r="J12" s="118">
        <v>0</v>
      </c>
      <c r="R12" s="313">
        <v>1.8614636095684801E-12</v>
      </c>
      <c r="S12" s="313">
        <v>1.17459725614257E-12</v>
      </c>
      <c r="T12" s="313">
        <v>8.0460797302442298E-13</v>
      </c>
      <c r="U12" s="313">
        <v>2.0484643237834E-13</v>
      </c>
      <c r="V12" s="313">
        <v>7.6770116471821107E-12</v>
      </c>
      <c r="W12" s="121">
        <f t="shared" si="2"/>
        <v>43.954999999999998</v>
      </c>
      <c r="AF12" t="s">
        <v>425</v>
      </c>
      <c r="AG12" t="s">
        <v>418</v>
      </c>
      <c r="AH12" t="s">
        <v>413</v>
      </c>
    </row>
    <row r="13" spans="1:38" x14ac:dyDescent="0.3">
      <c r="A13" t="s">
        <v>299</v>
      </c>
      <c r="B13" t="s">
        <v>49</v>
      </c>
      <c r="C13" s="118">
        <f t="shared" ref="C13:I13" si="6">C49/2</f>
        <v>3905.5308736001866</v>
      </c>
      <c r="D13" s="118">
        <f t="shared" si="6"/>
        <v>22.563116961350598</v>
      </c>
      <c r="E13" s="118">
        <f t="shared" si="6"/>
        <v>33.086355717516248</v>
      </c>
      <c r="F13" s="118">
        <f t="shared" si="6"/>
        <v>11.936864562071611</v>
      </c>
      <c r="G13" s="118">
        <f t="shared" si="6"/>
        <v>0.93138601295496315</v>
      </c>
      <c r="H13" s="118">
        <f t="shared" si="6"/>
        <v>21.5</v>
      </c>
      <c r="I13" s="118">
        <f t="shared" si="6"/>
        <v>0</v>
      </c>
      <c r="J13" s="118">
        <v>0</v>
      </c>
      <c r="R13" s="417">
        <f>3.36433388289749E-13*0.7+0.3*$AU$23</f>
        <v>-9.4018802819717578E-13</v>
      </c>
      <c r="S13" s="417">
        <f>1.62648364801377E-12*0.7+0.3*$AU$23</f>
        <v>-3.7152846390361044E-14</v>
      </c>
      <c r="T13" s="417">
        <f>8.49341236242417E-14*0.7+0.3*$AU$23</f>
        <v>-1.1162375134630308E-12</v>
      </c>
      <c r="U13" s="417">
        <f>4.20810861435972E-15*0.7+0.3*$AU$23</f>
        <v>-1.1727457239699483E-12</v>
      </c>
      <c r="V13" s="417">
        <f>8.80093860312527E-12*0.7+0.3*$AU$23</f>
        <v>4.9849656221876883E-12</v>
      </c>
      <c r="W13" s="121">
        <f t="shared" si="2"/>
        <v>29.305</v>
      </c>
      <c r="AF13" t="s">
        <v>425</v>
      </c>
      <c r="AG13" t="s">
        <v>419</v>
      </c>
      <c r="AH13" t="s">
        <v>413</v>
      </c>
    </row>
    <row r="14" spans="1:38" x14ac:dyDescent="0.3">
      <c r="A14" t="s">
        <v>299</v>
      </c>
      <c r="B14" t="s">
        <v>51</v>
      </c>
      <c r="C14" s="118">
        <f t="shared" ref="C14:I14" si="7">C50/2</f>
        <v>4738.4247815127983</v>
      </c>
      <c r="D14" s="118">
        <f t="shared" si="7"/>
        <v>27.374929559647949</v>
      </c>
      <c r="E14" s="118">
        <f t="shared" si="7"/>
        <v>40.142355274049258</v>
      </c>
      <c r="F14" s="118">
        <f t="shared" si="7"/>
        <v>14.482521502215718</v>
      </c>
      <c r="G14" s="118">
        <f t="shared" si="7"/>
        <v>1.1300134879927188</v>
      </c>
      <c r="H14" s="118">
        <f t="shared" si="7"/>
        <v>21.5</v>
      </c>
      <c r="I14" s="118">
        <f t="shared" si="7"/>
        <v>26.296640651582067</v>
      </c>
      <c r="J14" s="118">
        <v>0</v>
      </c>
      <c r="R14" s="313">
        <v>5.8694824461627503E-12</v>
      </c>
      <c r="S14" s="313">
        <v>1.8778439199093599E-12</v>
      </c>
      <c r="T14" s="313">
        <v>1.32386172945414E-11</v>
      </c>
      <c r="U14" s="313">
        <v>2.7153652116568502E-12</v>
      </c>
      <c r="V14" s="313">
        <v>3.3400251974723402E-10</v>
      </c>
      <c r="W14" s="121">
        <f t="shared" si="2"/>
        <v>14.215</v>
      </c>
      <c r="AF14" t="s">
        <v>425</v>
      </c>
      <c r="AG14" t="s">
        <v>420</v>
      </c>
      <c r="AH14" t="s">
        <v>413</v>
      </c>
    </row>
    <row r="15" spans="1:38" x14ac:dyDescent="0.3">
      <c r="A15" t="s">
        <v>299</v>
      </c>
      <c r="B15" t="s">
        <v>53</v>
      </c>
      <c r="C15" s="118">
        <f t="shared" ref="C15:I15" si="8">C51/2</f>
        <v>2788.8651929041298</v>
      </c>
      <c r="D15" s="118">
        <f t="shared" si="8"/>
        <v>72</v>
      </c>
      <c r="E15" s="118">
        <f t="shared" si="8"/>
        <v>23.626336292552807</v>
      </c>
      <c r="F15" s="118">
        <f t="shared" si="8"/>
        <v>8.5238875755921839</v>
      </c>
      <c r="G15" s="118">
        <f t="shared" si="8"/>
        <v>0</v>
      </c>
      <c r="H15" s="118">
        <f t="shared" si="8"/>
        <v>21.5</v>
      </c>
      <c r="I15" s="118">
        <f t="shared" si="8"/>
        <v>2.7908090457168417</v>
      </c>
      <c r="J15" s="118">
        <v>0</v>
      </c>
      <c r="R15" s="313">
        <v>1.5021825898851901E-12</v>
      </c>
      <c r="S15" s="313">
        <v>1.2961932068095E-12</v>
      </c>
      <c r="T15" s="313">
        <v>8.7882156569606097E-13</v>
      </c>
      <c r="U15" s="313">
        <v>1.4621213892628499E-13</v>
      </c>
      <c r="V15" s="313">
        <v>4.3252294015883098E-12</v>
      </c>
      <c r="W15" s="121">
        <f t="shared" si="2"/>
        <v>18.37</v>
      </c>
      <c r="AF15" t="s">
        <v>425</v>
      </c>
      <c r="AG15" t="s">
        <v>421</v>
      </c>
      <c r="AH15" t="s">
        <v>413</v>
      </c>
    </row>
    <row r="16" spans="1:38" x14ac:dyDescent="0.3">
      <c r="A16" t="s">
        <v>546</v>
      </c>
      <c r="B16" t="s">
        <v>55</v>
      </c>
      <c r="C16" s="118">
        <f t="shared" ref="C16:I16" si="9">C52/2</f>
        <v>3774.350960485589</v>
      </c>
      <c r="D16" s="118">
        <f t="shared" si="9"/>
        <v>21.805261545946841</v>
      </c>
      <c r="E16" s="118">
        <f t="shared" si="9"/>
        <v>31.975043220247084</v>
      </c>
      <c r="F16" s="118">
        <f t="shared" si="9"/>
        <v>11.535926275628153</v>
      </c>
      <c r="G16" s="118">
        <f t="shared" si="9"/>
        <v>0.90010239487336885</v>
      </c>
      <c r="H16" s="118">
        <f t="shared" si="9"/>
        <v>21.5</v>
      </c>
      <c r="I16" s="118">
        <f t="shared" si="9"/>
        <v>0.89450496772324684</v>
      </c>
      <c r="J16" s="118">
        <v>0</v>
      </c>
      <c r="R16" s="313">
        <v>1.31554203198101E-12</v>
      </c>
      <c r="S16" s="313">
        <v>1.16757178426522E-12</v>
      </c>
      <c r="T16" s="313">
        <v>3.32554796399426E-13</v>
      </c>
      <c r="U16" s="313">
        <v>2.9356847343626397E-14</v>
      </c>
      <c r="V16" s="313">
        <v>1.0768046958669E-11</v>
      </c>
      <c r="W16" s="121">
        <f t="shared" si="2"/>
        <v>46.36</v>
      </c>
      <c r="AF16" t="s">
        <v>425</v>
      </c>
      <c r="AG16" t="s">
        <v>422</v>
      </c>
      <c r="AH16" t="s">
        <v>413</v>
      </c>
      <c r="AI16" s="88" t="s">
        <v>550</v>
      </c>
      <c r="AJ16" s="88"/>
      <c r="AL16" t="s">
        <v>551</v>
      </c>
    </row>
    <row r="17" spans="1:51" x14ac:dyDescent="0.3">
      <c r="A17" t="s">
        <v>299</v>
      </c>
      <c r="B17" t="s">
        <v>57</v>
      </c>
      <c r="C17" s="118">
        <f t="shared" ref="C17:I17" si="10">C53/2</f>
        <v>2621.2856079063972</v>
      </c>
      <c r="D17" s="118">
        <f t="shared" si="10"/>
        <v>15.14374759141943</v>
      </c>
      <c r="E17" s="118">
        <f t="shared" si="10"/>
        <v>22.206657908313698</v>
      </c>
      <c r="F17" s="118">
        <f t="shared" si="10"/>
        <v>8.011697332005113</v>
      </c>
      <c r="G17" s="118">
        <f t="shared" si="10"/>
        <v>0.62512084276871027</v>
      </c>
      <c r="H17" s="118">
        <f t="shared" si="10"/>
        <v>21.5</v>
      </c>
      <c r="I17" s="118">
        <f t="shared" si="10"/>
        <v>108.99754378065022</v>
      </c>
      <c r="J17" s="118">
        <v>0</v>
      </c>
      <c r="R17" s="313">
        <v>3.6823506037362402E-12</v>
      </c>
      <c r="S17" s="313">
        <v>2.9305920893050502E-12</v>
      </c>
      <c r="T17" s="313">
        <v>3.7443381777102104E-12</v>
      </c>
      <c r="U17" s="313">
        <v>6.2897346509346296E-12</v>
      </c>
      <c r="V17" s="313">
        <v>5.6561751602410104E-10</v>
      </c>
      <c r="W17" s="121">
        <f t="shared" si="2"/>
        <v>4.375</v>
      </c>
      <c r="AF17" t="s">
        <v>425</v>
      </c>
      <c r="AG17" t="s">
        <v>423</v>
      </c>
      <c r="AH17" t="s">
        <v>413</v>
      </c>
      <c r="AI17" s="88" t="s">
        <v>550</v>
      </c>
      <c r="AJ17" s="88"/>
    </row>
    <row r="18" spans="1:51" x14ac:dyDescent="0.3">
      <c r="A18" t="s">
        <v>299</v>
      </c>
      <c r="B18" s="16" t="s">
        <v>59</v>
      </c>
      <c r="C18" s="415">
        <v>1739</v>
      </c>
      <c r="D18" s="415">
        <v>0</v>
      </c>
      <c r="E18" s="416">
        <f t="shared" ref="E18:H18" si="11">E54/2</f>
        <v>22.685162688361643</v>
      </c>
      <c r="F18" s="121">
        <f t="shared" si="11"/>
        <v>8.1843318403354566</v>
      </c>
      <c r="G18" s="415">
        <v>0</v>
      </c>
      <c r="H18" s="416">
        <f t="shared" si="11"/>
        <v>21.5</v>
      </c>
      <c r="I18" s="415">
        <v>0</v>
      </c>
      <c r="J18" s="374">
        <v>0</v>
      </c>
      <c r="R18" s="417">
        <f>$AU$23</f>
        <v>-3.9189713333333335E-12</v>
      </c>
      <c r="S18" s="417">
        <f t="shared" ref="S18:V18" si="12">$AU$23</f>
        <v>-3.9189713333333335E-12</v>
      </c>
      <c r="T18" s="417">
        <f t="shared" si="12"/>
        <v>-3.9189713333333335E-12</v>
      </c>
      <c r="U18" s="417">
        <f t="shared" si="12"/>
        <v>-3.9189713333333335E-12</v>
      </c>
      <c r="V18" s="417">
        <f t="shared" si="12"/>
        <v>-3.9189713333333335E-12</v>
      </c>
      <c r="W18" s="121">
        <f t="shared" si="2"/>
        <v>8.9649999999999999</v>
      </c>
      <c r="X18" t="s">
        <v>547</v>
      </c>
      <c r="AF18" t="s">
        <v>425</v>
      </c>
      <c r="AG18" t="s">
        <v>424</v>
      </c>
      <c r="AH18" t="s">
        <v>427</v>
      </c>
      <c r="AI18" s="88" t="s">
        <v>552</v>
      </c>
      <c r="AJ18" s="88"/>
    </row>
    <row r="19" spans="1:51" x14ac:dyDescent="0.3">
      <c r="A19" t="s">
        <v>299</v>
      </c>
      <c r="B19" s="16" t="s">
        <v>556</v>
      </c>
      <c r="C19" s="121">
        <f>C55/2</f>
        <v>3905.5308736001866</v>
      </c>
      <c r="D19" s="121">
        <f t="shared" ref="D19:I19" si="13">D55/2</f>
        <v>22.563116961350598</v>
      </c>
      <c r="E19" s="121">
        <f t="shared" si="13"/>
        <v>33.086355717516248</v>
      </c>
      <c r="F19" s="121">
        <f t="shared" si="13"/>
        <v>11.936864562071611</v>
      </c>
      <c r="G19" s="121">
        <f t="shared" si="13"/>
        <v>0.93138601295496315</v>
      </c>
      <c r="H19" s="121">
        <f t="shared" si="13"/>
        <v>21.5</v>
      </c>
      <c r="I19" s="121">
        <f t="shared" si="13"/>
        <v>0</v>
      </c>
      <c r="J19" s="421">
        <v>0</v>
      </c>
      <c r="K19" s="433"/>
      <c r="L19" s="433"/>
      <c r="M19" s="433"/>
      <c r="N19" s="434"/>
      <c r="O19" s="435"/>
      <c r="P19" s="434"/>
      <c r="Q19" s="434"/>
      <c r="R19" s="313">
        <v>3.6594152579647701E-13</v>
      </c>
      <c r="S19" s="313">
        <v>1.9333551736946401E-12</v>
      </c>
      <c r="T19" s="313">
        <v>1.01766513997187E-13</v>
      </c>
      <c r="U19" s="313">
        <v>4.329767954234E-15</v>
      </c>
      <c r="V19" s="313">
        <v>1.2431465024292299E-11</v>
      </c>
      <c r="W19" s="121">
        <f t="shared" si="2"/>
        <v>0</v>
      </c>
      <c r="AI19" s="88"/>
      <c r="AJ19" s="88"/>
      <c r="AU19" t="s">
        <v>553</v>
      </c>
      <c r="AW19" t="s">
        <v>554</v>
      </c>
    </row>
    <row r="21" spans="1:51" x14ac:dyDescent="0.3">
      <c r="AU21" s="419">
        <f>0.000000000000499+0.000000000000762+0.0000000000000694+0.00000000000000714+0.00000000000153</f>
        <v>2.8675399999999997E-12</v>
      </c>
      <c r="AW21">
        <v>9.4</v>
      </c>
    </row>
    <row r="22" spans="1:51" ht="18" x14ac:dyDescent="0.35">
      <c r="A22" s="265" t="s">
        <v>396</v>
      </c>
      <c r="B22" s="109"/>
      <c r="C22" s="109"/>
      <c r="D22" s="109"/>
      <c r="E22" s="109"/>
      <c r="F22" s="109"/>
      <c r="G22" s="109"/>
      <c r="H22" s="109"/>
      <c r="I22" s="109"/>
      <c r="J22" s="109"/>
      <c r="K22" s="109"/>
      <c r="L22" s="109"/>
      <c r="M22" s="109"/>
      <c r="N22" s="109"/>
      <c r="O22" s="109"/>
      <c r="P22" s="109"/>
      <c r="Q22" s="109"/>
      <c r="R22" s="109"/>
      <c r="S22" s="109"/>
      <c r="T22" s="109"/>
      <c r="U22" s="109"/>
      <c r="V22" s="109"/>
      <c r="W22" s="109"/>
      <c r="X22" s="109"/>
      <c r="Y22" s="109"/>
      <c r="Z22" s="109"/>
      <c r="AA22" s="109"/>
      <c r="AB22" s="109"/>
      <c r="AC22" s="109"/>
      <c r="AD22" s="109"/>
      <c r="AE22" s="109"/>
      <c r="AF22" s="109"/>
      <c r="AG22" s="109"/>
      <c r="AH22" s="109"/>
      <c r="AI22" s="109"/>
      <c r="AJ22" s="109"/>
      <c r="AU22" s="118">
        <v>0</v>
      </c>
      <c r="AW22">
        <v>0</v>
      </c>
    </row>
    <row r="23" spans="1:51" x14ac:dyDescent="0.3">
      <c r="AU23" s="420">
        <f>-AU21/3000*4100</f>
        <v>-3.9189713333333335E-12</v>
      </c>
      <c r="AV23" s="74"/>
      <c r="AW23" s="110">
        <f>-9.4/3000*8100</f>
        <v>-25.380000000000003</v>
      </c>
      <c r="AX23" s="6" t="s">
        <v>555</v>
      </c>
      <c r="AY23" s="418"/>
    </row>
    <row r="24" spans="1:51" x14ac:dyDescent="0.3">
      <c r="A24" s="386" t="s">
        <v>224</v>
      </c>
      <c r="B24" s="387"/>
      <c r="C24" s="388" t="s">
        <v>363</v>
      </c>
      <c r="D24" s="389" t="s">
        <v>364</v>
      </c>
      <c r="E24" s="390"/>
      <c r="F24" s="391"/>
      <c r="G24" s="391"/>
      <c r="H24" s="392" t="s">
        <v>365</v>
      </c>
      <c r="I24" s="392" t="s">
        <v>14</v>
      </c>
      <c r="J24" s="393" t="s">
        <v>15</v>
      </c>
      <c r="K24" s="394" t="s">
        <v>366</v>
      </c>
      <c r="L24" s="391"/>
      <c r="M24" s="391"/>
      <c r="N24" s="390"/>
      <c r="O24" s="395"/>
      <c r="P24" s="395"/>
      <c r="Q24" s="395"/>
      <c r="R24" s="393" t="s">
        <v>367</v>
      </c>
      <c r="S24" s="395"/>
      <c r="T24" s="395"/>
      <c r="U24" s="395"/>
      <c r="V24" s="395"/>
      <c r="W24" s="393" t="s">
        <v>18</v>
      </c>
      <c r="X24" s="396" t="s">
        <v>363</v>
      </c>
      <c r="Y24" s="397" t="s">
        <v>364</v>
      </c>
      <c r="Z24" s="398"/>
      <c r="AA24" s="399"/>
      <c r="AB24" s="399"/>
      <c r="AC24" s="400" t="s">
        <v>365</v>
      </c>
      <c r="AD24" s="400" t="s">
        <v>14</v>
      </c>
      <c r="AE24" s="401" t="s">
        <v>15</v>
      </c>
      <c r="AF24" s="402" t="s">
        <v>366</v>
      </c>
      <c r="AG24" s="399"/>
      <c r="AH24" s="399"/>
      <c r="AI24" s="401" t="s">
        <v>16</v>
      </c>
      <c r="AJ24" s="403"/>
    </row>
    <row r="25" spans="1:51" ht="57.6" x14ac:dyDescent="0.3">
      <c r="A25" s="404" t="s">
        <v>393</v>
      </c>
      <c r="B25" s="303" t="s">
        <v>22</v>
      </c>
      <c r="C25" s="302" t="s">
        <v>368</v>
      </c>
      <c r="D25" s="302" t="s">
        <v>369</v>
      </c>
      <c r="E25" s="304" t="s">
        <v>370</v>
      </c>
      <c r="F25" s="302" t="s">
        <v>371</v>
      </c>
      <c r="G25" s="304" t="s">
        <v>372</v>
      </c>
      <c r="H25" s="304" t="s">
        <v>373</v>
      </c>
      <c r="I25" s="405" t="s">
        <v>374</v>
      </c>
      <c r="J25" s="406" t="s">
        <v>375</v>
      </c>
      <c r="K25" s="305" t="s">
        <v>376</v>
      </c>
      <c r="L25" s="305" t="s">
        <v>377</v>
      </c>
      <c r="M25" s="305" t="s">
        <v>378</v>
      </c>
      <c r="N25" s="305" t="s">
        <v>379</v>
      </c>
      <c r="O25" s="305" t="s">
        <v>380</v>
      </c>
      <c r="P25" s="305" t="s">
        <v>381</v>
      </c>
      <c r="Q25" s="305" t="s">
        <v>382</v>
      </c>
      <c r="R25" s="306" t="s">
        <v>383</v>
      </c>
      <c r="S25" s="306" t="s">
        <v>384</v>
      </c>
      <c r="T25" s="306" t="s">
        <v>385</v>
      </c>
      <c r="U25" s="306" t="s">
        <v>386</v>
      </c>
      <c r="V25" s="306" t="s">
        <v>387</v>
      </c>
      <c r="W25" s="306" t="s">
        <v>388</v>
      </c>
      <c r="X25" s="307" t="s">
        <v>368</v>
      </c>
      <c r="Y25" s="307" t="s">
        <v>389</v>
      </c>
      <c r="Z25" s="308" t="s">
        <v>370</v>
      </c>
      <c r="AA25" s="307" t="s">
        <v>371</v>
      </c>
      <c r="AB25" s="308" t="s">
        <v>372</v>
      </c>
      <c r="AC25" s="308" t="s">
        <v>373</v>
      </c>
      <c r="AD25" s="309" t="s">
        <v>33</v>
      </c>
      <c r="AE25" s="310" t="s">
        <v>375</v>
      </c>
      <c r="AF25" s="311" t="s">
        <v>390</v>
      </c>
      <c r="AG25" s="311" t="s">
        <v>414</v>
      </c>
      <c r="AH25" s="311" t="s">
        <v>426</v>
      </c>
      <c r="AI25" s="312" t="s">
        <v>391</v>
      </c>
      <c r="AJ25" s="312" t="s">
        <v>392</v>
      </c>
    </row>
    <row r="26" spans="1:51" x14ac:dyDescent="0.3">
      <c r="A26" t="s">
        <v>394</v>
      </c>
      <c r="B26" t="s">
        <v>39</v>
      </c>
      <c r="C26" s="222">
        <v>13293.52529904792</v>
      </c>
      <c r="D26" s="407">
        <v>40</v>
      </c>
      <c r="E26" s="12"/>
      <c r="F26" s="408">
        <f t="shared" ref="F26:F36" si="14">((C26*P26*M26)*Q26*L26*(1-K26))+((C26*P26)+(C26*P26*M26))*N26*Q26*O26</f>
        <v>23.991729066912114</v>
      </c>
      <c r="G26" s="409">
        <v>5.23943661971831</v>
      </c>
      <c r="H26" s="410">
        <v>78.5</v>
      </c>
      <c r="I26" s="222">
        <v>0</v>
      </c>
      <c r="J26" s="14">
        <v>0.33309538092381524</v>
      </c>
      <c r="K26" s="411">
        <v>0</v>
      </c>
      <c r="L26" s="411">
        <v>6.0000000000000001E-3</v>
      </c>
      <c r="M26" s="411">
        <v>0.04</v>
      </c>
      <c r="N26" s="412">
        <v>0.22</v>
      </c>
      <c r="O26" s="413">
        <v>7.0000000000000001E-3</v>
      </c>
      <c r="P26" s="412">
        <v>0.98</v>
      </c>
      <c r="Q26" s="412">
        <v>1</v>
      </c>
      <c r="R26" s="313">
        <v>7.6128299319703802E-13</v>
      </c>
      <c r="S26" s="313">
        <v>9.9114588119145104E-13</v>
      </c>
      <c r="T26" s="313">
        <v>4.44587622408846E-13</v>
      </c>
      <c r="U26" s="313">
        <v>5.4963460178550003E-14</v>
      </c>
      <c r="V26" s="313">
        <v>1.35691374688038E-11</v>
      </c>
      <c r="W26" s="222">
        <v>16.63</v>
      </c>
      <c r="X26" t="s">
        <v>436</v>
      </c>
      <c r="Y26" t="s">
        <v>436</v>
      </c>
      <c r="AA26" t="s">
        <v>215</v>
      </c>
      <c r="AB26" t="s">
        <v>436</v>
      </c>
      <c r="AC26" t="s">
        <v>412</v>
      </c>
      <c r="AD26" t="s">
        <v>437</v>
      </c>
      <c r="AE26" t="s">
        <v>411</v>
      </c>
      <c r="AF26" t="s">
        <v>425</v>
      </c>
      <c r="AG26" t="s">
        <v>413</v>
      </c>
      <c r="AH26" t="s">
        <v>413</v>
      </c>
      <c r="AI26" s="88" t="s">
        <v>398</v>
      </c>
      <c r="AJ26" s="88" t="s">
        <v>435</v>
      </c>
    </row>
    <row r="27" spans="1:51" x14ac:dyDescent="0.3">
      <c r="A27" t="s">
        <v>394</v>
      </c>
      <c r="B27" t="s">
        <v>41</v>
      </c>
      <c r="C27" s="222">
        <v>12762.456278581561</v>
      </c>
      <c r="D27" s="407">
        <v>61.999999999999993</v>
      </c>
      <c r="E27" s="12"/>
      <c r="F27" s="408">
        <f t="shared" si="14"/>
        <v>23.033272692983086</v>
      </c>
      <c r="G27" s="409">
        <v>8.3830985915492953</v>
      </c>
      <c r="H27" s="410">
        <v>78.5</v>
      </c>
      <c r="I27" s="222">
        <v>92.210702520091203</v>
      </c>
      <c r="J27" s="14">
        <v>0.86232103612349842</v>
      </c>
      <c r="K27" s="411">
        <v>0</v>
      </c>
      <c r="L27" s="411">
        <v>6.0000000000000001E-3</v>
      </c>
      <c r="M27" s="411">
        <v>0.04</v>
      </c>
      <c r="N27" s="412">
        <v>0.22</v>
      </c>
      <c r="O27" s="413">
        <v>7.0000000000000001E-3</v>
      </c>
      <c r="P27" s="412">
        <v>0.98</v>
      </c>
      <c r="Q27" s="412">
        <v>1</v>
      </c>
      <c r="R27" s="313">
        <v>2.0321018994265801E-12</v>
      </c>
      <c r="S27" s="313">
        <v>1.25706113532964E-12</v>
      </c>
      <c r="T27" s="313">
        <v>2.7214600985099602E-12</v>
      </c>
      <c r="U27" s="313">
        <v>1.24426858277234E-12</v>
      </c>
      <c r="V27" s="313">
        <v>1.0980413467666901E-10</v>
      </c>
      <c r="W27" s="222">
        <v>25.14</v>
      </c>
      <c r="X27" t="s">
        <v>436</v>
      </c>
      <c r="Y27" t="s">
        <v>432</v>
      </c>
      <c r="AA27" t="s">
        <v>215</v>
      </c>
      <c r="AB27" t="s">
        <v>432</v>
      </c>
      <c r="AC27" t="s">
        <v>412</v>
      </c>
      <c r="AD27" t="s">
        <v>437</v>
      </c>
      <c r="AE27" t="s">
        <v>411</v>
      </c>
      <c r="AF27" t="s">
        <v>425</v>
      </c>
      <c r="AG27" t="s">
        <v>415</v>
      </c>
      <c r="AH27" t="s">
        <v>413</v>
      </c>
      <c r="AI27" s="88" t="s">
        <v>398</v>
      </c>
      <c r="AJ27" s="88" t="s">
        <v>435</v>
      </c>
    </row>
    <row r="28" spans="1:51" x14ac:dyDescent="0.3">
      <c r="A28" t="s">
        <v>394</v>
      </c>
      <c r="B28" t="s">
        <v>43</v>
      </c>
      <c r="C28" s="222">
        <v>15673.189721458533</v>
      </c>
      <c r="D28" s="407">
        <v>51</v>
      </c>
      <c r="E28" s="12"/>
      <c r="F28" s="408">
        <f t="shared" si="14"/>
        <v>28.286471267217276</v>
      </c>
      <c r="G28" s="409">
        <v>3.492957746478873</v>
      </c>
      <c r="H28" s="410">
        <v>78.5</v>
      </c>
      <c r="I28" s="222">
        <v>2.0593520403791801</v>
      </c>
      <c r="J28" s="14">
        <v>1.6424271196144855</v>
      </c>
      <c r="K28" s="411">
        <v>0</v>
      </c>
      <c r="L28" s="411">
        <v>6.0000000000000001E-3</v>
      </c>
      <c r="M28" s="411">
        <v>0.04</v>
      </c>
      <c r="N28" s="412">
        <v>0.22</v>
      </c>
      <c r="O28" s="413">
        <v>7.0000000000000001E-3</v>
      </c>
      <c r="P28" s="412">
        <v>0.98</v>
      </c>
      <c r="Q28" s="412">
        <v>1</v>
      </c>
      <c r="R28" s="313">
        <v>1.58447763766545E-12</v>
      </c>
      <c r="S28" s="313">
        <v>9.1128803161714291E-13</v>
      </c>
      <c r="T28" s="313">
        <v>6.4346197398059299E-13</v>
      </c>
      <c r="U28" s="313">
        <v>1.40077465406071E-13</v>
      </c>
      <c r="V28" s="313">
        <v>8.4628777241253198E-12</v>
      </c>
      <c r="W28" s="222">
        <v>28.38</v>
      </c>
      <c r="X28" t="s">
        <v>436</v>
      </c>
      <c r="Y28" t="s">
        <v>432</v>
      </c>
      <c r="AA28" t="s">
        <v>215</v>
      </c>
      <c r="AB28" t="s">
        <v>432</v>
      </c>
      <c r="AC28" t="s">
        <v>412</v>
      </c>
      <c r="AD28" t="s">
        <v>437</v>
      </c>
      <c r="AE28" t="s">
        <v>411</v>
      </c>
      <c r="AF28" t="s">
        <v>425</v>
      </c>
      <c r="AG28" t="s">
        <v>416</v>
      </c>
      <c r="AH28" t="s">
        <v>413</v>
      </c>
      <c r="AI28" s="88" t="s">
        <v>398</v>
      </c>
      <c r="AJ28" s="88" t="s">
        <v>435</v>
      </c>
    </row>
    <row r="29" spans="1:51" x14ac:dyDescent="0.3">
      <c r="A29" t="s">
        <v>394</v>
      </c>
      <c r="B29" t="s">
        <v>45</v>
      </c>
      <c r="C29" s="222">
        <v>6782.6435584693863</v>
      </c>
      <c r="D29" s="407">
        <v>180</v>
      </c>
      <c r="E29" s="12"/>
      <c r="F29" s="408">
        <f t="shared" si="14"/>
        <v>12.241098049731676</v>
      </c>
      <c r="G29" s="409">
        <v>9.6056338028169002</v>
      </c>
      <c r="H29" s="410">
        <v>78.5</v>
      </c>
      <c r="I29" s="222">
        <v>282.61914165931898</v>
      </c>
      <c r="J29" s="14">
        <f>$J$27/$C$27*C29</f>
        <v>0.45828295849376577</v>
      </c>
      <c r="K29" s="411">
        <v>0</v>
      </c>
      <c r="L29" s="411">
        <v>6.0000000000000001E-3</v>
      </c>
      <c r="M29" s="411">
        <v>0.04</v>
      </c>
      <c r="N29" s="412">
        <v>0.22</v>
      </c>
      <c r="O29" s="413">
        <v>7.0000000000000001E-3</v>
      </c>
      <c r="P29" s="412">
        <v>0.98</v>
      </c>
      <c r="Q29" s="412">
        <v>1</v>
      </c>
      <c r="R29" s="313">
        <v>6.3151178323239103E-12</v>
      </c>
      <c r="S29" s="313">
        <v>1.2421010017948899E-12</v>
      </c>
      <c r="T29" s="313">
        <v>7.9332781450439401E-12</v>
      </c>
      <c r="U29" s="313">
        <v>6.0473853504285198E-12</v>
      </c>
      <c r="V29" s="313">
        <v>5.5959653555187297E-10</v>
      </c>
      <c r="W29" s="222">
        <v>18.649999999999999</v>
      </c>
      <c r="X29" t="s">
        <v>436</v>
      </c>
      <c r="Y29" t="s">
        <v>432</v>
      </c>
      <c r="AA29" t="s">
        <v>215</v>
      </c>
      <c r="AB29" t="s">
        <v>432</v>
      </c>
      <c r="AC29" t="s">
        <v>412</v>
      </c>
      <c r="AD29" t="s">
        <v>437</v>
      </c>
      <c r="AE29" t="s">
        <v>439</v>
      </c>
      <c r="AF29" t="s">
        <v>425</v>
      </c>
      <c r="AG29" t="s">
        <v>417</v>
      </c>
      <c r="AH29" t="s">
        <v>413</v>
      </c>
      <c r="AI29" s="88" t="s">
        <v>398</v>
      </c>
      <c r="AJ29" s="88" t="s">
        <v>435</v>
      </c>
    </row>
    <row r="30" spans="1:51" x14ac:dyDescent="0.3">
      <c r="A30" t="s">
        <v>394</v>
      </c>
      <c r="B30" t="s">
        <v>47</v>
      </c>
      <c r="C30" s="222">
        <v>9752.6853564514786</v>
      </c>
      <c r="D30" s="407">
        <v>119.677419354839</v>
      </c>
      <c r="E30" s="12"/>
      <c r="F30" s="408">
        <f t="shared" si="14"/>
        <v>17.601334445392226</v>
      </c>
      <c r="G30" s="409">
        <v>1.3098591549295777</v>
      </c>
      <c r="H30" s="410">
        <v>78.5</v>
      </c>
      <c r="I30" s="222">
        <v>1.1144731838569699</v>
      </c>
      <c r="J30" s="14">
        <f>$J$28/$C$28*C30</f>
        <v>1.0220047867201052</v>
      </c>
      <c r="K30" s="411">
        <v>0</v>
      </c>
      <c r="L30" s="411">
        <v>6.0000000000000001E-3</v>
      </c>
      <c r="M30" s="411">
        <v>0.04</v>
      </c>
      <c r="N30" s="412">
        <v>0.22</v>
      </c>
      <c r="O30" s="413">
        <v>7.0000000000000001E-3</v>
      </c>
      <c r="P30" s="412">
        <v>0.98</v>
      </c>
      <c r="Q30" s="412">
        <v>1</v>
      </c>
      <c r="R30" s="313">
        <v>2.0052459077507698E-12</v>
      </c>
      <c r="S30" s="313">
        <v>9.2420584501594094E-13</v>
      </c>
      <c r="T30" s="313">
        <v>8.1952047128128899E-13</v>
      </c>
      <c r="U30" s="313">
        <v>2.5092764488167499E-13</v>
      </c>
      <c r="V30" s="313">
        <v>9.4039931766968205E-12</v>
      </c>
      <c r="W30" s="222">
        <v>81.510000000000005</v>
      </c>
      <c r="X30" t="s">
        <v>436</v>
      </c>
      <c r="Y30" t="s">
        <v>432</v>
      </c>
      <c r="AA30" t="s">
        <v>215</v>
      </c>
      <c r="AB30" t="s">
        <v>432</v>
      </c>
      <c r="AC30" t="s">
        <v>412</v>
      </c>
      <c r="AD30" t="s">
        <v>437</v>
      </c>
      <c r="AE30" t="s">
        <v>431</v>
      </c>
      <c r="AF30" t="s">
        <v>425</v>
      </c>
      <c r="AG30" t="s">
        <v>418</v>
      </c>
      <c r="AH30" t="s">
        <v>413</v>
      </c>
      <c r="AI30" s="88" t="s">
        <v>398</v>
      </c>
      <c r="AJ30" s="88" t="s">
        <v>435</v>
      </c>
    </row>
    <row r="31" spans="1:51" x14ac:dyDescent="0.3">
      <c r="A31" t="s">
        <v>394</v>
      </c>
      <c r="B31" t="s">
        <v>49</v>
      </c>
      <c r="C31" s="222">
        <v>16143.678217951852</v>
      </c>
      <c r="D31" s="407">
        <v>140</v>
      </c>
      <c r="E31" s="12"/>
      <c r="F31" s="408">
        <f t="shared" si="14"/>
        <v>29.135593850056534</v>
      </c>
      <c r="G31" s="409">
        <v>37</v>
      </c>
      <c r="H31" s="410">
        <v>78.5</v>
      </c>
      <c r="I31" s="222">
        <v>0</v>
      </c>
      <c r="J31" s="14">
        <v>2.14</v>
      </c>
      <c r="K31" s="411">
        <v>0</v>
      </c>
      <c r="L31" s="411">
        <v>6.0000000000000001E-3</v>
      </c>
      <c r="M31" s="411">
        <v>0.04</v>
      </c>
      <c r="N31" s="412">
        <v>0.22</v>
      </c>
      <c r="O31" s="413">
        <v>7.0000000000000001E-3</v>
      </c>
      <c r="P31" s="412">
        <v>0.98</v>
      </c>
      <c r="Q31" s="412">
        <v>1</v>
      </c>
      <c r="R31" s="313">
        <v>3.1832514885408398E-13</v>
      </c>
      <c r="S31" s="313">
        <v>1.4001616324494699E-12</v>
      </c>
      <c r="T31" s="313">
        <v>8.5977085874706495E-14</v>
      </c>
      <c r="U31" s="313">
        <v>5.1095172674085501E-15</v>
      </c>
      <c r="V31" s="313">
        <v>1.06861661337877E-11</v>
      </c>
      <c r="W31" s="222">
        <v>54.34</v>
      </c>
      <c r="X31" t="s">
        <v>436</v>
      </c>
      <c r="Y31" t="s">
        <v>432</v>
      </c>
      <c r="AA31" t="s">
        <v>215</v>
      </c>
      <c r="AB31" t="s">
        <v>432</v>
      </c>
      <c r="AC31" t="s">
        <v>412</v>
      </c>
      <c r="AD31" t="s">
        <v>437</v>
      </c>
      <c r="AE31" t="s">
        <v>409</v>
      </c>
      <c r="AF31" t="s">
        <v>425</v>
      </c>
      <c r="AG31" t="s">
        <v>419</v>
      </c>
      <c r="AH31" t="s">
        <v>413</v>
      </c>
      <c r="AI31" s="88" t="s">
        <v>398</v>
      </c>
      <c r="AJ31" s="88" t="s">
        <v>435</v>
      </c>
    </row>
    <row r="32" spans="1:51" x14ac:dyDescent="0.3">
      <c r="A32" t="s">
        <v>394</v>
      </c>
      <c r="B32" t="s">
        <v>51</v>
      </c>
      <c r="C32" s="222">
        <v>19438.160830850731</v>
      </c>
      <c r="D32" s="407">
        <v>149.127659574468</v>
      </c>
      <c r="E32" s="12"/>
      <c r="F32" s="408">
        <f t="shared" si="14"/>
        <v>35.081370646372811</v>
      </c>
      <c r="G32" s="409">
        <v>2.619718309859155</v>
      </c>
      <c r="H32" s="410">
        <v>78.5</v>
      </c>
      <c r="I32" s="222">
        <v>107.87515975580101</v>
      </c>
      <c r="J32" s="14">
        <f>$J$27/$C$27*C32</f>
        <v>1.3133784455054254</v>
      </c>
      <c r="K32" s="411">
        <v>0</v>
      </c>
      <c r="L32" s="411">
        <v>6.0000000000000001E-3</v>
      </c>
      <c r="M32" s="411">
        <v>0.04</v>
      </c>
      <c r="N32" s="412">
        <v>0.22</v>
      </c>
      <c r="O32" s="413">
        <v>7.0000000000000001E-3</v>
      </c>
      <c r="P32" s="412">
        <v>0.98</v>
      </c>
      <c r="Q32" s="412">
        <v>1</v>
      </c>
      <c r="R32" s="313">
        <v>6.2199999999999997E-12</v>
      </c>
      <c r="S32" s="313">
        <v>1.5900000000000001E-12</v>
      </c>
      <c r="T32" s="313">
        <v>1.33E-11</v>
      </c>
      <c r="U32" s="313">
        <v>3.2300000000000002E-12</v>
      </c>
      <c r="V32" s="313">
        <v>3.9E-10</v>
      </c>
      <c r="W32" s="222">
        <v>26.36</v>
      </c>
      <c r="X32" t="s">
        <v>436</v>
      </c>
      <c r="Y32" t="s">
        <v>432</v>
      </c>
      <c r="AA32" t="s">
        <v>215</v>
      </c>
      <c r="AB32" t="s">
        <v>432</v>
      </c>
      <c r="AC32" t="s">
        <v>412</v>
      </c>
      <c r="AD32" t="s">
        <v>437</v>
      </c>
      <c r="AE32" t="s">
        <v>439</v>
      </c>
      <c r="AF32" t="s">
        <v>425</v>
      </c>
      <c r="AG32" t="s">
        <v>420</v>
      </c>
      <c r="AH32" t="s">
        <v>413</v>
      </c>
      <c r="AI32" s="88" t="s">
        <v>398</v>
      </c>
      <c r="AJ32" s="88" t="s">
        <v>435</v>
      </c>
    </row>
    <row r="33" spans="1:37" x14ac:dyDescent="0.3">
      <c r="A33" t="s">
        <v>394</v>
      </c>
      <c r="B33" t="s">
        <v>53</v>
      </c>
      <c r="C33" s="222">
        <v>16259.901201281378</v>
      </c>
      <c r="D33" s="407">
        <v>5.0999999999999996</v>
      </c>
      <c r="E33" s="12"/>
      <c r="F33" s="408">
        <f t="shared" si="14"/>
        <v>29.345349371234189</v>
      </c>
      <c r="G33" s="409">
        <v>1.3753521126760562</v>
      </c>
      <c r="H33" s="410">
        <v>78.5</v>
      </c>
      <c r="I33" s="222">
        <v>16.271234432720799</v>
      </c>
      <c r="J33" s="14">
        <v>1.1654758979902708</v>
      </c>
      <c r="K33" s="411">
        <v>0</v>
      </c>
      <c r="L33" s="411">
        <v>6.0000000000000001E-3</v>
      </c>
      <c r="M33" s="411">
        <v>0.04</v>
      </c>
      <c r="N33" s="412">
        <v>0.22</v>
      </c>
      <c r="O33" s="413">
        <v>7.0000000000000001E-3</v>
      </c>
      <c r="P33" s="412">
        <v>0.98</v>
      </c>
      <c r="Q33" s="412">
        <v>1</v>
      </c>
      <c r="R33" s="313">
        <v>1.9429725966907796E-12</v>
      </c>
      <c r="S33" s="313">
        <v>1.3665731369826735E-12</v>
      </c>
      <c r="T33" s="313">
        <v>9.7613446634273655E-13</v>
      </c>
      <c r="U33" s="313">
        <v>2.1540046306302804E-13</v>
      </c>
      <c r="V33" s="313">
        <v>6.3726517642183136E-12</v>
      </c>
      <c r="W33" s="222">
        <v>34.06</v>
      </c>
      <c r="X33" t="s">
        <v>436</v>
      </c>
      <c r="Y33" t="s">
        <v>436</v>
      </c>
      <c r="AA33" t="s">
        <v>215</v>
      </c>
      <c r="AB33" t="s">
        <v>436</v>
      </c>
      <c r="AC33" t="s">
        <v>412</v>
      </c>
      <c r="AD33" t="s">
        <v>437</v>
      </c>
      <c r="AE33" t="s">
        <v>411</v>
      </c>
      <c r="AF33" t="s">
        <v>425</v>
      </c>
      <c r="AG33" t="s">
        <v>421</v>
      </c>
      <c r="AH33" t="s">
        <v>413</v>
      </c>
      <c r="AI33" s="88" t="s">
        <v>398</v>
      </c>
      <c r="AJ33" s="88" t="s">
        <v>435</v>
      </c>
    </row>
    <row r="34" spans="1:37" x14ac:dyDescent="0.3">
      <c r="A34" t="s">
        <v>394</v>
      </c>
      <c r="B34" t="s">
        <v>55</v>
      </c>
      <c r="C34" s="222">
        <v>15782.373686957546</v>
      </c>
      <c r="D34" s="407">
        <v>125.99999999999999</v>
      </c>
      <c r="E34" s="12"/>
      <c r="F34" s="408">
        <f t="shared" si="14"/>
        <v>28.483522994262998</v>
      </c>
      <c r="G34" s="409">
        <v>21.830985915492956</v>
      </c>
      <c r="H34" s="410">
        <v>78.5</v>
      </c>
      <c r="I34" s="222">
        <v>3.7403547823840699</v>
      </c>
      <c r="J34" s="14">
        <f>$J$28/$C$28*C34</f>
        <v>1.6538687412084045</v>
      </c>
      <c r="K34" s="411">
        <v>0</v>
      </c>
      <c r="L34" s="411">
        <v>6.0000000000000001E-3</v>
      </c>
      <c r="M34" s="411">
        <v>0.04</v>
      </c>
      <c r="N34" s="412">
        <v>0.22</v>
      </c>
      <c r="O34" s="413">
        <v>7.0000000000000001E-3</v>
      </c>
      <c r="P34" s="412">
        <v>0.98</v>
      </c>
      <c r="Q34" s="412">
        <v>1</v>
      </c>
      <c r="R34" s="313">
        <v>1.4583680426486E-12</v>
      </c>
      <c r="S34" s="313">
        <v>9.2461478395458007E-13</v>
      </c>
      <c r="T34" s="313">
        <v>3.3655517366258998E-13</v>
      </c>
      <c r="U34" s="313">
        <v>3.59608145456086E-14</v>
      </c>
      <c r="V34" s="313">
        <v>1.31903720847999E-11</v>
      </c>
      <c r="W34" s="222">
        <v>85.97</v>
      </c>
      <c r="X34" t="s">
        <v>436</v>
      </c>
      <c r="Y34" t="s">
        <v>432</v>
      </c>
      <c r="AA34" t="s">
        <v>215</v>
      </c>
      <c r="AB34" t="s">
        <v>432</v>
      </c>
      <c r="AC34" t="s">
        <v>412</v>
      </c>
      <c r="AD34" t="s">
        <v>437</v>
      </c>
      <c r="AE34" t="s">
        <v>431</v>
      </c>
      <c r="AF34" t="s">
        <v>425</v>
      </c>
      <c r="AG34" t="s">
        <v>422</v>
      </c>
      <c r="AH34" t="s">
        <v>413</v>
      </c>
      <c r="AI34" s="88" t="s">
        <v>398</v>
      </c>
      <c r="AJ34" s="88" t="s">
        <v>435</v>
      </c>
    </row>
    <row r="35" spans="1:37" x14ac:dyDescent="0.3">
      <c r="A35" t="s">
        <v>394</v>
      </c>
      <c r="B35" t="s">
        <v>57</v>
      </c>
      <c r="C35" s="222">
        <v>9756</v>
      </c>
      <c r="D35" s="407">
        <v>55</v>
      </c>
      <c r="E35" s="12"/>
      <c r="F35" s="408">
        <f t="shared" si="14"/>
        <v>17.607316608000001</v>
      </c>
      <c r="G35" s="409">
        <v>13.098591549295774</v>
      </c>
      <c r="H35" s="410">
        <v>78.5</v>
      </c>
      <c r="I35" s="222">
        <v>405.67118436717698</v>
      </c>
      <c r="J35" s="14">
        <f>$J$27/$C$27*C35</f>
        <v>0.6591837687655423</v>
      </c>
      <c r="K35" s="411">
        <v>0</v>
      </c>
      <c r="L35" s="411">
        <v>6.0000000000000001E-3</v>
      </c>
      <c r="M35" s="411">
        <v>0.04</v>
      </c>
      <c r="N35" s="412">
        <v>0.22</v>
      </c>
      <c r="O35" s="413">
        <v>7.0000000000000001E-3</v>
      </c>
      <c r="P35" s="412">
        <v>0.98</v>
      </c>
      <c r="Q35" s="412">
        <v>1</v>
      </c>
      <c r="R35" s="313">
        <v>3.7738174209626004E-12</v>
      </c>
      <c r="S35" s="313">
        <v>2.5819413353737599E-12</v>
      </c>
      <c r="T35" s="313">
        <v>3.8726446962259297E-12</v>
      </c>
      <c r="U35" s="313">
        <v>7.3859179387853007E-12</v>
      </c>
      <c r="V35" s="313">
        <v>6.7025422877374503E-10</v>
      </c>
      <c r="W35" s="222">
        <v>8.11</v>
      </c>
      <c r="X35" t="s">
        <v>436</v>
      </c>
      <c r="Y35" t="s">
        <v>432</v>
      </c>
      <c r="AA35" t="s">
        <v>215</v>
      </c>
      <c r="AB35" t="s">
        <v>432</v>
      </c>
      <c r="AC35" t="s">
        <v>412</v>
      </c>
      <c r="AD35" t="s">
        <v>437</v>
      </c>
      <c r="AE35" t="s">
        <v>439</v>
      </c>
      <c r="AF35" t="s">
        <v>425</v>
      </c>
      <c r="AG35" t="s">
        <v>423</v>
      </c>
      <c r="AH35" t="s">
        <v>413</v>
      </c>
      <c r="AI35" s="88" t="s">
        <v>398</v>
      </c>
      <c r="AJ35" s="88" t="s">
        <v>435</v>
      </c>
    </row>
    <row r="36" spans="1:37" x14ac:dyDescent="0.3">
      <c r="A36" t="s">
        <v>394</v>
      </c>
      <c r="B36" s="16" t="s">
        <v>59</v>
      </c>
      <c r="C36" s="222">
        <v>10938.305818503784</v>
      </c>
      <c r="D36" s="407">
        <v>70</v>
      </c>
      <c r="E36" s="12"/>
      <c r="F36" s="408">
        <f t="shared" si="14"/>
        <v>19.741104315449441</v>
      </c>
      <c r="G36" s="409">
        <v>6</v>
      </c>
      <c r="H36" s="410">
        <v>78.5</v>
      </c>
      <c r="I36" s="222">
        <v>0</v>
      </c>
      <c r="J36" s="14">
        <v>0.1</v>
      </c>
      <c r="K36" s="411">
        <v>0</v>
      </c>
      <c r="L36" s="411">
        <v>6.0000000000000001E-3</v>
      </c>
      <c r="M36" s="411">
        <v>0.04</v>
      </c>
      <c r="N36" s="412">
        <v>0.22</v>
      </c>
      <c r="O36" s="413">
        <v>7.0000000000000001E-3</v>
      </c>
      <c r="P36" s="412">
        <v>0.98</v>
      </c>
      <c r="Q36" s="412">
        <v>1</v>
      </c>
      <c r="R36" s="313">
        <v>4.9926191507892996E-13</v>
      </c>
      <c r="S36" s="313">
        <v>7.6196994155457501E-13</v>
      </c>
      <c r="T36" s="313">
        <v>6.9410319174027301E-14</v>
      </c>
      <c r="U36" s="313">
        <v>7.1402612381482693E-15</v>
      </c>
      <c r="V36" s="313">
        <v>1.53428969970343E-12</v>
      </c>
      <c r="W36" s="222">
        <v>16.63</v>
      </c>
      <c r="X36" t="s">
        <v>436</v>
      </c>
      <c r="Y36" t="s">
        <v>432</v>
      </c>
      <c r="AA36" t="s">
        <v>215</v>
      </c>
      <c r="AB36" t="s">
        <v>432</v>
      </c>
      <c r="AC36" t="s">
        <v>412</v>
      </c>
      <c r="AD36" t="s">
        <v>437</v>
      </c>
      <c r="AE36" t="s">
        <v>410</v>
      </c>
      <c r="AF36" t="s">
        <v>425</v>
      </c>
      <c r="AG36" t="s">
        <v>424</v>
      </c>
      <c r="AH36" t="s">
        <v>427</v>
      </c>
      <c r="AI36" s="88" t="s">
        <v>398</v>
      </c>
      <c r="AJ36" s="88" t="s">
        <v>435</v>
      </c>
    </row>
    <row r="37" spans="1:37" x14ac:dyDescent="0.3">
      <c r="A37" t="s">
        <v>394</v>
      </c>
      <c r="B37" s="16" t="s">
        <v>556</v>
      </c>
      <c r="C37" s="222">
        <f>C31</f>
        <v>16143.678217951852</v>
      </c>
      <c r="D37" s="222">
        <f t="shared" ref="D37:J37" si="15">D31</f>
        <v>140</v>
      </c>
      <c r="E37" s="222">
        <f t="shared" si="15"/>
        <v>0</v>
      </c>
      <c r="F37" s="222">
        <f t="shared" si="15"/>
        <v>29.135593850056534</v>
      </c>
      <c r="G37" s="222">
        <f t="shared" si="15"/>
        <v>37</v>
      </c>
      <c r="H37" s="222">
        <f t="shared" si="15"/>
        <v>78.5</v>
      </c>
      <c r="I37" s="222">
        <v>0</v>
      </c>
      <c r="J37" s="222">
        <f t="shared" si="15"/>
        <v>2.14</v>
      </c>
      <c r="K37" s="433">
        <v>0</v>
      </c>
      <c r="L37" s="433">
        <v>6.0000000000000001E-3</v>
      </c>
      <c r="M37" s="433">
        <v>0.04</v>
      </c>
      <c r="N37" s="434">
        <v>0.22</v>
      </c>
      <c r="O37" s="435">
        <v>7.0000000000000001E-3</v>
      </c>
      <c r="P37" s="434">
        <v>0.98</v>
      </c>
      <c r="Q37" s="434">
        <v>1</v>
      </c>
      <c r="R37" s="313">
        <v>3.5141603552337798E-13</v>
      </c>
      <c r="S37" s="313">
        <v>1.61934421803807E-12</v>
      </c>
      <c r="T37" s="313">
        <v>1.03018064074875E-13</v>
      </c>
      <c r="U37" s="313">
        <v>5.2572369568927999E-15</v>
      </c>
      <c r="V37" s="313">
        <v>1.5094378739193201E-11</v>
      </c>
      <c r="W37" s="222">
        <f>W30</f>
        <v>81.510000000000005</v>
      </c>
      <c r="X37" t="s">
        <v>628</v>
      </c>
      <c r="AI37" s="88"/>
      <c r="AJ37" s="88"/>
    </row>
    <row r="40" spans="1:37" ht="18" x14ac:dyDescent="0.35">
      <c r="A40" s="265" t="s">
        <v>395</v>
      </c>
      <c r="B40" s="109"/>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c r="AA40" s="109"/>
      <c r="AB40" s="109"/>
      <c r="AC40" s="109"/>
      <c r="AD40" s="109"/>
      <c r="AE40" s="109"/>
      <c r="AF40" s="109"/>
      <c r="AG40" s="109"/>
      <c r="AH40" s="109"/>
      <c r="AI40" s="109"/>
      <c r="AJ40" s="109"/>
      <c r="AK40" s="109"/>
    </row>
    <row r="41" spans="1:37" ht="18" x14ac:dyDescent="0.35">
      <c r="A41" s="1"/>
    </row>
    <row r="42" spans="1:37" x14ac:dyDescent="0.3">
      <c r="A42" s="386" t="s">
        <v>224</v>
      </c>
      <c r="B42" s="387"/>
      <c r="C42" s="388" t="s">
        <v>363</v>
      </c>
      <c r="D42" s="389" t="s">
        <v>364</v>
      </c>
      <c r="E42" s="390"/>
      <c r="F42" s="391"/>
      <c r="G42" s="391"/>
      <c r="H42" s="392" t="s">
        <v>365</v>
      </c>
      <c r="I42" s="392"/>
      <c r="J42" s="393" t="s">
        <v>15</v>
      </c>
      <c r="K42" s="394" t="s">
        <v>366</v>
      </c>
      <c r="L42" s="391"/>
      <c r="M42" s="391"/>
      <c r="N42" s="390"/>
      <c r="O42" s="395"/>
      <c r="P42" s="395"/>
      <c r="Q42" s="395"/>
      <c r="R42" s="393" t="s">
        <v>367</v>
      </c>
      <c r="S42" s="395"/>
      <c r="T42" s="395"/>
      <c r="U42" s="395"/>
      <c r="V42" s="395"/>
      <c r="W42" s="393" t="s">
        <v>18</v>
      </c>
      <c r="X42" s="396" t="s">
        <v>363</v>
      </c>
      <c r="Y42" s="397" t="s">
        <v>364</v>
      </c>
      <c r="Z42" s="398"/>
      <c r="AA42" s="399"/>
      <c r="AB42" s="399"/>
      <c r="AC42" s="400" t="s">
        <v>365</v>
      </c>
      <c r="AD42" s="400" t="s">
        <v>14</v>
      </c>
      <c r="AE42" s="401" t="s">
        <v>15</v>
      </c>
      <c r="AF42" s="402" t="s">
        <v>366</v>
      </c>
      <c r="AG42" s="399"/>
      <c r="AH42" s="399"/>
      <c r="AI42" s="401" t="s">
        <v>16</v>
      </c>
      <c r="AJ42" s="403"/>
    </row>
    <row r="43" spans="1:37" ht="57.6" x14ac:dyDescent="0.3">
      <c r="A43" s="404" t="s">
        <v>393</v>
      </c>
      <c r="B43" s="303" t="s">
        <v>22</v>
      </c>
      <c r="C43" s="302" t="s">
        <v>368</v>
      </c>
      <c r="D43" s="302" t="s">
        <v>369</v>
      </c>
      <c r="E43" s="304" t="s">
        <v>370</v>
      </c>
      <c r="F43" s="302" t="s">
        <v>371</v>
      </c>
      <c r="G43" s="304" t="s">
        <v>372</v>
      </c>
      <c r="H43" s="304" t="s">
        <v>373</v>
      </c>
      <c r="I43" s="405"/>
      <c r="J43" s="406" t="s">
        <v>375</v>
      </c>
      <c r="K43" s="305" t="s">
        <v>376</v>
      </c>
      <c r="L43" s="305" t="s">
        <v>377</v>
      </c>
      <c r="M43" s="305" t="s">
        <v>378</v>
      </c>
      <c r="N43" s="305" t="s">
        <v>379</v>
      </c>
      <c r="O43" s="305" t="s">
        <v>380</v>
      </c>
      <c r="P43" s="305" t="s">
        <v>381</v>
      </c>
      <c r="Q43" s="305" t="s">
        <v>382</v>
      </c>
      <c r="R43" s="306" t="s">
        <v>383</v>
      </c>
      <c r="S43" s="306" t="s">
        <v>384</v>
      </c>
      <c r="T43" s="306" t="s">
        <v>385</v>
      </c>
      <c r="U43" s="306" t="s">
        <v>386</v>
      </c>
      <c r="V43" s="306" t="s">
        <v>387</v>
      </c>
      <c r="W43" s="306" t="s">
        <v>388</v>
      </c>
      <c r="X43" s="307" t="s">
        <v>368</v>
      </c>
      <c r="Y43" s="307" t="s">
        <v>389</v>
      </c>
      <c r="Z43" s="308" t="s">
        <v>370</v>
      </c>
      <c r="AA43" s="307" t="s">
        <v>371</v>
      </c>
      <c r="AB43" s="308" t="s">
        <v>372</v>
      </c>
      <c r="AC43" s="308" t="s">
        <v>373</v>
      </c>
      <c r="AD43" s="309" t="s">
        <v>33</v>
      </c>
      <c r="AE43" s="310" t="s">
        <v>375</v>
      </c>
      <c r="AF43" s="311" t="s">
        <v>390</v>
      </c>
      <c r="AG43" s="311" t="s">
        <v>414</v>
      </c>
      <c r="AH43" s="311" t="s">
        <v>426</v>
      </c>
      <c r="AI43" s="312" t="s">
        <v>391</v>
      </c>
      <c r="AJ43" s="312" t="s">
        <v>392</v>
      </c>
    </row>
    <row r="44" spans="1:37" x14ac:dyDescent="0.3">
      <c r="A44" t="s">
        <v>395</v>
      </c>
      <c r="B44" t="s">
        <v>39</v>
      </c>
      <c r="C44" s="222">
        <v>11351.570861430901</v>
      </c>
      <c r="D44" s="407">
        <v>25.999999999999996</v>
      </c>
      <c r="E44" s="407">
        <v>96.166724481088693</v>
      </c>
      <c r="F44" s="408">
        <f t="shared" ref="F44:F54" si="16">((C44*P44*M44)*Q44*L44*(1-K44))+((C44*P44)+(C44*P44*M44))*N44*Q44*O44</f>
        <v>34.694941180877407</v>
      </c>
      <c r="G44" s="409">
        <v>0.43661971830985907</v>
      </c>
      <c r="H44" s="410">
        <v>43</v>
      </c>
      <c r="I44" s="222">
        <v>0</v>
      </c>
      <c r="J44" s="14">
        <f>$J$54/$C$54*C44</f>
        <v>0.50870285112176505</v>
      </c>
      <c r="K44" s="411">
        <v>0</v>
      </c>
      <c r="L44" s="4">
        <v>1.4999999999999999E-2</v>
      </c>
      <c r="M44" s="4">
        <v>0.3</v>
      </c>
      <c r="N44" s="4">
        <v>0.8</v>
      </c>
      <c r="O44" s="4">
        <v>1.2E-2</v>
      </c>
      <c r="P44" s="4">
        <v>0.9</v>
      </c>
      <c r="Q44" s="4">
        <v>0.2</v>
      </c>
      <c r="R44" s="414">
        <v>6.2750488430527196E-13</v>
      </c>
      <c r="S44" s="414">
        <v>8.4350183617781696E-13</v>
      </c>
      <c r="T44" s="414">
        <v>4.0178434026358302E-13</v>
      </c>
      <c r="U44" s="414">
        <v>4.1702974733926199E-14</v>
      </c>
      <c r="V44" s="414">
        <v>1.02954471058489E-11</v>
      </c>
      <c r="W44" s="222">
        <v>17.93</v>
      </c>
      <c r="X44" t="s">
        <v>436</v>
      </c>
      <c r="Y44" t="s">
        <v>528</v>
      </c>
      <c r="Z44" t="s">
        <v>281</v>
      </c>
      <c r="AA44" t="s">
        <v>215</v>
      </c>
      <c r="AB44" t="s">
        <v>528</v>
      </c>
      <c r="AC44" t="s">
        <v>429</v>
      </c>
      <c r="AD44" t="s">
        <v>438</v>
      </c>
      <c r="AE44" t="s">
        <v>281</v>
      </c>
      <c r="AF44" t="s">
        <v>425</v>
      </c>
      <c r="AG44" t="s">
        <v>425</v>
      </c>
      <c r="AH44" t="s">
        <v>427</v>
      </c>
      <c r="AI44" s="88" t="s">
        <v>398</v>
      </c>
      <c r="AJ44" s="88" t="s">
        <v>434</v>
      </c>
    </row>
    <row r="45" spans="1:37" x14ac:dyDescent="0.3">
      <c r="A45" t="s">
        <v>395</v>
      </c>
      <c r="B45" t="s">
        <v>41</v>
      </c>
      <c r="C45" s="222">
        <v>8768.7697802764524</v>
      </c>
      <c r="D45" s="407">
        <v>42</v>
      </c>
      <c r="E45" s="407">
        <v>74.286094655241996</v>
      </c>
      <c r="F45" s="408">
        <f t="shared" si="16"/>
        <v>26.800867956436949</v>
      </c>
      <c r="G45" s="409">
        <v>2.5760563380281689</v>
      </c>
      <c r="H45" s="410">
        <v>43</v>
      </c>
      <c r="I45" s="222">
        <v>63.355705518319212</v>
      </c>
      <c r="J45" s="14">
        <f>$J$54/$C$54*C45</f>
        <v>0.39295866999457024</v>
      </c>
      <c r="K45" s="411">
        <v>0</v>
      </c>
      <c r="L45" s="4">
        <v>1.4999999999999999E-2</v>
      </c>
      <c r="M45" s="4">
        <v>0.3</v>
      </c>
      <c r="N45" s="4">
        <v>0.8</v>
      </c>
      <c r="O45" s="4">
        <v>1.2E-2</v>
      </c>
      <c r="P45" s="4">
        <v>0.9</v>
      </c>
      <c r="Q45" s="4">
        <v>0.2</v>
      </c>
      <c r="R45" s="414">
        <v>1.7629415950814E-12</v>
      </c>
      <c r="S45" s="414">
        <v>1.0761803329544199E-12</v>
      </c>
      <c r="T45" s="414">
        <v>2.5883596072585E-12</v>
      </c>
      <c r="U45" s="414">
        <v>9.6906831610838707E-13</v>
      </c>
      <c r="V45" s="414">
        <v>8.6879863459893104E-11</v>
      </c>
      <c r="W45" s="222">
        <v>27.12</v>
      </c>
      <c r="X45" t="s">
        <v>436</v>
      </c>
      <c r="Y45" t="s">
        <v>432</v>
      </c>
      <c r="Z45" t="s">
        <v>436</v>
      </c>
      <c r="AA45" t="s">
        <v>215</v>
      </c>
      <c r="AB45" t="s">
        <v>432</v>
      </c>
      <c r="AC45" t="s">
        <v>429</v>
      </c>
      <c r="AD45" t="s">
        <v>438</v>
      </c>
      <c r="AE45" t="s">
        <v>281</v>
      </c>
      <c r="AF45" t="s">
        <v>425</v>
      </c>
      <c r="AG45" t="s">
        <v>425</v>
      </c>
      <c r="AH45" t="s">
        <v>427</v>
      </c>
      <c r="AI45" s="88" t="s">
        <v>399</v>
      </c>
      <c r="AJ45" s="88" t="s">
        <v>434</v>
      </c>
    </row>
    <row r="46" spans="1:37" x14ac:dyDescent="0.3">
      <c r="A46" t="s">
        <v>395</v>
      </c>
      <c r="B46" t="s">
        <v>43</v>
      </c>
      <c r="C46" s="222">
        <v>8729.8964945472399</v>
      </c>
      <c r="D46" s="407">
        <v>49</v>
      </c>
      <c r="E46" s="407">
        <v>73.95677313630604</v>
      </c>
      <c r="F46" s="408">
        <f t="shared" si="16"/>
        <v>26.682055645934184</v>
      </c>
      <c r="G46" s="409">
        <v>1.3098591549295775</v>
      </c>
      <c r="H46" s="410">
        <v>43</v>
      </c>
      <c r="I46" s="222">
        <v>1.147049865269665</v>
      </c>
      <c r="J46" s="14">
        <f>$J$54/$C$54*C46</f>
        <v>0.3912166246402915</v>
      </c>
      <c r="K46" s="411">
        <v>0</v>
      </c>
      <c r="L46" s="4">
        <v>1.4999999999999999E-2</v>
      </c>
      <c r="M46" s="4">
        <v>0.3</v>
      </c>
      <c r="N46" s="4">
        <v>0.8</v>
      </c>
      <c r="O46" s="4">
        <v>1.2E-2</v>
      </c>
      <c r="P46" s="4">
        <v>0.9</v>
      </c>
      <c r="Q46" s="4">
        <v>0.2</v>
      </c>
      <c r="R46" s="414">
        <v>1.37733484354476E-12</v>
      </c>
      <c r="S46" s="414">
        <v>7.7381078930917301E-13</v>
      </c>
      <c r="T46" s="414">
        <v>5.7595016701536003E-13</v>
      </c>
      <c r="U46" s="414">
        <v>1.06282373446742E-13</v>
      </c>
      <c r="V46" s="414">
        <v>6.4211236839713696E-12</v>
      </c>
      <c r="W46" s="222">
        <v>30.62</v>
      </c>
      <c r="X46" t="s">
        <v>436</v>
      </c>
      <c r="Y46" t="s">
        <v>432</v>
      </c>
      <c r="Z46" t="s">
        <v>436</v>
      </c>
      <c r="AA46" t="s">
        <v>215</v>
      </c>
      <c r="AB46" t="s">
        <v>432</v>
      </c>
      <c r="AC46" t="s">
        <v>429</v>
      </c>
      <c r="AD46" t="s">
        <v>438</v>
      </c>
      <c r="AE46" t="s">
        <v>281</v>
      </c>
      <c r="AF46" t="s">
        <v>425</v>
      </c>
      <c r="AG46" t="s">
        <v>425</v>
      </c>
      <c r="AH46" t="s">
        <v>427</v>
      </c>
      <c r="AI46" s="88" t="s">
        <v>400</v>
      </c>
      <c r="AJ46" s="88" t="s">
        <v>434</v>
      </c>
    </row>
    <row r="47" spans="1:37" x14ac:dyDescent="0.3">
      <c r="A47" t="s">
        <v>395</v>
      </c>
      <c r="B47" t="s">
        <v>45</v>
      </c>
      <c r="C47" s="222">
        <v>3544.8237821611806</v>
      </c>
      <c r="D47" s="407">
        <v>20.479232194764563</v>
      </c>
      <c r="E47" s="407">
        <v>30.03056547454214</v>
      </c>
      <c r="F47" s="408">
        <f t="shared" si="16"/>
        <v>10.834399407797434</v>
      </c>
      <c r="G47" s="409">
        <v>0.84536504663489265</v>
      </c>
      <c r="H47" s="410">
        <v>43</v>
      </c>
      <c r="I47" s="222">
        <v>147.70569115296601</v>
      </c>
      <c r="J47" s="14">
        <f>$J$54/$C$54*C47</f>
        <v>0.15885572021019162</v>
      </c>
      <c r="K47" s="411">
        <v>0</v>
      </c>
      <c r="L47" s="4">
        <v>1.4999999999999999E-2</v>
      </c>
      <c r="M47" s="4">
        <v>0.3</v>
      </c>
      <c r="N47" s="4">
        <v>0.8</v>
      </c>
      <c r="O47" s="4">
        <v>1.2E-2</v>
      </c>
      <c r="P47" s="4">
        <v>0.9</v>
      </c>
      <c r="Q47" s="4">
        <v>0.2</v>
      </c>
      <c r="R47" s="414">
        <v>5.1009509324608001E-12</v>
      </c>
      <c r="S47" s="414">
        <v>1.1387399854472601E-12</v>
      </c>
      <c r="T47" s="414">
        <v>7.6034005589347397E-12</v>
      </c>
      <c r="U47" s="414">
        <v>5.0029091010893496E-12</v>
      </c>
      <c r="V47" s="414">
        <v>4.5966133882675899E-10</v>
      </c>
      <c r="W47" s="222">
        <v>20.12</v>
      </c>
      <c r="X47" t="s">
        <v>436</v>
      </c>
      <c r="Y47" t="s">
        <v>432</v>
      </c>
      <c r="Z47" t="s">
        <v>436</v>
      </c>
      <c r="AA47" t="s">
        <v>215</v>
      </c>
      <c r="AB47" t="s">
        <v>432</v>
      </c>
      <c r="AC47" t="s">
        <v>429</v>
      </c>
      <c r="AD47" t="s">
        <v>438</v>
      </c>
      <c r="AE47" t="s">
        <v>281</v>
      </c>
      <c r="AF47" t="s">
        <v>425</v>
      </c>
      <c r="AG47" t="s">
        <v>425</v>
      </c>
      <c r="AH47" t="s">
        <v>427</v>
      </c>
      <c r="AI47" s="88" t="s">
        <v>401</v>
      </c>
      <c r="AJ47" s="88" t="s">
        <v>434</v>
      </c>
    </row>
    <row r="48" spans="1:37" x14ac:dyDescent="0.3">
      <c r="A48" t="s">
        <v>395</v>
      </c>
      <c r="B48" t="s">
        <v>47</v>
      </c>
      <c r="C48" s="222">
        <v>2359.6878979502089</v>
      </c>
      <c r="D48" s="407">
        <v>13.632439675135579</v>
      </c>
      <c r="E48" s="407">
        <v>19.990489308801521</v>
      </c>
      <c r="F48" s="408">
        <f t="shared" si="16"/>
        <v>7.2121500912950198</v>
      </c>
      <c r="G48" s="409">
        <v>0.56273535512061401</v>
      </c>
      <c r="H48" s="410">
        <v>43</v>
      </c>
      <c r="I48" s="222">
        <v>0.26964972091483402</v>
      </c>
      <c r="J48" s="14">
        <f>$J$54/$C$54*C48</f>
        <v>0.10574571361954078</v>
      </c>
      <c r="K48" s="411">
        <v>0</v>
      </c>
      <c r="L48" s="4">
        <v>1.4999999999999999E-2</v>
      </c>
      <c r="M48" s="4">
        <v>0.3</v>
      </c>
      <c r="N48" s="4">
        <v>0.8</v>
      </c>
      <c r="O48" s="4">
        <v>1.2E-2</v>
      </c>
      <c r="P48" s="4">
        <v>0.9</v>
      </c>
      <c r="Q48" s="4">
        <v>0.2</v>
      </c>
      <c r="R48" s="414">
        <v>1.7414005746797399E-12</v>
      </c>
      <c r="S48" s="414">
        <v>7.6518622125603498E-13</v>
      </c>
      <c r="T48" s="414">
        <v>6.8252517730391395E-13</v>
      </c>
      <c r="U48" s="414">
        <v>1.9038883652066601E-13</v>
      </c>
      <c r="V48" s="414">
        <v>7.1351856046146802E-12</v>
      </c>
      <c r="W48" s="222">
        <v>87.91</v>
      </c>
      <c r="X48" t="s">
        <v>436</v>
      </c>
      <c r="Y48" t="s">
        <v>432</v>
      </c>
      <c r="Z48" t="s">
        <v>436</v>
      </c>
      <c r="AA48" t="s">
        <v>215</v>
      </c>
      <c r="AB48" t="s">
        <v>432</v>
      </c>
      <c r="AC48" t="s">
        <v>429</v>
      </c>
      <c r="AD48" t="s">
        <v>438</v>
      </c>
      <c r="AE48" t="s">
        <v>281</v>
      </c>
      <c r="AF48" t="s">
        <v>425</v>
      </c>
      <c r="AG48" t="s">
        <v>425</v>
      </c>
      <c r="AH48" t="s">
        <v>427</v>
      </c>
      <c r="AI48" s="88" t="s">
        <v>402</v>
      </c>
      <c r="AJ48" s="88" t="s">
        <v>434</v>
      </c>
    </row>
    <row r="49" spans="1:37" x14ac:dyDescent="0.3">
      <c r="A49" t="s">
        <v>395</v>
      </c>
      <c r="B49" t="s">
        <v>49</v>
      </c>
      <c r="C49" s="222">
        <v>7811.0617472003732</v>
      </c>
      <c r="D49" s="407">
        <v>45.126233922701196</v>
      </c>
      <c r="E49" s="407">
        <v>66.172711435032497</v>
      </c>
      <c r="F49" s="408">
        <f t="shared" si="16"/>
        <v>23.873729124143221</v>
      </c>
      <c r="G49" s="409">
        <v>1.8627720259099263</v>
      </c>
      <c r="H49" s="410">
        <v>43</v>
      </c>
      <c r="I49" s="222">
        <v>0</v>
      </c>
      <c r="J49" s="14">
        <v>0.09</v>
      </c>
      <c r="K49" s="411">
        <v>0</v>
      </c>
      <c r="L49" s="4">
        <v>1.4999999999999999E-2</v>
      </c>
      <c r="M49" s="4">
        <v>0.3</v>
      </c>
      <c r="N49" s="4">
        <v>0.8</v>
      </c>
      <c r="O49" s="4">
        <v>1.2E-2</v>
      </c>
      <c r="P49" s="4">
        <v>0.9</v>
      </c>
      <c r="Q49" s="4">
        <v>0.2</v>
      </c>
      <c r="R49" s="414">
        <v>2.5565237189737703E-13</v>
      </c>
      <c r="S49" s="414">
        <v>1.2386734087536299E-12</v>
      </c>
      <c r="T49" s="414">
        <v>7.6253277701026204E-14</v>
      </c>
      <c r="U49" s="414">
        <v>3.9209685520567297E-15</v>
      </c>
      <c r="V49" s="414">
        <v>8.2004070364725796E-12</v>
      </c>
      <c r="W49" s="222">
        <v>58.61</v>
      </c>
      <c r="X49" t="s">
        <v>436</v>
      </c>
      <c r="Y49" t="s">
        <v>432</v>
      </c>
      <c r="Z49" t="s">
        <v>436</v>
      </c>
      <c r="AA49" t="s">
        <v>215</v>
      </c>
      <c r="AB49" t="s">
        <v>432</v>
      </c>
      <c r="AC49" t="s">
        <v>429</v>
      </c>
      <c r="AD49" t="s">
        <v>438</v>
      </c>
      <c r="AE49" t="s">
        <v>440</v>
      </c>
      <c r="AF49" t="s">
        <v>425</v>
      </c>
      <c r="AG49" t="s">
        <v>425</v>
      </c>
      <c r="AH49" t="s">
        <v>427</v>
      </c>
      <c r="AI49" s="88" t="s">
        <v>403</v>
      </c>
      <c r="AJ49" s="88" t="s">
        <v>434</v>
      </c>
    </row>
    <row r="50" spans="1:37" x14ac:dyDescent="0.3">
      <c r="A50" t="s">
        <v>395</v>
      </c>
      <c r="B50" t="s">
        <v>51</v>
      </c>
      <c r="C50" s="222">
        <v>9476.8495630255966</v>
      </c>
      <c r="D50" s="407">
        <v>54.749859119295898</v>
      </c>
      <c r="E50" s="407">
        <v>80.284710548098516</v>
      </c>
      <c r="F50" s="408">
        <f t="shared" si="16"/>
        <v>28.965043004431436</v>
      </c>
      <c r="G50" s="409">
        <v>2.2600269759854377</v>
      </c>
      <c r="H50" s="410">
        <v>43</v>
      </c>
      <c r="I50" s="222">
        <v>52.593281303164133</v>
      </c>
      <c r="J50" s="14">
        <f>$J$54/$C$54*C50</f>
        <v>0.42469015532846566</v>
      </c>
      <c r="K50" s="411">
        <v>0</v>
      </c>
      <c r="L50" s="4">
        <v>1.4999999999999999E-2</v>
      </c>
      <c r="M50" s="4">
        <v>0.3</v>
      </c>
      <c r="N50" s="4">
        <v>0.8</v>
      </c>
      <c r="O50" s="4">
        <v>1.2E-2</v>
      </c>
      <c r="P50" s="4">
        <v>0.9</v>
      </c>
      <c r="Q50" s="4">
        <v>0.2</v>
      </c>
      <c r="R50" s="414">
        <v>5.4888922777244104E-12</v>
      </c>
      <c r="S50" s="414">
        <v>1.3745425381329301E-12</v>
      </c>
      <c r="T50" s="414">
        <v>1.29555073794495E-11</v>
      </c>
      <c r="U50" s="414">
        <v>2.5453220985111301E-12</v>
      </c>
      <c r="V50" s="414">
        <v>3.1506114891571103E-10</v>
      </c>
      <c r="W50" s="222">
        <v>28.43</v>
      </c>
      <c r="X50" t="s">
        <v>436</v>
      </c>
      <c r="Y50" t="s">
        <v>432</v>
      </c>
      <c r="Z50" t="s">
        <v>436</v>
      </c>
      <c r="AA50" t="s">
        <v>215</v>
      </c>
      <c r="AB50" t="s">
        <v>432</v>
      </c>
      <c r="AC50" t="s">
        <v>429</v>
      </c>
      <c r="AD50" t="s">
        <v>438</v>
      </c>
      <c r="AE50" t="s">
        <v>281</v>
      </c>
      <c r="AF50" t="s">
        <v>425</v>
      </c>
      <c r="AG50" t="s">
        <v>425</v>
      </c>
      <c r="AH50" t="s">
        <v>427</v>
      </c>
      <c r="AI50" s="88" t="s">
        <v>404</v>
      </c>
      <c r="AJ50" s="88" t="s">
        <v>434</v>
      </c>
    </row>
    <row r="51" spans="1:37" x14ac:dyDescent="0.3">
      <c r="A51" t="s">
        <v>395</v>
      </c>
      <c r="B51" t="s">
        <v>53</v>
      </c>
      <c r="C51" s="222">
        <v>5577.7303858082596</v>
      </c>
      <c r="D51" s="407">
        <v>144</v>
      </c>
      <c r="E51" s="407">
        <v>47.252672585105614</v>
      </c>
      <c r="F51" s="408">
        <f t="shared" si="16"/>
        <v>17.047775151184368</v>
      </c>
      <c r="G51" s="409">
        <v>0</v>
      </c>
      <c r="H51" s="410">
        <v>43</v>
      </c>
      <c r="I51" s="222">
        <v>5.5816180914336835</v>
      </c>
      <c r="J51" s="14">
        <f>$J$54/$C$54*C51</f>
        <v>0.2499572424544157</v>
      </c>
      <c r="K51" s="411">
        <v>0</v>
      </c>
      <c r="L51" s="4">
        <v>1.4999999999999999E-2</v>
      </c>
      <c r="M51" s="4">
        <v>0.3</v>
      </c>
      <c r="N51" s="4">
        <v>0.8</v>
      </c>
      <c r="O51" s="4">
        <v>1.2E-2</v>
      </c>
      <c r="P51" s="4">
        <v>0.9</v>
      </c>
      <c r="Q51" s="4">
        <v>0.2</v>
      </c>
      <c r="R51" s="414">
        <v>1.32203957376915E-12</v>
      </c>
      <c r="S51" s="414">
        <v>9.1185304555556598E-13</v>
      </c>
      <c r="T51" s="414">
        <v>8.00270874210727E-13</v>
      </c>
      <c r="U51" s="414">
        <v>1.3589281830381E-13</v>
      </c>
      <c r="V51" s="414">
        <v>4.0199645358356201E-12</v>
      </c>
      <c r="W51" s="222">
        <v>36.74</v>
      </c>
      <c r="X51" t="s">
        <v>436</v>
      </c>
      <c r="Y51" t="s">
        <v>436</v>
      </c>
      <c r="AA51" t="s">
        <v>215</v>
      </c>
      <c r="AB51" t="s">
        <v>436</v>
      </c>
      <c r="AC51" t="s">
        <v>429</v>
      </c>
      <c r="AD51" t="s">
        <v>438</v>
      </c>
      <c r="AE51" t="s">
        <v>281</v>
      </c>
      <c r="AF51" t="s">
        <v>425</v>
      </c>
      <c r="AG51" t="s">
        <v>425</v>
      </c>
      <c r="AH51" t="s">
        <v>427</v>
      </c>
      <c r="AI51" s="88" t="s">
        <v>405</v>
      </c>
      <c r="AJ51" s="88" t="s">
        <v>434</v>
      </c>
    </row>
    <row r="52" spans="1:37" x14ac:dyDescent="0.3">
      <c r="A52" t="s">
        <v>395</v>
      </c>
      <c r="B52" t="s">
        <v>55</v>
      </c>
      <c r="C52" s="222">
        <v>7548.701920971178</v>
      </c>
      <c r="D52" s="407">
        <v>43.610523091893683</v>
      </c>
      <c r="E52" s="407">
        <v>63.950086440494168</v>
      </c>
      <c r="F52" s="408">
        <f t="shared" si="16"/>
        <v>23.071852551256306</v>
      </c>
      <c r="G52" s="409">
        <v>1.8002047897467377</v>
      </c>
      <c r="H52" s="410">
        <v>43</v>
      </c>
      <c r="I52" s="222">
        <v>1.7890099354464937</v>
      </c>
      <c r="J52" s="14">
        <f>$J$54/$C$54*C52</f>
        <v>0.33828324170654328</v>
      </c>
      <c r="K52" s="411">
        <v>0</v>
      </c>
      <c r="L52" s="4">
        <v>1.4999999999999999E-2</v>
      </c>
      <c r="M52" s="4">
        <v>0.3</v>
      </c>
      <c r="N52" s="4">
        <v>0.8</v>
      </c>
      <c r="O52" s="4">
        <v>1.2E-2</v>
      </c>
      <c r="P52" s="4">
        <v>0.9</v>
      </c>
      <c r="Q52" s="4">
        <v>0.2</v>
      </c>
      <c r="R52" s="414">
        <v>1.2831757092515399E-12</v>
      </c>
      <c r="S52" s="414">
        <v>7.7289177418637898E-13</v>
      </c>
      <c r="T52" s="414">
        <v>2.9980527101396699E-13</v>
      </c>
      <c r="U52" s="414">
        <v>2.7284907746623E-14</v>
      </c>
      <c r="V52" s="414">
        <v>1.0008062665570101E-11</v>
      </c>
      <c r="W52" s="222">
        <v>92.72</v>
      </c>
      <c r="X52" t="s">
        <v>436</v>
      </c>
      <c r="Y52" t="s">
        <v>432</v>
      </c>
      <c r="Z52" t="s">
        <v>436</v>
      </c>
      <c r="AA52" t="s">
        <v>215</v>
      </c>
      <c r="AB52" t="s">
        <v>432</v>
      </c>
      <c r="AC52" t="s">
        <v>429</v>
      </c>
      <c r="AD52" t="s">
        <v>438</v>
      </c>
      <c r="AE52" t="s">
        <v>281</v>
      </c>
      <c r="AF52" t="s">
        <v>425</v>
      </c>
      <c r="AG52" t="s">
        <v>425</v>
      </c>
      <c r="AH52" t="s">
        <v>427</v>
      </c>
      <c r="AI52" s="88" t="s">
        <v>406</v>
      </c>
      <c r="AJ52" s="88" t="s">
        <v>434</v>
      </c>
    </row>
    <row r="53" spans="1:37" x14ac:dyDescent="0.3">
      <c r="A53" t="s">
        <v>395</v>
      </c>
      <c r="B53" t="s">
        <v>57</v>
      </c>
      <c r="C53" s="222">
        <v>5242.5712158127944</v>
      </c>
      <c r="D53" s="407">
        <v>30.28749518283886</v>
      </c>
      <c r="E53" s="407">
        <v>44.413315816627396</v>
      </c>
      <c r="F53" s="408">
        <f t="shared" si="16"/>
        <v>16.023394664010226</v>
      </c>
      <c r="G53" s="409">
        <v>1.2502416855374205</v>
      </c>
      <c r="H53" s="410">
        <v>43</v>
      </c>
      <c r="I53" s="222">
        <v>217.99508756130044</v>
      </c>
      <c r="J53" s="14">
        <f>$J$54/$C$54*C53</f>
        <v>0.23493760971481037</v>
      </c>
      <c r="K53" s="411">
        <v>0</v>
      </c>
      <c r="L53" s="4">
        <v>1.4999999999999999E-2</v>
      </c>
      <c r="M53" s="4">
        <v>0.3</v>
      </c>
      <c r="N53" s="4">
        <v>0.8</v>
      </c>
      <c r="O53" s="4">
        <v>1.2E-2</v>
      </c>
      <c r="P53" s="4">
        <v>0.9</v>
      </c>
      <c r="Q53" s="4">
        <v>0.2</v>
      </c>
      <c r="R53" s="414">
        <v>3.39753281871391E-12</v>
      </c>
      <c r="S53" s="414">
        <v>2.3148471768516098E-12</v>
      </c>
      <c r="T53" s="414">
        <v>3.7775738318679399E-12</v>
      </c>
      <c r="U53" s="414">
        <v>5.9217605248233702E-12</v>
      </c>
      <c r="V53" s="414">
        <v>5.3103372176367304E-10</v>
      </c>
      <c r="W53" s="222">
        <v>8.75</v>
      </c>
      <c r="X53" t="s">
        <v>436</v>
      </c>
      <c r="Y53" t="s">
        <v>432</v>
      </c>
      <c r="Z53" t="s">
        <v>436</v>
      </c>
      <c r="AA53" t="s">
        <v>215</v>
      </c>
      <c r="AB53" t="s">
        <v>432</v>
      </c>
      <c r="AC53" t="s">
        <v>429</v>
      </c>
      <c r="AD53" t="s">
        <v>438</v>
      </c>
      <c r="AE53" t="s">
        <v>281</v>
      </c>
      <c r="AF53" t="s">
        <v>425</v>
      </c>
      <c r="AG53" t="s">
        <v>425</v>
      </c>
      <c r="AH53" t="s">
        <v>427</v>
      </c>
      <c r="AI53" s="88" t="s">
        <v>407</v>
      </c>
      <c r="AJ53" s="88" t="s">
        <v>434</v>
      </c>
    </row>
    <row r="54" spans="1:37" x14ac:dyDescent="0.3">
      <c r="A54" t="s">
        <v>395</v>
      </c>
      <c r="B54" s="16" t="s">
        <v>59</v>
      </c>
      <c r="C54" s="222">
        <v>5355.5371288675924</v>
      </c>
      <c r="D54" s="407">
        <v>37.108747993579456</v>
      </c>
      <c r="E54" s="407">
        <v>45.370325376723287</v>
      </c>
      <c r="F54" s="408">
        <f t="shared" si="16"/>
        <v>16.368663680670913</v>
      </c>
      <c r="G54" s="409">
        <v>1.4546548956661318</v>
      </c>
      <c r="H54" s="410">
        <v>43</v>
      </c>
      <c r="I54" s="222">
        <v>0</v>
      </c>
      <c r="J54" s="14">
        <v>0.24</v>
      </c>
      <c r="K54" s="411">
        <v>0</v>
      </c>
      <c r="L54" s="4">
        <v>1.4999999999999999E-2</v>
      </c>
      <c r="M54" s="4">
        <v>0.3</v>
      </c>
      <c r="N54" s="4">
        <v>0.8</v>
      </c>
      <c r="O54" s="4">
        <v>1.2E-2</v>
      </c>
      <c r="P54" s="4">
        <v>0.9</v>
      </c>
      <c r="Q54" s="4">
        <v>0.2</v>
      </c>
      <c r="R54" s="414">
        <v>4.5842184507074605E-13</v>
      </c>
      <c r="S54" s="414">
        <v>6.4928227114909795E-13</v>
      </c>
      <c r="T54" s="414">
        <v>5.9860502485509702E-14</v>
      </c>
      <c r="U54" s="414">
        <v>5.4176016764741002E-15</v>
      </c>
      <c r="V54" s="414">
        <v>1.16412693766732E-12</v>
      </c>
      <c r="W54" s="222">
        <v>17.93</v>
      </c>
      <c r="X54" t="s">
        <v>436</v>
      </c>
      <c r="Y54" t="s">
        <v>432</v>
      </c>
      <c r="Z54" t="s">
        <v>436</v>
      </c>
      <c r="AA54" t="s">
        <v>215</v>
      </c>
      <c r="AB54" t="s">
        <v>432</v>
      </c>
      <c r="AC54" t="s">
        <v>429</v>
      </c>
      <c r="AD54" t="s">
        <v>438</v>
      </c>
      <c r="AE54" t="s">
        <v>430</v>
      </c>
      <c r="AF54" t="s">
        <v>425</v>
      </c>
      <c r="AG54" t="s">
        <v>425</v>
      </c>
      <c r="AH54" t="s">
        <v>427</v>
      </c>
      <c r="AI54" s="88" t="s">
        <v>408</v>
      </c>
      <c r="AJ54" s="88" t="s">
        <v>434</v>
      </c>
    </row>
    <row r="55" spans="1:37" x14ac:dyDescent="0.3">
      <c r="A55" t="s">
        <v>395</v>
      </c>
      <c r="B55" s="16" t="s">
        <v>556</v>
      </c>
      <c r="C55" s="222">
        <f>C49</f>
        <v>7811.0617472003732</v>
      </c>
      <c r="D55" s="222">
        <f t="shared" ref="D55:K55" si="17">D49</f>
        <v>45.126233922701196</v>
      </c>
      <c r="E55" s="222">
        <f t="shared" si="17"/>
        <v>66.172711435032497</v>
      </c>
      <c r="F55" s="222">
        <f t="shared" si="17"/>
        <v>23.873729124143221</v>
      </c>
      <c r="G55" s="222">
        <f t="shared" si="17"/>
        <v>1.8627720259099263</v>
      </c>
      <c r="H55" s="222">
        <f t="shared" si="17"/>
        <v>43</v>
      </c>
      <c r="I55" s="222">
        <v>0</v>
      </c>
      <c r="J55" s="222">
        <f t="shared" si="17"/>
        <v>0.09</v>
      </c>
      <c r="K55" s="222">
        <f t="shared" si="17"/>
        <v>0</v>
      </c>
      <c r="L55" s="72">
        <f t="shared" ref="L55:Q55" si="18">L48</f>
        <v>1.4999999999999999E-2</v>
      </c>
      <c r="M55" s="72">
        <f t="shared" si="18"/>
        <v>0.3</v>
      </c>
      <c r="N55" s="72">
        <f t="shared" si="18"/>
        <v>0.8</v>
      </c>
      <c r="O55" s="72">
        <f t="shared" si="18"/>
        <v>1.2E-2</v>
      </c>
      <c r="P55" s="72">
        <f t="shared" si="18"/>
        <v>0.9</v>
      </c>
      <c r="Q55" s="72">
        <f t="shared" si="18"/>
        <v>0.2</v>
      </c>
      <c r="R55" s="313">
        <v>3.5141603552337798E-13</v>
      </c>
      <c r="S55" s="313">
        <v>1.61934421803807E-12</v>
      </c>
      <c r="T55" s="313">
        <v>1.03018064074875E-13</v>
      </c>
      <c r="U55" s="313">
        <v>5.2572369568927999E-15</v>
      </c>
      <c r="V55" s="313">
        <v>1.5094378739193201E-11</v>
      </c>
      <c r="W55" s="222"/>
      <c r="X55" t="s">
        <v>628</v>
      </c>
      <c r="AI55" s="88"/>
      <c r="AJ55" s="88"/>
    </row>
    <row r="56" spans="1:37" x14ac:dyDescent="0.3">
      <c r="D56" s="407"/>
    </row>
    <row r="58" spans="1:37" ht="18" x14ac:dyDescent="0.35">
      <c r="A58" s="265" t="s">
        <v>441</v>
      </c>
      <c r="B58" s="109"/>
      <c r="C58" s="109"/>
      <c r="D58" s="109"/>
      <c r="E58" s="109"/>
      <c r="F58" s="109"/>
      <c r="G58" s="109"/>
      <c r="H58" s="109"/>
      <c r="I58" s="109"/>
      <c r="J58" s="109"/>
      <c r="K58" s="109"/>
      <c r="L58" s="109"/>
      <c r="M58" s="109"/>
      <c r="N58" s="109"/>
      <c r="O58" s="109"/>
      <c r="P58" s="109"/>
      <c r="Q58" s="109"/>
      <c r="R58" s="109"/>
      <c r="S58" s="109"/>
      <c r="T58" s="109"/>
      <c r="U58" s="109"/>
      <c r="V58" s="109"/>
      <c r="W58" s="109"/>
      <c r="X58" s="109"/>
      <c r="Y58" s="109"/>
      <c r="Z58" s="109"/>
      <c r="AA58" s="109"/>
      <c r="AB58" s="109"/>
      <c r="AC58" s="109"/>
      <c r="AD58" s="109"/>
      <c r="AE58" s="109"/>
      <c r="AF58" s="109"/>
      <c r="AG58" s="109"/>
      <c r="AH58" s="109"/>
      <c r="AI58" s="109"/>
      <c r="AJ58" s="109"/>
      <c r="AK58" s="109"/>
    </row>
    <row r="60" spans="1:37" x14ac:dyDescent="0.3">
      <c r="A60" s="386" t="s">
        <v>224</v>
      </c>
      <c r="B60" s="387"/>
      <c r="C60" s="388" t="s">
        <v>363</v>
      </c>
      <c r="D60" s="389" t="s">
        <v>364</v>
      </c>
      <c r="E60" s="390"/>
      <c r="F60" s="391"/>
      <c r="G60" s="391"/>
      <c r="H60" s="392" t="s">
        <v>365</v>
      </c>
      <c r="I60" s="392"/>
      <c r="J60" s="393" t="s">
        <v>15</v>
      </c>
      <c r="K60" s="394" t="s">
        <v>366</v>
      </c>
      <c r="L60" s="391"/>
      <c r="M60" s="391"/>
      <c r="N60" s="390"/>
      <c r="O60" s="395"/>
      <c r="P60" s="395"/>
      <c r="Q60" s="395"/>
      <c r="R60" s="393" t="s">
        <v>367</v>
      </c>
      <c r="S60" s="395"/>
      <c r="T60" s="395"/>
      <c r="U60" s="395"/>
      <c r="V60" s="395"/>
      <c r="W60" s="393" t="s">
        <v>18</v>
      </c>
      <c r="X60" s="396" t="s">
        <v>363</v>
      </c>
      <c r="Y60" s="397" t="s">
        <v>364</v>
      </c>
      <c r="Z60" s="398"/>
      <c r="AA60" s="399"/>
      <c r="AB60" s="399"/>
      <c r="AC60" s="400" t="s">
        <v>365</v>
      </c>
      <c r="AD60" s="400" t="s">
        <v>14</v>
      </c>
      <c r="AE60" s="401" t="s">
        <v>15</v>
      </c>
      <c r="AF60" s="402" t="s">
        <v>366</v>
      </c>
      <c r="AG60" s="399"/>
      <c r="AH60" s="399"/>
      <c r="AI60" s="401" t="s">
        <v>16</v>
      </c>
      <c r="AJ60" s="403"/>
    </row>
    <row r="61" spans="1:37" ht="57.6" x14ac:dyDescent="0.3">
      <c r="A61" s="404" t="s">
        <v>393</v>
      </c>
      <c r="B61" s="303" t="s">
        <v>22</v>
      </c>
      <c r="C61" s="302" t="s">
        <v>368</v>
      </c>
      <c r="D61" s="302" t="s">
        <v>369</v>
      </c>
      <c r="E61" s="304" t="s">
        <v>370</v>
      </c>
      <c r="F61" s="302" t="s">
        <v>371</v>
      </c>
      <c r="G61" s="304" t="s">
        <v>372</v>
      </c>
      <c r="H61" s="304" t="s">
        <v>373</v>
      </c>
      <c r="I61" s="405"/>
      <c r="J61" s="406" t="s">
        <v>375</v>
      </c>
      <c r="K61" s="305" t="s">
        <v>376</v>
      </c>
      <c r="L61" s="305" t="s">
        <v>377</v>
      </c>
      <c r="M61" s="305" t="s">
        <v>378</v>
      </c>
      <c r="N61" s="305" t="s">
        <v>379</v>
      </c>
      <c r="O61" s="305" t="s">
        <v>380</v>
      </c>
      <c r="P61" s="305" t="s">
        <v>381</v>
      </c>
      <c r="Q61" s="305" t="s">
        <v>382</v>
      </c>
      <c r="R61" s="306" t="s">
        <v>383</v>
      </c>
      <c r="S61" s="306" t="s">
        <v>384</v>
      </c>
      <c r="T61" s="306" t="s">
        <v>385</v>
      </c>
      <c r="U61" s="306" t="s">
        <v>386</v>
      </c>
      <c r="V61" s="306" t="s">
        <v>387</v>
      </c>
      <c r="W61" s="306" t="s">
        <v>388</v>
      </c>
      <c r="X61" s="307" t="s">
        <v>368</v>
      </c>
      <c r="Y61" s="307" t="s">
        <v>389</v>
      </c>
      <c r="Z61" s="308" t="s">
        <v>370</v>
      </c>
      <c r="AA61" s="307" t="s">
        <v>371</v>
      </c>
      <c r="AB61" s="308" t="s">
        <v>372</v>
      </c>
      <c r="AC61" s="308" t="s">
        <v>373</v>
      </c>
      <c r="AD61" s="309" t="s">
        <v>33</v>
      </c>
      <c r="AE61" s="310" t="s">
        <v>375</v>
      </c>
      <c r="AF61" s="311" t="s">
        <v>390</v>
      </c>
      <c r="AG61" s="311" t="s">
        <v>414</v>
      </c>
      <c r="AH61" s="311" t="s">
        <v>426</v>
      </c>
      <c r="AI61" s="312" t="s">
        <v>391</v>
      </c>
      <c r="AJ61" s="312" t="s">
        <v>392</v>
      </c>
    </row>
    <row r="62" spans="1:37" x14ac:dyDescent="0.3">
      <c r="A62" t="s">
        <v>441</v>
      </c>
      <c r="B62" t="s">
        <v>39</v>
      </c>
      <c r="C62" s="222">
        <v>11620.027047525366</v>
      </c>
      <c r="D62" s="407">
        <v>0</v>
      </c>
      <c r="E62" s="407">
        <v>530.72536868397526</v>
      </c>
      <c r="F62" s="408">
        <f t="shared" ref="F62:F72" si="19">((C62*P44*M44)*Q44*L44*(1-K44))+((C62*P44)+(C62*P44*M44))*N44*Q44*O44</f>
        <v>35.515450668056531</v>
      </c>
      <c r="G62" s="409">
        <v>53.124072276386478</v>
      </c>
      <c r="H62" s="410">
        <v>43</v>
      </c>
      <c r="I62" s="222">
        <v>0</v>
      </c>
      <c r="J62" s="14">
        <f t="shared" ref="J62:J71" si="20">$J$72/$C$72*C62</f>
        <v>0.72663304022892727</v>
      </c>
      <c r="K62" s="411">
        <v>0</v>
      </c>
      <c r="L62" s="4">
        <v>2.7E-2</v>
      </c>
      <c r="M62" s="4">
        <v>0.15</v>
      </c>
      <c r="N62" s="4">
        <v>0.4</v>
      </c>
      <c r="O62" s="4">
        <v>1.9E-2</v>
      </c>
      <c r="P62" s="4">
        <v>0.9</v>
      </c>
      <c r="Q62" s="4">
        <v>1</v>
      </c>
      <c r="R62" s="414">
        <v>6.2750488430527196E-13</v>
      </c>
      <c r="S62" s="414">
        <v>8.4350183617781696E-13</v>
      </c>
      <c r="T62" s="414">
        <v>4.0178434026358302E-13</v>
      </c>
      <c r="U62" s="414">
        <v>4.1702974733926199E-14</v>
      </c>
      <c r="V62" s="414">
        <v>1.02954471058489E-11</v>
      </c>
      <c r="W62" s="222">
        <v>17.93</v>
      </c>
      <c r="X62" t="s">
        <v>436</v>
      </c>
      <c r="Y62" t="s">
        <v>528</v>
      </c>
      <c r="Z62" t="s">
        <v>436</v>
      </c>
      <c r="AA62" t="s">
        <v>215</v>
      </c>
      <c r="AB62" t="s">
        <v>528</v>
      </c>
      <c r="AC62" t="s">
        <v>429</v>
      </c>
      <c r="AD62" t="s">
        <v>438</v>
      </c>
      <c r="AE62" t="s">
        <v>281</v>
      </c>
      <c r="AF62" t="s">
        <v>425</v>
      </c>
      <c r="AG62" t="s">
        <v>428</v>
      </c>
      <c r="AH62" t="s">
        <v>427</v>
      </c>
      <c r="AI62" s="88" t="s">
        <v>398</v>
      </c>
      <c r="AJ62" s="88" t="s">
        <v>433</v>
      </c>
    </row>
    <row r="63" spans="1:37" x14ac:dyDescent="0.3">
      <c r="A63" t="s">
        <v>441</v>
      </c>
      <c r="B63" t="s">
        <v>41</v>
      </c>
      <c r="C63" s="222">
        <v>8957.9985923027562</v>
      </c>
      <c r="D63" s="407">
        <v>0</v>
      </c>
      <c r="E63" s="407">
        <v>409.14165570577455</v>
      </c>
      <c r="F63" s="408">
        <f t="shared" si="19"/>
        <v>27.379226897514148</v>
      </c>
      <c r="G63" s="409">
        <v>30.116538929333352</v>
      </c>
      <c r="H63" s="410">
        <v>43</v>
      </c>
      <c r="I63" s="222">
        <v>64.722912685427872</v>
      </c>
      <c r="J63" s="14">
        <f t="shared" si="20"/>
        <v>0.56016889847753115</v>
      </c>
      <c r="K63" s="411">
        <v>0</v>
      </c>
      <c r="L63" s="4">
        <v>2.7E-2</v>
      </c>
      <c r="M63" s="4">
        <v>0.15</v>
      </c>
      <c r="N63" s="4">
        <v>0.4</v>
      </c>
      <c r="O63" s="4">
        <v>1.9E-2</v>
      </c>
      <c r="P63" s="4">
        <v>0.9</v>
      </c>
      <c r="Q63" s="4">
        <v>1</v>
      </c>
      <c r="R63" s="414">
        <v>1.7629415950814E-12</v>
      </c>
      <c r="S63" s="414">
        <v>1.0761803329544199E-12</v>
      </c>
      <c r="T63" s="414">
        <v>2.5883596072585E-12</v>
      </c>
      <c r="U63" s="414">
        <v>9.6906831610838707E-13</v>
      </c>
      <c r="V63" s="414">
        <v>8.6879863459893104E-11</v>
      </c>
      <c r="W63" s="222">
        <v>27.12</v>
      </c>
      <c r="X63" t="s">
        <v>436</v>
      </c>
      <c r="Y63" t="s">
        <v>432</v>
      </c>
      <c r="Z63" t="s">
        <v>436</v>
      </c>
      <c r="AA63" t="s">
        <v>215</v>
      </c>
      <c r="AB63" t="s">
        <v>432</v>
      </c>
      <c r="AC63" t="s">
        <v>429</v>
      </c>
      <c r="AD63" t="s">
        <v>438</v>
      </c>
      <c r="AE63" t="s">
        <v>281</v>
      </c>
      <c r="AF63" t="s">
        <v>425</v>
      </c>
      <c r="AG63" t="s">
        <v>428</v>
      </c>
      <c r="AH63" t="s">
        <v>427</v>
      </c>
      <c r="AI63" s="88" t="s">
        <v>399</v>
      </c>
      <c r="AJ63" s="88" t="s">
        <v>433</v>
      </c>
    </row>
    <row r="64" spans="1:37" x14ac:dyDescent="0.3">
      <c r="A64" t="s">
        <v>441</v>
      </c>
      <c r="B64" t="s">
        <v>43</v>
      </c>
      <c r="C64" s="222">
        <v>6800.3022056072114</v>
      </c>
      <c r="D64" s="407">
        <v>0</v>
      </c>
      <c r="E64" s="407">
        <v>310.59246940410003</v>
      </c>
      <c r="F64" s="408">
        <f t="shared" si="19"/>
        <v>20.784443661217882</v>
      </c>
      <c r="G64" s="409">
        <v>22.862424457442835</v>
      </c>
      <c r="H64" s="410">
        <v>43</v>
      </c>
      <c r="I64" s="222">
        <v>0.89351411366754185</v>
      </c>
      <c r="J64" s="14">
        <f t="shared" si="20"/>
        <v>0.42524206233996387</v>
      </c>
      <c r="K64" s="411">
        <v>0</v>
      </c>
      <c r="L64" s="4">
        <v>2.7E-2</v>
      </c>
      <c r="M64" s="4">
        <v>0.15</v>
      </c>
      <c r="N64" s="4">
        <v>0.4</v>
      </c>
      <c r="O64" s="4">
        <v>1.9E-2</v>
      </c>
      <c r="P64" s="4">
        <v>0.9</v>
      </c>
      <c r="Q64" s="4">
        <v>1</v>
      </c>
      <c r="R64" s="414">
        <v>1.37733484354476E-12</v>
      </c>
      <c r="S64" s="414">
        <v>7.7381078930917301E-13</v>
      </c>
      <c r="T64" s="414">
        <v>5.7595016701536003E-13</v>
      </c>
      <c r="U64" s="414">
        <v>1.06282373446742E-13</v>
      </c>
      <c r="V64" s="414">
        <v>6.4211236839713696E-12</v>
      </c>
      <c r="W64" s="222">
        <v>30.62</v>
      </c>
      <c r="X64" t="s">
        <v>436</v>
      </c>
      <c r="Y64" t="s">
        <v>432</v>
      </c>
      <c r="Z64" t="s">
        <v>436</v>
      </c>
      <c r="AA64" t="s">
        <v>215</v>
      </c>
      <c r="AB64" t="s">
        <v>432</v>
      </c>
      <c r="AC64" t="s">
        <v>429</v>
      </c>
      <c r="AD64" t="s">
        <v>438</v>
      </c>
      <c r="AE64" t="s">
        <v>281</v>
      </c>
      <c r="AF64" t="s">
        <v>425</v>
      </c>
      <c r="AG64" t="s">
        <v>428</v>
      </c>
      <c r="AH64" t="s">
        <v>427</v>
      </c>
      <c r="AI64" s="88" t="s">
        <v>400</v>
      </c>
      <c r="AJ64" s="88" t="s">
        <v>433</v>
      </c>
    </row>
    <row r="65" spans="1:36" x14ac:dyDescent="0.3">
      <c r="A65" t="s">
        <v>441</v>
      </c>
      <c r="B65" t="s">
        <v>45</v>
      </c>
      <c r="C65" s="222">
        <v>4358.7937985164663</v>
      </c>
      <c r="D65" s="407">
        <v>0</v>
      </c>
      <c r="E65" s="407">
        <v>199.0806420909087</v>
      </c>
      <c r="F65" s="408">
        <f t="shared" si="19"/>
        <v>13.322217365785729</v>
      </c>
      <c r="G65" s="409">
        <v>14.654141967688458</v>
      </c>
      <c r="H65" s="410">
        <v>43</v>
      </c>
      <c r="I65" s="222">
        <v>181.62218777786987</v>
      </c>
      <c r="J65" s="14">
        <f t="shared" si="20"/>
        <v>0.27256766069417365</v>
      </c>
      <c r="K65" s="411">
        <v>0</v>
      </c>
      <c r="L65" s="4">
        <v>2.7E-2</v>
      </c>
      <c r="M65" s="4">
        <v>0.15</v>
      </c>
      <c r="N65" s="4">
        <v>0.4</v>
      </c>
      <c r="O65" s="4">
        <v>1.9E-2</v>
      </c>
      <c r="P65" s="4">
        <v>0.9</v>
      </c>
      <c r="Q65" s="4">
        <v>1</v>
      </c>
      <c r="R65" s="414">
        <v>5.1009509324608001E-12</v>
      </c>
      <c r="S65" s="414">
        <v>1.1387399854472601E-12</v>
      </c>
      <c r="T65" s="414">
        <v>7.6034005589347397E-12</v>
      </c>
      <c r="U65" s="414">
        <v>5.0029091010893496E-12</v>
      </c>
      <c r="V65" s="414">
        <v>4.5966133882675899E-10</v>
      </c>
      <c r="W65" s="222">
        <v>20.12</v>
      </c>
      <c r="X65" t="s">
        <v>436</v>
      </c>
      <c r="Y65" t="s">
        <v>432</v>
      </c>
      <c r="Z65" t="s">
        <v>436</v>
      </c>
      <c r="AA65" t="s">
        <v>215</v>
      </c>
      <c r="AB65" t="s">
        <v>432</v>
      </c>
      <c r="AC65" t="s">
        <v>429</v>
      </c>
      <c r="AD65" t="s">
        <v>438</v>
      </c>
      <c r="AE65" t="s">
        <v>281</v>
      </c>
      <c r="AF65" t="s">
        <v>425</v>
      </c>
      <c r="AG65" t="s">
        <v>428</v>
      </c>
      <c r="AH65" t="s">
        <v>427</v>
      </c>
      <c r="AI65" s="88" t="s">
        <v>401</v>
      </c>
      <c r="AJ65" s="88" t="s">
        <v>433</v>
      </c>
    </row>
    <row r="66" spans="1:36" x14ac:dyDescent="0.3">
      <c r="A66" t="s">
        <v>441</v>
      </c>
      <c r="B66" t="s">
        <v>47</v>
      </c>
      <c r="C66" s="222">
        <v>4160.8778074765978</v>
      </c>
      <c r="D66" s="407">
        <v>0</v>
      </c>
      <c r="E66" s="407">
        <v>190.04115906014786</v>
      </c>
      <c r="F66" s="408">
        <f t="shared" si="19"/>
        <v>12.717306930771473</v>
      </c>
      <c r="G66" s="409">
        <v>13.98875398091076</v>
      </c>
      <c r="H66" s="410">
        <v>43</v>
      </c>
      <c r="I66" s="222">
        <v>0.47547793948573525</v>
      </c>
      <c r="J66" s="14">
        <f t="shared" si="20"/>
        <v>0.26019141598398188</v>
      </c>
      <c r="K66" s="411">
        <v>0</v>
      </c>
      <c r="L66" s="4">
        <v>2.7E-2</v>
      </c>
      <c r="M66" s="4">
        <v>0.15</v>
      </c>
      <c r="N66" s="4">
        <v>0.4</v>
      </c>
      <c r="O66" s="4">
        <v>1.9E-2</v>
      </c>
      <c r="P66" s="4">
        <v>0.9</v>
      </c>
      <c r="Q66" s="4">
        <v>1</v>
      </c>
      <c r="R66" s="414">
        <v>1.7414005746797399E-12</v>
      </c>
      <c r="S66" s="414">
        <v>7.6518622125603498E-13</v>
      </c>
      <c r="T66" s="414">
        <v>6.8252517730391395E-13</v>
      </c>
      <c r="U66" s="414">
        <v>1.9038883652066601E-13</v>
      </c>
      <c r="V66" s="414">
        <v>7.1351856046146802E-12</v>
      </c>
      <c r="W66" s="222">
        <v>87.91</v>
      </c>
      <c r="X66" t="s">
        <v>436</v>
      </c>
      <c r="Y66" t="s">
        <v>432</v>
      </c>
      <c r="Z66" t="s">
        <v>436</v>
      </c>
      <c r="AA66" t="s">
        <v>215</v>
      </c>
      <c r="AB66" t="s">
        <v>432</v>
      </c>
      <c r="AC66" t="s">
        <v>429</v>
      </c>
      <c r="AD66" t="s">
        <v>438</v>
      </c>
      <c r="AE66" t="s">
        <v>281</v>
      </c>
      <c r="AF66" t="s">
        <v>425</v>
      </c>
      <c r="AG66" t="s">
        <v>428</v>
      </c>
      <c r="AH66" t="s">
        <v>427</v>
      </c>
      <c r="AI66" s="88" t="s">
        <v>402</v>
      </c>
      <c r="AJ66" s="88" t="s">
        <v>433</v>
      </c>
    </row>
    <row r="67" spans="1:36" x14ac:dyDescent="0.3">
      <c r="A67" t="s">
        <v>441</v>
      </c>
      <c r="B67" t="s">
        <v>49</v>
      </c>
      <c r="C67" s="222">
        <v>7690.3040278289909</v>
      </c>
      <c r="D67" s="407">
        <v>0</v>
      </c>
      <c r="E67" s="407">
        <v>351.24181929770947</v>
      </c>
      <c r="F67" s="408">
        <f t="shared" si="19"/>
        <v>23.504645230656532</v>
      </c>
      <c r="G67" s="409">
        <v>25.854585513278593</v>
      </c>
      <c r="H67" s="410">
        <v>43</v>
      </c>
      <c r="I67" s="222">
        <v>0</v>
      </c>
      <c r="J67" s="14">
        <f t="shared" si="20"/>
        <v>0.48089638459285577</v>
      </c>
      <c r="K67" s="411">
        <v>0</v>
      </c>
      <c r="L67" s="4">
        <v>2.7E-2</v>
      </c>
      <c r="M67" s="4">
        <v>0.15</v>
      </c>
      <c r="N67" s="4">
        <v>0.4</v>
      </c>
      <c r="O67" s="4">
        <v>1.9E-2</v>
      </c>
      <c r="P67" s="4">
        <v>0.9</v>
      </c>
      <c r="Q67" s="4">
        <v>1</v>
      </c>
      <c r="R67" s="414">
        <v>2.5565237189737703E-13</v>
      </c>
      <c r="S67" s="414">
        <v>1.2386734087536299E-12</v>
      </c>
      <c r="T67" s="414">
        <v>7.6253277701026204E-14</v>
      </c>
      <c r="U67" s="414">
        <v>3.9209685520567297E-15</v>
      </c>
      <c r="V67" s="414">
        <v>8.2004070364725796E-12</v>
      </c>
      <c r="W67" s="222">
        <v>58.61</v>
      </c>
      <c r="X67" t="s">
        <v>436</v>
      </c>
      <c r="Y67" t="s">
        <v>432</v>
      </c>
      <c r="Z67" t="s">
        <v>436</v>
      </c>
      <c r="AA67" t="s">
        <v>215</v>
      </c>
      <c r="AB67" t="s">
        <v>432</v>
      </c>
      <c r="AC67" t="s">
        <v>429</v>
      </c>
      <c r="AD67" t="s">
        <v>438</v>
      </c>
      <c r="AE67" t="s">
        <v>281</v>
      </c>
      <c r="AF67" t="s">
        <v>425</v>
      </c>
      <c r="AG67" t="s">
        <v>428</v>
      </c>
      <c r="AH67" t="s">
        <v>427</v>
      </c>
      <c r="AI67" s="88" t="s">
        <v>403</v>
      </c>
      <c r="AJ67" s="88" t="s">
        <v>433</v>
      </c>
    </row>
    <row r="68" spans="1:36" x14ac:dyDescent="0.3">
      <c r="A68" t="s">
        <v>441</v>
      </c>
      <c r="B68" t="s">
        <v>51</v>
      </c>
      <c r="C68" s="222">
        <v>7266.2548894865295</v>
      </c>
      <c r="D68" s="407">
        <v>0</v>
      </c>
      <c r="E68" s="407">
        <v>331.87408165248138</v>
      </c>
      <c r="F68" s="408">
        <f t="shared" si="19"/>
        <v>22.208581444226631</v>
      </c>
      <c r="G68" s="409">
        <v>24.428944255217388</v>
      </c>
      <c r="H68" s="410">
        <v>43</v>
      </c>
      <c r="I68" s="222">
        <v>40.325235183035765</v>
      </c>
      <c r="J68" s="14">
        <f t="shared" si="20"/>
        <v>0.45437939686640638</v>
      </c>
      <c r="K68" s="411">
        <v>0</v>
      </c>
      <c r="L68" s="4">
        <v>2.7E-2</v>
      </c>
      <c r="M68" s="4">
        <v>0.15</v>
      </c>
      <c r="N68" s="4">
        <v>0.4</v>
      </c>
      <c r="O68" s="4">
        <v>1.9E-2</v>
      </c>
      <c r="P68" s="4">
        <v>0.9</v>
      </c>
      <c r="Q68" s="4">
        <v>1</v>
      </c>
      <c r="R68" s="414">
        <v>5.4888922777244104E-12</v>
      </c>
      <c r="S68" s="414">
        <v>1.3745425381329301E-12</v>
      </c>
      <c r="T68" s="414">
        <v>1.29555073794495E-11</v>
      </c>
      <c r="U68" s="414">
        <v>2.5453220985111301E-12</v>
      </c>
      <c r="V68" s="414">
        <v>3.1506114891571103E-10</v>
      </c>
      <c r="W68" s="222">
        <v>28.43</v>
      </c>
      <c r="X68" t="s">
        <v>436</v>
      </c>
      <c r="Y68" t="s">
        <v>432</v>
      </c>
      <c r="Z68" t="s">
        <v>436</v>
      </c>
      <c r="AA68" t="s">
        <v>215</v>
      </c>
      <c r="AB68" t="s">
        <v>432</v>
      </c>
      <c r="AC68" t="s">
        <v>429</v>
      </c>
      <c r="AD68" t="s">
        <v>438</v>
      </c>
      <c r="AE68" t="s">
        <v>281</v>
      </c>
      <c r="AF68" t="s">
        <v>425</v>
      </c>
      <c r="AG68" t="s">
        <v>428</v>
      </c>
      <c r="AH68" t="s">
        <v>427</v>
      </c>
      <c r="AI68" s="88" t="s">
        <v>404</v>
      </c>
      <c r="AJ68" s="88" t="s">
        <v>433</v>
      </c>
    </row>
    <row r="69" spans="1:36" x14ac:dyDescent="0.3">
      <c r="A69" t="s">
        <v>441</v>
      </c>
      <c r="B69" t="s">
        <v>53</v>
      </c>
      <c r="C69" s="222">
        <v>7031.6460926819464</v>
      </c>
      <c r="D69" s="407">
        <v>0</v>
      </c>
      <c r="E69" s="407">
        <v>321.15871587309346</v>
      </c>
      <c r="F69" s="408">
        <f t="shared" si="19"/>
        <v>21.491523117673104</v>
      </c>
      <c r="G69" s="409">
        <v>32.147057293567876</v>
      </c>
      <c r="H69" s="410">
        <v>43</v>
      </c>
      <c r="I69" s="222">
        <v>7.0365471847354568</v>
      </c>
      <c r="J69" s="14">
        <f t="shared" si="20"/>
        <v>0.4397086475997023</v>
      </c>
      <c r="K69" s="411">
        <v>0</v>
      </c>
      <c r="L69" s="4">
        <v>2.7E-2</v>
      </c>
      <c r="M69" s="4">
        <v>0.15</v>
      </c>
      <c r="N69" s="4">
        <v>0.4</v>
      </c>
      <c r="O69" s="4">
        <v>1.9E-2</v>
      </c>
      <c r="P69" s="4">
        <v>0.9</v>
      </c>
      <c r="Q69" s="4">
        <v>1</v>
      </c>
      <c r="R69" s="414">
        <v>1.32203957376915E-12</v>
      </c>
      <c r="S69" s="414">
        <v>9.1185304555556598E-13</v>
      </c>
      <c r="T69" s="414">
        <v>8.00270874210727E-13</v>
      </c>
      <c r="U69" s="414">
        <v>1.3589281830381E-13</v>
      </c>
      <c r="V69" s="414">
        <v>4.0199645358356201E-12</v>
      </c>
      <c r="W69" s="222">
        <v>36.74</v>
      </c>
      <c r="X69" t="s">
        <v>436</v>
      </c>
      <c r="Y69" t="s">
        <v>436</v>
      </c>
      <c r="AA69" t="s">
        <v>215</v>
      </c>
      <c r="AB69" t="s">
        <v>436</v>
      </c>
      <c r="AC69" t="s">
        <v>429</v>
      </c>
      <c r="AD69" t="s">
        <v>438</v>
      </c>
      <c r="AE69" t="s">
        <v>281</v>
      </c>
      <c r="AF69" t="s">
        <v>425</v>
      </c>
      <c r="AG69" t="s">
        <v>428</v>
      </c>
      <c r="AH69" t="s">
        <v>427</v>
      </c>
      <c r="AI69" s="88" t="s">
        <v>405</v>
      </c>
      <c r="AJ69" s="88" t="s">
        <v>433</v>
      </c>
    </row>
    <row r="70" spans="1:36" x14ac:dyDescent="0.3">
      <c r="A70" t="s">
        <v>441</v>
      </c>
      <c r="B70" t="s">
        <v>55</v>
      </c>
      <c r="C70" s="222">
        <v>7804.2659524530864</v>
      </c>
      <c r="D70" s="407">
        <v>0</v>
      </c>
      <c r="E70" s="407">
        <v>356.44684026837399</v>
      </c>
      <c r="F70" s="408">
        <f t="shared" si="19"/>
        <v>23.852958457077616</v>
      </c>
      <c r="G70" s="409">
        <v>26.237722293669744</v>
      </c>
      <c r="H70" s="410">
        <v>43</v>
      </c>
      <c r="I70" s="222">
        <v>1.8495775133228596</v>
      </c>
      <c r="J70" s="14">
        <f t="shared" si="20"/>
        <v>0.48802274492069869</v>
      </c>
      <c r="K70" s="411">
        <v>0</v>
      </c>
      <c r="L70" s="4">
        <v>2.7E-2</v>
      </c>
      <c r="M70" s="4">
        <v>0.15</v>
      </c>
      <c r="N70" s="4">
        <v>0.4</v>
      </c>
      <c r="O70" s="4">
        <v>1.9E-2</v>
      </c>
      <c r="P70" s="4">
        <v>0.9</v>
      </c>
      <c r="Q70" s="4">
        <v>1</v>
      </c>
      <c r="R70" s="414">
        <v>1.2831757092515399E-12</v>
      </c>
      <c r="S70" s="414">
        <v>7.7289177418637898E-13</v>
      </c>
      <c r="T70" s="414">
        <v>2.9980527101396699E-13</v>
      </c>
      <c r="U70" s="414">
        <v>2.7284907746623E-14</v>
      </c>
      <c r="V70" s="414">
        <v>1.0008062665570101E-11</v>
      </c>
      <c r="W70" s="222">
        <v>92.72</v>
      </c>
      <c r="X70" t="s">
        <v>436</v>
      </c>
      <c r="Y70" t="s">
        <v>432</v>
      </c>
      <c r="Z70" t="s">
        <v>436</v>
      </c>
      <c r="AA70" t="s">
        <v>215</v>
      </c>
      <c r="AB70" t="s">
        <v>432</v>
      </c>
      <c r="AC70" t="s">
        <v>429</v>
      </c>
      <c r="AD70" t="s">
        <v>438</v>
      </c>
      <c r="AE70" t="s">
        <v>281</v>
      </c>
      <c r="AF70" t="s">
        <v>425</v>
      </c>
      <c r="AG70" t="s">
        <v>428</v>
      </c>
      <c r="AH70" t="s">
        <v>427</v>
      </c>
      <c r="AI70" s="88" t="s">
        <v>406</v>
      </c>
      <c r="AJ70" s="88" t="s">
        <v>433</v>
      </c>
    </row>
    <row r="71" spans="1:36" x14ac:dyDescent="0.3">
      <c r="A71" t="s">
        <v>441</v>
      </c>
      <c r="B71" t="s">
        <v>57</v>
      </c>
      <c r="C71" s="222">
        <v>8545.0968483709603</v>
      </c>
      <c r="D71" s="407">
        <v>0</v>
      </c>
      <c r="E71" s="407">
        <v>390.28305672126299</v>
      </c>
      <c r="F71" s="408">
        <f t="shared" si="19"/>
        <v>26.117234007361006</v>
      </c>
      <c r="G71" s="409">
        <v>28.728374897269696</v>
      </c>
      <c r="H71" s="410">
        <v>43</v>
      </c>
      <c r="I71" s="222">
        <v>355.31975799619505</v>
      </c>
      <c r="J71" s="14">
        <f t="shared" si="20"/>
        <v>0.53434898874049819</v>
      </c>
      <c r="K71" s="411">
        <v>0</v>
      </c>
      <c r="L71" s="4">
        <v>2.7E-2</v>
      </c>
      <c r="M71" s="4">
        <v>0.15</v>
      </c>
      <c r="N71" s="4">
        <v>0.4</v>
      </c>
      <c r="O71" s="4">
        <v>1.9E-2</v>
      </c>
      <c r="P71" s="4">
        <v>0.9</v>
      </c>
      <c r="Q71" s="4">
        <v>1</v>
      </c>
      <c r="R71" s="414">
        <v>3.39753281871391E-12</v>
      </c>
      <c r="S71" s="414">
        <v>2.3148471768516098E-12</v>
      </c>
      <c r="T71" s="414">
        <v>3.7775738318679399E-12</v>
      </c>
      <c r="U71" s="414">
        <v>5.9217605248233702E-12</v>
      </c>
      <c r="V71" s="414">
        <v>5.3103372176367304E-10</v>
      </c>
      <c r="W71" s="222">
        <v>8.75</v>
      </c>
      <c r="X71" t="s">
        <v>436</v>
      </c>
      <c r="Y71" t="s">
        <v>432</v>
      </c>
      <c r="Z71" t="s">
        <v>436</v>
      </c>
      <c r="AA71" t="s">
        <v>215</v>
      </c>
      <c r="AB71" t="s">
        <v>432</v>
      </c>
      <c r="AC71" t="s">
        <v>429</v>
      </c>
      <c r="AD71" t="s">
        <v>438</v>
      </c>
      <c r="AE71" t="s">
        <v>281</v>
      </c>
      <c r="AF71" t="s">
        <v>425</v>
      </c>
      <c r="AG71" t="s">
        <v>428</v>
      </c>
      <c r="AH71" t="s">
        <v>427</v>
      </c>
      <c r="AI71" s="88" t="s">
        <v>407</v>
      </c>
      <c r="AJ71" s="88" t="s">
        <v>433</v>
      </c>
    </row>
    <row r="72" spans="1:36" x14ac:dyDescent="0.3">
      <c r="A72" t="s">
        <v>441</v>
      </c>
      <c r="B72" s="16" t="s">
        <v>59</v>
      </c>
      <c r="C72" s="222">
        <v>3837.9847006784448</v>
      </c>
      <c r="D72" s="407">
        <v>0</v>
      </c>
      <c r="E72" s="407">
        <v>175.2935545623202</v>
      </c>
      <c r="F72" s="408">
        <f t="shared" si="19"/>
        <v>11.730416439153601</v>
      </c>
      <c r="G72" s="409">
        <v>12.903196451435843</v>
      </c>
      <c r="H72" s="410">
        <v>43</v>
      </c>
      <c r="I72" s="222">
        <v>0</v>
      </c>
      <c r="J72" s="14">
        <v>0.24</v>
      </c>
      <c r="K72" s="411">
        <v>0</v>
      </c>
      <c r="L72" s="4">
        <v>2.7E-2</v>
      </c>
      <c r="M72" s="4">
        <v>0.15</v>
      </c>
      <c r="N72" s="4">
        <v>0.4</v>
      </c>
      <c r="O72" s="4">
        <v>1.9E-2</v>
      </c>
      <c r="P72" s="4">
        <v>0.9</v>
      </c>
      <c r="Q72" s="4">
        <v>1</v>
      </c>
      <c r="R72" s="414">
        <v>4.5842184507074605E-13</v>
      </c>
      <c r="S72" s="414">
        <v>6.4928227114909795E-13</v>
      </c>
      <c r="T72" s="414">
        <v>5.9860502485509702E-14</v>
      </c>
      <c r="U72" s="414">
        <v>5.4176016764741002E-15</v>
      </c>
      <c r="V72" s="414">
        <v>1.16412693766732E-12</v>
      </c>
      <c r="W72" s="222">
        <v>17.93</v>
      </c>
      <c r="X72" t="s">
        <v>436</v>
      </c>
      <c r="Y72" t="s">
        <v>432</v>
      </c>
      <c r="Z72" t="s">
        <v>436</v>
      </c>
      <c r="AA72" t="s">
        <v>215</v>
      </c>
      <c r="AB72" t="s">
        <v>432</v>
      </c>
      <c r="AC72" t="s">
        <v>429</v>
      </c>
      <c r="AD72" t="s">
        <v>438</v>
      </c>
      <c r="AE72" t="s">
        <v>430</v>
      </c>
      <c r="AF72" t="s">
        <v>425</v>
      </c>
      <c r="AG72" t="s">
        <v>428</v>
      </c>
      <c r="AH72" t="s">
        <v>427</v>
      </c>
      <c r="AI72" s="88" t="s">
        <v>408</v>
      </c>
      <c r="AJ72" s="88" t="s">
        <v>433</v>
      </c>
    </row>
    <row r="73" spans="1:36" x14ac:dyDescent="0.3">
      <c r="A73" t="s">
        <v>441</v>
      </c>
      <c r="B73" t="s">
        <v>556</v>
      </c>
      <c r="C73" s="118">
        <f>C67</f>
        <v>7690.3040278289909</v>
      </c>
      <c r="D73" s="118">
        <f t="shared" ref="D73:J73" si="21">D67</f>
        <v>0</v>
      </c>
      <c r="E73" s="118">
        <f t="shared" si="21"/>
        <v>351.24181929770947</v>
      </c>
      <c r="F73" s="118">
        <f t="shared" si="21"/>
        <v>23.504645230656532</v>
      </c>
      <c r="G73" s="118">
        <f t="shared" si="21"/>
        <v>25.854585513278593</v>
      </c>
      <c r="H73" s="118">
        <f t="shared" si="21"/>
        <v>43</v>
      </c>
      <c r="I73" s="222">
        <v>0</v>
      </c>
      <c r="J73" s="118">
        <f t="shared" si="21"/>
        <v>0.48089638459285577</v>
      </c>
      <c r="K73" s="72">
        <f t="shared" ref="K73:Q73" si="22">K66</f>
        <v>0</v>
      </c>
      <c r="L73" s="72">
        <f t="shared" si="22"/>
        <v>2.7E-2</v>
      </c>
      <c r="M73" s="72">
        <f t="shared" si="22"/>
        <v>0.15</v>
      </c>
      <c r="N73" s="72">
        <f t="shared" si="22"/>
        <v>0.4</v>
      </c>
      <c r="O73" s="72">
        <f t="shared" si="22"/>
        <v>1.9E-2</v>
      </c>
      <c r="P73" s="72">
        <f t="shared" si="22"/>
        <v>0.9</v>
      </c>
      <c r="Q73" s="72">
        <f t="shared" si="22"/>
        <v>1</v>
      </c>
      <c r="R73" s="313">
        <v>3.5141603552337798E-13</v>
      </c>
      <c r="S73" s="313">
        <v>1.61934421803807E-12</v>
      </c>
      <c r="T73" s="313">
        <v>1.03018064074875E-13</v>
      </c>
      <c r="U73" s="313">
        <v>5.2572369568927999E-15</v>
      </c>
      <c r="V73" s="313">
        <v>1.5094378739193201E-11</v>
      </c>
      <c r="X73" t="s">
        <v>628</v>
      </c>
    </row>
    <row r="75" spans="1:36" ht="21" x14ac:dyDescent="0.4">
      <c r="A75" s="2" t="s">
        <v>451</v>
      </c>
      <c r="F75" s="368"/>
    </row>
    <row r="76" spans="1:36" x14ac:dyDescent="0.3">
      <c r="I76" s="16"/>
    </row>
    <row r="77" spans="1:36" x14ac:dyDescent="0.3">
      <c r="A77" s="436"/>
      <c r="B77" s="436" t="s">
        <v>453</v>
      </c>
      <c r="C77" s="436" t="s">
        <v>452</v>
      </c>
      <c r="D77" s="436" t="s">
        <v>454</v>
      </c>
      <c r="E77" s="436" t="s">
        <v>455</v>
      </c>
      <c r="G77" s="170" t="s">
        <v>391</v>
      </c>
      <c r="I77" s="16"/>
      <c r="J77" t="s">
        <v>476</v>
      </c>
    </row>
    <row r="78" spans="1:36" x14ac:dyDescent="0.3">
      <c r="A78" t="s">
        <v>39</v>
      </c>
      <c r="B78" s="121">
        <v>1059276</v>
      </c>
      <c r="C78" s="121">
        <v>484.00000000000006</v>
      </c>
      <c r="D78" s="10">
        <f t="shared" ref="D78:D88" si="23">B78/SUM($B78:$C78)</f>
        <v>0.99954329282101606</v>
      </c>
      <c r="E78" s="10">
        <f t="shared" ref="E78:E88" si="24">C78/SUM($B78:$C78)</f>
        <v>4.5670717898392094E-4</v>
      </c>
      <c r="G78" t="s">
        <v>475</v>
      </c>
      <c r="I78" s="16"/>
    </row>
    <row r="79" spans="1:36" x14ac:dyDescent="0.3">
      <c r="A79" t="s">
        <v>41</v>
      </c>
      <c r="B79" s="121">
        <v>2852134.0000000005</v>
      </c>
      <c r="C79" s="121">
        <v>295444.91935483797</v>
      </c>
      <c r="D79" s="10">
        <f t="shared" si="23"/>
        <v>0.90613581837833779</v>
      </c>
      <c r="E79" s="10">
        <f t="shared" si="24"/>
        <v>9.3864181621662254E-2</v>
      </c>
      <c r="G79" t="s">
        <v>436</v>
      </c>
      <c r="H79" s="9"/>
      <c r="I79" s="16"/>
    </row>
    <row r="80" spans="1:36" x14ac:dyDescent="0.3">
      <c r="A80" t="s">
        <v>43</v>
      </c>
      <c r="B80" s="121">
        <v>286100</v>
      </c>
      <c r="C80" s="121">
        <v>44886.792304672119</v>
      </c>
      <c r="D80" s="10">
        <f t="shared" si="23"/>
        <v>0.86438494420842626</v>
      </c>
      <c r="E80" s="10">
        <f t="shared" si="24"/>
        <v>0.13561505579157368</v>
      </c>
      <c r="G80" t="s">
        <v>436</v>
      </c>
      <c r="H80" s="9"/>
      <c r="I80" s="16"/>
    </row>
    <row r="81" spans="1:17" x14ac:dyDescent="0.3">
      <c r="A81" t="s">
        <v>45</v>
      </c>
      <c r="B81" s="121">
        <v>108490</v>
      </c>
      <c r="C81" s="121">
        <v>149600</v>
      </c>
      <c r="D81" s="10">
        <f t="shared" si="23"/>
        <v>0.42035723972257738</v>
      </c>
      <c r="E81" s="10">
        <f t="shared" si="24"/>
        <v>0.57964276027742256</v>
      </c>
      <c r="G81" t="s">
        <v>436</v>
      </c>
      <c r="H81" s="9"/>
      <c r="I81" s="16"/>
    </row>
    <row r="82" spans="1:17" x14ac:dyDescent="0.3">
      <c r="A82" t="s">
        <v>47</v>
      </c>
      <c r="B82" s="121">
        <v>36106.000000000007</v>
      </c>
      <c r="C82" s="121">
        <v>185007.9999999998</v>
      </c>
      <c r="D82" s="10">
        <f t="shared" si="23"/>
        <v>0.16329133388207007</v>
      </c>
      <c r="E82" s="10">
        <f t="shared" si="24"/>
        <v>0.83670866611792993</v>
      </c>
      <c r="G82" t="s">
        <v>436</v>
      </c>
      <c r="H82" s="9"/>
      <c r="I82" s="16"/>
    </row>
    <row r="83" spans="1:17" x14ac:dyDescent="0.3">
      <c r="A83" t="s">
        <v>49</v>
      </c>
      <c r="B83" s="121">
        <v>94045.999999999985</v>
      </c>
      <c r="C83" s="121">
        <v>8.0000000000000018</v>
      </c>
      <c r="D83" s="10">
        <f t="shared" si="23"/>
        <v>0.99991494247985202</v>
      </c>
      <c r="E83" s="10">
        <f t="shared" si="24"/>
        <v>8.505752014800012E-5</v>
      </c>
      <c r="G83" t="s">
        <v>436</v>
      </c>
      <c r="H83" s="9"/>
      <c r="I83" s="16"/>
    </row>
    <row r="84" spans="1:17" x14ac:dyDescent="0.3">
      <c r="A84" t="s">
        <v>51</v>
      </c>
      <c r="B84" s="121">
        <v>818844</v>
      </c>
      <c r="C84" s="121">
        <v>691136</v>
      </c>
      <c r="D84" s="10">
        <f t="shared" si="23"/>
        <v>0.54228797732420297</v>
      </c>
      <c r="E84" s="10">
        <f t="shared" si="24"/>
        <v>0.45771202267579703</v>
      </c>
      <c r="G84" t="s">
        <v>436</v>
      </c>
      <c r="H84" s="9"/>
      <c r="I84" s="16"/>
    </row>
    <row r="85" spans="1:17" x14ac:dyDescent="0.3">
      <c r="A85" t="s">
        <v>53</v>
      </c>
      <c r="B85" s="121">
        <v>286100</v>
      </c>
      <c r="C85" s="121">
        <v>44886.792304672119</v>
      </c>
      <c r="D85" s="10">
        <f t="shared" si="23"/>
        <v>0.86438494420842626</v>
      </c>
      <c r="E85" s="10">
        <f t="shared" si="24"/>
        <v>0.13561505579157368</v>
      </c>
      <c r="G85" t="s">
        <v>474</v>
      </c>
      <c r="I85" s="16"/>
    </row>
    <row r="86" spans="1:17" x14ac:dyDescent="0.3">
      <c r="A86" t="s">
        <v>55</v>
      </c>
      <c r="B86" s="121">
        <v>201026</v>
      </c>
      <c r="C86" s="121">
        <v>54147.999999999993</v>
      </c>
      <c r="D86" s="10">
        <f t="shared" si="23"/>
        <v>0.78779969746134015</v>
      </c>
      <c r="E86" s="10">
        <f t="shared" si="24"/>
        <v>0.21220030253865987</v>
      </c>
      <c r="G86" t="s">
        <v>436</v>
      </c>
      <c r="H86" s="9"/>
      <c r="I86" s="16"/>
    </row>
    <row r="87" spans="1:17" x14ac:dyDescent="0.3">
      <c r="A87" t="s">
        <v>57</v>
      </c>
      <c r="B87" s="121">
        <v>286312</v>
      </c>
      <c r="C87" s="121">
        <v>262695.99999999983</v>
      </c>
      <c r="D87" s="10">
        <f t="shared" si="23"/>
        <v>0.52150788330953302</v>
      </c>
      <c r="E87" s="10">
        <f t="shared" si="24"/>
        <v>0.47849211669046704</v>
      </c>
      <c r="G87" t="s">
        <v>436</v>
      </c>
      <c r="H87" s="9"/>
      <c r="I87" s="16"/>
    </row>
    <row r="88" spans="1:17" x14ac:dyDescent="0.3">
      <c r="A88" s="16" t="s">
        <v>59</v>
      </c>
      <c r="B88" s="121">
        <v>1059276</v>
      </c>
      <c r="C88" s="121">
        <v>484.00000000000006</v>
      </c>
      <c r="D88" s="10">
        <f t="shared" si="23"/>
        <v>0.99954329282101606</v>
      </c>
      <c r="E88" s="10">
        <f t="shared" si="24"/>
        <v>4.5670717898392094E-4</v>
      </c>
      <c r="F88" s="16"/>
      <c r="G88" t="s">
        <v>436</v>
      </c>
      <c r="H88" s="9"/>
      <c r="I88" s="16"/>
    </row>
    <row r="89" spans="1:17" x14ac:dyDescent="0.3">
      <c r="A89" t="s">
        <v>556</v>
      </c>
      <c r="B89" s="121">
        <f>B83</f>
        <v>94045.999999999985</v>
      </c>
      <c r="C89" s="121">
        <f>C83</f>
        <v>8.0000000000000018</v>
      </c>
      <c r="D89" s="10">
        <f t="shared" ref="D89:E89" si="25">D82</f>
        <v>0.16329133388207007</v>
      </c>
      <c r="E89" s="10">
        <f t="shared" si="25"/>
        <v>0.83670866611792993</v>
      </c>
      <c r="G89" s="6" t="s">
        <v>629</v>
      </c>
      <c r="I89" s="16"/>
      <c r="Q89" s="16"/>
    </row>
    <row r="90" spans="1:17" x14ac:dyDescent="0.3">
      <c r="A90" s="6"/>
      <c r="I90" s="16"/>
    </row>
    <row r="91" spans="1:17" x14ac:dyDescent="0.3">
      <c r="I91" s="16"/>
    </row>
    <row r="92" spans="1:17" x14ac:dyDescent="0.3">
      <c r="I92" s="16"/>
    </row>
    <row r="93" spans="1:17" x14ac:dyDescent="0.3">
      <c r="I93" s="16"/>
    </row>
    <row r="94" spans="1:17" x14ac:dyDescent="0.3">
      <c r="I94" s="16"/>
    </row>
    <row r="95" spans="1:17" x14ac:dyDescent="0.3">
      <c r="I95" s="16"/>
    </row>
    <row r="96" spans="1:17" x14ac:dyDescent="0.3">
      <c r="I96" s="16"/>
    </row>
    <row r="101" spans="18:20" x14ac:dyDescent="0.3">
      <c r="R101" s="103"/>
      <c r="S101" s="9"/>
      <c r="T101" s="9"/>
    </row>
    <row r="102" spans="18:20" x14ac:dyDescent="0.3">
      <c r="R102" s="103"/>
      <c r="S102" s="9"/>
      <c r="T102" s="9"/>
    </row>
    <row r="103" spans="18:20" x14ac:dyDescent="0.3">
      <c r="R103" s="103"/>
      <c r="S103" s="9"/>
      <c r="T103" s="9"/>
    </row>
    <row r="104" spans="18:20" x14ac:dyDescent="0.3">
      <c r="R104" s="103"/>
      <c r="S104" s="9"/>
      <c r="T104" s="9"/>
    </row>
    <row r="105" spans="18:20" x14ac:dyDescent="0.3">
      <c r="R105" s="103"/>
      <c r="S105" s="9"/>
      <c r="T105" s="9"/>
    </row>
    <row r="106" spans="18:20" x14ac:dyDescent="0.3">
      <c r="R106" s="103"/>
      <c r="S106" s="9"/>
      <c r="T106" s="9"/>
    </row>
    <row r="108" spans="18:20" x14ac:dyDescent="0.3">
      <c r="R108" s="103"/>
      <c r="S108" s="9"/>
      <c r="T108" s="9"/>
    </row>
    <row r="109" spans="18:20" x14ac:dyDescent="0.3">
      <c r="R109" s="103"/>
      <c r="S109" s="9"/>
      <c r="T109" s="9"/>
    </row>
    <row r="110" spans="18:20" x14ac:dyDescent="0.3">
      <c r="R110" s="103"/>
      <c r="S110" s="9"/>
      <c r="T110" s="9"/>
    </row>
    <row r="118" spans="9:9" x14ac:dyDescent="0.3">
      <c r="I118" s="16"/>
    </row>
    <row r="119" spans="9:9" x14ac:dyDescent="0.3">
      <c r="I119" s="16"/>
    </row>
    <row r="120" spans="9:9" x14ac:dyDescent="0.3">
      <c r="I120" s="16"/>
    </row>
    <row r="121" spans="9:9" x14ac:dyDescent="0.3">
      <c r="I121" s="16"/>
    </row>
    <row r="122" spans="9:9" x14ac:dyDescent="0.3">
      <c r="I122" s="16"/>
    </row>
    <row r="123" spans="9:9" x14ac:dyDescent="0.3">
      <c r="I123" s="16"/>
    </row>
    <row r="124" spans="9:9" x14ac:dyDescent="0.3">
      <c r="I124" s="16"/>
    </row>
    <row r="125" spans="9:9" x14ac:dyDescent="0.3">
      <c r="I125" s="16"/>
    </row>
    <row r="126" spans="9:9" x14ac:dyDescent="0.3">
      <c r="I126" s="16"/>
    </row>
    <row r="127" spans="9:9" x14ac:dyDescent="0.3">
      <c r="I127" s="16"/>
    </row>
    <row r="128" spans="9:9" x14ac:dyDescent="0.3">
      <c r="I128" s="16"/>
    </row>
    <row r="129" spans="9:9" x14ac:dyDescent="0.3">
      <c r="I129" s="16"/>
    </row>
    <row r="130" spans="9:9" x14ac:dyDescent="0.3">
      <c r="I130" s="16"/>
    </row>
    <row r="131" spans="9:9" x14ac:dyDescent="0.3">
      <c r="I131" s="16"/>
    </row>
    <row r="132" spans="9:9" x14ac:dyDescent="0.3">
      <c r="I132" s="16"/>
    </row>
    <row r="133" spans="9:9" x14ac:dyDescent="0.3">
      <c r="I133" s="16"/>
    </row>
    <row r="134" spans="9:9" x14ac:dyDescent="0.3">
      <c r="I134" s="16"/>
    </row>
    <row r="135" spans="9:9" x14ac:dyDescent="0.3">
      <c r="I135" s="16"/>
    </row>
  </sheetData>
  <phoneticPr fontId="79" type="noConversion"/>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F04F3-FD34-439B-98A8-BE0BA5C72459}">
  <dimension ref="A2:S98"/>
  <sheetViews>
    <sheetView topLeftCell="A49" zoomScale="72" workbookViewId="0">
      <selection activeCell="I55" sqref="I55"/>
    </sheetView>
  </sheetViews>
  <sheetFormatPr defaultColWidth="8.6640625" defaultRowHeight="14.4" x14ac:dyDescent="0.3"/>
  <cols>
    <col min="1" max="1" width="10.6640625" customWidth="1"/>
    <col min="2" max="2" width="18.33203125" customWidth="1"/>
    <col min="3" max="3" width="11.6640625" customWidth="1"/>
    <col min="4" max="4" width="16.6640625" customWidth="1"/>
    <col min="5" max="5" width="12.33203125" customWidth="1"/>
    <col min="6" max="7" width="14.6640625" customWidth="1"/>
    <col min="8" max="8" width="11.33203125" customWidth="1"/>
    <col min="9" max="9" width="12.33203125" customWidth="1"/>
    <col min="10" max="10" width="14.33203125" customWidth="1"/>
    <col min="11" max="11" width="12" customWidth="1"/>
    <col min="12" max="12" width="14.6640625" customWidth="1"/>
    <col min="13" max="13" width="14.33203125" customWidth="1"/>
    <col min="14" max="14" width="15" customWidth="1"/>
    <col min="15" max="15" width="15.44140625" customWidth="1"/>
    <col min="16" max="16" width="15" customWidth="1"/>
    <col min="17" max="17" width="17.6640625" customWidth="1"/>
    <col min="18" max="18" width="24.6640625" customWidth="1"/>
  </cols>
  <sheetData>
    <row r="2" spans="1:19" ht="21" x14ac:dyDescent="0.4">
      <c r="A2" s="2" t="s">
        <v>303</v>
      </c>
    </row>
    <row r="4" spans="1:19" ht="18" x14ac:dyDescent="0.35">
      <c r="A4" s="265" t="s">
        <v>241</v>
      </c>
      <c r="B4" s="109"/>
      <c r="C4" s="109"/>
      <c r="D4" s="109"/>
      <c r="E4" s="109"/>
      <c r="F4" s="109"/>
      <c r="G4" s="109"/>
      <c r="H4" s="109"/>
      <c r="I4" s="109"/>
      <c r="J4" s="109"/>
      <c r="K4" s="109"/>
      <c r="L4" s="109"/>
      <c r="M4" s="109"/>
      <c r="N4" s="109"/>
      <c r="O4" s="109"/>
      <c r="P4" s="109"/>
    </row>
    <row r="6" spans="1:19" ht="18" x14ac:dyDescent="0.35">
      <c r="A6" s="1" t="s">
        <v>304</v>
      </c>
    </row>
    <row r="8" spans="1:19" x14ac:dyDescent="0.3">
      <c r="A8" s="266" t="s">
        <v>224</v>
      </c>
      <c r="B8" s="267"/>
      <c r="C8" s="267"/>
      <c r="D8" s="267"/>
      <c r="E8" s="268" t="s">
        <v>65</v>
      </c>
      <c r="F8" s="268" t="s">
        <v>66</v>
      </c>
      <c r="G8" s="269"/>
      <c r="H8" s="268" t="s">
        <v>67</v>
      </c>
      <c r="I8" s="270"/>
      <c r="J8" s="271" t="s">
        <v>68</v>
      </c>
      <c r="K8" s="270"/>
      <c r="L8" s="270"/>
      <c r="M8" s="270"/>
      <c r="N8" s="271" t="s">
        <v>69</v>
      </c>
      <c r="O8" s="271" t="s">
        <v>305</v>
      </c>
      <c r="P8" s="271" t="s">
        <v>70</v>
      </c>
    </row>
    <row r="9" spans="1:19" ht="43.2" x14ac:dyDescent="0.3">
      <c r="A9" s="272" t="s">
        <v>19</v>
      </c>
      <c r="B9" s="272" t="s">
        <v>224</v>
      </c>
      <c r="C9" s="272" t="s">
        <v>74</v>
      </c>
      <c r="D9" s="273" t="s">
        <v>306</v>
      </c>
      <c r="E9" s="274"/>
      <c r="F9" s="46" t="s">
        <v>227</v>
      </c>
      <c r="G9" s="46" t="s">
        <v>76</v>
      </c>
      <c r="H9" s="46" t="s">
        <v>228</v>
      </c>
      <c r="I9" s="46" t="s">
        <v>229</v>
      </c>
      <c r="J9" s="46" t="s">
        <v>77</v>
      </c>
      <c r="K9" s="46" t="s">
        <v>78</v>
      </c>
      <c r="L9" s="46" t="s">
        <v>79</v>
      </c>
      <c r="M9" s="46" t="s">
        <v>80</v>
      </c>
      <c r="N9" s="46" t="s">
        <v>81</v>
      </c>
      <c r="O9" s="46"/>
      <c r="P9" s="46"/>
      <c r="R9" s="275" t="s">
        <v>264</v>
      </c>
    </row>
    <row r="10" spans="1:19" ht="18" customHeight="1" x14ac:dyDescent="0.3">
      <c r="A10" t="s">
        <v>307</v>
      </c>
      <c r="B10" t="s">
        <v>308</v>
      </c>
      <c r="C10" t="s">
        <v>95</v>
      </c>
      <c r="D10" t="s">
        <v>309</v>
      </c>
      <c r="E10" s="4">
        <f t="shared" ref="E10:E20" si="0">SUM(F10:P10)</f>
        <v>1.2947363945588042</v>
      </c>
      <c r="F10" s="4">
        <v>6.3780206352419501E-3</v>
      </c>
      <c r="G10" s="4">
        <v>3.01313E-2</v>
      </c>
      <c r="H10" s="4">
        <v>0.36167247211622844</v>
      </c>
      <c r="I10" s="4">
        <v>4.3198581779485433E-3</v>
      </c>
      <c r="J10" s="4">
        <v>5.168680555007258E-2</v>
      </c>
      <c r="K10" s="4">
        <v>0</v>
      </c>
      <c r="L10" s="4">
        <v>8.3348896151578009E-5</v>
      </c>
      <c r="M10" s="4">
        <v>3.9645293683161227E-2</v>
      </c>
      <c r="N10" s="4">
        <v>0.80081929549999997</v>
      </c>
      <c r="O10" s="4">
        <v>0</v>
      </c>
      <c r="P10" s="4">
        <v>0</v>
      </c>
      <c r="R10" s="124" t="s">
        <v>310</v>
      </c>
      <c r="S10" s="6"/>
    </row>
    <row r="11" spans="1:19" x14ac:dyDescent="0.3">
      <c r="A11" t="s">
        <v>307</v>
      </c>
      <c r="B11" t="s">
        <v>308</v>
      </c>
      <c r="C11" t="s">
        <v>91</v>
      </c>
      <c r="D11" t="s">
        <v>309</v>
      </c>
      <c r="E11" s="4">
        <f t="shared" si="0"/>
        <v>0.92073417828065618</v>
      </c>
      <c r="F11" s="4">
        <v>3.8012291590112874E-3</v>
      </c>
      <c r="G11" s="4">
        <v>2.7E-2</v>
      </c>
      <c r="H11" s="4"/>
      <c r="I11" s="4"/>
      <c r="J11" s="4">
        <v>5.0646723842195554E-2</v>
      </c>
      <c r="K11" s="4"/>
      <c r="L11" s="4">
        <v>7.5028151531290012E-5</v>
      </c>
      <c r="M11" s="4">
        <v>3.8391901627918008E-2</v>
      </c>
      <c r="N11" s="4">
        <v>0.80081929549999997</v>
      </c>
      <c r="O11" s="4"/>
      <c r="P11" s="4"/>
    </row>
    <row r="12" spans="1:19" x14ac:dyDescent="0.3">
      <c r="A12" t="s">
        <v>307</v>
      </c>
      <c r="B12" t="s">
        <v>308</v>
      </c>
      <c r="C12" t="s">
        <v>92</v>
      </c>
      <c r="D12" t="s">
        <v>309</v>
      </c>
      <c r="E12" s="4">
        <f t="shared" si="0"/>
        <v>1.549735128053641E-4</v>
      </c>
      <c r="F12" s="4">
        <v>8.1660966199362198E-6</v>
      </c>
      <c r="G12" s="4">
        <v>9.5000000000000005E-5</v>
      </c>
      <c r="H12" s="4"/>
      <c r="I12" s="4"/>
      <c r="J12" s="4">
        <v>2.2434790869507859E-5</v>
      </c>
      <c r="K12" s="4"/>
      <c r="L12" s="4">
        <v>2.5092881999999999E-7</v>
      </c>
      <c r="M12" s="4">
        <v>2.9121696495920008E-5</v>
      </c>
      <c r="N12" s="4"/>
      <c r="O12" s="4"/>
      <c r="P12" s="4"/>
    </row>
    <row r="13" spans="1:19" x14ac:dyDescent="0.3">
      <c r="A13" t="s">
        <v>307</v>
      </c>
      <c r="B13" t="s">
        <v>308</v>
      </c>
      <c r="C13" t="s">
        <v>311</v>
      </c>
      <c r="D13" t="s">
        <v>309</v>
      </c>
      <c r="E13" s="4">
        <f t="shared" si="0"/>
        <v>0</v>
      </c>
      <c r="F13" s="4"/>
      <c r="G13" s="4"/>
      <c r="H13" s="4"/>
      <c r="I13" s="4"/>
      <c r="J13" s="4"/>
      <c r="K13" s="4"/>
      <c r="L13" s="4"/>
      <c r="M13" s="4"/>
      <c r="N13" s="4"/>
      <c r="O13" s="4"/>
      <c r="P13" s="4"/>
    </row>
    <row r="14" spans="1:19" x14ac:dyDescent="0.3">
      <c r="A14" t="s">
        <v>307</v>
      </c>
      <c r="B14" t="s">
        <v>308</v>
      </c>
      <c r="C14" t="s">
        <v>94</v>
      </c>
      <c r="D14" t="s">
        <v>309</v>
      </c>
      <c r="E14" s="4">
        <f t="shared" si="0"/>
        <v>1.8648393868060559E-4</v>
      </c>
      <c r="F14" s="4">
        <v>8.5474058496577423E-6</v>
      </c>
      <c r="G14" s="4">
        <v>1.1000000000000001E-6</v>
      </c>
      <c r="H14" s="4">
        <v>1.5823656329481842E-4</v>
      </c>
      <c r="I14" s="4">
        <v>1.5823656329481842E-5</v>
      </c>
      <c r="J14" s="4">
        <v>1.360897215991556E-6</v>
      </c>
      <c r="K14" s="4"/>
      <c r="L14" s="4">
        <v>3.0881530559999997E-9</v>
      </c>
      <c r="M14" s="4">
        <v>1.4123278376000001E-6</v>
      </c>
      <c r="N14" s="4"/>
      <c r="O14" s="4"/>
      <c r="P14" s="4"/>
    </row>
    <row r="15" spans="1:19" x14ac:dyDescent="0.3">
      <c r="E15" s="4"/>
      <c r="F15" s="4"/>
      <c r="G15" s="4"/>
      <c r="H15" s="4"/>
      <c r="I15" s="4"/>
      <c r="J15" s="4"/>
      <c r="K15" s="4"/>
      <c r="L15" s="4"/>
      <c r="M15" s="4"/>
      <c r="N15" s="4"/>
      <c r="O15" s="4"/>
      <c r="P15" s="4"/>
    </row>
    <row r="16" spans="1:19" x14ac:dyDescent="0.3">
      <c r="A16" t="s">
        <v>307</v>
      </c>
      <c r="B16" t="s">
        <v>308</v>
      </c>
      <c r="C16" t="s">
        <v>95</v>
      </c>
      <c r="D16" t="s">
        <v>312</v>
      </c>
      <c r="E16" s="4">
        <v>0.52633119479302792</v>
      </c>
      <c r="F16" s="4">
        <v>2.4370510521528055E-2</v>
      </c>
      <c r="G16" s="4">
        <v>3.01313E-2</v>
      </c>
      <c r="H16" s="4">
        <v>0.36711611109208486</v>
      </c>
      <c r="I16" s="4">
        <v>4.8642220755341862E-3</v>
      </c>
      <c r="J16" s="4">
        <v>5.9248812939961648E-2</v>
      </c>
      <c r="K16" s="4">
        <v>0</v>
      </c>
      <c r="L16" s="4">
        <v>4.1674448075789007E-4</v>
      </c>
      <c r="M16" s="4">
        <v>3.9645293683161227E-2</v>
      </c>
      <c r="N16" s="4">
        <v>5.3819999999999996E-4</v>
      </c>
      <c r="O16" s="4">
        <v>0</v>
      </c>
      <c r="P16" s="4">
        <v>0</v>
      </c>
      <c r="R16" s="124" t="s">
        <v>310</v>
      </c>
      <c r="S16" s="6"/>
    </row>
    <row r="17" spans="1:18" x14ac:dyDescent="0.3">
      <c r="A17" t="s">
        <v>307</v>
      </c>
      <c r="B17" t="s">
        <v>308</v>
      </c>
      <c r="C17" t="s">
        <v>91</v>
      </c>
      <c r="D17" t="s">
        <v>312</v>
      </c>
      <c r="E17" s="4">
        <f t="shared" si="0"/>
        <v>0.13888635752648032</v>
      </c>
      <c r="F17" s="4">
        <v>1.4524552445401365E-2</v>
      </c>
      <c r="G17" s="4">
        <v>2.7E-2</v>
      </c>
      <c r="H17" s="4"/>
      <c r="I17" s="4"/>
      <c r="J17" s="4">
        <v>5.8056562695504521E-2</v>
      </c>
      <c r="K17" s="4"/>
      <c r="L17" s="4">
        <v>3.7514075765645005E-4</v>
      </c>
      <c r="M17" s="4">
        <v>3.8391901627918008E-2</v>
      </c>
      <c r="N17" s="276">
        <v>5.3819999999999996E-4</v>
      </c>
      <c r="O17" s="4"/>
      <c r="P17" s="4"/>
    </row>
    <row r="18" spans="1:18" x14ac:dyDescent="0.3">
      <c r="A18" t="s">
        <v>307</v>
      </c>
      <c r="B18" t="s">
        <v>308</v>
      </c>
      <c r="C18" t="s">
        <v>92</v>
      </c>
      <c r="D18" t="s">
        <v>312</v>
      </c>
      <c r="E18" s="4">
        <f t="shared" si="0"/>
        <v>1.8229621534045906E-4</v>
      </c>
      <c r="F18" s="4">
        <v>3.1202775120595208E-5</v>
      </c>
      <c r="G18" s="4">
        <v>9.5000000000000005E-5</v>
      </c>
      <c r="H18" s="4"/>
      <c r="I18" s="4"/>
      <c r="J18" s="4">
        <v>2.5717099623943848E-5</v>
      </c>
      <c r="K18" s="4"/>
      <c r="L18" s="4">
        <v>1.2546440999999999E-6</v>
      </c>
      <c r="M18" s="4">
        <v>2.9121696495920008E-5</v>
      </c>
      <c r="N18" s="4"/>
      <c r="O18" s="4"/>
      <c r="P18" s="4"/>
    </row>
    <row r="19" spans="1:18" x14ac:dyDescent="0.3">
      <c r="A19" t="s">
        <v>307</v>
      </c>
      <c r="B19" t="s">
        <v>308</v>
      </c>
      <c r="C19" t="s">
        <v>311</v>
      </c>
      <c r="D19" t="s">
        <v>312</v>
      </c>
      <c r="E19" s="4">
        <f t="shared" si="0"/>
        <v>0</v>
      </c>
      <c r="F19" s="4"/>
      <c r="G19" s="4"/>
      <c r="H19" s="4"/>
      <c r="I19" s="4"/>
      <c r="J19" s="4"/>
      <c r="K19" s="4"/>
      <c r="L19" s="4"/>
      <c r="M19" s="4"/>
      <c r="N19" s="4"/>
      <c r="O19" s="4"/>
      <c r="P19" s="4"/>
    </row>
    <row r="20" spans="1:18" x14ac:dyDescent="0.3">
      <c r="A20" t="s">
        <v>307</v>
      </c>
      <c r="B20" t="s">
        <v>308</v>
      </c>
      <c r="C20" t="s">
        <v>94</v>
      </c>
      <c r="D20" t="s">
        <v>312</v>
      </c>
      <c r="E20" s="4">
        <f t="shared" si="0"/>
        <v>2.3274183044929981E-4</v>
      </c>
      <c r="F20" s="4">
        <v>3.2659763287666505E-5</v>
      </c>
      <c r="G20" s="4">
        <v>1.1000000000000001E-6</v>
      </c>
      <c r="H20" s="4">
        <v>1.7817663280345004E-4</v>
      </c>
      <c r="I20" s="4">
        <v>1.7817663280345004E-5</v>
      </c>
      <c r="J20" s="4">
        <v>1.5600024749582352E-6</v>
      </c>
      <c r="K20" s="4"/>
      <c r="L20" s="4">
        <v>1.5440765279999996E-8</v>
      </c>
      <c r="M20" s="4">
        <v>1.4123278376000001E-6</v>
      </c>
      <c r="N20" s="4"/>
      <c r="O20" s="4"/>
      <c r="P20" s="4"/>
    </row>
    <row r="21" spans="1:18" x14ac:dyDescent="0.3">
      <c r="E21" s="4"/>
      <c r="F21" s="4"/>
      <c r="G21" s="4"/>
      <c r="H21" s="4"/>
      <c r="I21" s="4"/>
      <c r="J21" s="4"/>
      <c r="K21" s="4"/>
      <c r="L21" s="4"/>
      <c r="M21" s="4"/>
      <c r="N21" s="4"/>
      <c r="O21" s="4"/>
      <c r="P21" s="4"/>
    </row>
    <row r="22" spans="1:18" x14ac:dyDescent="0.3">
      <c r="A22" t="s">
        <v>313</v>
      </c>
      <c r="B22" t="s">
        <v>241</v>
      </c>
      <c r="C22" t="s">
        <v>95</v>
      </c>
      <c r="D22" t="s">
        <v>314</v>
      </c>
      <c r="E22" s="4">
        <v>1.0241565454522199</v>
      </c>
      <c r="F22" s="4">
        <v>1.2186917836524699E-2</v>
      </c>
      <c r="G22" s="4">
        <v>2.3884567073170736E-2</v>
      </c>
      <c r="H22" s="4">
        <v>0.28884913358866082</v>
      </c>
      <c r="I22" s="4">
        <v>3.6400318077827896E-3</v>
      </c>
      <c r="J22" s="4">
        <v>4.3968385377147715E-2</v>
      </c>
      <c r="K22" s="4">
        <v>0</v>
      </c>
      <c r="L22" s="4">
        <v>1.9820774084826478E-4</v>
      </c>
      <c r="M22" s="4">
        <v>3.1426147431774146E-2</v>
      </c>
      <c r="N22" s="4">
        <v>0.31761120248475611</v>
      </c>
      <c r="O22" s="4">
        <v>4.265297238182502E-2</v>
      </c>
      <c r="P22" s="4">
        <v>0.2597389797297297</v>
      </c>
    </row>
    <row r="23" spans="1:18" x14ac:dyDescent="0.3">
      <c r="A23" s="277" t="s">
        <v>313</v>
      </c>
      <c r="B23" s="278" t="s">
        <v>241</v>
      </c>
      <c r="C23" s="278" t="s">
        <v>91</v>
      </c>
      <c r="D23" s="278" t="s">
        <v>314</v>
      </c>
      <c r="E23" s="279">
        <f>SUM(F23:P23)</f>
        <v>0.7061171705997602</v>
      </c>
      <c r="F23" s="279">
        <f>$C$40*(AVERAGE(F11,F17))/$C$39</f>
        <v>7.2632670993098931E-3</v>
      </c>
      <c r="G23" s="279">
        <f t="shared" ref="G23:M23" si="1">$C$40*(AVERAGE(G11,G17))/$C$39</f>
        <v>2.1402439024390246E-2</v>
      </c>
      <c r="H23" s="279"/>
      <c r="I23" s="279"/>
      <c r="J23" s="279">
        <f t="shared" si="1"/>
        <v>4.308361966433235E-2</v>
      </c>
      <c r="K23" s="279"/>
      <c r="L23" s="279">
        <f t="shared" si="1"/>
        <v>1.7842060425123844E-4</v>
      </c>
      <c r="M23" s="279">
        <f t="shared" si="1"/>
        <v>3.0432604948959403E-2</v>
      </c>
      <c r="N23" s="279">
        <f>$C$40*(AVERAGE(N11,N17))/$C$39</f>
        <v>0.31761120248475611</v>
      </c>
      <c r="O23" s="279">
        <v>3.5145616773760872E-2</v>
      </c>
      <c r="P23" s="280">
        <v>0.251</v>
      </c>
      <c r="R23" t="s">
        <v>265</v>
      </c>
    </row>
    <row r="24" spans="1:18" x14ac:dyDescent="0.3">
      <c r="A24" s="195" t="s">
        <v>313</v>
      </c>
      <c r="B24" t="s">
        <v>241</v>
      </c>
      <c r="C24" t="s">
        <v>92</v>
      </c>
      <c r="D24" t="s">
        <v>314</v>
      </c>
      <c r="E24" s="281">
        <f>SUM(F24:P24)</f>
        <v>4.7266553697523981E-4</v>
      </c>
      <c r="F24" s="281">
        <f t="shared" ref="F24:M24" si="2">$C$40*(AVERAGE(F12,F18))/$C$39</f>
        <v>1.5603516238625262E-5</v>
      </c>
      <c r="G24" s="281">
        <f t="shared" si="2"/>
        <v>7.5304878048780503E-5</v>
      </c>
      <c r="H24" s="281"/>
      <c r="I24" s="281"/>
      <c r="J24" s="281">
        <f t="shared" si="2"/>
        <v>1.908459074435586E-5</v>
      </c>
      <c r="K24" s="281"/>
      <c r="L24" s="281">
        <f t="shared" si="2"/>
        <v>5.9672097439024396E-7</v>
      </c>
      <c r="M24" s="281">
        <f t="shared" si="2"/>
        <v>2.3084271612619523E-5</v>
      </c>
      <c r="N24" s="281"/>
      <c r="O24" s="281">
        <v>1.2899155935646844E-4</v>
      </c>
      <c r="P24" s="282">
        <f>4.83/1000/23</f>
        <v>2.1000000000000001E-4</v>
      </c>
      <c r="R24" t="s">
        <v>266</v>
      </c>
    </row>
    <row r="25" spans="1:18" x14ac:dyDescent="0.3">
      <c r="A25" s="195" t="s">
        <v>313</v>
      </c>
      <c r="B25" t="s">
        <v>241</v>
      </c>
      <c r="C25" t="s">
        <v>311</v>
      </c>
      <c r="D25" t="s">
        <v>314</v>
      </c>
      <c r="E25" s="281">
        <f>SUM(F25:P25)</f>
        <v>0</v>
      </c>
      <c r="F25" s="281"/>
      <c r="G25" s="281"/>
      <c r="H25" s="281"/>
      <c r="I25" s="281"/>
      <c r="J25" s="281"/>
      <c r="K25" s="281"/>
      <c r="L25" s="281"/>
      <c r="M25" s="281"/>
      <c r="N25" s="281"/>
      <c r="O25" s="281"/>
      <c r="P25" s="282"/>
    </row>
    <row r="26" spans="1:18" x14ac:dyDescent="0.3">
      <c r="A26" s="231" t="s">
        <v>313</v>
      </c>
      <c r="B26" s="232" t="s">
        <v>241</v>
      </c>
      <c r="C26" s="232" t="s">
        <v>94</v>
      </c>
      <c r="D26" s="232" t="s">
        <v>314</v>
      </c>
      <c r="E26" s="283">
        <f>SUM(F26:P26)</f>
        <v>1.8866346644602505E-4</v>
      </c>
      <c r="F26" s="283">
        <f t="shared" ref="F26:M26" si="3">$C$40*(AVERAGE(F14,F20))/$C$39</f>
        <v>1.6332109719061441E-5</v>
      </c>
      <c r="G26" s="283">
        <f t="shared" si="3"/>
        <v>8.7195121951219526E-7</v>
      </c>
      <c r="H26" s="283">
        <f t="shared" si="3"/>
        <v>1.3333449845358202E-4</v>
      </c>
      <c r="I26" s="283">
        <f t="shared" si="3"/>
        <v>1.3333449845358203E-5</v>
      </c>
      <c r="J26" s="283">
        <f t="shared" si="3"/>
        <v>1.1576736579983931E-6</v>
      </c>
      <c r="K26" s="283"/>
      <c r="L26" s="283">
        <f t="shared" si="3"/>
        <v>7.3437786087804866E-9</v>
      </c>
      <c r="M26" s="283">
        <f t="shared" si="3"/>
        <v>1.1195281639512197E-6</v>
      </c>
      <c r="N26" s="283"/>
      <c r="O26" s="283">
        <v>1.3419073770114991E-5</v>
      </c>
      <c r="P26" s="284">
        <f>2.69/1000/296</f>
        <v>9.087837837837838E-6</v>
      </c>
      <c r="R26" t="s">
        <v>266</v>
      </c>
    </row>
    <row r="29" spans="1:18" ht="18" x14ac:dyDescent="0.35">
      <c r="A29" s="1" t="s">
        <v>315</v>
      </c>
    </row>
    <row r="31" spans="1:18" x14ac:dyDescent="0.3">
      <c r="A31" s="156" t="s">
        <v>224</v>
      </c>
      <c r="B31" s="157"/>
      <c r="C31" s="157"/>
      <c r="D31" s="157"/>
      <c r="E31" s="157"/>
      <c r="F31" s="158" t="s">
        <v>12</v>
      </c>
      <c r="G31" s="158" t="s">
        <v>247</v>
      </c>
      <c r="H31" s="158" t="s">
        <v>13</v>
      </c>
      <c r="I31" s="158" t="s">
        <v>14</v>
      </c>
      <c r="J31" s="159" t="s">
        <v>15</v>
      </c>
      <c r="K31" s="159" t="s">
        <v>16</v>
      </c>
      <c r="L31" s="159" t="s">
        <v>17</v>
      </c>
      <c r="M31" s="285"/>
      <c r="N31" s="286"/>
      <c r="O31" s="286"/>
      <c r="P31" s="287"/>
    </row>
    <row r="32" spans="1:18" ht="43.2" x14ac:dyDescent="0.3">
      <c r="A32" s="160" t="s">
        <v>19</v>
      </c>
      <c r="B32" s="160" t="s">
        <v>224</v>
      </c>
      <c r="C32" s="160" t="s">
        <v>226</v>
      </c>
      <c r="D32" s="160" t="s">
        <v>22</v>
      </c>
      <c r="E32" s="149" t="s">
        <v>23</v>
      </c>
      <c r="F32" s="165" t="s">
        <v>30</v>
      </c>
      <c r="G32" s="165" t="s">
        <v>248</v>
      </c>
      <c r="H32" s="165" t="s">
        <v>249</v>
      </c>
      <c r="I32" s="166" t="s">
        <v>33</v>
      </c>
      <c r="J32" s="167" t="s">
        <v>34</v>
      </c>
      <c r="K32" s="168" t="s">
        <v>35</v>
      </c>
      <c r="L32" s="168" t="s">
        <v>36</v>
      </c>
      <c r="M32" s="286"/>
    </row>
    <row r="33" spans="1:18" x14ac:dyDescent="0.3">
      <c r="A33" s="71" t="s">
        <v>307</v>
      </c>
      <c r="B33" s="15" t="s">
        <v>308</v>
      </c>
      <c r="C33" s="15" t="s">
        <v>316</v>
      </c>
      <c r="D33" t="s">
        <v>309</v>
      </c>
      <c r="E33" t="s">
        <v>317</v>
      </c>
      <c r="F33">
        <v>2.9987165493168924</v>
      </c>
      <c r="G33">
        <v>7.5567657042785688E-2</v>
      </c>
      <c r="H33">
        <v>6.5971764084971638E-3</v>
      </c>
      <c r="I33">
        <v>1E-3</v>
      </c>
      <c r="J33">
        <v>0.33775822794753041</v>
      </c>
      <c r="K33">
        <v>1.2385238539351947E-9</v>
      </c>
      <c r="L33">
        <v>5.4691734366476756E-5</v>
      </c>
    </row>
    <row r="34" spans="1:18" x14ac:dyDescent="0.3">
      <c r="A34" s="71" t="s">
        <v>307</v>
      </c>
      <c r="B34" s="15" t="s">
        <v>308</v>
      </c>
      <c r="C34" s="15" t="s">
        <v>316</v>
      </c>
      <c r="D34" t="s">
        <v>312</v>
      </c>
      <c r="E34" t="s">
        <v>318</v>
      </c>
      <c r="F34">
        <v>3.4374419931663649</v>
      </c>
      <c r="G34">
        <v>3.1968210536447196E-2</v>
      </c>
      <c r="H34">
        <v>1.7187209965831825E-3</v>
      </c>
      <c r="I34">
        <v>4.9999999999999992E-3</v>
      </c>
      <c r="J34">
        <v>0.31624466337130558</v>
      </c>
      <c r="K34">
        <v>3.055476859418395E-10</v>
      </c>
      <c r="L34">
        <v>2.0897792027420705E-4</v>
      </c>
    </row>
    <row r="36" spans="1:18" x14ac:dyDescent="0.3">
      <c r="A36" s="288" t="s">
        <v>313</v>
      </c>
      <c r="B36" s="289" t="s">
        <v>241</v>
      </c>
      <c r="C36" s="289" t="s">
        <v>319</v>
      </c>
      <c r="D36" s="289" t="s">
        <v>314</v>
      </c>
      <c r="E36" s="289"/>
      <c r="F36" s="290">
        <f>$C$40*AVERAGE(F33:F34)/$C$39</f>
        <v>2.5509164954964132</v>
      </c>
      <c r="G36" s="290">
        <f t="shared" ref="G36:L36" si="4">$C$40*AVERAGE(G33:G34)/$C$39</f>
        <v>4.2620923125915477E-2</v>
      </c>
      <c r="H36" s="291">
        <f t="shared" si="4"/>
        <v>3.2959349471355036E-3</v>
      </c>
      <c r="I36" s="291">
        <f t="shared" si="4"/>
        <v>2.3780487804878048E-3</v>
      </c>
      <c r="J36" s="290">
        <f t="shared" si="4"/>
        <v>0.25920846302270939</v>
      </c>
      <c r="K36" s="292">
        <f t="shared" si="4"/>
        <v>6.1197957373175144E-10</v>
      </c>
      <c r="L36" s="292">
        <f t="shared" si="4"/>
        <v>1.0450321677831981E-4</v>
      </c>
    </row>
    <row r="38" spans="1:18" x14ac:dyDescent="0.3">
      <c r="A38" s="109" t="s">
        <v>320</v>
      </c>
      <c r="B38" s="109"/>
      <c r="C38" s="109"/>
      <c r="D38" s="109"/>
      <c r="E38" s="109"/>
      <c r="F38" s="109"/>
      <c r="G38" s="109"/>
      <c r="H38" s="109"/>
      <c r="I38" s="109"/>
      <c r="J38" s="109"/>
      <c r="K38" s="109"/>
      <c r="L38" s="109"/>
      <c r="M38" s="109"/>
      <c r="N38" s="109"/>
      <c r="O38" s="109"/>
      <c r="P38" s="109"/>
    </row>
    <row r="39" spans="1:18" x14ac:dyDescent="0.3">
      <c r="A39" t="s">
        <v>321</v>
      </c>
      <c r="C39">
        <v>0.82</v>
      </c>
      <c r="R39" t="s">
        <v>322</v>
      </c>
    </row>
    <row r="40" spans="1:18" x14ac:dyDescent="0.3">
      <c r="A40" t="s">
        <v>323</v>
      </c>
      <c r="C40">
        <v>0.65</v>
      </c>
      <c r="R40" t="s">
        <v>322</v>
      </c>
    </row>
    <row r="42" spans="1:18" x14ac:dyDescent="0.3">
      <c r="A42" t="s">
        <v>324</v>
      </c>
    </row>
    <row r="43" spans="1:18" x14ac:dyDescent="0.3">
      <c r="A43" t="s">
        <v>325</v>
      </c>
      <c r="C43">
        <v>0.16600000000000001</v>
      </c>
      <c r="D43" t="s">
        <v>326</v>
      </c>
      <c r="R43" t="s">
        <v>327</v>
      </c>
    </row>
    <row r="44" spans="1:18" x14ac:dyDescent="0.3">
      <c r="A44" t="s">
        <v>328</v>
      </c>
      <c r="C44">
        <v>0.97299999999999998</v>
      </c>
      <c r="D44" t="s">
        <v>326</v>
      </c>
      <c r="R44" t="s">
        <v>327</v>
      </c>
    </row>
    <row r="46" spans="1:18" x14ac:dyDescent="0.3">
      <c r="A46" t="s">
        <v>329</v>
      </c>
      <c r="R46" t="s">
        <v>330</v>
      </c>
    </row>
    <row r="49" spans="1:18" ht="18" x14ac:dyDescent="0.35">
      <c r="A49" s="265" t="s">
        <v>331</v>
      </c>
      <c r="B49" s="109"/>
      <c r="C49" s="109"/>
      <c r="D49" s="109"/>
      <c r="E49" s="109"/>
      <c r="F49" s="109"/>
      <c r="G49" s="109"/>
      <c r="H49" s="109"/>
      <c r="I49" s="109"/>
      <c r="J49" s="109"/>
      <c r="K49" s="109"/>
      <c r="L49" s="109"/>
      <c r="M49" s="109"/>
      <c r="N49" s="109"/>
      <c r="O49" s="109"/>
      <c r="P49" s="109"/>
    </row>
    <row r="51" spans="1:18" ht="18" x14ac:dyDescent="0.35">
      <c r="A51" s="1" t="s">
        <v>304</v>
      </c>
    </row>
    <row r="53" spans="1:18" x14ac:dyDescent="0.3">
      <c r="A53" s="266" t="s">
        <v>224</v>
      </c>
      <c r="B53" s="267"/>
      <c r="C53" s="267"/>
      <c r="D53" s="267"/>
      <c r="E53" s="268" t="s">
        <v>65</v>
      </c>
      <c r="F53" s="268" t="s">
        <v>66</v>
      </c>
      <c r="G53" s="269"/>
      <c r="H53" s="268" t="s">
        <v>67</v>
      </c>
      <c r="I53" s="270"/>
      <c r="J53" s="271" t="s">
        <v>68</v>
      </c>
      <c r="K53" s="270"/>
      <c r="L53" s="270"/>
      <c r="M53" s="270"/>
      <c r="N53" s="271" t="s">
        <v>69</v>
      </c>
      <c r="O53" s="271" t="s">
        <v>305</v>
      </c>
      <c r="P53" s="271" t="s">
        <v>70</v>
      </c>
    </row>
    <row r="54" spans="1:18" ht="43.2" x14ac:dyDescent="0.3">
      <c r="A54" s="272" t="s">
        <v>19</v>
      </c>
      <c r="B54" s="272" t="s">
        <v>224</v>
      </c>
      <c r="C54" s="272" t="s">
        <v>74</v>
      </c>
      <c r="D54" s="273" t="s">
        <v>306</v>
      </c>
      <c r="E54" s="274"/>
      <c r="F54" s="46" t="s">
        <v>227</v>
      </c>
      <c r="G54" s="46" t="s">
        <v>76</v>
      </c>
      <c r="H54" s="46" t="s">
        <v>228</v>
      </c>
      <c r="I54" s="46" t="s">
        <v>229</v>
      </c>
      <c r="J54" s="46" t="s">
        <v>77</v>
      </c>
      <c r="K54" s="46" t="s">
        <v>78</v>
      </c>
      <c r="L54" s="46" t="s">
        <v>79</v>
      </c>
      <c r="M54" s="46" t="s">
        <v>80</v>
      </c>
      <c r="N54" s="46" t="s">
        <v>81</v>
      </c>
      <c r="O54" s="46"/>
      <c r="P54" s="46"/>
      <c r="R54" s="275" t="s">
        <v>264</v>
      </c>
    </row>
    <row r="55" spans="1:18" x14ac:dyDescent="0.3">
      <c r="A55" t="s">
        <v>332</v>
      </c>
      <c r="B55" t="s">
        <v>333</v>
      </c>
      <c r="C55" t="s">
        <v>95</v>
      </c>
      <c r="D55" t="s">
        <v>41</v>
      </c>
      <c r="E55" s="4">
        <f t="shared" ref="E55:E59" si="5">SUM(F55:P55)</f>
        <v>1.6947107071173246</v>
      </c>
      <c r="F55" s="4">
        <v>0.54718153809761028</v>
      </c>
      <c r="G55" s="4">
        <v>3.01313E-2</v>
      </c>
      <c r="H55" s="4">
        <v>0.93617948957863406</v>
      </c>
      <c r="I55" s="4">
        <v>6.0825760565840097E-2</v>
      </c>
      <c r="J55" s="4">
        <v>4.9915761667236082E-2</v>
      </c>
      <c r="K55" s="4">
        <v>0</v>
      </c>
      <c r="L55" s="4">
        <v>1.0835356499705141E-3</v>
      </c>
      <c r="M55" s="4">
        <v>6.9393321558033794E-2</v>
      </c>
      <c r="N55" s="4">
        <v>0</v>
      </c>
      <c r="O55" s="4">
        <v>0</v>
      </c>
      <c r="P55" s="4">
        <v>0</v>
      </c>
      <c r="R55" s="124"/>
    </row>
    <row r="56" spans="1:18" x14ac:dyDescent="0.3">
      <c r="A56" t="s">
        <v>332</v>
      </c>
      <c r="B56" t="s">
        <v>333</v>
      </c>
      <c r="C56" t="s">
        <v>91</v>
      </c>
      <c r="D56" t="s">
        <v>41</v>
      </c>
      <c r="E56" s="4">
        <f t="shared" si="5"/>
        <v>0.47425566700327737</v>
      </c>
      <c r="F56" s="4">
        <v>0.32956752885768148</v>
      </c>
      <c r="G56" s="4">
        <v>2.7E-2</v>
      </c>
      <c r="H56" s="4"/>
      <c r="I56" s="4"/>
      <c r="J56" s="4">
        <v>4.891131826833911E-2</v>
      </c>
      <c r="K56" s="4"/>
      <c r="L56" s="4">
        <v>9.7536596990677009E-4</v>
      </c>
      <c r="M56" s="4">
        <v>6.7801453907350012E-2</v>
      </c>
      <c r="N56" s="5"/>
      <c r="O56" s="4"/>
      <c r="P56" s="4"/>
    </row>
    <row r="57" spans="1:18" x14ac:dyDescent="0.3">
      <c r="A57" t="s">
        <v>332</v>
      </c>
      <c r="B57" t="s">
        <v>333</v>
      </c>
      <c r="C57" t="s">
        <v>92</v>
      </c>
      <c r="D57" t="s">
        <v>41</v>
      </c>
      <c r="E57" s="4">
        <f t="shared" si="5"/>
        <v>7.8066436125071416E-4</v>
      </c>
      <c r="F57" s="33">
        <v>6.3024269760943272E-4</v>
      </c>
      <c r="G57" s="33">
        <v>9.5000000000000005E-5</v>
      </c>
      <c r="H57" s="33"/>
      <c r="I57" s="33"/>
      <c r="J57" s="33">
        <v>2.1666064717653378E-5</v>
      </c>
      <c r="K57" s="33"/>
      <c r="L57" s="33">
        <v>3.2620746600000001E-6</v>
      </c>
      <c r="M57" s="33">
        <v>3.0493524263628008E-5</v>
      </c>
      <c r="N57" s="33"/>
      <c r="O57" s="33"/>
      <c r="P57" s="33"/>
    </row>
    <row r="58" spans="1:18" x14ac:dyDescent="0.3">
      <c r="A58" t="s">
        <v>332</v>
      </c>
      <c r="B58" t="s">
        <v>333</v>
      </c>
      <c r="C58" t="s">
        <v>311</v>
      </c>
      <c r="D58" t="s">
        <v>41</v>
      </c>
      <c r="E58" s="4">
        <f t="shared" si="5"/>
        <v>0</v>
      </c>
      <c r="F58" s="33"/>
      <c r="G58" s="33"/>
      <c r="H58" s="33"/>
      <c r="I58" s="33"/>
      <c r="J58" s="33"/>
      <c r="K58" s="33"/>
      <c r="L58" s="33"/>
      <c r="M58" s="33"/>
      <c r="N58" s="33"/>
      <c r="O58" s="33"/>
      <c r="P58" s="33"/>
    </row>
    <row r="59" spans="1:18" x14ac:dyDescent="0.3">
      <c r="A59" t="s">
        <v>332</v>
      </c>
      <c r="B59" t="s">
        <v>333</v>
      </c>
      <c r="C59" t="s">
        <v>94</v>
      </c>
      <c r="D59" t="s">
        <v>41</v>
      </c>
      <c r="E59" s="4">
        <f t="shared" si="5"/>
        <v>3.1841368433279966E-3</v>
      </c>
      <c r="F59" s="33">
        <v>7.2832518993101725E-4</v>
      </c>
      <c r="G59" s="33">
        <v>1.1000000000000001E-6</v>
      </c>
      <c r="H59" s="33">
        <v>2.2280498375765604E-3</v>
      </c>
      <c r="I59" s="33">
        <v>2.2280498375765604E-4</v>
      </c>
      <c r="J59" s="33">
        <v>1.314266191615013E-6</v>
      </c>
      <c r="K59" s="33"/>
      <c r="L59" s="33">
        <v>4.014598972799999E-8</v>
      </c>
      <c r="M59" s="33">
        <v>2.50241988142E-6</v>
      </c>
      <c r="N59" s="33"/>
      <c r="O59" s="33"/>
      <c r="P59" s="33"/>
    </row>
    <row r="60" spans="1:18" x14ac:dyDescent="0.3">
      <c r="E60" s="4"/>
      <c r="F60" s="4"/>
      <c r="G60" s="4"/>
      <c r="H60" s="4"/>
      <c r="I60" s="4"/>
      <c r="J60" s="4"/>
      <c r="K60" s="4"/>
      <c r="L60" s="4"/>
      <c r="M60" s="4"/>
      <c r="N60" s="4"/>
      <c r="O60" s="4"/>
      <c r="P60" s="4"/>
    </row>
    <row r="61" spans="1:18" x14ac:dyDescent="0.3">
      <c r="A61" t="s">
        <v>332</v>
      </c>
      <c r="B61" t="s">
        <v>333</v>
      </c>
      <c r="C61" t="s">
        <v>95</v>
      </c>
      <c r="D61" t="s">
        <v>43</v>
      </c>
      <c r="E61" s="4">
        <v>1.7006813867746986</v>
      </c>
      <c r="F61" s="4">
        <v>0.54718153809761017</v>
      </c>
      <c r="G61" s="4">
        <v>3.01313E-2</v>
      </c>
      <c r="H61" s="4">
        <v>0.93617948957863384</v>
      </c>
      <c r="I61" s="4">
        <v>6.082576056584009E-2</v>
      </c>
      <c r="J61" s="4">
        <v>4.8839231914042686E-2</v>
      </c>
      <c r="K61" s="4">
        <v>0</v>
      </c>
      <c r="L61" s="4">
        <v>1.6669779230315599E-4</v>
      </c>
      <c r="M61" s="4">
        <v>7.735736882626848E-2</v>
      </c>
      <c r="N61" s="4">
        <v>0</v>
      </c>
      <c r="O61" s="4">
        <v>0</v>
      </c>
      <c r="P61" s="4">
        <v>0</v>
      </c>
      <c r="R61" s="124"/>
    </row>
    <row r="62" spans="1:18" x14ac:dyDescent="0.3">
      <c r="A62" t="s">
        <v>332</v>
      </c>
      <c r="B62" t="s">
        <v>333</v>
      </c>
      <c r="C62" t="s">
        <v>91</v>
      </c>
      <c r="D62" t="s">
        <v>43</v>
      </c>
      <c r="E62" s="4">
        <f t="shared" ref="E62:E65" si="6">SUM(F62:P62)</f>
        <v>0.47990330436934509</v>
      </c>
      <c r="F62" s="4">
        <v>0.32956752885768148</v>
      </c>
      <c r="G62" s="4">
        <v>2.7E-2</v>
      </c>
      <c r="H62" s="4"/>
      <c r="I62" s="4"/>
      <c r="J62" s="4">
        <v>4.7856451275928968E-2</v>
      </c>
      <c r="K62" s="4"/>
      <c r="L62" s="4">
        <v>1.5005630306258E-4</v>
      </c>
      <c r="M62" s="4">
        <v>7.5329267932672014E-2</v>
      </c>
      <c r="N62" s="5"/>
      <c r="O62" s="4"/>
      <c r="P62" s="4"/>
    </row>
    <row r="63" spans="1:18" x14ac:dyDescent="0.3">
      <c r="A63" t="s">
        <v>332</v>
      </c>
      <c r="B63" t="s">
        <v>333</v>
      </c>
      <c r="C63" t="s">
        <v>92</v>
      </c>
      <c r="D63" t="s">
        <v>43</v>
      </c>
      <c r="E63" s="4">
        <f t="shared" si="6"/>
        <v>7.8976797080013996E-4</v>
      </c>
      <c r="F63" s="281">
        <v>6.302426976094325E-4</v>
      </c>
      <c r="G63" s="281">
        <v>9.5000000000000005E-5</v>
      </c>
      <c r="H63" s="281"/>
      <c r="I63" s="281"/>
      <c r="J63" s="281">
        <v>2.1198794209819431E-5</v>
      </c>
      <c r="K63" s="281"/>
      <c r="L63" s="281">
        <v>5.0185763999999998E-7</v>
      </c>
      <c r="M63" s="281">
        <v>4.2824621340888011E-5</v>
      </c>
      <c r="N63" s="281"/>
      <c r="O63" s="281"/>
      <c r="P63" s="281"/>
    </row>
    <row r="64" spans="1:18" x14ac:dyDescent="0.3">
      <c r="A64" t="s">
        <v>332</v>
      </c>
      <c r="B64" t="s">
        <v>333</v>
      </c>
      <c r="C64" t="s">
        <v>311</v>
      </c>
      <c r="D64" t="s">
        <v>43</v>
      </c>
      <c r="E64" s="4">
        <f t="shared" si="6"/>
        <v>0</v>
      </c>
      <c r="F64" s="281"/>
      <c r="G64" s="281"/>
      <c r="H64" s="281"/>
      <c r="I64" s="281"/>
      <c r="J64" s="281"/>
      <c r="K64" s="281"/>
      <c r="L64" s="281"/>
      <c r="M64" s="281"/>
      <c r="N64" s="281"/>
      <c r="O64" s="281"/>
      <c r="P64" s="281"/>
    </row>
    <row r="65" spans="1:18" x14ac:dyDescent="0.3">
      <c r="A65" t="s">
        <v>332</v>
      </c>
      <c r="B65" t="s">
        <v>333</v>
      </c>
      <c r="C65" t="s">
        <v>94</v>
      </c>
      <c r="D65" t="s">
        <v>43</v>
      </c>
      <c r="E65" s="4">
        <f t="shared" si="6"/>
        <v>3.1843264210815983E-3</v>
      </c>
      <c r="F65" s="281">
        <v>7.2832518993101714E-4</v>
      </c>
      <c r="G65" s="281">
        <v>1.1000000000000001E-6</v>
      </c>
      <c r="H65" s="281">
        <v>2.2280498375765599E-3</v>
      </c>
      <c r="I65" s="281">
        <v>2.2280498375765602E-4</v>
      </c>
      <c r="J65" s="281">
        <v>1.2859215042530965E-6</v>
      </c>
      <c r="K65" s="281"/>
      <c r="L65" s="281">
        <v>6.1763061119999986E-9</v>
      </c>
      <c r="M65" s="281">
        <v>2.7543120060000002E-6</v>
      </c>
      <c r="N65" s="281"/>
      <c r="O65" s="281"/>
      <c r="P65" s="281"/>
    </row>
    <row r="66" spans="1:18" x14ac:dyDescent="0.3">
      <c r="E66" s="4"/>
      <c r="F66" s="4"/>
      <c r="G66" s="4"/>
      <c r="H66" s="4"/>
      <c r="I66" s="4"/>
      <c r="J66" s="4"/>
      <c r="K66" s="4"/>
      <c r="L66" s="4"/>
      <c r="M66" s="4"/>
      <c r="N66" s="4"/>
      <c r="O66" s="4"/>
      <c r="P66" s="4"/>
    </row>
    <row r="67" spans="1:18" x14ac:dyDescent="0.3">
      <c r="A67" t="s">
        <v>332</v>
      </c>
      <c r="B67" t="s">
        <v>333</v>
      </c>
      <c r="C67" t="s">
        <v>95</v>
      </c>
      <c r="D67" t="s">
        <v>55</v>
      </c>
      <c r="E67" s="4">
        <v>1.7203907895677788</v>
      </c>
      <c r="F67" s="4">
        <v>0.54718153809761028</v>
      </c>
      <c r="G67" s="4">
        <v>3.01313E-2</v>
      </c>
      <c r="H67" s="4">
        <v>0.93617948957863417</v>
      </c>
      <c r="I67" s="4">
        <v>6.0825760565840117E-2</v>
      </c>
      <c r="J67" s="4">
        <v>5.7818585001554686E-2</v>
      </c>
      <c r="K67" s="4">
        <v>0</v>
      </c>
      <c r="L67" s="4">
        <v>8.3348896151578009E-5</v>
      </c>
      <c r="M67" s="4">
        <v>8.8170767427988142E-2</v>
      </c>
      <c r="N67" s="4"/>
      <c r="O67" s="4">
        <v>0</v>
      </c>
      <c r="P67" s="4">
        <v>0</v>
      </c>
      <c r="R67" s="124"/>
    </row>
    <row r="68" spans="1:18" x14ac:dyDescent="0.3">
      <c r="A68" t="s">
        <v>332</v>
      </c>
      <c r="B68" t="s">
        <v>333</v>
      </c>
      <c r="C68" t="s">
        <v>91</v>
      </c>
      <c r="D68" t="s">
        <v>55</v>
      </c>
      <c r="E68" s="4">
        <f t="shared" ref="E68:E71" si="7">SUM(F68:P68)</f>
        <v>0.49886589312660717</v>
      </c>
      <c r="F68" s="4">
        <v>0.32956752885768148</v>
      </c>
      <c r="G68" s="4">
        <v>2.7E-2</v>
      </c>
      <c r="H68" s="4"/>
      <c r="I68" s="4"/>
      <c r="J68" s="4">
        <v>5.6655114905164373E-2</v>
      </c>
      <c r="K68" s="4"/>
      <c r="L68" s="4">
        <v>7.5028151531290012E-5</v>
      </c>
      <c r="M68" s="4">
        <v>8.5568221212230011E-2</v>
      </c>
      <c r="N68" s="5"/>
      <c r="O68" s="4"/>
      <c r="P68" s="4"/>
    </row>
    <row r="69" spans="1:18" x14ac:dyDescent="0.3">
      <c r="A69" t="s">
        <v>332</v>
      </c>
      <c r="B69" t="s">
        <v>333</v>
      </c>
      <c r="C69" t="s">
        <v>92</v>
      </c>
      <c r="D69" t="s">
        <v>55</v>
      </c>
      <c r="E69" s="4">
        <f t="shared" si="7"/>
        <v>8.1326994831193466E-4</v>
      </c>
      <c r="F69" s="4">
        <v>6.3024269760943261E-4</v>
      </c>
      <c r="G69" s="4">
        <v>9.5000000000000005E-5</v>
      </c>
      <c r="H69" s="4"/>
      <c r="I69" s="4"/>
      <c r="J69" s="4">
        <v>2.5096305509229163E-5</v>
      </c>
      <c r="K69" s="4"/>
      <c r="L69" s="4">
        <v>2.5092882000000005E-7</v>
      </c>
      <c r="M69" s="4">
        <v>6.2680016373272817E-5</v>
      </c>
      <c r="N69" s="4"/>
      <c r="O69" s="4"/>
      <c r="P69" s="4"/>
    </row>
    <row r="70" spans="1:18" x14ac:dyDescent="0.3">
      <c r="A70" t="s">
        <v>332</v>
      </c>
      <c r="B70" t="s">
        <v>333</v>
      </c>
      <c r="C70" t="s">
        <v>311</v>
      </c>
      <c r="D70" t="s">
        <v>55</v>
      </c>
      <c r="E70" s="4">
        <f t="shared" si="7"/>
        <v>0</v>
      </c>
      <c r="F70" s="4"/>
      <c r="G70" s="4"/>
      <c r="H70" s="4"/>
      <c r="I70" s="4"/>
      <c r="J70" s="4"/>
      <c r="K70" s="4"/>
      <c r="L70" s="4"/>
      <c r="M70" s="4"/>
      <c r="N70" s="4"/>
      <c r="O70" s="4"/>
      <c r="P70" s="4"/>
    </row>
    <row r="71" spans="1:18" x14ac:dyDescent="0.3">
      <c r="A71" t="s">
        <v>332</v>
      </c>
      <c r="B71" t="s">
        <v>333</v>
      </c>
      <c r="C71" t="s">
        <v>94</v>
      </c>
      <c r="D71" t="s">
        <v>55</v>
      </c>
      <c r="E71" s="4">
        <f t="shared" si="7"/>
        <v>3.1844965863049202E-3</v>
      </c>
      <c r="F71" s="4">
        <v>7.2832518993101703E-4</v>
      </c>
      <c r="G71" s="4">
        <v>1.1000000000000001E-6</v>
      </c>
      <c r="H71" s="4">
        <v>2.2280498375765608E-3</v>
      </c>
      <c r="I71" s="4">
        <v>2.228049837576561E-4</v>
      </c>
      <c r="J71" s="4">
        <v>1.5223450264296012E-6</v>
      </c>
      <c r="K71" s="4"/>
      <c r="L71" s="4">
        <v>3.0881530559999997E-9</v>
      </c>
      <c r="M71" s="4">
        <v>2.6911418602000003E-6</v>
      </c>
      <c r="N71" s="4"/>
      <c r="O71" s="4"/>
      <c r="P71" s="4"/>
    </row>
    <row r="72" spans="1:18" x14ac:dyDescent="0.3">
      <c r="E72" s="4"/>
      <c r="F72" s="4"/>
      <c r="G72" s="4"/>
      <c r="H72" s="4"/>
      <c r="I72" s="4"/>
      <c r="J72" s="4"/>
      <c r="K72" s="4"/>
      <c r="L72" s="4"/>
      <c r="M72" s="4"/>
      <c r="N72" s="4"/>
      <c r="O72" s="4"/>
      <c r="P72" s="4"/>
    </row>
    <row r="73" spans="1:18" x14ac:dyDescent="0.3">
      <c r="A73" t="s">
        <v>334</v>
      </c>
      <c r="B73" t="s">
        <v>331</v>
      </c>
      <c r="C73" t="s">
        <v>95</v>
      </c>
      <c r="D73" t="s">
        <v>335</v>
      </c>
      <c r="E73" s="4">
        <v>0.86957649487402422</v>
      </c>
      <c r="F73" s="4">
        <v>0.26415660459884638</v>
      </c>
      <c r="G73" s="4">
        <v>1.454614482758621E-2</v>
      </c>
      <c r="H73" s="4">
        <v>0.45194871910692686</v>
      </c>
      <c r="I73" s="4">
        <v>2.9364160273164189E-2</v>
      </c>
      <c r="J73" s="4">
        <v>2.5195748277697338E-2</v>
      </c>
      <c r="K73" s="4"/>
      <c r="L73" s="4">
        <v>2.1459945675808594E-4</v>
      </c>
      <c r="M73" s="4">
        <v>3.7803452981288115E-2</v>
      </c>
      <c r="N73" s="4"/>
      <c r="O73" s="4">
        <v>2.9298483418736934E-2</v>
      </c>
      <c r="P73" s="4">
        <v>1.7048581933019974E-2</v>
      </c>
    </row>
    <row r="74" spans="1:18" x14ac:dyDescent="0.3">
      <c r="A74" s="277" t="s">
        <v>334</v>
      </c>
      <c r="B74" s="278" t="s">
        <v>331</v>
      </c>
      <c r="C74" s="278" t="s">
        <v>91</v>
      </c>
      <c r="D74" s="278" t="s">
        <v>335</v>
      </c>
      <c r="E74" s="279">
        <f>SUM(F74:P74)</f>
        <v>0.27628755742228495</v>
      </c>
      <c r="F74" s="279">
        <f>$C$92*(AVERAGE(F56,F62,F68))/$C$91</f>
        <v>0.15910156565543246</v>
      </c>
      <c r="G74" s="279">
        <f>$C$92*(AVERAGE(G56,G62,G68))/$C$91</f>
        <v>1.3034482758620692E-2</v>
      </c>
      <c r="H74" s="279"/>
      <c r="I74" s="279"/>
      <c r="J74" s="279">
        <f>$C$92*(AVERAGE(J56,J62,J68))/$C$91</f>
        <v>2.4688740026345454E-2</v>
      </c>
      <c r="K74" s="279"/>
      <c r="L74" s="279">
        <f>$C$92*(AVERAGE(L56,L62,L68))/$C$91</f>
        <v>1.931759303794134E-4</v>
      </c>
      <c r="M74" s="279">
        <f>$C$92*(AVERAGE(M56,M62,M68))/$C$91</f>
        <v>3.6802128767029069E-2</v>
      </c>
      <c r="N74" s="279"/>
      <c r="O74" s="279">
        <f>C92*(C95*AVERAGE(EF_el_CO2_FR,EF_el_CO2_DE,EF_el_CO2_PL)+C96*EF_biofuels_CO2)</f>
        <v>2.6267464284477883E-2</v>
      </c>
      <c r="P74" s="280">
        <v>1.6199999999999999E-2</v>
      </c>
      <c r="R74" t="s">
        <v>336</v>
      </c>
    </row>
    <row r="75" spans="1:18" x14ac:dyDescent="0.3">
      <c r="A75" s="195" t="s">
        <v>334</v>
      </c>
      <c r="B75" t="s">
        <v>331</v>
      </c>
      <c r="C75" t="s">
        <v>92</v>
      </c>
      <c r="D75" t="s">
        <v>335</v>
      </c>
      <c r="E75" s="281">
        <f>SUM(F75:P75)</f>
        <v>4.6478527325651394E-4</v>
      </c>
      <c r="F75" s="281">
        <f>$C$92*(AVERAGE(F57,F63,F69))/$C$91</f>
        <v>3.0425509539765719E-4</v>
      </c>
      <c r="G75" s="281">
        <f>$C$92*(AVERAGE(G57,G63,G69))/$C$91</f>
        <v>4.5862068965517246E-5</v>
      </c>
      <c r="H75" s="281"/>
      <c r="I75" s="281"/>
      <c r="J75" s="281">
        <f>$C$92*(AVERAGE(J57,J63,J69))/$C$91</f>
        <v>1.0936279334641699E-5</v>
      </c>
      <c r="K75" s="281"/>
      <c r="L75" s="281">
        <f>$C$92*(AVERAGE(L57,L63,L69))/$C$91</f>
        <v>6.4606960551724142E-7</v>
      </c>
      <c r="M75" s="281">
        <f>$C$92*(AVERAGE(M57,M63,M69))/$C$91</f>
        <v>2.1884761697575221E-5</v>
      </c>
      <c r="N75" s="281"/>
      <c r="O75" s="281">
        <f>C92*(C95*AVERAGE(EF_el_CH4_FR,EF_el_CH4_DE,EF_el_CH4_PL)+C96*EF_biofuel_CH4)</f>
        <v>5.7027085212127035E-5</v>
      </c>
      <c r="P75" s="282">
        <f>0.556/1000/23</f>
        <v>2.4173913043478263E-5</v>
      </c>
      <c r="R75" t="s">
        <v>337</v>
      </c>
    </row>
    <row r="76" spans="1:18" x14ac:dyDescent="0.3">
      <c r="A76" s="195" t="s">
        <v>334</v>
      </c>
      <c r="B76" t="s">
        <v>331</v>
      </c>
      <c r="C76" t="s">
        <v>311</v>
      </c>
      <c r="D76" t="s">
        <v>335</v>
      </c>
      <c r="E76" s="281"/>
      <c r="F76" s="281"/>
      <c r="G76" s="281"/>
      <c r="H76" s="281"/>
      <c r="I76" s="281"/>
      <c r="J76" s="281"/>
      <c r="K76" s="281"/>
      <c r="L76" s="281"/>
      <c r="M76" s="281"/>
      <c r="N76" s="281"/>
      <c r="O76" s="281"/>
      <c r="P76" s="282"/>
    </row>
    <row r="77" spans="1:18" x14ac:dyDescent="0.3">
      <c r="A77" s="231" t="s">
        <v>334</v>
      </c>
      <c r="B77" s="232" t="s">
        <v>331</v>
      </c>
      <c r="C77" s="232" t="s">
        <v>94</v>
      </c>
      <c r="D77" s="232" t="s">
        <v>335</v>
      </c>
      <c r="E77" s="283">
        <f>SUM(F77:P77)</f>
        <v>1.5426052012212825E-3</v>
      </c>
      <c r="F77" s="283">
        <f>$C$92*(AVERAGE(F59,F65,F71))/$C$91</f>
        <v>3.5160526410462907E-4</v>
      </c>
      <c r="G77" s="283">
        <f>$C$92*(AVERAGE(G59,G65,G71))/$C$91</f>
        <v>5.3103448275862083E-7</v>
      </c>
      <c r="H77" s="283">
        <f>$C$92*(AVERAGE(H59,H65,H71))/$C$91</f>
        <v>1.0756102664162708E-3</v>
      </c>
      <c r="I77" s="283">
        <f>$C$92*(AVERAGE(I59,I65,I71))/$C$91</f>
        <v>1.0756102664162706E-4</v>
      </c>
      <c r="J77" s="283">
        <f>$C$92*(AVERAGE(J59,J65,J71))/$C$91</f>
        <v>6.6339607025480414E-7</v>
      </c>
      <c r="K77" s="283"/>
      <c r="L77" s="283">
        <f>$C$92*(AVERAGE(L59,L65,L71))/$C$91</f>
        <v>7.9511067188965511E-9</v>
      </c>
      <c r="M77" s="283">
        <f>$C$92*(AVERAGE(M59,M65,M71))/$C$91</f>
        <v>1.2789681892721844E-6</v>
      </c>
      <c r="N77" s="283"/>
      <c r="O77" s="283">
        <f>C92*(C95*AVERAGE(EF_el_N2O_FR,EF_el_N2O_DE,EF_el_N2O_PL)+C96*EF_biofuel_N2O)</f>
        <v>4.8776996151562902E-6</v>
      </c>
      <c r="P77" s="284">
        <f>0.139/1000/296</f>
        <v>4.6959459459459463E-7</v>
      </c>
      <c r="R77" t="s">
        <v>337</v>
      </c>
    </row>
    <row r="80" spans="1:18" ht="18" x14ac:dyDescent="0.35">
      <c r="A80" s="1" t="s">
        <v>315</v>
      </c>
    </row>
    <row r="82" spans="1:18" x14ac:dyDescent="0.3">
      <c r="A82" s="156" t="s">
        <v>224</v>
      </c>
      <c r="B82" s="157"/>
      <c r="C82" s="157"/>
      <c r="D82" s="157"/>
      <c r="E82" s="157"/>
      <c r="F82" s="158" t="s">
        <v>12</v>
      </c>
      <c r="G82" s="158" t="s">
        <v>247</v>
      </c>
      <c r="H82" s="158" t="s">
        <v>13</v>
      </c>
      <c r="I82" s="158" t="s">
        <v>14</v>
      </c>
      <c r="J82" s="159" t="s">
        <v>15</v>
      </c>
      <c r="K82" s="159" t="s">
        <v>16</v>
      </c>
      <c r="L82" s="159" t="s">
        <v>17</v>
      </c>
      <c r="M82" s="285"/>
      <c r="N82" s="286"/>
      <c r="O82" s="286"/>
      <c r="P82" s="287"/>
    </row>
    <row r="83" spans="1:18" ht="43.2" x14ac:dyDescent="0.3">
      <c r="A83" s="160" t="s">
        <v>19</v>
      </c>
      <c r="B83" s="160" t="s">
        <v>224</v>
      </c>
      <c r="C83" s="160" t="s">
        <v>226</v>
      </c>
      <c r="D83" s="160" t="s">
        <v>22</v>
      </c>
      <c r="E83" s="149" t="s">
        <v>23</v>
      </c>
      <c r="F83" s="165" t="s">
        <v>30</v>
      </c>
      <c r="G83" s="165" t="s">
        <v>248</v>
      </c>
      <c r="H83" s="165" t="s">
        <v>249</v>
      </c>
      <c r="I83" s="166" t="s">
        <v>33</v>
      </c>
      <c r="J83" s="167" t="s">
        <v>34</v>
      </c>
      <c r="K83" s="168" t="s">
        <v>35</v>
      </c>
      <c r="L83" s="168" t="s">
        <v>36</v>
      </c>
      <c r="M83" s="286"/>
    </row>
    <row r="84" spans="1:18" x14ac:dyDescent="0.3">
      <c r="A84" s="195" t="s">
        <v>334</v>
      </c>
      <c r="B84" t="s">
        <v>331</v>
      </c>
      <c r="C84" s="15" t="s">
        <v>319</v>
      </c>
      <c r="D84" t="s">
        <v>41</v>
      </c>
      <c r="E84" t="s">
        <v>42</v>
      </c>
      <c r="F84">
        <v>3.0504172970862418</v>
      </c>
      <c r="G84">
        <v>8.5168018539976825E-2</v>
      </c>
      <c r="H84">
        <v>9.2699884125144842E-3</v>
      </c>
      <c r="I84">
        <v>1.2999999999999999E-2</v>
      </c>
      <c r="J84">
        <v>0.66988842289432138</v>
      </c>
      <c r="K84">
        <v>8.7948296566190488E-10</v>
      </c>
      <c r="L84">
        <v>5.1777558497692056E-3</v>
      </c>
    </row>
    <row r="85" spans="1:18" x14ac:dyDescent="0.3">
      <c r="A85" s="195" t="s">
        <v>334</v>
      </c>
      <c r="B85" t="s">
        <v>331</v>
      </c>
      <c r="C85" s="15" t="s">
        <v>319</v>
      </c>
      <c r="D85" t="s">
        <v>43</v>
      </c>
      <c r="E85" t="s">
        <v>44</v>
      </c>
      <c r="F85">
        <v>2.9846291598268917</v>
      </c>
      <c r="G85">
        <v>8.5168018539976825E-2</v>
      </c>
      <c r="H85">
        <v>9.2699884125144842E-3</v>
      </c>
      <c r="I85">
        <v>2E-3</v>
      </c>
      <c r="J85">
        <v>0.49457909998667982</v>
      </c>
      <c r="K85">
        <v>8.6318221922557154E-11</v>
      </c>
      <c r="L85">
        <v>5.1777558497692056E-3</v>
      </c>
    </row>
    <row r="86" spans="1:18" x14ac:dyDescent="0.3">
      <c r="A86" s="195" t="s">
        <v>334</v>
      </c>
      <c r="B86" t="s">
        <v>331</v>
      </c>
      <c r="C86" s="15" t="s">
        <v>319</v>
      </c>
      <c r="D86" t="s">
        <v>55</v>
      </c>
      <c r="E86" t="s">
        <v>56</v>
      </c>
      <c r="F86">
        <v>3.5333691381405998</v>
      </c>
      <c r="G86">
        <v>8.5168018539976825E-2</v>
      </c>
      <c r="H86">
        <v>9.2699884125144842E-3</v>
      </c>
      <c r="I86">
        <v>1E-3</v>
      </c>
      <c r="J86">
        <v>0.66057946682742008</v>
      </c>
      <c r="K86">
        <v>1.3877157734405748E-10</v>
      </c>
      <c r="L86">
        <v>5.1777558497692056E-3</v>
      </c>
    </row>
    <row r="88" spans="1:18" x14ac:dyDescent="0.3">
      <c r="A88" s="293" t="s">
        <v>334</v>
      </c>
      <c r="B88" s="289" t="s">
        <v>331</v>
      </c>
      <c r="C88" s="289" t="s">
        <v>319</v>
      </c>
      <c r="D88" s="289" t="s">
        <v>335</v>
      </c>
      <c r="E88" s="289"/>
      <c r="F88" s="290">
        <f>$C$92*AVERAGE(F84:F86)/$C$91</f>
        <v>1.5397450382845088</v>
      </c>
      <c r="G88" s="290">
        <f t="shared" ref="G88:L88" si="8">$C$92*AVERAGE(G84:G86)/$C$91</f>
        <v>4.1115595157230206E-2</v>
      </c>
      <c r="H88" s="291">
        <f t="shared" si="8"/>
        <v>4.4751668198345796E-3</v>
      </c>
      <c r="I88" s="291">
        <f t="shared" si="8"/>
        <v>2.5747126436781614E-3</v>
      </c>
      <c r="J88" s="290">
        <f t="shared" si="8"/>
        <v>0.29368572248181501</v>
      </c>
      <c r="K88" s="292">
        <f t="shared" si="8"/>
        <v>1.777473414827503E-10</v>
      </c>
      <c r="L88" s="292">
        <f t="shared" si="8"/>
        <v>2.4996062723023757E-3</v>
      </c>
    </row>
    <row r="90" spans="1:18" x14ac:dyDescent="0.3">
      <c r="A90" s="109" t="s">
        <v>338</v>
      </c>
      <c r="B90" s="109"/>
      <c r="C90" s="109"/>
      <c r="D90" s="109"/>
      <c r="E90" s="109"/>
      <c r="F90" s="109"/>
      <c r="G90" s="109"/>
      <c r="H90" s="109"/>
      <c r="I90" s="109"/>
      <c r="J90" s="109"/>
      <c r="K90" s="109"/>
      <c r="L90" s="109"/>
      <c r="M90" s="109"/>
      <c r="N90" s="109"/>
      <c r="O90" s="109"/>
      <c r="P90" s="109"/>
    </row>
    <row r="91" spans="1:18" x14ac:dyDescent="0.3">
      <c r="A91" t="s">
        <v>339</v>
      </c>
      <c r="C91">
        <v>0.57999999999999996</v>
      </c>
      <c r="R91" t="s">
        <v>327</v>
      </c>
    </row>
    <row r="92" spans="1:18" x14ac:dyDescent="0.3">
      <c r="A92" t="s">
        <v>323</v>
      </c>
      <c r="C92">
        <v>0.28000000000000003</v>
      </c>
      <c r="R92" t="s">
        <v>327</v>
      </c>
    </row>
    <row r="94" spans="1:18" x14ac:dyDescent="0.3">
      <c r="A94" t="s">
        <v>324</v>
      </c>
    </row>
    <row r="95" spans="1:18" x14ac:dyDescent="0.3">
      <c r="A95" t="s">
        <v>325</v>
      </c>
      <c r="C95">
        <v>0.16600000000000001</v>
      </c>
      <c r="D95" t="s">
        <v>326</v>
      </c>
      <c r="R95" t="s">
        <v>340</v>
      </c>
    </row>
    <row r="96" spans="1:18" x14ac:dyDescent="0.3">
      <c r="A96" t="s">
        <v>328</v>
      </c>
      <c r="C96">
        <v>0.97299999999999998</v>
      </c>
      <c r="D96" t="s">
        <v>326</v>
      </c>
      <c r="R96" t="s">
        <v>327</v>
      </c>
    </row>
    <row r="98" spans="1:18" x14ac:dyDescent="0.3">
      <c r="A98" t="s">
        <v>341</v>
      </c>
      <c r="R98" t="s">
        <v>342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92B4F-40C9-4F2F-ADCA-AD0DCB66FF22}">
  <dimension ref="A2:R74"/>
  <sheetViews>
    <sheetView topLeftCell="A56" zoomScale="72" workbookViewId="0">
      <selection activeCell="D85" sqref="D85"/>
    </sheetView>
  </sheetViews>
  <sheetFormatPr defaultColWidth="8.6640625" defaultRowHeight="14.4" x14ac:dyDescent="0.3"/>
  <cols>
    <col min="1" max="1" width="10.6640625" customWidth="1"/>
    <col min="2" max="2" width="18.33203125" customWidth="1"/>
    <col min="3" max="3" width="11.6640625" customWidth="1"/>
    <col min="4" max="4" width="16.6640625" customWidth="1"/>
    <col min="5" max="5" width="12.33203125" customWidth="1"/>
    <col min="6" max="7" width="14.6640625" customWidth="1"/>
    <col min="8" max="8" width="11.33203125" customWidth="1"/>
    <col min="9" max="9" width="12.33203125" customWidth="1"/>
    <col min="10" max="10" width="14.33203125" customWidth="1"/>
    <col min="11" max="11" width="12" customWidth="1"/>
    <col min="12" max="12" width="14.6640625" customWidth="1"/>
    <col min="13" max="13" width="14.33203125" customWidth="1"/>
    <col min="14" max="14" width="15" customWidth="1"/>
    <col min="15" max="15" width="15.44140625" customWidth="1"/>
    <col min="16" max="16" width="15" customWidth="1"/>
    <col min="17" max="17" width="17.6640625" customWidth="1"/>
    <col min="18" max="18" width="24.6640625" customWidth="1"/>
  </cols>
  <sheetData>
    <row r="2" spans="1:18" ht="21" x14ac:dyDescent="0.4">
      <c r="A2" s="2" t="s">
        <v>303</v>
      </c>
      <c r="C2" s="6" t="s">
        <v>355</v>
      </c>
    </row>
    <row r="4" spans="1:18" ht="18" x14ac:dyDescent="0.35">
      <c r="A4" s="265" t="s">
        <v>343</v>
      </c>
      <c r="B4" s="109"/>
      <c r="C4" s="109"/>
      <c r="D4" s="109"/>
      <c r="E4" s="109"/>
      <c r="F4" s="109"/>
      <c r="G4" s="109"/>
      <c r="H4" s="109"/>
      <c r="I4" s="109"/>
      <c r="J4" s="109"/>
      <c r="K4" s="109"/>
      <c r="L4" s="109"/>
      <c r="M4" s="109"/>
      <c r="N4" s="109"/>
      <c r="O4" s="109"/>
      <c r="P4" s="109"/>
    </row>
    <row r="6" spans="1:18" ht="18" x14ac:dyDescent="0.35">
      <c r="A6" s="1" t="s">
        <v>304</v>
      </c>
    </row>
    <row r="8" spans="1:18" x14ac:dyDescent="0.3">
      <c r="A8" s="266" t="s">
        <v>224</v>
      </c>
      <c r="B8" s="267"/>
      <c r="C8" s="267"/>
      <c r="D8" s="267"/>
      <c r="E8" s="268" t="s">
        <v>65</v>
      </c>
      <c r="F8" s="268" t="s">
        <v>66</v>
      </c>
      <c r="G8" s="269"/>
      <c r="H8" s="268" t="s">
        <v>67</v>
      </c>
      <c r="I8" s="270"/>
      <c r="J8" s="271" t="s">
        <v>68</v>
      </c>
      <c r="K8" s="270"/>
      <c r="L8" s="270"/>
      <c r="M8" s="270"/>
      <c r="N8" s="271" t="s">
        <v>69</v>
      </c>
      <c r="O8" s="271" t="s">
        <v>305</v>
      </c>
      <c r="P8" s="271" t="s">
        <v>70</v>
      </c>
    </row>
    <row r="9" spans="1:18" ht="43.2" x14ac:dyDescent="0.3">
      <c r="A9" s="272" t="s">
        <v>19</v>
      </c>
      <c r="B9" s="272" t="s">
        <v>224</v>
      </c>
      <c r="C9" s="272" t="s">
        <v>74</v>
      </c>
      <c r="D9" s="273" t="s">
        <v>306</v>
      </c>
      <c r="E9" s="274"/>
      <c r="F9" s="46" t="s">
        <v>227</v>
      </c>
      <c r="G9" s="46" t="s">
        <v>76</v>
      </c>
      <c r="H9" s="46" t="s">
        <v>228</v>
      </c>
      <c r="I9" s="46" t="s">
        <v>229</v>
      </c>
      <c r="J9" s="46" t="s">
        <v>77</v>
      </c>
      <c r="K9" s="46" t="s">
        <v>78</v>
      </c>
      <c r="L9" s="46" t="s">
        <v>79</v>
      </c>
      <c r="M9" s="46" t="s">
        <v>80</v>
      </c>
      <c r="N9" s="46" t="s">
        <v>81</v>
      </c>
      <c r="O9" s="46"/>
      <c r="P9" s="46"/>
      <c r="R9" s="275" t="s">
        <v>264</v>
      </c>
    </row>
    <row r="10" spans="1:18" x14ac:dyDescent="0.3">
      <c r="B10" t="s">
        <v>343</v>
      </c>
      <c r="C10" t="s">
        <v>95</v>
      </c>
      <c r="D10" t="s">
        <v>344</v>
      </c>
      <c r="E10" s="4">
        <f>SUM(F10:P10)</f>
        <v>0</v>
      </c>
      <c r="F10" s="4"/>
      <c r="G10" s="4"/>
      <c r="H10" s="4"/>
      <c r="I10" s="4"/>
      <c r="J10" s="4"/>
      <c r="K10" s="4"/>
      <c r="L10" s="4"/>
      <c r="M10" s="4"/>
      <c r="N10" s="4"/>
      <c r="O10" s="4"/>
      <c r="P10" s="4"/>
    </row>
    <row r="11" spans="1:18" x14ac:dyDescent="0.3">
      <c r="B11" t="s">
        <v>343</v>
      </c>
      <c r="C11" t="s">
        <v>91</v>
      </c>
      <c r="D11" t="s">
        <v>344</v>
      </c>
      <c r="E11" s="4">
        <f>SUM(F11:P11)</f>
        <v>0</v>
      </c>
      <c r="F11" s="4"/>
      <c r="G11" s="4"/>
      <c r="H11" s="4"/>
      <c r="I11" s="4"/>
      <c r="J11" s="4"/>
      <c r="K11" s="4"/>
      <c r="L11" s="4"/>
      <c r="M11" s="4"/>
      <c r="N11" s="4"/>
      <c r="O11" s="4"/>
      <c r="P11" s="4"/>
      <c r="R11" t="s">
        <v>265</v>
      </c>
    </row>
    <row r="12" spans="1:18" x14ac:dyDescent="0.3">
      <c r="B12" t="s">
        <v>343</v>
      </c>
      <c r="C12" t="s">
        <v>92</v>
      </c>
      <c r="D12" t="s">
        <v>344</v>
      </c>
      <c r="E12" s="281">
        <f>SUM(F12:P12)</f>
        <v>0</v>
      </c>
      <c r="F12" s="281"/>
      <c r="G12" s="281"/>
      <c r="H12" s="281"/>
      <c r="I12" s="281"/>
      <c r="J12" s="281"/>
      <c r="K12" s="281"/>
      <c r="L12" s="281"/>
      <c r="M12" s="281"/>
      <c r="N12" s="281"/>
      <c r="O12" s="281"/>
      <c r="P12" s="281"/>
      <c r="R12" t="s">
        <v>266</v>
      </c>
    </row>
    <row r="13" spans="1:18" x14ac:dyDescent="0.3">
      <c r="B13" t="s">
        <v>343</v>
      </c>
      <c r="C13" t="s">
        <v>311</v>
      </c>
      <c r="D13" t="s">
        <v>344</v>
      </c>
      <c r="E13" s="281">
        <f>SUM(F13:P13)</f>
        <v>0</v>
      </c>
      <c r="F13" s="281"/>
      <c r="G13" s="281"/>
      <c r="H13" s="281"/>
      <c r="I13" s="281"/>
      <c r="J13" s="281"/>
      <c r="K13" s="281"/>
      <c r="L13" s="281"/>
      <c r="M13" s="281"/>
      <c r="N13" s="281"/>
      <c r="O13" s="281"/>
      <c r="P13" s="281"/>
    </row>
    <row r="14" spans="1:18" x14ac:dyDescent="0.3">
      <c r="B14" t="s">
        <v>343</v>
      </c>
      <c r="C14" t="s">
        <v>94</v>
      </c>
      <c r="D14" t="s">
        <v>344</v>
      </c>
      <c r="E14" s="281">
        <f>SUM(F14:P14)</f>
        <v>0</v>
      </c>
      <c r="F14" s="281"/>
      <c r="G14" s="281"/>
      <c r="H14" s="281"/>
      <c r="I14" s="281"/>
      <c r="J14" s="281"/>
      <c r="K14" s="281"/>
      <c r="L14" s="281"/>
      <c r="M14" s="281"/>
      <c r="N14" s="281"/>
      <c r="O14" s="281"/>
      <c r="P14" s="281"/>
      <c r="R14" t="s">
        <v>266</v>
      </c>
    </row>
    <row r="16" spans="1:18" ht="18" x14ac:dyDescent="0.35">
      <c r="A16" s="1" t="s">
        <v>315</v>
      </c>
    </row>
    <row r="18" spans="1:16" x14ac:dyDescent="0.3">
      <c r="A18" s="156" t="s">
        <v>224</v>
      </c>
      <c r="B18" s="157"/>
      <c r="C18" s="157"/>
      <c r="D18" s="157"/>
      <c r="E18" s="157"/>
      <c r="F18" s="158" t="s">
        <v>12</v>
      </c>
      <c r="G18" s="158" t="s">
        <v>247</v>
      </c>
      <c r="H18" s="158" t="s">
        <v>13</v>
      </c>
      <c r="I18" s="158" t="s">
        <v>14</v>
      </c>
      <c r="J18" s="159" t="s">
        <v>15</v>
      </c>
      <c r="K18" s="159" t="s">
        <v>16</v>
      </c>
      <c r="L18" s="159" t="s">
        <v>17</v>
      </c>
      <c r="M18" s="285"/>
      <c r="N18" s="286"/>
      <c r="O18" s="286"/>
      <c r="P18" s="287"/>
    </row>
    <row r="19" spans="1:16" ht="43.2" x14ac:dyDescent="0.3">
      <c r="A19" s="160" t="s">
        <v>19</v>
      </c>
      <c r="B19" s="160" t="s">
        <v>224</v>
      </c>
      <c r="C19" s="160" t="s">
        <v>226</v>
      </c>
      <c r="D19" s="160" t="s">
        <v>22</v>
      </c>
      <c r="E19" s="149" t="s">
        <v>23</v>
      </c>
      <c r="F19" s="165" t="s">
        <v>30</v>
      </c>
      <c r="G19" s="165" t="s">
        <v>248</v>
      </c>
      <c r="H19" s="165" t="s">
        <v>249</v>
      </c>
      <c r="I19" s="166" t="s">
        <v>33</v>
      </c>
      <c r="J19" s="167" t="s">
        <v>34</v>
      </c>
      <c r="K19" s="168" t="s">
        <v>35</v>
      </c>
      <c r="L19" s="168" t="s">
        <v>36</v>
      </c>
      <c r="M19" s="286"/>
    </row>
    <row r="20" spans="1:16" x14ac:dyDescent="0.3">
      <c r="A20" s="71"/>
      <c r="B20" t="s">
        <v>343</v>
      </c>
      <c r="C20" s="15" t="s">
        <v>302</v>
      </c>
      <c r="D20" t="s">
        <v>39</v>
      </c>
      <c r="E20" t="s">
        <v>40</v>
      </c>
      <c r="F20" s="5">
        <f>1/$C$33*10000</f>
        <v>1.4285714285714286</v>
      </c>
      <c r="G20" s="4">
        <f>$C$34/$C$33</f>
        <v>1.4285714285714285E-2</v>
      </c>
      <c r="H20">
        <v>2E-3</v>
      </c>
      <c r="I20">
        <v>0</v>
      </c>
      <c r="J20" s="295">
        <f>0.0835652093*10^-3*1000</f>
        <v>8.3565209299999998E-2</v>
      </c>
      <c r="K20">
        <f>F20/10000*4.49051507445716E-07</f>
        <v>6.4150215349388005E-11</v>
      </c>
    </row>
    <row r="21" spans="1:16" x14ac:dyDescent="0.3">
      <c r="A21" s="71"/>
      <c r="B21" t="s">
        <v>343</v>
      </c>
      <c r="C21" s="15" t="s">
        <v>302</v>
      </c>
      <c r="D21" t="s">
        <v>41</v>
      </c>
      <c r="E21" t="s">
        <v>42</v>
      </c>
      <c r="F21" s="5">
        <f t="shared" ref="F21:F30" si="0">1/$C$33*10000</f>
        <v>1.4285714285714286</v>
      </c>
      <c r="G21" s="4">
        <f t="shared" ref="G21:G30" si="1">$C$34/$C$33</f>
        <v>1.4285714285714285E-2</v>
      </c>
      <c r="H21">
        <v>2E-3</v>
      </c>
      <c r="I21">
        <v>0</v>
      </c>
      <c r="J21" s="295">
        <f t="shared" ref="J21:J30" si="2">0.0835652093*10^-3*1000</f>
        <v>8.3565209299999998E-2</v>
      </c>
      <c r="M21" s="6" t="s">
        <v>350</v>
      </c>
    </row>
    <row r="22" spans="1:16" x14ac:dyDescent="0.3">
      <c r="A22" s="71"/>
      <c r="B22" t="s">
        <v>343</v>
      </c>
      <c r="C22" s="15" t="s">
        <v>302</v>
      </c>
      <c r="D22" t="s">
        <v>43</v>
      </c>
      <c r="E22" t="s">
        <v>44</v>
      </c>
      <c r="F22" s="5">
        <f t="shared" si="0"/>
        <v>1.4285714285714286</v>
      </c>
      <c r="G22" s="4">
        <f t="shared" si="1"/>
        <v>1.4285714285714285E-2</v>
      </c>
      <c r="H22">
        <v>2E-3</v>
      </c>
      <c r="I22">
        <v>0</v>
      </c>
      <c r="J22" s="295">
        <f t="shared" si="2"/>
        <v>8.3565209299999998E-2</v>
      </c>
    </row>
    <row r="23" spans="1:16" x14ac:dyDescent="0.3">
      <c r="A23" s="71"/>
      <c r="B23" t="s">
        <v>343</v>
      </c>
      <c r="C23" s="15" t="s">
        <v>302</v>
      </c>
      <c r="D23" t="s">
        <v>45</v>
      </c>
      <c r="E23" t="s">
        <v>46</v>
      </c>
      <c r="F23" s="5">
        <f t="shared" si="0"/>
        <v>1.4285714285714286</v>
      </c>
      <c r="G23" s="4">
        <f t="shared" si="1"/>
        <v>1.4285714285714285E-2</v>
      </c>
      <c r="H23">
        <v>2E-3</v>
      </c>
      <c r="I23">
        <v>0</v>
      </c>
      <c r="J23" s="295">
        <f t="shared" si="2"/>
        <v>8.3565209299999998E-2</v>
      </c>
    </row>
    <row r="24" spans="1:16" x14ac:dyDescent="0.3">
      <c r="A24" s="71"/>
      <c r="B24" t="s">
        <v>343</v>
      </c>
      <c r="C24" s="15" t="s">
        <v>302</v>
      </c>
      <c r="D24" t="s">
        <v>47</v>
      </c>
      <c r="E24" t="s">
        <v>48</v>
      </c>
      <c r="F24" s="5">
        <f t="shared" si="0"/>
        <v>1.4285714285714286</v>
      </c>
      <c r="G24" s="4">
        <f t="shared" si="1"/>
        <v>1.4285714285714285E-2</v>
      </c>
      <c r="H24">
        <v>2E-3</v>
      </c>
      <c r="I24">
        <v>0</v>
      </c>
      <c r="J24" s="295">
        <f t="shared" si="2"/>
        <v>8.3565209299999998E-2</v>
      </c>
    </row>
    <row r="25" spans="1:16" x14ac:dyDescent="0.3">
      <c r="A25" s="71"/>
      <c r="B25" t="s">
        <v>343</v>
      </c>
      <c r="C25" s="15" t="s">
        <v>302</v>
      </c>
      <c r="D25" t="s">
        <v>49</v>
      </c>
      <c r="E25" t="s">
        <v>50</v>
      </c>
      <c r="F25" s="5">
        <f t="shared" si="0"/>
        <v>1.4285714285714286</v>
      </c>
      <c r="G25" s="4">
        <f t="shared" si="1"/>
        <v>1.4285714285714285E-2</v>
      </c>
      <c r="H25">
        <v>2E-3</v>
      </c>
      <c r="I25">
        <v>0</v>
      </c>
      <c r="J25" s="295">
        <f t="shared" si="2"/>
        <v>8.3565209299999998E-2</v>
      </c>
    </row>
    <row r="26" spans="1:16" x14ac:dyDescent="0.3">
      <c r="A26" s="71"/>
      <c r="B26" t="s">
        <v>343</v>
      </c>
      <c r="C26" s="15" t="s">
        <v>302</v>
      </c>
      <c r="D26" t="s">
        <v>51</v>
      </c>
      <c r="E26" t="s">
        <v>52</v>
      </c>
      <c r="F26" s="5">
        <f t="shared" si="0"/>
        <v>1.4285714285714286</v>
      </c>
      <c r="G26" s="4">
        <f t="shared" si="1"/>
        <v>1.4285714285714285E-2</v>
      </c>
      <c r="H26">
        <v>2E-3</v>
      </c>
      <c r="I26">
        <v>0</v>
      </c>
      <c r="J26" s="295">
        <f t="shared" si="2"/>
        <v>8.3565209299999998E-2</v>
      </c>
    </row>
    <row r="27" spans="1:16" x14ac:dyDescent="0.3">
      <c r="A27" s="71"/>
      <c r="B27" t="s">
        <v>343</v>
      </c>
      <c r="C27" s="15" t="s">
        <v>302</v>
      </c>
      <c r="D27" t="s">
        <v>53</v>
      </c>
      <c r="E27" t="s">
        <v>54</v>
      </c>
      <c r="F27" s="5">
        <f t="shared" si="0"/>
        <v>1.4285714285714286</v>
      </c>
      <c r="G27" s="4">
        <f t="shared" si="1"/>
        <v>1.4285714285714285E-2</v>
      </c>
      <c r="H27">
        <v>2E-3</v>
      </c>
      <c r="I27">
        <v>0</v>
      </c>
      <c r="J27" s="295">
        <f t="shared" si="2"/>
        <v>8.3565209299999998E-2</v>
      </c>
    </row>
    <row r="28" spans="1:16" x14ac:dyDescent="0.3">
      <c r="A28" s="71"/>
      <c r="B28" t="s">
        <v>343</v>
      </c>
      <c r="C28" s="15" t="s">
        <v>302</v>
      </c>
      <c r="D28" t="s">
        <v>55</v>
      </c>
      <c r="E28" t="s">
        <v>56</v>
      </c>
      <c r="F28" s="5">
        <f t="shared" si="0"/>
        <v>1.4285714285714286</v>
      </c>
      <c r="G28" s="4">
        <f t="shared" si="1"/>
        <v>1.4285714285714285E-2</v>
      </c>
      <c r="H28">
        <v>2E-3</v>
      </c>
      <c r="I28">
        <v>0</v>
      </c>
      <c r="J28" s="295">
        <f t="shared" si="2"/>
        <v>8.3565209299999998E-2</v>
      </c>
    </row>
    <row r="29" spans="1:16" x14ac:dyDescent="0.3">
      <c r="A29" s="71"/>
      <c r="B29" t="s">
        <v>343</v>
      </c>
      <c r="C29" s="15" t="s">
        <v>302</v>
      </c>
      <c r="D29" t="s">
        <v>57</v>
      </c>
      <c r="E29" t="s">
        <v>58</v>
      </c>
      <c r="F29" s="5">
        <f t="shared" si="0"/>
        <v>1.4285714285714286</v>
      </c>
      <c r="G29" s="4">
        <f t="shared" si="1"/>
        <v>1.4285714285714285E-2</v>
      </c>
      <c r="H29">
        <v>2E-3</v>
      </c>
      <c r="I29">
        <v>0</v>
      </c>
      <c r="J29" s="295">
        <f t="shared" si="2"/>
        <v>8.3565209299999998E-2</v>
      </c>
    </row>
    <row r="30" spans="1:16" x14ac:dyDescent="0.3">
      <c r="A30" s="71"/>
      <c r="B30" t="s">
        <v>343</v>
      </c>
      <c r="C30" s="15" t="s">
        <v>302</v>
      </c>
      <c r="D30" s="16" t="s">
        <v>59</v>
      </c>
      <c r="E30" s="16" t="s">
        <v>60</v>
      </c>
      <c r="F30" s="5">
        <f t="shared" si="0"/>
        <v>1.4285714285714286</v>
      </c>
      <c r="G30" s="4">
        <f t="shared" si="1"/>
        <v>1.4285714285714285E-2</v>
      </c>
      <c r="H30">
        <v>2E-3</v>
      </c>
      <c r="I30">
        <v>0</v>
      </c>
      <c r="J30" s="295">
        <f t="shared" si="2"/>
        <v>8.3565209299999998E-2</v>
      </c>
    </row>
    <row r="32" spans="1:16" x14ac:dyDescent="0.3">
      <c r="A32" s="109" t="s">
        <v>345</v>
      </c>
      <c r="B32" s="109"/>
      <c r="C32" s="109"/>
      <c r="D32" s="109"/>
      <c r="E32" s="109"/>
      <c r="F32" s="109"/>
      <c r="G32" s="109"/>
      <c r="H32" s="109"/>
      <c r="I32" s="109"/>
      <c r="J32" s="109"/>
      <c r="K32" s="109"/>
      <c r="L32" s="109"/>
      <c r="M32" s="109"/>
      <c r="N32" s="109"/>
      <c r="O32" s="109"/>
      <c r="P32" s="109"/>
    </row>
    <row r="33" spans="1:18" x14ac:dyDescent="0.3">
      <c r="A33" t="s">
        <v>348</v>
      </c>
      <c r="C33">
        <v>7000</v>
      </c>
      <c r="D33" t="s">
        <v>346</v>
      </c>
      <c r="R33" t="s">
        <v>347</v>
      </c>
    </row>
    <row r="34" spans="1:18" x14ac:dyDescent="0.3">
      <c r="A34" t="s">
        <v>349</v>
      </c>
      <c r="C34">
        <v>100</v>
      </c>
    </row>
    <row r="36" spans="1:18" x14ac:dyDescent="0.3">
      <c r="A36" t="s">
        <v>324</v>
      </c>
    </row>
    <row r="37" spans="1:18" x14ac:dyDescent="0.3">
      <c r="A37" t="s">
        <v>325</v>
      </c>
      <c r="D37" t="s">
        <v>351</v>
      </c>
    </row>
    <row r="38" spans="1:18" x14ac:dyDescent="0.3">
      <c r="A38" t="s">
        <v>328</v>
      </c>
      <c r="D38" t="s">
        <v>351</v>
      </c>
    </row>
    <row r="40" spans="1:18" ht="18" x14ac:dyDescent="0.35">
      <c r="A40" s="265" t="s">
        <v>352</v>
      </c>
      <c r="B40" s="109"/>
      <c r="C40" s="109"/>
      <c r="D40" s="109"/>
      <c r="E40" s="109"/>
      <c r="F40" s="109"/>
      <c r="G40" s="109"/>
      <c r="H40" s="109"/>
      <c r="I40" s="109"/>
      <c r="J40" s="109"/>
      <c r="K40" s="109"/>
      <c r="L40" s="109"/>
      <c r="M40" s="109"/>
      <c r="N40" s="109"/>
      <c r="O40" s="109"/>
      <c r="P40" s="109"/>
    </row>
    <row r="42" spans="1:18" ht="18" x14ac:dyDescent="0.35">
      <c r="A42" s="1" t="s">
        <v>304</v>
      </c>
    </row>
    <row r="44" spans="1:18" x14ac:dyDescent="0.3">
      <c r="A44" s="266" t="s">
        <v>224</v>
      </c>
      <c r="B44" s="267"/>
      <c r="C44" s="267"/>
      <c r="D44" s="267"/>
      <c r="E44" s="268" t="s">
        <v>65</v>
      </c>
      <c r="F44" s="268" t="s">
        <v>66</v>
      </c>
      <c r="G44" s="269"/>
      <c r="H44" s="268" t="s">
        <v>67</v>
      </c>
      <c r="I44" s="270"/>
      <c r="J44" s="271" t="s">
        <v>68</v>
      </c>
      <c r="K44" s="270"/>
      <c r="L44" s="270"/>
      <c r="M44" s="270"/>
      <c r="N44" s="271" t="s">
        <v>69</v>
      </c>
      <c r="O44" s="271" t="s">
        <v>305</v>
      </c>
      <c r="P44" s="271" t="s">
        <v>70</v>
      </c>
    </row>
    <row r="45" spans="1:18" ht="43.2" x14ac:dyDescent="0.3">
      <c r="A45" s="272" t="s">
        <v>19</v>
      </c>
      <c r="B45" s="272" t="s">
        <v>224</v>
      </c>
      <c r="C45" s="272" t="s">
        <v>74</v>
      </c>
      <c r="D45" s="273" t="s">
        <v>306</v>
      </c>
      <c r="E45" s="274"/>
      <c r="F45" s="46" t="s">
        <v>227</v>
      </c>
      <c r="G45" s="46" t="s">
        <v>76</v>
      </c>
      <c r="H45" s="46" t="s">
        <v>228</v>
      </c>
      <c r="I45" s="46" t="s">
        <v>229</v>
      </c>
      <c r="J45" s="46" t="s">
        <v>77</v>
      </c>
      <c r="K45" s="46" t="s">
        <v>78</v>
      </c>
      <c r="L45" s="46" t="s">
        <v>79</v>
      </c>
      <c r="M45" s="46" t="s">
        <v>80</v>
      </c>
      <c r="N45" s="46" t="s">
        <v>81</v>
      </c>
      <c r="O45" s="46"/>
      <c r="P45" s="46"/>
      <c r="R45" s="275" t="s">
        <v>264</v>
      </c>
    </row>
    <row r="46" spans="1:18" x14ac:dyDescent="0.3">
      <c r="B46" t="s">
        <v>353</v>
      </c>
      <c r="C46" t="s">
        <v>95</v>
      </c>
      <c r="D46" t="s">
        <v>344</v>
      </c>
      <c r="E46" s="4">
        <f>SUM(F46:P46)</f>
        <v>0</v>
      </c>
      <c r="F46" s="4"/>
      <c r="G46" s="4"/>
      <c r="H46" s="4"/>
      <c r="I46" s="4"/>
      <c r="J46" s="4"/>
      <c r="K46" s="4"/>
      <c r="L46" s="4"/>
      <c r="M46" s="4"/>
      <c r="N46" s="4"/>
      <c r="O46" s="4"/>
      <c r="P46" s="4"/>
    </row>
    <row r="47" spans="1:18" x14ac:dyDescent="0.3">
      <c r="B47" t="s">
        <v>353</v>
      </c>
      <c r="C47" t="s">
        <v>91</v>
      </c>
      <c r="D47" t="s">
        <v>344</v>
      </c>
      <c r="E47" s="4">
        <f>SUM(F47:P47)</f>
        <v>0</v>
      </c>
      <c r="F47" s="4"/>
      <c r="G47" s="4"/>
      <c r="H47" s="4"/>
      <c r="I47" s="4"/>
      <c r="J47" s="4"/>
      <c r="K47" s="4"/>
      <c r="L47" s="4"/>
      <c r="M47" s="4"/>
      <c r="N47" s="4"/>
      <c r="O47" s="4"/>
      <c r="P47" s="4"/>
      <c r="R47" t="s">
        <v>265</v>
      </c>
    </row>
    <row r="48" spans="1:18" x14ac:dyDescent="0.3">
      <c r="B48" t="s">
        <v>353</v>
      </c>
      <c r="C48" t="s">
        <v>92</v>
      </c>
      <c r="D48" t="s">
        <v>344</v>
      </c>
      <c r="E48" s="281">
        <f>SUM(F48:P48)</f>
        <v>0</v>
      </c>
      <c r="F48" s="281"/>
      <c r="G48" s="281"/>
      <c r="H48" s="281"/>
      <c r="I48" s="281"/>
      <c r="J48" s="281"/>
      <c r="K48" s="281"/>
      <c r="L48" s="281"/>
      <c r="M48" s="281"/>
      <c r="N48" s="281"/>
      <c r="O48" s="281"/>
      <c r="P48" s="281"/>
      <c r="R48" t="s">
        <v>266</v>
      </c>
    </row>
    <row r="49" spans="1:18" x14ac:dyDescent="0.3">
      <c r="B49" t="s">
        <v>353</v>
      </c>
      <c r="C49" t="s">
        <v>311</v>
      </c>
      <c r="D49" t="s">
        <v>344</v>
      </c>
      <c r="E49" s="281">
        <f>SUM(F49:P49)</f>
        <v>0</v>
      </c>
      <c r="F49" s="281"/>
      <c r="G49" s="281"/>
      <c r="H49" s="281"/>
      <c r="I49" s="281"/>
      <c r="J49" s="281"/>
      <c r="K49" s="281"/>
      <c r="L49" s="281"/>
      <c r="M49" s="281"/>
      <c r="N49" s="281"/>
      <c r="O49" s="281"/>
      <c r="P49" s="281"/>
    </row>
    <row r="50" spans="1:18" x14ac:dyDescent="0.3">
      <c r="B50" t="s">
        <v>353</v>
      </c>
      <c r="C50" t="s">
        <v>94</v>
      </c>
      <c r="D50" t="s">
        <v>344</v>
      </c>
      <c r="E50" s="281">
        <f>SUM(F50:P50)</f>
        <v>0</v>
      </c>
      <c r="F50" s="281"/>
      <c r="G50" s="281"/>
      <c r="H50" s="281"/>
      <c r="I50" s="281"/>
      <c r="J50" s="281"/>
      <c r="K50" s="281"/>
      <c r="L50" s="281"/>
      <c r="M50" s="281"/>
      <c r="N50" s="281"/>
      <c r="O50" s="281"/>
      <c r="P50" s="281"/>
      <c r="R50" t="s">
        <v>266</v>
      </c>
    </row>
    <row r="52" spans="1:18" ht="18" x14ac:dyDescent="0.35">
      <c r="A52" s="1" t="s">
        <v>315</v>
      </c>
    </row>
    <row r="54" spans="1:18" x14ac:dyDescent="0.3">
      <c r="A54" s="156" t="s">
        <v>224</v>
      </c>
      <c r="B54" s="157"/>
      <c r="C54" s="157"/>
      <c r="D54" s="157"/>
      <c r="E54" s="157"/>
      <c r="F54" s="158" t="s">
        <v>12</v>
      </c>
      <c r="G54" s="158" t="s">
        <v>247</v>
      </c>
      <c r="H54" s="158" t="s">
        <v>13</v>
      </c>
      <c r="I54" s="158" t="s">
        <v>14</v>
      </c>
      <c r="J54" s="159" t="s">
        <v>15</v>
      </c>
      <c r="K54" s="159" t="s">
        <v>16</v>
      </c>
      <c r="L54" s="159" t="s">
        <v>17</v>
      </c>
      <c r="M54" s="285"/>
      <c r="N54" s="286"/>
      <c r="O54" s="286"/>
      <c r="P54" s="287"/>
    </row>
    <row r="55" spans="1:18" ht="43.2" x14ac:dyDescent="0.3">
      <c r="A55" s="160" t="s">
        <v>19</v>
      </c>
      <c r="B55" s="160" t="s">
        <v>224</v>
      </c>
      <c r="C55" s="160" t="s">
        <v>226</v>
      </c>
      <c r="D55" s="160" t="s">
        <v>22</v>
      </c>
      <c r="E55" s="149" t="s">
        <v>23</v>
      </c>
      <c r="F55" s="165" t="s">
        <v>30</v>
      </c>
      <c r="G55" s="165" t="s">
        <v>248</v>
      </c>
      <c r="H55" s="165" t="s">
        <v>249</v>
      </c>
      <c r="I55" s="166" t="s">
        <v>33</v>
      </c>
      <c r="J55" s="167" t="s">
        <v>34</v>
      </c>
      <c r="K55" s="168" t="s">
        <v>35</v>
      </c>
      <c r="L55" s="168" t="s">
        <v>36</v>
      </c>
      <c r="M55" s="286"/>
    </row>
    <row r="56" spans="1:18" x14ac:dyDescent="0.3">
      <c r="A56" s="71"/>
      <c r="B56" t="s">
        <v>353</v>
      </c>
      <c r="C56" s="15" t="s">
        <v>302</v>
      </c>
      <c r="D56" t="s">
        <v>39</v>
      </c>
      <c r="E56" t="s">
        <v>40</v>
      </c>
      <c r="F56" s="5">
        <f>1/$C$33*10000</f>
        <v>1.4285714285714286</v>
      </c>
      <c r="G56" s="4">
        <f>$C$34/$C$33</f>
        <v>1.4285714285714285E-2</v>
      </c>
      <c r="H56">
        <v>2E-3</v>
      </c>
      <c r="I56">
        <v>0</v>
      </c>
      <c r="J56" s="295">
        <f>0.0835652093*10^-3*1000</f>
        <v>8.3565209299999998E-2</v>
      </c>
      <c r="K56">
        <f>F56/10000*4.49051507445716E-07</f>
        <v>6.4150215349388005E-11</v>
      </c>
    </row>
    <row r="57" spans="1:18" x14ac:dyDescent="0.3">
      <c r="A57" s="71"/>
      <c r="B57" t="s">
        <v>353</v>
      </c>
      <c r="C57" s="15" t="s">
        <v>302</v>
      </c>
      <c r="D57" t="s">
        <v>41</v>
      </c>
      <c r="E57" t="s">
        <v>42</v>
      </c>
      <c r="F57" s="5">
        <f t="shared" ref="F57:F66" si="3">1/$C$33*10000</f>
        <v>1.4285714285714286</v>
      </c>
      <c r="G57" s="4">
        <f t="shared" ref="G57:G66" si="4">$C$34/$C$33</f>
        <v>1.4285714285714285E-2</v>
      </c>
      <c r="H57">
        <v>2E-3</v>
      </c>
      <c r="I57">
        <v>0</v>
      </c>
      <c r="J57" s="295">
        <f t="shared" ref="J57:J66" si="5">0.0835652093*10^-3*1000</f>
        <v>8.3565209299999998E-2</v>
      </c>
      <c r="M57" s="6" t="s">
        <v>350</v>
      </c>
    </row>
    <row r="58" spans="1:18" x14ac:dyDescent="0.3">
      <c r="A58" s="71"/>
      <c r="B58" t="s">
        <v>353</v>
      </c>
      <c r="C58" s="15" t="s">
        <v>302</v>
      </c>
      <c r="D58" t="s">
        <v>43</v>
      </c>
      <c r="E58" t="s">
        <v>44</v>
      </c>
      <c r="F58" s="5">
        <f t="shared" si="3"/>
        <v>1.4285714285714286</v>
      </c>
      <c r="G58" s="4">
        <f t="shared" si="4"/>
        <v>1.4285714285714285E-2</v>
      </c>
      <c r="H58">
        <v>2E-3</v>
      </c>
      <c r="I58">
        <v>0</v>
      </c>
      <c r="J58" s="295">
        <f t="shared" si="5"/>
        <v>8.3565209299999998E-2</v>
      </c>
    </row>
    <row r="59" spans="1:18" x14ac:dyDescent="0.3">
      <c r="A59" s="71"/>
      <c r="B59" t="s">
        <v>353</v>
      </c>
      <c r="C59" s="15" t="s">
        <v>302</v>
      </c>
      <c r="D59" t="s">
        <v>45</v>
      </c>
      <c r="E59" t="s">
        <v>46</v>
      </c>
      <c r="F59" s="5">
        <f t="shared" si="3"/>
        <v>1.4285714285714286</v>
      </c>
      <c r="G59" s="4">
        <f t="shared" si="4"/>
        <v>1.4285714285714285E-2</v>
      </c>
      <c r="H59">
        <v>2E-3</v>
      </c>
      <c r="I59">
        <v>0</v>
      </c>
      <c r="J59" s="295">
        <f t="shared" si="5"/>
        <v>8.3565209299999998E-2</v>
      </c>
    </row>
    <row r="60" spans="1:18" x14ac:dyDescent="0.3">
      <c r="A60" s="71"/>
      <c r="B60" t="s">
        <v>353</v>
      </c>
      <c r="C60" s="15" t="s">
        <v>302</v>
      </c>
      <c r="D60" t="s">
        <v>47</v>
      </c>
      <c r="E60" t="s">
        <v>48</v>
      </c>
      <c r="F60" s="5">
        <f t="shared" si="3"/>
        <v>1.4285714285714286</v>
      </c>
      <c r="G60" s="4">
        <f t="shared" si="4"/>
        <v>1.4285714285714285E-2</v>
      </c>
      <c r="H60">
        <v>2E-3</v>
      </c>
      <c r="I60">
        <v>0</v>
      </c>
      <c r="J60" s="295">
        <f t="shared" si="5"/>
        <v>8.3565209299999998E-2</v>
      </c>
    </row>
    <row r="61" spans="1:18" x14ac:dyDescent="0.3">
      <c r="A61" s="71"/>
      <c r="B61" t="s">
        <v>353</v>
      </c>
      <c r="C61" s="15" t="s">
        <v>302</v>
      </c>
      <c r="D61" t="s">
        <v>49</v>
      </c>
      <c r="E61" t="s">
        <v>50</v>
      </c>
      <c r="F61" s="5">
        <f t="shared" si="3"/>
        <v>1.4285714285714286</v>
      </c>
      <c r="G61" s="4">
        <f t="shared" si="4"/>
        <v>1.4285714285714285E-2</v>
      </c>
      <c r="H61">
        <v>2E-3</v>
      </c>
      <c r="I61">
        <v>0</v>
      </c>
      <c r="J61" s="295">
        <f t="shared" si="5"/>
        <v>8.3565209299999998E-2</v>
      </c>
    </row>
    <row r="62" spans="1:18" x14ac:dyDescent="0.3">
      <c r="A62" s="71"/>
      <c r="B62" t="s">
        <v>353</v>
      </c>
      <c r="C62" s="15" t="s">
        <v>302</v>
      </c>
      <c r="D62" t="s">
        <v>51</v>
      </c>
      <c r="E62" t="s">
        <v>52</v>
      </c>
      <c r="F62" s="5">
        <f t="shared" si="3"/>
        <v>1.4285714285714286</v>
      </c>
      <c r="G62" s="4">
        <f t="shared" si="4"/>
        <v>1.4285714285714285E-2</v>
      </c>
      <c r="H62">
        <v>2E-3</v>
      </c>
      <c r="I62">
        <v>0</v>
      </c>
      <c r="J62" s="295">
        <f t="shared" si="5"/>
        <v>8.3565209299999998E-2</v>
      </c>
    </row>
    <row r="63" spans="1:18" x14ac:dyDescent="0.3">
      <c r="A63" s="71"/>
      <c r="B63" t="s">
        <v>353</v>
      </c>
      <c r="C63" s="15" t="s">
        <v>302</v>
      </c>
      <c r="D63" t="s">
        <v>53</v>
      </c>
      <c r="E63" t="s">
        <v>54</v>
      </c>
      <c r="F63" s="5">
        <f t="shared" si="3"/>
        <v>1.4285714285714286</v>
      </c>
      <c r="G63" s="4">
        <f t="shared" si="4"/>
        <v>1.4285714285714285E-2</v>
      </c>
      <c r="H63">
        <v>2E-3</v>
      </c>
      <c r="I63">
        <v>0</v>
      </c>
      <c r="J63" s="295">
        <f t="shared" si="5"/>
        <v>8.3565209299999998E-2</v>
      </c>
    </row>
    <row r="64" spans="1:18" x14ac:dyDescent="0.3">
      <c r="A64" s="71"/>
      <c r="B64" t="s">
        <v>353</v>
      </c>
      <c r="C64" s="15" t="s">
        <v>302</v>
      </c>
      <c r="D64" t="s">
        <v>55</v>
      </c>
      <c r="E64" t="s">
        <v>56</v>
      </c>
      <c r="F64" s="5">
        <f t="shared" si="3"/>
        <v>1.4285714285714286</v>
      </c>
      <c r="G64" s="4">
        <f t="shared" si="4"/>
        <v>1.4285714285714285E-2</v>
      </c>
      <c r="H64">
        <v>2E-3</v>
      </c>
      <c r="I64">
        <v>0</v>
      </c>
      <c r="J64" s="295">
        <f t="shared" si="5"/>
        <v>8.3565209299999998E-2</v>
      </c>
    </row>
    <row r="65" spans="1:18" x14ac:dyDescent="0.3">
      <c r="A65" s="71"/>
      <c r="B65" t="s">
        <v>353</v>
      </c>
      <c r="C65" s="15" t="s">
        <v>302</v>
      </c>
      <c r="D65" t="s">
        <v>57</v>
      </c>
      <c r="E65" t="s">
        <v>58</v>
      </c>
      <c r="F65" s="5">
        <f t="shared" si="3"/>
        <v>1.4285714285714286</v>
      </c>
      <c r="G65" s="4">
        <f t="shared" si="4"/>
        <v>1.4285714285714285E-2</v>
      </c>
      <c r="H65">
        <v>2E-3</v>
      </c>
      <c r="I65">
        <v>0</v>
      </c>
      <c r="J65" s="295">
        <f t="shared" si="5"/>
        <v>8.3565209299999998E-2</v>
      </c>
    </row>
    <row r="66" spans="1:18" x14ac:dyDescent="0.3">
      <c r="A66" s="71"/>
      <c r="B66" t="s">
        <v>353</v>
      </c>
      <c r="C66" s="15" t="s">
        <v>302</v>
      </c>
      <c r="D66" s="16" t="s">
        <v>59</v>
      </c>
      <c r="E66" s="16" t="s">
        <v>60</v>
      </c>
      <c r="F66" s="5">
        <f t="shared" si="3"/>
        <v>1.4285714285714286</v>
      </c>
      <c r="G66" s="4">
        <f t="shared" si="4"/>
        <v>1.4285714285714285E-2</v>
      </c>
      <c r="H66">
        <v>2E-3</v>
      </c>
      <c r="I66">
        <v>0</v>
      </c>
      <c r="J66" s="295">
        <f t="shared" si="5"/>
        <v>8.3565209299999998E-2</v>
      </c>
    </row>
    <row r="68" spans="1:18" x14ac:dyDescent="0.3">
      <c r="A68" s="109" t="s">
        <v>354</v>
      </c>
      <c r="B68" s="109"/>
      <c r="C68" s="109"/>
      <c r="D68" s="109"/>
      <c r="E68" s="109"/>
      <c r="F68" s="109"/>
      <c r="G68" s="109"/>
      <c r="H68" s="109"/>
      <c r="I68" s="109"/>
      <c r="J68" s="109"/>
      <c r="K68" s="109"/>
      <c r="L68" s="109"/>
      <c r="M68" s="109"/>
      <c r="N68" s="109"/>
      <c r="O68" s="109"/>
      <c r="P68" s="109"/>
    </row>
    <row r="69" spans="1:18" x14ac:dyDescent="0.3">
      <c r="A69" t="s">
        <v>348</v>
      </c>
      <c r="C69">
        <v>7000</v>
      </c>
      <c r="D69" t="s">
        <v>346</v>
      </c>
      <c r="R69" t="s">
        <v>347</v>
      </c>
    </row>
    <row r="70" spans="1:18" x14ac:dyDescent="0.3">
      <c r="A70" t="s">
        <v>349</v>
      </c>
      <c r="C70">
        <v>100</v>
      </c>
    </row>
    <row r="72" spans="1:18" x14ac:dyDescent="0.3">
      <c r="A72" t="s">
        <v>324</v>
      </c>
    </row>
    <row r="73" spans="1:18" x14ac:dyDescent="0.3">
      <c r="A73" t="s">
        <v>325</v>
      </c>
      <c r="D73" t="s">
        <v>351</v>
      </c>
    </row>
    <row r="74" spans="1:18" x14ac:dyDescent="0.3">
      <c r="A74" t="s">
        <v>328</v>
      </c>
      <c r="D74" t="s">
        <v>351</v>
      </c>
    </row>
  </sheetData>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9" tint="0.59999389629810485"/>
  </sheetPr>
  <dimension ref="A3:M16"/>
  <sheetViews>
    <sheetView workbookViewId="0">
      <selection activeCell="A8" sqref="A8:E8"/>
    </sheetView>
  </sheetViews>
  <sheetFormatPr defaultColWidth="8.6640625" defaultRowHeight="14.4" x14ac:dyDescent="0.3"/>
  <cols>
    <col min="1" max="1" width="21.109375" customWidth="1"/>
    <col min="2" max="2" width="10.44140625" customWidth="1"/>
    <col min="3" max="4" width="14.6640625" customWidth="1"/>
    <col min="5" max="5" width="22" customWidth="1"/>
    <col min="10" max="10" width="12.44140625" customWidth="1"/>
  </cols>
  <sheetData>
    <row r="3" spans="1:13" ht="21" x14ac:dyDescent="0.4">
      <c r="A3" s="2" t="s">
        <v>535</v>
      </c>
    </row>
    <row r="4" spans="1:13" x14ac:dyDescent="0.3">
      <c r="A4" s="170"/>
    </row>
    <row r="5" spans="1:13" x14ac:dyDescent="0.3">
      <c r="A5" s="170" t="s">
        <v>536</v>
      </c>
    </row>
    <row r="6" spans="1:13" x14ac:dyDescent="0.3">
      <c r="B6" s="381" t="s">
        <v>530</v>
      </c>
      <c r="C6" s="381" t="s">
        <v>531</v>
      </c>
      <c r="D6" s="381" t="s">
        <v>532</v>
      </c>
      <c r="E6" s="381" t="s">
        <v>533</v>
      </c>
      <c r="F6" s="381" t="s">
        <v>538</v>
      </c>
      <c r="G6" s="381" t="s">
        <v>125</v>
      </c>
    </row>
    <row r="7" spans="1:13" x14ac:dyDescent="0.3">
      <c r="A7" s="383" t="s">
        <v>297</v>
      </c>
      <c r="B7" s="379">
        <v>3620</v>
      </c>
      <c r="C7" s="379">
        <v>1300</v>
      </c>
      <c r="D7" s="379">
        <v>2160</v>
      </c>
      <c r="E7" s="380">
        <v>1910</v>
      </c>
      <c r="F7" s="118">
        <f>SUM(B7:E7)</f>
        <v>8990</v>
      </c>
      <c r="G7" s="382" t="s">
        <v>537</v>
      </c>
    </row>
    <row r="8" spans="1:13" x14ac:dyDescent="0.3">
      <c r="A8" s="383" t="s">
        <v>534</v>
      </c>
      <c r="B8" s="379">
        <v>2510</v>
      </c>
      <c r="C8" s="379">
        <v>2350</v>
      </c>
      <c r="D8" s="379">
        <v>420</v>
      </c>
      <c r="E8" s="380">
        <v>50</v>
      </c>
      <c r="F8" s="118">
        <f>SUM(B8:E8)</f>
        <v>5330</v>
      </c>
    </row>
    <row r="9" spans="1:13" x14ac:dyDescent="0.3">
      <c r="A9" s="116" t="s">
        <v>539</v>
      </c>
      <c r="C9" s="10"/>
    </row>
    <row r="10" spans="1:13" x14ac:dyDescent="0.3">
      <c r="B10" s="10"/>
    </row>
    <row r="11" spans="1:13" x14ac:dyDescent="0.3">
      <c r="A11" s="116" t="s">
        <v>540</v>
      </c>
      <c r="B11" s="162"/>
      <c r="C11" s="162"/>
      <c r="D11" s="162"/>
      <c r="F11">
        <f>F8/2</f>
        <v>2665</v>
      </c>
    </row>
    <row r="12" spans="1:13" x14ac:dyDescent="0.3">
      <c r="A12" s="116" t="s">
        <v>541</v>
      </c>
      <c r="B12">
        <v>8831</v>
      </c>
      <c r="C12" t="s">
        <v>542</v>
      </c>
    </row>
    <row r="16" spans="1:13" x14ac:dyDescent="0.3">
      <c r="M16" s="6"/>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9"/>
  </sheetPr>
  <dimension ref="A2:A7"/>
  <sheetViews>
    <sheetView workbookViewId="0">
      <selection activeCell="C17" sqref="C17"/>
    </sheetView>
  </sheetViews>
  <sheetFormatPr defaultColWidth="8.6640625" defaultRowHeight="14.4" x14ac:dyDescent="0.3"/>
  <sheetData>
    <row r="2" spans="1:1" ht="21" x14ac:dyDescent="0.4">
      <c r="A2" s="2" t="s">
        <v>267</v>
      </c>
    </row>
    <row r="4" spans="1:1" x14ac:dyDescent="0.3">
      <c r="A4" t="s">
        <v>268</v>
      </c>
    </row>
    <row r="5" spans="1:1" x14ac:dyDescent="0.3">
      <c r="A5" t="s">
        <v>269</v>
      </c>
    </row>
    <row r="6" spans="1:1" x14ac:dyDescent="0.3">
      <c r="A6" t="s">
        <v>270</v>
      </c>
    </row>
    <row r="7" spans="1:1" x14ac:dyDescent="0.3">
      <c r="A7" t="s">
        <v>271</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20b5f8f8-e964-4ea5-9bc5-5fa83731a92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A603BB68AE5C0F4C908E70EB4D1DDDC3" ma:contentTypeVersion="15" ma:contentTypeDescription="Skapa ett nytt dokument." ma:contentTypeScope="" ma:versionID="bc1901b771652496ef02f4cbdf878f9e">
  <xsd:schema xmlns:xsd="http://www.w3.org/2001/XMLSchema" xmlns:xs="http://www.w3.org/2001/XMLSchema" xmlns:p="http://schemas.microsoft.com/office/2006/metadata/properties" xmlns:ns3="31ffec6e-e0c6-46d3-bf16-e7019fdf1f95" xmlns:ns4="20b5f8f8-e964-4ea5-9bc5-5fa83731a92f" targetNamespace="http://schemas.microsoft.com/office/2006/metadata/properties" ma:root="true" ma:fieldsID="6c61e44642a1e9e2aad865b2f0b39e8f" ns3:_="" ns4:_="">
    <xsd:import namespace="31ffec6e-e0c6-46d3-bf16-e7019fdf1f95"/>
    <xsd:import namespace="20b5f8f8-e964-4ea5-9bc5-5fa83731a92f"/>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GenerationTime" minOccurs="0"/>
                <xsd:element ref="ns4:MediaServiceEventHashCode" minOccurs="0"/>
                <xsd:element ref="ns4:MediaServiceOCR" minOccurs="0"/>
                <xsd:element ref="ns4:MediaServiceAutoKeyPoints" minOccurs="0"/>
                <xsd:element ref="ns4:MediaServiceKeyPoints" minOccurs="0"/>
                <xsd:element ref="ns4:MediaServiceDateTaken" minOccurs="0"/>
                <xsd:element ref="ns4:MediaServiceLocation" minOccurs="0"/>
                <xsd:element ref="ns4:MediaLengthInSeconds" minOccurs="0"/>
                <xsd:element ref="ns4: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ffec6e-e0c6-46d3-bf16-e7019fdf1f95" elementFormDefault="qualified">
    <xsd:import namespace="http://schemas.microsoft.com/office/2006/documentManagement/types"/>
    <xsd:import namespace="http://schemas.microsoft.com/office/infopath/2007/PartnerControls"/>
    <xsd:element name="SharedWithUsers" ma:index="8" nillable="true" ma:displayName="Dela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lat med information" ma:internalName="SharedWithDetails" ma:readOnly="true">
      <xsd:simpleType>
        <xsd:restriction base="dms:Note">
          <xsd:maxLength value="255"/>
        </xsd:restriction>
      </xsd:simpleType>
    </xsd:element>
    <xsd:element name="SharingHintHash" ma:index="10" nillable="true" ma:displayName="Delar tips,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0b5f8f8-e964-4ea5-9bc5-5fa83731a92f"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5AA8BD2-4DFD-46C4-AB5A-9922D802D05E}">
  <ds:schemaRefs>
    <ds:schemaRef ds:uri="http://schemas.microsoft.com/sharepoint/v3/contenttype/forms"/>
  </ds:schemaRefs>
</ds:datastoreItem>
</file>

<file path=customXml/itemProps2.xml><?xml version="1.0" encoding="utf-8"?>
<ds:datastoreItem xmlns:ds="http://schemas.openxmlformats.org/officeDocument/2006/customXml" ds:itemID="{35C14542-2642-452A-849B-1DD08CED073B}">
  <ds:schemaRefs>
    <ds:schemaRef ds:uri="http://schemas.microsoft.com/office/2006/metadata/properties"/>
    <ds:schemaRef ds:uri="20b5f8f8-e964-4ea5-9bc5-5fa83731a92f"/>
    <ds:schemaRef ds:uri="http://schemas.microsoft.com/office/2006/documentManagement/types"/>
    <ds:schemaRef ds:uri="http://purl.org/dc/terms/"/>
    <ds:schemaRef ds:uri="http://purl.org/dc/dcmitype/"/>
    <ds:schemaRef ds:uri="http://schemas.openxmlformats.org/package/2006/metadata/core-properties"/>
    <ds:schemaRef ds:uri="http://www.w3.org/XML/1998/namespace"/>
    <ds:schemaRef ds:uri="http://schemas.microsoft.com/office/infopath/2007/PartnerControls"/>
    <ds:schemaRef ds:uri="31ffec6e-e0c6-46d3-bf16-e7019fdf1f95"/>
    <ds:schemaRef ds:uri="http://purl.org/dc/elements/1.1/"/>
  </ds:schemaRefs>
</ds:datastoreItem>
</file>

<file path=customXml/itemProps3.xml><?xml version="1.0" encoding="utf-8"?>
<ds:datastoreItem xmlns:ds="http://schemas.openxmlformats.org/officeDocument/2006/customXml" ds:itemID="{C9466767-CC6B-4313-B005-51AE488866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ffec6e-e0c6-46d3-bf16-e7019fdf1f95"/>
    <ds:schemaRef ds:uri="20b5f8f8-e964-4ea5-9bc5-5fa83731a9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322</vt:i4>
      </vt:variant>
    </vt:vector>
  </HeadingPairs>
  <TitlesOfParts>
    <vt:vector size="344" baseType="lpstr">
      <vt:lpstr>README</vt:lpstr>
      <vt:lpstr>Figures</vt:lpstr>
      <vt:lpstr>Footprints, results per kg</vt:lpstr>
      <vt:lpstr>Footprints D24, results per kg</vt:lpstr>
      <vt:lpstr>GHG det D24m, results per kg</vt:lpstr>
      <vt:lpstr>Production SH</vt:lpstr>
      <vt:lpstr>Production D24m</vt:lpstr>
      <vt:lpstr>Parameters SH, country spec</vt:lpstr>
      <vt:lpstr>Parameters D24m, country spec</vt:lpstr>
      <vt:lpstr>Manure</vt:lpstr>
      <vt:lpstr>CO2 per kg feed</vt:lpstr>
      <vt:lpstr>CH4 per kg feed</vt:lpstr>
      <vt:lpstr>N2O per kg feed</vt:lpstr>
      <vt:lpstr>EFP per kg feed</vt:lpstr>
      <vt:lpstr>Parameters, general</vt:lpstr>
      <vt:lpstr>Forage crops, CF</vt:lpstr>
      <vt:lpstr>Forage crops, footprints</vt:lpstr>
      <vt:lpstr>Forage, input data per ha</vt:lpstr>
      <vt:lpstr>Off-farm feed</vt:lpstr>
      <vt:lpstr>Forage feed OLD</vt:lpstr>
      <vt:lpstr>Verification</vt:lpstr>
      <vt:lpstr>References</vt:lpstr>
      <vt:lpstr>AF_beef</vt:lpstr>
      <vt:lpstr>AF_calves</vt:lpstr>
      <vt:lpstr>AF_milk</vt:lpstr>
      <vt:lpstr>CF_GWP_CH4_biog</vt:lpstr>
      <vt:lpstr>CF_GWP_CH4_biogenic</vt:lpstr>
      <vt:lpstr>CF_GWP_CH4_fossil</vt:lpstr>
      <vt:lpstr>CF_GWP_N2O</vt:lpstr>
      <vt:lpstr>'Forage crops, CF'!Crop_data</vt:lpstr>
      <vt:lpstr>Crop_data</vt:lpstr>
      <vt:lpstr>'Forage crops, CF'!Crop_data_codes</vt:lpstr>
      <vt:lpstr>Crop_data_codes</vt:lpstr>
      <vt:lpstr>EF_biofuel_CH4</vt:lpstr>
      <vt:lpstr>EF_biofuel_N2O</vt:lpstr>
      <vt:lpstr>EF_biofuels_CO2</vt:lpstr>
      <vt:lpstr>EF_capital_goods_CH4</vt:lpstr>
      <vt:lpstr>EF_capital_goods_CO2</vt:lpstr>
      <vt:lpstr>EF_capital_goods_N2O</vt:lpstr>
      <vt:lpstr>EF_diesel_CH4</vt:lpstr>
      <vt:lpstr>EF_diesel_CO2</vt:lpstr>
      <vt:lpstr>EF_diesel_N2O</vt:lpstr>
      <vt:lpstr>'Parameters D24m, country spec'!EF_el_CH4_DE</vt:lpstr>
      <vt:lpstr>EF_el_CH4_DE</vt:lpstr>
      <vt:lpstr>'Parameters D24m, country spec'!EF_el_CH4_DK</vt:lpstr>
      <vt:lpstr>EF_el_CH4_DK</vt:lpstr>
      <vt:lpstr>'Parameters D24m, country spec'!EF_el_CH4_ES</vt:lpstr>
      <vt:lpstr>EF_el_CH4_ES</vt:lpstr>
      <vt:lpstr>'Parameters D24m, country spec'!EF_el_CH4_FR</vt:lpstr>
      <vt:lpstr>EF_el_CH4_FR</vt:lpstr>
      <vt:lpstr>'Parameters D24m, country spec'!EF_el_CH4_GR</vt:lpstr>
      <vt:lpstr>EF_el_CH4_GR</vt:lpstr>
      <vt:lpstr>'Parameters D24m, country spec'!EF_el_CH4_HU</vt:lpstr>
      <vt:lpstr>EF_el_CH4_HU</vt:lpstr>
      <vt:lpstr>'Parameters D24m, country spec'!EF_el_CH4_IE</vt:lpstr>
      <vt:lpstr>EF_el_CH4_IE</vt:lpstr>
      <vt:lpstr>'Parameters D24m, country spec'!EF_el_CH4_IT</vt:lpstr>
      <vt:lpstr>EF_el_CH4_IT</vt:lpstr>
      <vt:lpstr>'Parameters D24m, country spec'!EF_el_CH4_NL</vt:lpstr>
      <vt:lpstr>EF_el_CH4_NL</vt:lpstr>
      <vt:lpstr>'Parameters D24m, country spec'!EF_el_CH4_PL</vt:lpstr>
      <vt:lpstr>EF_el_CH4_PL</vt:lpstr>
      <vt:lpstr>'Parameters D24m, country spec'!EF_el_CH4_SE</vt:lpstr>
      <vt:lpstr>EF_el_CH4_SE</vt:lpstr>
      <vt:lpstr>'Parameters D24m, country spec'!EF_el_CO2_DE</vt:lpstr>
      <vt:lpstr>EF_el_CO2_DE</vt:lpstr>
      <vt:lpstr>'Parameters D24m, country spec'!EF_el_CO2_DK</vt:lpstr>
      <vt:lpstr>EF_el_CO2_DK</vt:lpstr>
      <vt:lpstr>'Parameters D24m, country spec'!EF_el_CO2_ES</vt:lpstr>
      <vt:lpstr>EF_el_CO2_ES</vt:lpstr>
      <vt:lpstr>'Parameters D24m, country spec'!EF_el_CO2_FR</vt:lpstr>
      <vt:lpstr>EF_el_CO2_FR</vt:lpstr>
      <vt:lpstr>'Parameters D24m, country spec'!EF_el_CO2_GR</vt:lpstr>
      <vt:lpstr>EF_el_CO2_GR</vt:lpstr>
      <vt:lpstr>'Parameters D24m, country spec'!EF_el_CO2_HU</vt:lpstr>
      <vt:lpstr>EF_el_CO2_HU</vt:lpstr>
      <vt:lpstr>'Parameters D24m, country spec'!EF_el_CO2_IE</vt:lpstr>
      <vt:lpstr>EF_el_CO2_IE</vt:lpstr>
      <vt:lpstr>'Parameters D24m, country spec'!EF_el_CO2_IT</vt:lpstr>
      <vt:lpstr>EF_el_CO2_IT</vt:lpstr>
      <vt:lpstr>'Parameters D24m, country spec'!EF_el_CO2_NL</vt:lpstr>
      <vt:lpstr>EF_el_CO2_NL</vt:lpstr>
      <vt:lpstr>'Parameters D24m, country spec'!EF_el_CO2_PL</vt:lpstr>
      <vt:lpstr>EF_el_CO2_PL</vt:lpstr>
      <vt:lpstr>'Parameters D24m, country spec'!EF_el_CO2_SE</vt:lpstr>
      <vt:lpstr>EF_el_CO2_SE</vt:lpstr>
      <vt:lpstr>'Parameters D24m, country spec'!EF_el_N2O_DE</vt:lpstr>
      <vt:lpstr>EF_el_N2O_DE</vt:lpstr>
      <vt:lpstr>'Parameters D24m, country spec'!EF_el_N2O_DK</vt:lpstr>
      <vt:lpstr>EF_el_N2O_DK</vt:lpstr>
      <vt:lpstr>'Parameters D24m, country spec'!EF_el_N2O_ES</vt:lpstr>
      <vt:lpstr>EF_el_N2O_ES</vt:lpstr>
      <vt:lpstr>'Parameters D24m, country spec'!EF_el_N2O_FR</vt:lpstr>
      <vt:lpstr>EF_el_N2O_FR</vt:lpstr>
      <vt:lpstr>'Parameters D24m, country spec'!EF_el_N2O_GR</vt:lpstr>
      <vt:lpstr>EF_el_N2O_GR</vt:lpstr>
      <vt:lpstr>'Parameters D24m, country spec'!EF_el_N2O_HU</vt:lpstr>
      <vt:lpstr>EF_el_N2O_HU</vt:lpstr>
      <vt:lpstr>'Parameters D24m, country spec'!EF_el_N2O_IE</vt:lpstr>
      <vt:lpstr>EF_el_N2O_IE</vt:lpstr>
      <vt:lpstr>'Parameters D24m, country spec'!EF_el_N2O_IT</vt:lpstr>
      <vt:lpstr>EF_el_N2O_IT</vt:lpstr>
      <vt:lpstr>'Parameters D24m, country spec'!EF_el_N2O_NL</vt:lpstr>
      <vt:lpstr>EF_el_N2O_NL</vt:lpstr>
      <vt:lpstr>'Parameters D24m, country spec'!EF_el_N2O_PL</vt:lpstr>
      <vt:lpstr>EF_el_N2O_PL</vt:lpstr>
      <vt:lpstr>'Parameters D24m, country spec'!EF_el_N2O_SE</vt:lpstr>
      <vt:lpstr>EF_el_N2O_SE</vt:lpstr>
      <vt:lpstr>'Parameters D24m, country spec'!EF_electricity</vt:lpstr>
      <vt:lpstr>EF_electricity</vt:lpstr>
      <vt:lpstr>'Parameters D24m, country spec'!EF_ent_ferm_DE</vt:lpstr>
      <vt:lpstr>EF_ent_ferm_DE</vt:lpstr>
      <vt:lpstr>'Parameters D24m, country spec'!EF_ent_ferm_DK</vt:lpstr>
      <vt:lpstr>EF_ent_ferm_DK</vt:lpstr>
      <vt:lpstr>'Parameters D24m, country spec'!EF_ent_ferm_ES</vt:lpstr>
      <vt:lpstr>EF_ent_ferm_ES</vt:lpstr>
      <vt:lpstr>'Parameters D24m, country spec'!EF_ent_ferm_FR</vt:lpstr>
      <vt:lpstr>EF_ent_ferm_FR</vt:lpstr>
      <vt:lpstr>'Parameters D24m, country spec'!EF_ent_ferm_GR</vt:lpstr>
      <vt:lpstr>EF_ent_ferm_GR</vt:lpstr>
      <vt:lpstr>'Parameters D24m, country spec'!EF_ent_ferm_HU</vt:lpstr>
      <vt:lpstr>EF_ent_ferm_HU</vt:lpstr>
      <vt:lpstr>'Parameters D24m, country spec'!EF_ent_ferm_IE</vt:lpstr>
      <vt:lpstr>EF_ent_ferm_IE</vt:lpstr>
      <vt:lpstr>'Parameters D24m, country spec'!EF_ent_ferm_IT</vt:lpstr>
      <vt:lpstr>EF_ent_ferm_IT</vt:lpstr>
      <vt:lpstr>'Parameters D24m, country spec'!EF_ent_ferm_NL</vt:lpstr>
      <vt:lpstr>EF_ent_ferm_NL</vt:lpstr>
      <vt:lpstr>'Parameters D24m, country spec'!EF_ent_ferm_PL</vt:lpstr>
      <vt:lpstr>EF_ent_ferm_PL</vt:lpstr>
      <vt:lpstr>'Parameters D24m, country spec'!EF_ent_ferm_SE</vt:lpstr>
      <vt:lpstr>EF_ent_ferm_SE</vt:lpstr>
      <vt:lpstr>EF_GWP_CH4_biog</vt:lpstr>
      <vt:lpstr>'Parameters D24m, country spec'!EF_indirect_N2O_DE</vt:lpstr>
      <vt:lpstr>EF_indirect_N2O_DE</vt:lpstr>
      <vt:lpstr>'Parameters D24m, country spec'!EF_indirect_N2O_DK</vt:lpstr>
      <vt:lpstr>EF_indirect_N2O_DK</vt:lpstr>
      <vt:lpstr>'Parameters D24m, country spec'!EF_indirect_N2O_ES</vt:lpstr>
      <vt:lpstr>EF_indirect_N2O_ES</vt:lpstr>
      <vt:lpstr>'Parameters D24m, country spec'!EF_indirect_N2O_FR</vt:lpstr>
      <vt:lpstr>EF_indirect_N2O_FR</vt:lpstr>
      <vt:lpstr>'Parameters D24m, country spec'!EF_indirect_N2O_GR</vt:lpstr>
      <vt:lpstr>EF_indirect_N2O_GR</vt:lpstr>
      <vt:lpstr>'Parameters D24m, country spec'!EF_indirect_N2O_HU</vt:lpstr>
      <vt:lpstr>EF_indirect_N2O_HU</vt:lpstr>
      <vt:lpstr>'Parameters D24m, country spec'!EF_indirect_N2O_IE</vt:lpstr>
      <vt:lpstr>EF_indirect_N2O_IE</vt:lpstr>
      <vt:lpstr>'Parameters D24m, country spec'!EF_indirect_N2O_IT</vt:lpstr>
      <vt:lpstr>EF_indirect_N2O_IT</vt:lpstr>
      <vt:lpstr>'Parameters D24m, country spec'!EF_indirect_N2O_NL</vt:lpstr>
      <vt:lpstr>EF_indirect_N2O_NL</vt:lpstr>
      <vt:lpstr>'Parameters D24m, country spec'!EF_indirect_N2O_PL</vt:lpstr>
      <vt:lpstr>EF_indirect_N2O_PL</vt:lpstr>
      <vt:lpstr>'Parameters D24m, country spec'!EF_indirect_N2O_SE</vt:lpstr>
      <vt:lpstr>EF_indirect_N2O_SE</vt:lpstr>
      <vt:lpstr>EF_min_fert_AN_CH4</vt:lpstr>
      <vt:lpstr>EF_min_fert_AN_CO2</vt:lpstr>
      <vt:lpstr>EF_min_fert_AN_N2O</vt:lpstr>
      <vt:lpstr>EF_min_fert_BAT_CH4</vt:lpstr>
      <vt:lpstr>EF_min_fert_BAT_CO2</vt:lpstr>
      <vt:lpstr>EF_min_fert_BAT_N2O</vt:lpstr>
      <vt:lpstr>'Parameters D24m, country spec'!EF_N2O_diff_DE</vt:lpstr>
      <vt:lpstr>EF_N2O_diff_DE</vt:lpstr>
      <vt:lpstr>'Parameters D24m, country spec'!EF_N2O_diff_DK</vt:lpstr>
      <vt:lpstr>EF_N2O_diff_DK</vt:lpstr>
      <vt:lpstr>'Parameters D24m, country spec'!EF_N2O_diff_ES</vt:lpstr>
      <vt:lpstr>EF_N2O_diff_ES</vt:lpstr>
      <vt:lpstr>'Parameters D24m, country spec'!EF_N2O_diff_FR</vt:lpstr>
      <vt:lpstr>EF_N2O_diff_FR</vt:lpstr>
      <vt:lpstr>'Parameters D24m, country spec'!EF_N2O_diff_GB</vt:lpstr>
      <vt:lpstr>EF_N2O_diff_GB</vt:lpstr>
      <vt:lpstr>'Parameters D24m, country spec'!EF_N2O_diff_GR</vt:lpstr>
      <vt:lpstr>EF_N2O_diff_GR</vt:lpstr>
      <vt:lpstr>'Parameters D24m, country spec'!EF_N2O_diff_HU</vt:lpstr>
      <vt:lpstr>EF_N2O_diff_HU</vt:lpstr>
      <vt:lpstr>'Parameters D24m, country spec'!EF_N2O_diff_IE</vt:lpstr>
      <vt:lpstr>EF_N2O_diff_IE</vt:lpstr>
      <vt:lpstr>'Parameters D24m, country spec'!EF_N2O_diff_IT</vt:lpstr>
      <vt:lpstr>EF_N2O_diff_IT</vt:lpstr>
      <vt:lpstr>'Parameters D24m, country spec'!EF_N2O_diff_NL</vt:lpstr>
      <vt:lpstr>EF_N2O_diff_NL</vt:lpstr>
      <vt:lpstr>'Parameters D24m, country spec'!EF_N2O_diff_PL</vt:lpstr>
      <vt:lpstr>EF_N2O_diff_PL</vt:lpstr>
      <vt:lpstr>'Parameters D24m, country spec'!EF_N2O_diff_SE</vt:lpstr>
      <vt:lpstr>EF_N2O_diff_SE</vt:lpstr>
      <vt:lpstr>EF_NH3</vt:lpstr>
      <vt:lpstr>EF_oil_CH4</vt:lpstr>
      <vt:lpstr>EF_oil_CO2</vt:lpstr>
      <vt:lpstr>EF_oil_N2O</vt:lpstr>
      <vt:lpstr>'Parameters D24m, country spec'!Energy_slaughter_el_DE</vt:lpstr>
      <vt:lpstr>Energy_slaughter_el_DE</vt:lpstr>
      <vt:lpstr>'Parameters D24m, country spec'!Energy_slaughter_el_DK</vt:lpstr>
      <vt:lpstr>Energy_slaughter_el_DK</vt:lpstr>
      <vt:lpstr>'Parameters D24m, country spec'!Energy_slaughter_el_ES</vt:lpstr>
      <vt:lpstr>Energy_slaughter_el_ES</vt:lpstr>
      <vt:lpstr>'Parameters D24m, country spec'!Energy_slaughter_el_FR</vt:lpstr>
      <vt:lpstr>Energy_slaughter_el_FR</vt:lpstr>
      <vt:lpstr>'Parameters D24m, country spec'!Energy_slaughter_el_GR</vt:lpstr>
      <vt:lpstr>Energy_slaughter_el_GR</vt:lpstr>
      <vt:lpstr>'Parameters D24m, country spec'!Energy_slaughter_el_HU</vt:lpstr>
      <vt:lpstr>Energy_slaughter_el_HU</vt:lpstr>
      <vt:lpstr>'Parameters D24m, country spec'!Energy_slaughter_el_IE</vt:lpstr>
      <vt:lpstr>Energy_slaughter_el_IE</vt:lpstr>
      <vt:lpstr>'Parameters D24m, country spec'!Energy_slaughter_el_IT</vt:lpstr>
      <vt:lpstr>Energy_slaughter_el_IT</vt:lpstr>
      <vt:lpstr>'Parameters D24m, country spec'!Energy_slaughter_el_NL</vt:lpstr>
      <vt:lpstr>Energy_slaughter_el_NL</vt:lpstr>
      <vt:lpstr>'Parameters D24m, country spec'!Energy_slaughter_el_PL</vt:lpstr>
      <vt:lpstr>Energy_slaughter_el_PL</vt:lpstr>
      <vt:lpstr>'Parameters D24m, country spec'!Energy_slaughter_el_SE</vt:lpstr>
      <vt:lpstr>Energy_slaughter_el_SE</vt:lpstr>
      <vt:lpstr>'Parameters D24m, country spec'!Energy_slaughter_oil_DE</vt:lpstr>
      <vt:lpstr>Energy_slaughter_oil_DE</vt:lpstr>
      <vt:lpstr>'Parameters D24m, country spec'!Energy_slaughter_oil_DK</vt:lpstr>
      <vt:lpstr>Energy_slaughter_oil_DK</vt:lpstr>
      <vt:lpstr>'Parameters D24m, country spec'!Energy_slaughter_oil_ES</vt:lpstr>
      <vt:lpstr>Energy_slaughter_oil_ES</vt:lpstr>
      <vt:lpstr>'Parameters D24m, country spec'!Energy_slaughter_oil_FR</vt:lpstr>
      <vt:lpstr>Energy_slaughter_oil_FR</vt:lpstr>
      <vt:lpstr>'Parameters D24m, country spec'!Energy_slaughter_oil_GR</vt:lpstr>
      <vt:lpstr>Energy_slaughter_oil_GR</vt:lpstr>
      <vt:lpstr>'Parameters D24m, country spec'!Energy_slaughter_oil_HU</vt:lpstr>
      <vt:lpstr>Energy_slaughter_oil_HU</vt:lpstr>
      <vt:lpstr>'Parameters D24m, country spec'!Energy_slaughter_oil_IE</vt:lpstr>
      <vt:lpstr>Energy_slaughter_oil_IE</vt:lpstr>
      <vt:lpstr>'Parameters D24m, country spec'!Energy_slaughter_oil_IT</vt:lpstr>
      <vt:lpstr>Energy_slaughter_oil_IT</vt:lpstr>
      <vt:lpstr>'Parameters D24m, country spec'!Energy_slaughter_oil_NL</vt:lpstr>
      <vt:lpstr>Energy_slaughter_oil_NL</vt:lpstr>
      <vt:lpstr>'Parameters D24m, country spec'!Energy_slaughter_oil_PL</vt:lpstr>
      <vt:lpstr>Energy_slaughter_oil_PL</vt:lpstr>
      <vt:lpstr>'Parameters D24m, country spec'!Energy_slaughter_oil_SE</vt:lpstr>
      <vt:lpstr>Energy_slaughter_oil_SE</vt:lpstr>
      <vt:lpstr>Excreted_N_after_losses_DE</vt:lpstr>
      <vt:lpstr>Excreted_N_after_losses_DK</vt:lpstr>
      <vt:lpstr>Excreted_N_after_losses_ES</vt:lpstr>
      <vt:lpstr>Excreted_N_after_losses_FR</vt:lpstr>
      <vt:lpstr>Excreted_N_after_losses_GB</vt:lpstr>
      <vt:lpstr>Excreted_N_after_losses_GR</vt:lpstr>
      <vt:lpstr>Excreted_N_after_losses_HU</vt:lpstr>
      <vt:lpstr>Excreted_N_after_losses_IE</vt:lpstr>
      <vt:lpstr>Excreted_N_after_losses_IT</vt:lpstr>
      <vt:lpstr>Excreted_N_after_losses_NL</vt:lpstr>
      <vt:lpstr>Excreted_N_after_losses_PL</vt:lpstr>
      <vt:lpstr>Excreted_N_after_losses_SE</vt:lpstr>
      <vt:lpstr>'Parameters D24m, country spec'!Frac_AN_DE</vt:lpstr>
      <vt:lpstr>Frac_AN_DE</vt:lpstr>
      <vt:lpstr>'Parameters D24m, country spec'!Frac_AN_DK</vt:lpstr>
      <vt:lpstr>Frac_AN_DK</vt:lpstr>
      <vt:lpstr>'Parameters D24m, country spec'!Frac_AN_ES</vt:lpstr>
      <vt:lpstr>Frac_AN_ES</vt:lpstr>
      <vt:lpstr>'Parameters D24m, country spec'!Frac_AN_FR</vt:lpstr>
      <vt:lpstr>Frac_AN_FR</vt:lpstr>
      <vt:lpstr>'Parameters D24m, country spec'!Frac_AN_GB</vt:lpstr>
      <vt:lpstr>Frac_AN_GB</vt:lpstr>
      <vt:lpstr>'Parameters D24m, country spec'!Frac_AN_GR</vt:lpstr>
      <vt:lpstr>Frac_AN_GR</vt:lpstr>
      <vt:lpstr>'Parameters D24m, country spec'!Frac_AN_HU</vt:lpstr>
      <vt:lpstr>Frac_AN_HU</vt:lpstr>
      <vt:lpstr>'Parameters D24m, country spec'!Frac_AN_IE</vt:lpstr>
      <vt:lpstr>Frac_AN_IE</vt:lpstr>
      <vt:lpstr>'Parameters D24m, country spec'!Frac_AN_IT</vt:lpstr>
      <vt:lpstr>Frac_AN_IT</vt:lpstr>
      <vt:lpstr>'Parameters D24m, country spec'!Frac_AN_NL</vt:lpstr>
      <vt:lpstr>Frac_AN_NL</vt:lpstr>
      <vt:lpstr>'Parameters D24m, country spec'!Frac_AN_PL</vt:lpstr>
      <vt:lpstr>Frac_AN_PL</vt:lpstr>
      <vt:lpstr>'Parameters D24m, country spec'!Frac_AN_SE</vt:lpstr>
      <vt:lpstr>Frac_AN_SE</vt:lpstr>
      <vt:lpstr>'Parameters D24m, country spec'!Frac_BAT_DE</vt:lpstr>
      <vt:lpstr>Frac_BAT_DE</vt:lpstr>
      <vt:lpstr>'Parameters D24m, country spec'!Frac_BAT_DK</vt:lpstr>
      <vt:lpstr>Frac_BAT_DK</vt:lpstr>
      <vt:lpstr>'Parameters D24m, country spec'!Frac_BAT_ES</vt:lpstr>
      <vt:lpstr>Frac_BAT_ES</vt:lpstr>
      <vt:lpstr>'Parameters D24m, country spec'!Frac_BAT_FR</vt:lpstr>
      <vt:lpstr>Frac_BAT_FR</vt:lpstr>
      <vt:lpstr>'Parameters D24m, country spec'!Frac_BAT_GB</vt:lpstr>
      <vt:lpstr>Frac_BAT_GB</vt:lpstr>
      <vt:lpstr>'Parameters D24m, country spec'!Frac_BAT_GR</vt:lpstr>
      <vt:lpstr>Frac_BAT_GR</vt:lpstr>
      <vt:lpstr>'Parameters D24m, country spec'!Frac_BAT_HU</vt:lpstr>
      <vt:lpstr>Frac_BAT_HU</vt:lpstr>
      <vt:lpstr>'Parameters D24m, country spec'!Frac_BAT_IE</vt:lpstr>
      <vt:lpstr>Frac_BAT_IE</vt:lpstr>
      <vt:lpstr>'Parameters D24m, country spec'!Frac_BAT_IT</vt:lpstr>
      <vt:lpstr>Frac_BAT_IT</vt:lpstr>
      <vt:lpstr>'Parameters D24m, country spec'!Frac_BAT_NL</vt:lpstr>
      <vt:lpstr>Frac_BAT_NL</vt:lpstr>
      <vt:lpstr>'Parameters D24m, country spec'!Frac_BAT_PL</vt:lpstr>
      <vt:lpstr>Frac_BAT_PL</vt:lpstr>
      <vt:lpstr>'Parameters D24m, country spec'!Frac_BAT_SE</vt:lpstr>
      <vt:lpstr>Frac_BAT_SE</vt:lpstr>
      <vt:lpstr>'Parameters D24m, country spec'!GRAT</vt:lpstr>
      <vt:lpstr>GRAT</vt:lpstr>
      <vt:lpstr>Heating_value_diesel</vt:lpstr>
      <vt:lpstr>'Parameters D24m, country spec'!Manure_repl_factor_DE</vt:lpstr>
      <vt:lpstr>Manure_repl_factor_DE</vt:lpstr>
      <vt:lpstr>'Parameters D24m, country spec'!Manure_repl_factor_DK</vt:lpstr>
      <vt:lpstr>Manure_repl_factor_DK</vt:lpstr>
      <vt:lpstr>'Parameters D24m, country spec'!Manure_repl_factor_ES</vt:lpstr>
      <vt:lpstr>Manure_repl_factor_ES</vt:lpstr>
      <vt:lpstr>'Parameters D24m, country spec'!Manure_repl_factor_FR</vt:lpstr>
      <vt:lpstr>Manure_repl_factor_FR</vt:lpstr>
      <vt:lpstr>'Parameters D24m, country spec'!Manure_repl_factor_GB</vt:lpstr>
      <vt:lpstr>Manure_repl_factor_GB</vt:lpstr>
      <vt:lpstr>'Parameters D24m, country spec'!Manure_repl_factor_GR</vt:lpstr>
      <vt:lpstr>Manure_repl_factor_GR</vt:lpstr>
      <vt:lpstr>'Parameters D24m, country spec'!Manure_repl_factor_HU</vt:lpstr>
      <vt:lpstr>Manure_repl_factor_HU</vt:lpstr>
      <vt:lpstr>'Parameters D24m, country spec'!Manure_repl_factor_IE</vt:lpstr>
      <vt:lpstr>Manure_repl_factor_IE</vt:lpstr>
      <vt:lpstr>'Parameters D24m, country spec'!Manure_repl_factor_IT</vt:lpstr>
      <vt:lpstr>Manure_repl_factor_IT</vt:lpstr>
      <vt:lpstr>'Parameters D24m, country spec'!Manure_repl_factor_NL</vt:lpstr>
      <vt:lpstr>Manure_repl_factor_NL</vt:lpstr>
      <vt:lpstr>'Parameters D24m, country spec'!Manure_repl_factor_PL</vt:lpstr>
      <vt:lpstr>Manure_repl_factor_PL</vt:lpstr>
      <vt:lpstr>'Parameters D24m, country spec'!Manure_repl_factor_SE</vt:lpstr>
      <vt:lpstr>Manure_repl_factor_SE</vt:lpstr>
      <vt:lpstr>N_to_NH3</vt:lpstr>
      <vt:lpstr>No_species</vt:lpstr>
      <vt:lpstr>'Parameters D24m, country spec'!Water_stables_DE</vt:lpstr>
      <vt:lpstr>Water_stables_DE</vt:lpstr>
      <vt:lpstr>'Parameters D24m, country spec'!Water_stables_DK</vt:lpstr>
      <vt:lpstr>Water_stables_DK</vt:lpstr>
      <vt:lpstr>'Parameters D24m, country spec'!Water_stables_ES</vt:lpstr>
      <vt:lpstr>Water_stables_ES</vt:lpstr>
      <vt:lpstr>'Parameters D24m, country spec'!Water_stables_FR</vt:lpstr>
      <vt:lpstr>Water_stables_FR</vt:lpstr>
      <vt:lpstr>'Parameters D24m, country spec'!Water_stables_GR</vt:lpstr>
      <vt:lpstr>Water_stables_GR</vt:lpstr>
      <vt:lpstr>'Parameters D24m, country spec'!Water_stables_HU</vt:lpstr>
      <vt:lpstr>Water_stables_HU</vt:lpstr>
      <vt:lpstr>'Parameters D24m, country spec'!Water_stables_IE</vt:lpstr>
      <vt:lpstr>Water_stables_IE</vt:lpstr>
      <vt:lpstr>'Parameters D24m, country spec'!Water_stables_IT</vt:lpstr>
      <vt:lpstr>Water_stables_IT</vt:lpstr>
      <vt:lpstr>'Parameters D24m, country spec'!Water_stables_NL</vt:lpstr>
      <vt:lpstr>Water_stables_NL</vt:lpstr>
      <vt:lpstr>'Parameters D24m, country spec'!Water_stables_PL</vt:lpstr>
      <vt:lpstr>Water_stables_PL</vt:lpstr>
      <vt:lpstr>'Parameters D24m, country spec'!Water_stables_SE</vt:lpstr>
      <vt:lpstr>Water_stables_SE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Elin Röös</dc:creator>
  <cp:keywords/>
  <dc:description/>
  <cp:lastModifiedBy>Elin Röös</cp:lastModifiedBy>
  <cp:revision/>
  <dcterms:created xsi:type="dcterms:W3CDTF">2015-06-05T18:19:34Z</dcterms:created>
  <dcterms:modified xsi:type="dcterms:W3CDTF">2024-04-01T07:49:00Z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0x010100A603BB68AE5C0F4C908E70EB4D1DDDC3</vt:lpwstr>
  </property>
</Properties>
</file>